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pvarvarovska\Documents\Petra\PK\Venkovní úpravy\22.3.2025 od RV\"/>
    </mc:Choice>
  </mc:AlternateContent>
  <xr:revisionPtr revIDLastSave="0" documentId="8_{9AF81FBA-A73F-430D-AEFF-65F2105E85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apitulace stavby" sheetId="1" r:id="rId1"/>
    <sheet name="ARCH 1" sheetId="5" r:id="rId2"/>
  </sheets>
  <definedNames>
    <definedName name="_xlnm._FilterDatabase" localSheetId="1" hidden="1">'ARCH 1'!$C$87:$K$126</definedName>
    <definedName name="_xlnm.Print_Titles" localSheetId="1">'ARCH 1'!$87:$87</definedName>
    <definedName name="_xlnm.Print_Titles" localSheetId="0">'Rekapitulace stavby'!$49:$49</definedName>
    <definedName name="_xlnm.Print_Area" localSheetId="1">'ARCH 1'!$C$4:$J$36,'ARCH 1'!$C$42:$J$70,'ARCH 1'!$C$75:$K$200</definedName>
    <definedName name="_xlnm.Print_Area" localSheetId="0">'Rekapitulace stavby'!$D$4:$AO$33,'Rekapitulace stavby'!$C$39:$AQ$52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6" i="5" l="1"/>
  <c r="D69" i="5"/>
  <c r="D68" i="5"/>
  <c r="J198" i="5"/>
  <c r="J199" i="5"/>
  <c r="J197" i="5"/>
  <c r="J176" i="5"/>
  <c r="H193" i="5"/>
  <c r="H194" i="5" s="1"/>
  <c r="D67" i="5"/>
  <c r="D61" i="5"/>
  <c r="D66" i="5"/>
  <c r="D65" i="5"/>
  <c r="M172" i="5"/>
  <c r="H175" i="5"/>
  <c r="J175" i="5" s="1"/>
  <c r="H169" i="5"/>
  <c r="H173" i="5" s="1"/>
  <c r="J173" i="5" s="1"/>
  <c r="J174" i="5"/>
  <c r="J172" i="5"/>
  <c r="D64" i="5"/>
  <c r="D57" i="5"/>
  <c r="J196" i="5" l="1"/>
  <c r="J193" i="5"/>
  <c r="J194" i="5"/>
  <c r="M175" i="5"/>
  <c r="H170" i="5"/>
  <c r="J170" i="5" s="1"/>
  <c r="H171" i="5"/>
  <c r="J171" i="5" s="1"/>
  <c r="J169" i="5"/>
  <c r="H186" i="5"/>
  <c r="J186" i="5" s="1"/>
  <c r="H187" i="5" s="1"/>
  <c r="J187" i="5" s="1"/>
  <c r="J185" i="5" s="1"/>
  <c r="J65" i="5" s="1"/>
  <c r="H167" i="5"/>
  <c r="H166" i="5"/>
  <c r="H164" i="5"/>
  <c r="H163" i="5"/>
  <c r="H162" i="5"/>
  <c r="H165" i="5"/>
  <c r="H161" i="5"/>
  <c r="H159" i="5"/>
  <c r="J195" i="5" l="1"/>
  <c r="J69" i="5"/>
  <c r="J68" i="5" s="1"/>
  <c r="J192" i="5"/>
  <c r="J67" i="5" s="1"/>
  <c r="J168" i="5"/>
  <c r="J61" i="5" s="1"/>
  <c r="H189" i="5"/>
  <c r="H190" i="5" s="1"/>
  <c r="J190" i="5" s="1"/>
  <c r="J167" i="5"/>
  <c r="J166" i="5"/>
  <c r="J165" i="5"/>
  <c r="J164" i="5"/>
  <c r="J163" i="5"/>
  <c r="M161" i="5"/>
  <c r="M162" i="5"/>
  <c r="M163" i="5"/>
  <c r="M164" i="5"/>
  <c r="M165" i="5"/>
  <c r="M166" i="5"/>
  <c r="M167" i="5"/>
  <c r="J162" i="5"/>
  <c r="J161" i="5"/>
  <c r="H160" i="5"/>
  <c r="M160" i="5" s="1"/>
  <c r="M159" i="5"/>
  <c r="J189" i="5" l="1"/>
  <c r="H191" i="5" s="1"/>
  <c r="J191" i="5" s="1"/>
  <c r="J159" i="5"/>
  <c r="J160" i="5"/>
  <c r="M158" i="5"/>
  <c r="J158" i="5"/>
  <c r="M157" i="5"/>
  <c r="J157" i="5"/>
  <c r="M156" i="5"/>
  <c r="M155" i="5"/>
  <c r="J155" i="5"/>
  <c r="H154" i="5"/>
  <c r="M154" i="5" s="1"/>
  <c r="H151" i="5"/>
  <c r="H152" i="5" s="1"/>
  <c r="H149" i="5" s="1"/>
  <c r="H153" i="5" s="1"/>
  <c r="H147" i="5"/>
  <c r="J188" i="5" l="1"/>
  <c r="J184" i="5" s="1"/>
  <c r="J153" i="5"/>
  <c r="M153" i="5"/>
  <c r="J156" i="5"/>
  <c r="J154" i="5"/>
  <c r="M149" i="5"/>
  <c r="J149" i="5"/>
  <c r="H105" i="5"/>
  <c r="H117" i="5"/>
  <c r="H121" i="5"/>
  <c r="H143" i="5"/>
  <c r="H137" i="5"/>
  <c r="H133" i="5"/>
  <c r="M133" i="5" s="1"/>
  <c r="J66" i="5" l="1"/>
  <c r="J64" i="5" s="1"/>
  <c r="H144" i="5"/>
  <c r="H131" i="5"/>
  <c r="M131" i="5" s="1"/>
  <c r="J133" i="5"/>
  <c r="H129" i="5"/>
  <c r="H130" i="5" s="1"/>
  <c r="H127" i="5" s="1"/>
  <c r="H125" i="5"/>
  <c r="H126" i="5" s="1"/>
  <c r="H123" i="5" s="1"/>
  <c r="H115" i="5"/>
  <c r="H106" i="5"/>
  <c r="H103" i="5" s="1"/>
  <c r="H101" i="5"/>
  <c r="H102" i="5" s="1"/>
  <c r="H99" i="5" s="1"/>
  <c r="M99" i="5" s="1"/>
  <c r="C99" i="5"/>
  <c r="C103" i="5" s="1"/>
  <c r="C107" i="5" s="1"/>
  <c r="H97" i="5"/>
  <c r="H95" i="5"/>
  <c r="H93" i="5"/>
  <c r="D62" i="5"/>
  <c r="D60" i="5"/>
  <c r="H132" i="5" l="1"/>
  <c r="M132" i="5" s="1"/>
  <c r="J131" i="5"/>
  <c r="M127" i="5"/>
  <c r="J127" i="5"/>
  <c r="M123" i="5"/>
  <c r="J123" i="5"/>
  <c r="H118" i="5"/>
  <c r="H98" i="5"/>
  <c r="J103" i="5"/>
  <c r="J99" i="5"/>
  <c r="H148" i="5"/>
  <c r="H145" i="5" s="1"/>
  <c r="O145" i="5" s="1"/>
  <c r="H135" i="5"/>
  <c r="J132" i="5" l="1"/>
  <c r="M135" i="5"/>
  <c r="O135" i="5"/>
  <c r="H178" i="5" s="1"/>
  <c r="J145" i="5"/>
  <c r="M145" i="5"/>
  <c r="J135" i="5"/>
  <c r="J134" i="5" l="1"/>
  <c r="J60" i="5" s="1"/>
  <c r="J178" i="5"/>
  <c r="H179" i="5"/>
  <c r="H122" i="5"/>
  <c r="L47" i="1"/>
  <c r="L46" i="1"/>
  <c r="AM46" i="1"/>
  <c r="J179" i="5" l="1"/>
  <c r="H181" i="5"/>
  <c r="J181" i="5" s="1"/>
  <c r="H180" i="5"/>
  <c r="J180" i="5" s="1"/>
  <c r="H119" i="5"/>
  <c r="H91" i="5"/>
  <c r="H111" i="5" l="1"/>
  <c r="H107" i="5"/>
  <c r="J177" i="5"/>
  <c r="J62" i="5" s="1"/>
  <c r="H113" i="5"/>
  <c r="J91" i="5"/>
  <c r="M113" i="5" l="1"/>
  <c r="J113" i="5"/>
  <c r="E21" i="5" l="1"/>
  <c r="E15" i="5" l="1"/>
  <c r="E18" i="5"/>
  <c r="F52" i="5" s="1"/>
  <c r="F12" i="5"/>
  <c r="E24" i="5"/>
  <c r="J18" i="5"/>
  <c r="J17" i="5"/>
  <c r="M119" i="5" l="1"/>
  <c r="F51" i="5"/>
  <c r="F84" i="5"/>
  <c r="C108" i="5" l="1"/>
  <c r="C109" i="5" s="1"/>
  <c r="C110" i="5" s="1"/>
  <c r="C111" i="5" s="1"/>
  <c r="C113" i="5" s="1"/>
  <c r="C119" i="5" s="1"/>
  <c r="C123" i="5" s="1"/>
  <c r="C127" i="5" l="1"/>
  <c r="C131" i="5" s="1"/>
  <c r="C132" i="5" s="1"/>
  <c r="C133" i="5" s="1"/>
  <c r="C135" i="5" s="1"/>
  <c r="C145" i="5" s="1"/>
  <c r="E9" i="5"/>
  <c r="C149" i="5" l="1"/>
  <c r="C153" i="5" s="1"/>
  <c r="C154" i="5" s="1"/>
  <c r="C155" i="5" s="1"/>
  <c r="C156" i="5" s="1"/>
  <c r="C157" i="5" s="1"/>
  <c r="C158" i="5" s="1"/>
  <c r="C159" i="5" s="1"/>
  <c r="C160" i="5" s="1"/>
  <c r="C161" i="5" s="1"/>
  <c r="C162" i="5" s="1"/>
  <c r="C163" i="5" s="1"/>
  <c r="C164" i="5" s="1"/>
  <c r="C165" i="5" s="1"/>
  <c r="C166" i="5" s="1"/>
  <c r="C167" i="5" s="1"/>
  <c r="C169" i="5" s="1"/>
  <c r="C170" i="5" s="1"/>
  <c r="C171" i="5" s="1"/>
  <c r="C172" i="5" s="1"/>
  <c r="C173" i="5" s="1"/>
  <c r="C174" i="5" s="1"/>
  <c r="C175" i="5" s="1"/>
  <c r="D63" i="5"/>
  <c r="C176" i="5" l="1"/>
  <c r="C178" i="5" s="1"/>
  <c r="C179" i="5" s="1"/>
  <c r="C180" i="5" s="1"/>
  <c r="C181" i="5" s="1"/>
  <c r="C183" i="5" s="1"/>
  <c r="C186" i="5" s="1"/>
  <c r="C187" i="5" s="1"/>
  <c r="C189" i="5" s="1"/>
  <c r="C190" i="5" s="1"/>
  <c r="C191" i="5" s="1"/>
  <c r="C193" i="5" s="1"/>
  <c r="C194" i="5" s="1"/>
  <c r="C197" i="5" s="1"/>
  <c r="C198" i="5" s="1"/>
  <c r="C199" i="5" s="1"/>
  <c r="D59" i="5"/>
  <c r="D58" i="5"/>
  <c r="J111" i="5" l="1"/>
  <c r="M111" i="5"/>
  <c r="AU90" i="5"/>
  <c r="F34" i="5"/>
  <c r="F33" i="5"/>
  <c r="F32" i="5"/>
  <c r="F85" i="5"/>
  <c r="J84" i="5"/>
  <c r="E80" i="5"/>
  <c r="J51" i="5"/>
  <c r="F49" i="5"/>
  <c r="E47" i="5"/>
  <c r="E7" i="5"/>
  <c r="E78" i="5" s="1"/>
  <c r="E45" i="5" l="1"/>
  <c r="AU89" i="5"/>
  <c r="AU88" i="5" s="1"/>
  <c r="AN8" i="1"/>
  <c r="AM44" i="1"/>
  <c r="J12" i="5" l="1"/>
  <c r="J82" i="5" s="1"/>
  <c r="AY52" i="1"/>
  <c r="AX52" i="1"/>
  <c r="BD52" i="1"/>
  <c r="BD51" i="1" s="1"/>
  <c r="W30" i="1" s="1"/>
  <c r="AS51" i="1"/>
  <c r="L44" i="1"/>
  <c r="L42" i="1"/>
  <c r="L41" i="1"/>
  <c r="J49" i="5" l="1"/>
  <c r="BB52" i="1"/>
  <c r="BB51" i="1" s="1"/>
  <c r="W28" i="1" s="1"/>
  <c r="AW52" i="1"/>
  <c r="AU52" i="1"/>
  <c r="AU51" i="1" s="1"/>
  <c r="BC52" i="1"/>
  <c r="BC51" i="1" s="1"/>
  <c r="BA52" i="1"/>
  <c r="AX51" i="1" l="1"/>
  <c r="BA51" i="1"/>
  <c r="AW51" i="1" s="1"/>
  <c r="W29" i="1"/>
  <c r="AY51" i="1"/>
  <c r="AV52" i="1" l="1"/>
  <c r="AT52" i="1" s="1"/>
  <c r="AZ52" i="1"/>
  <c r="AZ51" i="1" s="1"/>
  <c r="AV51" i="1" l="1"/>
  <c r="AT51" i="1" l="1"/>
  <c r="J119" i="5" l="1"/>
  <c r="J112" i="5" s="1"/>
  <c r="J59" i="5" l="1"/>
  <c r="H108" i="5" l="1"/>
  <c r="M107" i="5"/>
  <c r="H109" i="5"/>
  <c r="J107" i="5"/>
  <c r="M109" i="5" l="1"/>
  <c r="H110" i="5"/>
  <c r="J109" i="5"/>
  <c r="J108" i="5"/>
  <c r="M108" i="5"/>
  <c r="J110" i="5" l="1"/>
  <c r="J90" i="5" s="1"/>
  <c r="M110" i="5"/>
  <c r="H183" i="5" s="1"/>
  <c r="J183" i="5" l="1"/>
  <c r="J58" i="5"/>
  <c r="J182" i="5" l="1"/>
  <c r="J89" i="5" l="1"/>
  <c r="J88" i="5" s="1"/>
  <c r="J63" i="5"/>
  <c r="J57" i="5" s="1"/>
  <c r="J27" i="5" l="1"/>
  <c r="F30" i="5" s="1"/>
  <c r="J30" i="5" s="1"/>
  <c r="AG52" i="1"/>
  <c r="AG51" i="1" s="1"/>
  <c r="AK23" i="1" s="1"/>
  <c r="W26" i="1" s="1"/>
  <c r="AK26" i="1" s="1"/>
  <c r="AK27" i="1"/>
  <c r="J31" i="5"/>
  <c r="J36" i="5" l="1"/>
  <c r="AN52" i="1" s="1"/>
  <c r="AN51" i="1" s="1"/>
  <c r="AK32" i="1"/>
</calcChain>
</file>

<file path=xl/sharedStrings.xml><?xml version="1.0" encoding="utf-8"?>
<sst xmlns="http://schemas.openxmlformats.org/spreadsheetml/2006/main" count="497" uniqueCount="256">
  <si>
    <t>Export VZ</t>
  </si>
  <si>
    <t>List obsahuje:</t>
  </si>
  <si>
    <t>1) Rekapitulace stavby</t>
  </si>
  <si>
    <t>2) Rekapitulace objektů stavby a soupisů prací</t>
  </si>
  <si>
    <t>3.0</t>
  </si>
  <si>
    <t/>
  </si>
  <si>
    <t>False</t>
  </si>
  <si>
    <t>{3fc66192-5ad3-4a29-b8b9-b674973f8d90}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</si>
  <si>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</si>
  <si>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</si>
  <si>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</si>
  <si>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</si>
  <si>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</si>
  <si>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</si>
  <si>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</si>
  <si>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</si>
  <si>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Stavba:</t>
  </si>
  <si>
    <t>KSO:</t>
  </si>
  <si>
    <t>CC-CZ:</t>
  </si>
  <si>
    <t>Místo:</t>
  </si>
  <si>
    <t>Datum:</t>
  </si>
  <si>
    <t>Zadavatel:</t>
  </si>
  <si>
    <t>IČ:</t>
  </si>
  <si>
    <t>DIČ:</t>
  </si>
  <si>
    <t>Uchazeč:</t>
  </si>
  <si>
    <t>Projektant: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</si>
  <si>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</si>
  <si>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</si>
  <si>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</si>
  <si>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</si>
  <si>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</si>
  <si>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</si>
  <si>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</si>
  <si>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</si>
  <si>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</si>
  <si>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</si>
  <si>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</si>
  <si>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</si>
  <si>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</si>
  <si>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</si>
  <si>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</si>
  <si>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</si>
  <si>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</si>
  <si>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</si>
  <si>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</si>
  <si>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</si>
  <si>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</si>
  <si>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</si>
  <si>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</si>
  <si>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</si>
  <si>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</si>
  <si>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</si>
  <si>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</si>
  <si>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</si>
  <si>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</si>
  <si>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</si>
  <si>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</si>
  <si>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</si>
  <si>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</si>
  <si>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</si>
  <si>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</si>
  <si>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</si>
  <si>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</si>
  <si>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</si>
  <si>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</si>
  <si>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</si>
  <si>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1</t>
  </si>
  <si>
    <t>{3096d522-2c55-48bd-a5bf-beb5c4c9ab7e}</t>
  </si>
  <si>
    <t>2</t>
  </si>
  <si>
    <t>1) Krycí list soupisu</t>
  </si>
  <si>
    <t>2) Rekapitulace</t>
  </si>
  <si>
    <t>3) Soupis prací</t>
  </si>
  <si>
    <t>Zpět na list:</t>
  </si>
  <si>
    <t>KRYCÍ LIST SOUPISU</t>
  </si>
  <si>
    <t>Objekt:</t>
  </si>
  <si>
    <t>REKAPITULACE ČLENĚNÍ SOUPISU PRACÍ</t>
  </si>
  <si>
    <t>Kód dílu - Popis</t>
  </si>
  <si>
    <t>Cena celkem [CZK]</t>
  </si>
  <si>
    <t>Náklady soupisu celkem</t>
  </si>
  <si>
    <t>-1</t>
  </si>
  <si>
    <t>SOUPIS PRACÍ</t>
  </si>
  <si>
    <t>PČ</t>
  </si>
  <si>
    <t>Popis</t>
  </si>
  <si>
    <t>MJ</t>
  </si>
  <si>
    <t>Množství</t>
  </si>
  <si>
    <t>J.cena [CZK]</t>
  </si>
  <si>
    <t>Cenová soustava</t>
  </si>
  <si>
    <t>ROZPOCET</t>
  </si>
  <si>
    <t>K</t>
  </si>
  <si>
    <t>m2</t>
  </si>
  <si>
    <t>VV</t>
  </si>
  <si>
    <t>Celkem</t>
  </si>
  <si>
    <t>m3</t>
  </si>
  <si>
    <t>t</t>
  </si>
  <si>
    <t>Přesun hmot</t>
  </si>
  <si>
    <t>HSV</t>
  </si>
  <si>
    <t>Práce a dodávky HSV</t>
  </si>
  <si>
    <t xml:space="preserve">IČ: </t>
  </si>
  <si>
    <t xml:space="preserve">DIČ: </t>
  </si>
  <si>
    <t>Zemní práce</t>
  </si>
  <si>
    <t>Základy</t>
  </si>
  <si>
    <t>Vodorovné přemístění přes 9 000 do 10000 m výkopku/sypaniny z horniny třídy těžitelnosti I skupiny 1 až 3</t>
  </si>
  <si>
    <t>162751117</t>
  </si>
  <si>
    <t>Příplatek k vodorovnému přemístění výkopku/sypaniny z horniny třídy těžitelnosti I skupiny 1 až 3 ZKD 1000 m přes 10000 m</t>
  </si>
  <si>
    <t>162751119</t>
  </si>
  <si>
    <t>Uložení sypaniny na skládky nebo meziskládky</t>
  </si>
  <si>
    <t>171251201</t>
  </si>
  <si>
    <t>Poplatek za uložení na skládce (skládkovné) zeminy a kamení kód odpadu 17 05 04</t>
  </si>
  <si>
    <t>171201221</t>
  </si>
  <si>
    <t>Úprava pláně v hornině třídy těžitelnosti I skupiny 1 až 3 se zhutněním strojně</t>
  </si>
  <si>
    <t>181951112</t>
  </si>
  <si>
    <t>Podsyp pod základové konstrukce se zhutněním z netříděné štěrkodrtě</t>
  </si>
  <si>
    <t>271542211</t>
  </si>
  <si>
    <t>m</t>
  </si>
  <si>
    <t>Přesun suti</t>
  </si>
  <si>
    <t>Vnitrostaveništní doprava suti a vybouraných hmot pro budovy v do 6 m ručně</t>
  </si>
  <si>
    <t>997013211</t>
  </si>
  <si>
    <t>Odvoz suti a vybouraných hmot na skládku nebo meziskládku do 1 km se složením</t>
  </si>
  <si>
    <t>997013501</t>
  </si>
  <si>
    <t>Příplatek k odvozu suti a vybouraných hmot na skládku ZKD 1 km přes 1 km</t>
  </si>
  <si>
    <t>997013509</t>
  </si>
  <si>
    <t>PLANSTAV a.s.</t>
  </si>
  <si>
    <t>CZ25200976</t>
  </si>
  <si>
    <t>ARCH 1 - Parkování a rampa</t>
  </si>
  <si>
    <t>Trnová</t>
  </si>
  <si>
    <t>Výkop pro parkovácí stání 5x7,5 m</t>
  </si>
  <si>
    <t>Výkop pro parkovací stání 5x3,5 m</t>
  </si>
  <si>
    <t>37,5*0,34</t>
  </si>
  <si>
    <t>17,5*0,34</t>
  </si>
  <si>
    <t>Výkop pro rozšířené komunikace</t>
  </si>
  <si>
    <t>(2,91+3,15)*0,34</t>
  </si>
  <si>
    <t>Hloubení nezapažených jam a zářezů strojně s urovnáním dna do předepsaného profilu a spádu v hornině třídy těžitelnosti I skupiny 3 přes 20 do 50 m3</t>
  </si>
  <si>
    <t>131251102</t>
  </si>
  <si>
    <t>Hloubení nezapažených rýh šířky přes 800 do 2 000 mm strojně s urovnáním dna do předepsaného profilu a spádu v hornině třídy těžitelnosti I skupiny 3 přes 20 do 50 m3</t>
  </si>
  <si>
    <t>132251252</t>
  </si>
  <si>
    <t>Výkop pro rampu a palisády</t>
  </si>
  <si>
    <t>(9+1,5+4,5+1,5+3,244+1,5)*2*0,5</t>
  </si>
  <si>
    <t>Sejmutí ornice strojně při souvislé ploše do 100 m2, tl. vrstvy do 200 mm</t>
  </si>
  <si>
    <t>121151103</t>
  </si>
  <si>
    <t>Odstranění zelených ploch - uskladněno na pozemku investora</t>
  </si>
  <si>
    <t>(9+1,5+4,5+1,5+3,244+1,5)*1,5*0,5</t>
  </si>
  <si>
    <t>Podklad pod rampu - nepoužíváme původní výkopek</t>
  </si>
  <si>
    <t>Podklad pod dlažbu a komunikace</t>
  </si>
  <si>
    <t>271532213R</t>
  </si>
  <si>
    <t>Podsyp pod základové konstrukce se zhutněním a urovnáním povrchu z kameniva hrubého, frakce 4 - 8 mm</t>
  </si>
  <si>
    <t>Výplň kamenivem do rýh odvodňovacích žeber nebo trativodů bez zhutnění, s úpravou povrchu výplně kamenivem hrubým drceným frakce 16 až 63 mm</t>
  </si>
  <si>
    <t>211531111</t>
  </si>
  <si>
    <t>Kolem palisád</t>
  </si>
  <si>
    <t>(9+1,5+1,5+4,5+1,5+1,5+3,244)*0,45*0,5*2</t>
  </si>
  <si>
    <t>Zřízení opláštění výplně z geotextilie odvodňovacích žeber nebo trativodů v rýze nebo zářezu se stěnami šikmými o sklonu do 1:2</t>
  </si>
  <si>
    <t>211971110</t>
  </si>
  <si>
    <t>M</t>
  </si>
  <si>
    <t>geotextilie netkaná separační, ochranná, filtrační, drenážní PES 300g/m2</t>
  </si>
  <si>
    <t>69311081</t>
  </si>
  <si>
    <t>Trativody bez lože a obsypu z drenážních trubek plastových flexibilních DN 80 mm</t>
  </si>
  <si>
    <t>212755213</t>
  </si>
  <si>
    <t>Komunikace</t>
  </si>
  <si>
    <t>Rozebrání dlažeb vozovek a ploch s přemístěním hmot na skládku na vzdálenost do 3 m nebo s naložením na dopravní prostředek, s jakoukoliv výplní spár ručně ze zámkové dlažby s ložem z kameniva</t>
  </si>
  <si>
    <t>113106171</t>
  </si>
  <si>
    <t>Parkovací místo 5x7,5 m</t>
  </si>
  <si>
    <t>37,5-28,65</t>
  </si>
  <si>
    <t>Jižní část</t>
  </si>
  <si>
    <t>Východní část</t>
  </si>
  <si>
    <t>Severní část</t>
  </si>
  <si>
    <t>(37,5+2,91+17,5+3,15+1,13)*0,05</t>
  </si>
  <si>
    <t>(37,5+2,91+17,5+3,15+1,13)*0,25</t>
  </si>
  <si>
    <t>28,65+2,91+3,15+1,13</t>
  </si>
  <si>
    <t>Vytrhání obrub s vybouráním lože, s přemístěním hmot na skládku na vzdálenost do 3 m nebo s naložením na dopravní prostředek silničních ležatých</t>
  </si>
  <si>
    <t>113201112</t>
  </si>
  <si>
    <t>Původní obrubníky - odhad</t>
  </si>
  <si>
    <t>8+5+3,5+7,5+1,5+3,2455</t>
  </si>
  <si>
    <t>Poplatek za uložení stavebního odpadu na skládce (skládkovné) směsného stavebního a demoličního zatříděného do Katalogu odpadů pod kódem 17 09 04</t>
  </si>
  <si>
    <t>997013631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</si>
  <si>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B, pro plochy do 50 m2</t>
  </si>
  <si>
    <t>596211120</t>
  </si>
  <si>
    <t>2,25+4,87+2,13+6,75+2,13+13,5+3,15+1,13+17,5+2,91+37,5</t>
  </si>
  <si>
    <t>dlažba zámková betonová tvaru I 200x165mm tl 60mm přírodní</t>
  </si>
  <si>
    <t>59245015</t>
  </si>
  <si>
    <t>dlažba zámková betonová tvaru I 200x165mm tl 60mm barevná</t>
  </si>
  <si>
    <t>59245012</t>
  </si>
  <si>
    <t>Montáž svislé dopravní značky základní velikosti do 1 m2 objímkami na sloupky nebo konzoly</t>
  </si>
  <si>
    <t>914111111</t>
  </si>
  <si>
    <t>kus</t>
  </si>
  <si>
    <t>informativní značky provozní IP8, IP9, IP11-IP13 500x700mm</t>
  </si>
  <si>
    <t>40445625</t>
  </si>
  <si>
    <t>Montáž sloupku dopravních značek délky do 3,5 m do hliníkové patky pro sloupek D 60 mm</t>
  </si>
  <si>
    <t>914511112</t>
  </si>
  <si>
    <t>sloupek pro dopravní značku Zn D 60mm v 3,5m</t>
  </si>
  <si>
    <t>40445225</t>
  </si>
  <si>
    <t>Osazení silničního obrubníku betonového se zřízením lože, s vyplněním a zatřením spár cementovou maltou stojatého s boční opěrou z betonu prostého, do lože z betonu prostého</t>
  </si>
  <si>
    <t>916131213</t>
  </si>
  <si>
    <t>obrubník silniční betonový 1000x150x250mm</t>
  </si>
  <si>
    <t>59217031</t>
  </si>
  <si>
    <t>Osazování palisád betonových v řadě se zabetonováním výšky palisády přes 500 do 1000 mm</t>
  </si>
  <si>
    <t>339921132</t>
  </si>
  <si>
    <t>palisáda tyčová kruhová betonová 175x200mm v 600mm přírodní</t>
  </si>
  <si>
    <t>59228412</t>
  </si>
  <si>
    <t>palisáda tyčová kruhová betonová 175x200mm v 800mm přírodní</t>
  </si>
  <si>
    <t>59228413</t>
  </si>
  <si>
    <t>palisáda tyčová kruhová betonová 175x200mm v 1000mm přírodní</t>
  </si>
  <si>
    <t>Osazování palisád betonových v řadě se zabetonováním výšky palisády přes 1000 do 1500 mm</t>
  </si>
  <si>
    <t>palisáda tyčová kruhová betonová 175x200mm v 1200mm přírodní</t>
  </si>
  <si>
    <t>59228415</t>
  </si>
  <si>
    <t>palisáda tyčová kruhová betonová s armaturou 175x200mm v 1500mm</t>
  </si>
  <si>
    <t>59228416</t>
  </si>
  <si>
    <t>Přesun hmot ruční pro pozemní komunikace s naložením a složením na vzdálenost do 50 m, s krytem dlážděným</t>
  </si>
  <si>
    <t>998229112</t>
  </si>
  <si>
    <t>Izolace proti vodě, vlhkosti a plynům</t>
  </si>
  <si>
    <t>Izolace proti zemní vlhkosti a beztlakové vodě nopovými fóliemi na ploše vodorovné V vrstva ochranná, odvětrávací a drenážní výška nopu 8,0 mm, tl. fólie do 0,6 mm</t>
  </si>
  <si>
    <t>711161112</t>
  </si>
  <si>
    <t>Přesun hmot pro izolace proti vodě, vlhkosti a plynům stanovený procentní sazbou (%) z ceny vodorovná dopravní vzdálenost do 50 m ruční (bez užití mechanizace) v objektech výšky do 6 m</t>
  </si>
  <si>
    <t>998711311</t>
  </si>
  <si>
    <t>%</t>
  </si>
  <si>
    <t>PSV</t>
  </si>
  <si>
    <t>Práce a dodávky PSV</t>
  </si>
  <si>
    <t>Konstrukce zámečnické</t>
  </si>
  <si>
    <t>Montáž zábradlí přímého v exteriéru v rovině (na rovné ploše) kotveného do betonu</t>
  </si>
  <si>
    <t>767163122</t>
  </si>
  <si>
    <t>R01</t>
  </si>
  <si>
    <t>Zábradlí s dřevěným madlem, vodící tyčí a madlem pro děti</t>
  </si>
  <si>
    <t>Přesun hmot pro zámečnické konstrukce stanovený procentní sazbou (%) z ceny vodorovná dopravní vzdálenost do 50 m ruční (bez užití mechanizace) v objektech výšky do 6 m</t>
  </si>
  <si>
    <t>998767311</t>
  </si>
  <si>
    <t>Plochy a úprava území</t>
  </si>
  <si>
    <t>Odstranění nevhodných dřevin průměru kmene do 100 mm výšky do 1 m s odstraněním pařezu přes 100 do 500 m2 v rovině nebo na svahu do 1:5</t>
  </si>
  <si>
    <t>111212215</t>
  </si>
  <si>
    <t>Uložení výkopku bez zhutnění s hrubým rozhrnutím na svahu přes 1:5 do 1:2</t>
  </si>
  <si>
    <t>171203112</t>
  </si>
  <si>
    <t>Založení trávníku na půdě předem připravené plochy do 1000 m2 výsevem včetně utažení lučního na svahu přes 1:5 do 1:2</t>
  </si>
  <si>
    <t>181411122</t>
  </si>
  <si>
    <t>osivo jetelotráva intenzivní víceletá</t>
  </si>
  <si>
    <t>00572100</t>
  </si>
  <si>
    <t>kg</t>
  </si>
  <si>
    <t>Plošná úprava terénu v zemině skupiny 1 až 4 s urovnáním povrchu bez doplnění ornice souvislé plochy do 500 m2 při nerovnostech terénu přes 50 do 100 mm na svahu přes 1:5 do 1:2</t>
  </si>
  <si>
    <t>181111112</t>
  </si>
  <si>
    <t>Výsadba keře bez balu do předem vyhloubené jamky se zalitím na svahu přes 1:5 do 1:2 výšky do 1 m v terénu</t>
  </si>
  <si>
    <t>184102411</t>
  </si>
  <si>
    <t>zlatice prostřední /Forsythia intermedia/ 20-35cm</t>
  </si>
  <si>
    <t>02650530</t>
  </si>
  <si>
    <t>Krycí (uzavírací) nátěr betonových podlah dvojnásobný syntetický</t>
  </si>
  <si>
    <t>783917161</t>
  </si>
  <si>
    <t>783997151</t>
  </si>
  <si>
    <t>Krycí (uzavírací) nátěr betonových podlah Příplatek k cenám za protiskluznou vrstvu prosypem křemičitým pískem nebo skleněnými kuličkami</t>
  </si>
  <si>
    <t>Nátěry</t>
  </si>
  <si>
    <t>kpl</t>
  </si>
  <si>
    <t>stavba Bezbarierový přístup a rozšíření parkovací plochy v areálu Dětského terapeutického centra Trnová</t>
  </si>
  <si>
    <t>Zahradnické práce a osazení zahradnické prvky</t>
  </si>
  <si>
    <t>VRN</t>
  </si>
  <si>
    <t>Práce a dodávky VRN</t>
  </si>
  <si>
    <t>Vedlejší rozpočtové náklady</t>
  </si>
  <si>
    <t>Zařízení staveniště</t>
  </si>
  <si>
    <t>030001000</t>
  </si>
  <si>
    <t>Zabezpečení staveniště</t>
  </si>
  <si>
    <t>034002000</t>
  </si>
  <si>
    <t>Vytyčení a zaměření inženýrských sítí</t>
  </si>
  <si>
    <t>012164000</t>
  </si>
  <si>
    <t>Dětské terapeutické centrum Trnová,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</si>
</sst>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0.000"/>
  </numFmts>
  <fonts count="38" x14ac:knownFonts="1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1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8"/>
      <color rgb="FF505050"/>
      <name val="Trebuchet MS"/>
      <family val="2"/>
      <charset val="238"/>
    </font>
    <font>
      <sz val="8"/>
      <color rgb="FFFAE682"/>
      <name val="Trebuchet MS"/>
      <family val="2"/>
      <charset val="238"/>
    </font>
    <font>
      <sz val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sz val="8"/>
      <color rgb="FF3366FF"/>
      <name val="Trebuchet MS"/>
      <family val="2"/>
      <charset val="238"/>
    </font>
    <font>
      <b/>
      <sz val="16"/>
      <name val="Trebuchet MS"/>
      <family val="2"/>
      <charset val="238"/>
    </font>
    <font>
      <sz val="9"/>
      <color rgb="FF969696"/>
      <name val="Trebuchet MS"/>
      <family val="2"/>
      <charset val="238"/>
    </font>
    <font>
      <b/>
      <sz val="10"/>
      <name val="Trebuchet MS"/>
      <family val="2"/>
      <charset val="238"/>
    </font>
    <font>
      <b/>
      <sz val="8"/>
      <color rgb="FF969696"/>
      <name val="Trebuchet MS"/>
      <family val="2"/>
      <charset val="238"/>
    </font>
    <font>
      <b/>
      <sz val="9"/>
      <name val="Trebuchet MS"/>
      <family val="2"/>
      <charset val="238"/>
    </font>
    <font>
      <sz val="12"/>
      <color rgb="FF96969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12"/>
      <name val="Trebuchet MS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b/>
      <sz val="11"/>
      <name val="Trebuchet MS"/>
      <family val="2"/>
      <charset val="238"/>
    </font>
    <font>
      <sz val="11"/>
      <color rgb="FF969696"/>
      <name val="Trebuchet MS"/>
      <family val="2"/>
      <charset val="238"/>
    </font>
    <font>
      <sz val="10"/>
      <color theme="10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8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7"/>
      <color rgb="FF969696"/>
      <name val="Trebuchet MS"/>
      <family val="2"/>
      <charset val="238"/>
    </font>
    <font>
      <sz val="8"/>
      <color rgb="FFFF0000"/>
      <name val="Trebuchet MS"/>
      <family val="2"/>
      <charset val="238"/>
    </font>
    <font>
      <sz val="7"/>
      <color rgb="FFFF0000"/>
      <name val="Trebuchet MS"/>
      <family val="2"/>
      <charset val="238"/>
    </font>
    <font>
      <sz val="8"/>
      <color rgb="FF7030A0"/>
      <name val="Trebuchet MS"/>
      <family val="2"/>
      <charset val="238"/>
    </font>
    <font>
      <sz val="7"/>
      <color rgb="FF7030A0"/>
      <name val="Trebuchet MS"/>
      <family val="2"/>
      <charset val="238"/>
    </font>
    <font>
      <b/>
      <sz val="8"/>
      <color rgb="FF7030A0"/>
      <name val="Trebuchet MS"/>
      <family val="2"/>
      <charset val="238"/>
    </font>
    <font>
      <i/>
      <sz val="8"/>
      <color indexed="12"/>
      <name val="Trebuchet M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CC"/>
      </patternFill>
    </fill>
    <fill>
      <patternFill patternType="solid">
        <fgColor indexed="26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64"/>
      </right>
      <top style="hair">
        <color indexed="55"/>
      </top>
      <bottom style="hair">
        <color indexed="55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2" fillId="2" borderId="0" xfId="1" applyFont="1" applyFill="1" applyAlignment="1" applyProtection="1">
      <alignment vertical="center"/>
    </xf>
    <xf numFmtId="0" fontId="30" fillId="2" borderId="0" xfId="1" applyFill="1"/>
    <xf numFmtId="0" fontId="0" fillId="2" borderId="0" xfId="0" applyFill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4" fillId="0" borderId="0" xfId="0" applyFont="1" applyAlignment="1">
      <alignment horizontal="left" vertical="center"/>
    </xf>
    <xf numFmtId="0" fontId="0" fillId="0" borderId="6" xfId="0" applyBorder="1"/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0" fillId="0" borderId="7" xfId="0" applyBorder="1"/>
    <xf numFmtId="0" fontId="0" fillId="0" borderId="5" xfId="0" applyBorder="1" applyAlignment="1">
      <alignment vertical="center"/>
    </xf>
    <xf numFmtId="0" fontId="16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3" fillId="4" borderId="9" xfId="0" applyFont="1" applyFill="1" applyBorder="1" applyAlignment="1">
      <alignment horizontal="left" vertical="center"/>
    </xf>
    <xf numFmtId="0" fontId="0" fillId="4" borderId="10" xfId="0" applyFill="1" applyBorder="1" applyAlignment="1">
      <alignment vertical="center"/>
    </xf>
    <xf numFmtId="0" fontId="3" fillId="4" borderId="10" xfId="0" applyFont="1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5" borderId="10" xfId="0" applyFill="1" applyBorder="1" applyAlignment="1">
      <alignment vertical="center"/>
    </xf>
    <xf numFmtId="0" fontId="2" fillId="5" borderId="11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19" fillId="0" borderId="18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9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4" fontId="26" fillId="0" borderId="18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9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4" xfId="0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right" vertical="center"/>
    </xf>
    <xf numFmtId="0" fontId="3" fillId="5" borderId="10" xfId="0" applyFont="1" applyFill="1" applyBorder="1" applyAlignment="1">
      <alignment horizontal="center" vertical="center"/>
    </xf>
    <xf numFmtId="4" fontId="3" fillId="5" borderId="10" xfId="0" applyNumberFormat="1" applyFont="1" applyFill="1" applyBorder="1" applyAlignment="1">
      <alignment vertical="center"/>
    </xf>
    <xf numFmtId="0" fontId="0" fillId="5" borderId="25" xfId="0" applyFill="1" applyBorder="1" applyAlignment="1">
      <alignment vertical="center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vertical="center"/>
    </xf>
    <xf numFmtId="4" fontId="5" fillId="0" borderId="23" xfId="0" applyNumberFormat="1" applyFont="1" applyBorder="1" applyAlignment="1">
      <alignment vertical="center"/>
    </xf>
    <xf numFmtId="0" fontId="6" fillId="0" borderId="23" xfId="0" applyFont="1" applyBorder="1" applyAlignment="1">
      <alignment horizontal="left" vertical="center"/>
    </xf>
    <xf numFmtId="0" fontId="6" fillId="0" borderId="23" xfId="0" applyFont="1" applyBorder="1" applyAlignment="1">
      <alignment vertical="center"/>
    </xf>
    <xf numFmtId="4" fontId="6" fillId="0" borderId="23" xfId="0" applyNumberFormat="1" applyFont="1" applyBorder="1" applyAlignment="1">
      <alignment vertical="center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4" fontId="29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26" xfId="0" applyBorder="1" applyAlignment="1" applyProtection="1">
      <alignment horizontal="center" vertical="center"/>
      <protection locked="0"/>
    </xf>
    <xf numFmtId="49" fontId="0" fillId="0" borderId="26" xfId="0" applyNumberFormat="1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167" fontId="0" fillId="0" borderId="26" xfId="0" applyNumberFormat="1" applyBorder="1" applyAlignment="1" applyProtection="1">
      <alignment vertical="center"/>
      <protection locked="0"/>
    </xf>
    <xf numFmtId="4" fontId="0" fillId="0" borderId="26" xfId="0" applyNumberFormat="1" applyBorder="1" applyAlignment="1" applyProtection="1">
      <alignment vertical="center"/>
      <protection locked="0"/>
    </xf>
    <xf numFmtId="4" fontId="0" fillId="0" borderId="0" xfId="0" applyNumberFormat="1" applyAlignment="1">
      <alignment vertical="center"/>
    </xf>
    <xf numFmtId="0" fontId="8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/>
    <xf numFmtId="4" fontId="0" fillId="6" borderId="26" xfId="0" applyNumberForma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right" vertical="center"/>
    </xf>
    <xf numFmtId="0" fontId="27" fillId="2" borderId="0" xfId="1" applyFont="1" applyFill="1" applyAlignment="1" applyProtection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31" xfId="0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0" fontId="2" fillId="5" borderId="1" xfId="0" applyFont="1" applyFill="1" applyBorder="1" applyAlignment="1">
      <alignment horizontal="right" vertical="center"/>
    </xf>
    <xf numFmtId="0" fontId="0" fillId="5" borderId="31" xfId="0" applyFill="1" applyBorder="1" applyAlignment="1">
      <alignment vertical="center"/>
    </xf>
    <xf numFmtId="0" fontId="28" fillId="0" borderId="1" xfId="0" applyFont="1" applyBorder="1" applyAlignment="1">
      <alignment horizontal="left" vertical="center"/>
    </xf>
    <xf numFmtId="4" fontId="20" fillId="0" borderId="1" xfId="0" applyNumberFormat="1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0" xfId="0" applyBorder="1"/>
    <xf numFmtId="0" fontId="0" fillId="0" borderId="1" xfId="0" applyBorder="1"/>
    <xf numFmtId="0" fontId="0" fillId="0" borderId="31" xfId="0" applyBorder="1"/>
    <xf numFmtId="0" fontId="0" fillId="0" borderId="30" xfId="0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4" fontId="20" fillId="0" borderId="1" xfId="0" applyNumberFormat="1" applyFont="1" applyBorder="1"/>
    <xf numFmtId="0" fontId="7" fillId="0" borderId="30" xfId="0" applyFont="1" applyBorder="1"/>
    <xf numFmtId="0" fontId="7" fillId="0" borderId="1" xfId="0" applyFont="1" applyBorder="1"/>
    <xf numFmtId="0" fontId="5" fillId="0" borderId="1" xfId="0" applyFont="1" applyBorder="1" applyAlignment="1">
      <alignment horizontal="left"/>
    </xf>
    <xf numFmtId="0" fontId="7" fillId="0" borderId="1" xfId="0" applyFont="1" applyBorder="1" applyProtection="1">
      <protection locked="0"/>
    </xf>
    <xf numFmtId="4" fontId="5" fillId="0" borderId="1" xfId="0" applyNumberFormat="1" applyFont="1" applyBorder="1"/>
    <xf numFmtId="0" fontId="7" fillId="0" borderId="31" xfId="0" applyFont="1" applyBorder="1"/>
    <xf numFmtId="0" fontId="0" fillId="0" borderId="30" xfId="0" applyBorder="1" applyAlignment="1" applyProtection="1">
      <alignment vertical="center"/>
      <protection locked="0"/>
    </xf>
    <xf numFmtId="0" fontId="0" fillId="0" borderId="38" xfId="0" applyBorder="1" applyAlignment="1" applyProtection="1">
      <alignment horizontal="left" vertical="center" wrapText="1"/>
      <protection locked="0"/>
    </xf>
    <xf numFmtId="0" fontId="8" fillId="0" borderId="30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4" xfId="0" applyBorder="1" applyAlignment="1">
      <alignment vertical="center"/>
    </xf>
    <xf numFmtId="0" fontId="3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167" fontId="8" fillId="0" borderId="1" xfId="0" applyNumberFormat="1" applyFont="1" applyBorder="1" applyAlignment="1">
      <alignment vertical="center"/>
    </xf>
    <xf numFmtId="0" fontId="33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 wrapText="1"/>
    </xf>
    <xf numFmtId="167" fontId="32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32" fillId="0" borderId="1" xfId="0" applyFont="1" applyBorder="1" applyAlignment="1" applyProtection="1">
      <alignment vertical="center"/>
      <protection locked="0"/>
    </xf>
    <xf numFmtId="0" fontId="32" fillId="0" borderId="31" xfId="0" applyFont="1" applyBorder="1" applyAlignment="1">
      <alignment vertical="center"/>
    </xf>
    <xf numFmtId="0" fontId="34" fillId="0" borderId="1" xfId="0" applyFont="1" applyBorder="1" applyAlignment="1">
      <alignment vertical="center"/>
    </xf>
    <xf numFmtId="0" fontId="35" fillId="0" borderId="1" xfId="0" applyFont="1" applyBorder="1" applyAlignment="1">
      <alignment horizontal="left" vertical="center"/>
    </xf>
    <xf numFmtId="167" fontId="34" fillId="0" borderId="1" xfId="0" applyNumberFormat="1" applyFont="1" applyBorder="1" applyAlignment="1">
      <alignment vertical="center"/>
    </xf>
    <xf numFmtId="0" fontId="34" fillId="0" borderId="31" xfId="0" applyFont="1" applyBorder="1" applyAlignment="1">
      <alignment vertical="center"/>
    </xf>
    <xf numFmtId="0" fontId="36" fillId="0" borderId="1" xfId="0" applyFont="1" applyBorder="1" applyAlignment="1">
      <alignment horizontal="left" vertical="center" wrapText="1"/>
    </xf>
    <xf numFmtId="0" fontId="34" fillId="0" borderId="16" xfId="0" applyFont="1" applyBorder="1" applyAlignment="1">
      <alignment vertical="center"/>
    </xf>
    <xf numFmtId="0" fontId="0" fillId="0" borderId="0" xfId="0" quotePrefix="1" applyAlignment="1">
      <alignment horizontal="left"/>
    </xf>
    <xf numFmtId="0" fontId="2" fillId="0" borderId="0" xfId="0" quotePrefix="1" applyFont="1" applyAlignment="1">
      <alignment horizontal="left" vertical="center"/>
    </xf>
    <xf numFmtId="168" fontId="8" fillId="0" borderId="1" xfId="0" applyNumberFormat="1" applyFont="1" applyBorder="1" applyAlignment="1">
      <alignment horizontal="right" vertical="center" wrapText="1"/>
    </xf>
    <xf numFmtId="0" fontId="37" fillId="0" borderId="39" xfId="0" applyFont="1" applyBorder="1" applyAlignment="1" applyProtection="1">
      <alignment horizontal="center" vertical="center"/>
      <protection locked="0"/>
    </xf>
    <xf numFmtId="49" fontId="37" fillId="0" borderId="39" xfId="0" applyNumberFormat="1" applyFont="1" applyBorder="1" applyAlignment="1" applyProtection="1">
      <alignment horizontal="left" vertical="center" wrapText="1"/>
      <protection locked="0"/>
    </xf>
    <xf numFmtId="0" fontId="37" fillId="0" borderId="39" xfId="0" applyFont="1" applyBorder="1" applyAlignment="1" applyProtection="1">
      <alignment horizontal="left" vertical="center" wrapText="1"/>
      <protection locked="0"/>
    </xf>
    <xf numFmtId="0" fontId="37" fillId="0" borderId="39" xfId="0" applyFont="1" applyBorder="1" applyAlignment="1" applyProtection="1">
      <alignment horizontal="center" vertical="center" wrapText="1"/>
      <protection locked="0"/>
    </xf>
    <xf numFmtId="167" fontId="37" fillId="0" borderId="39" xfId="0" applyNumberFormat="1" applyFont="1" applyBorder="1" applyAlignment="1" applyProtection="1">
      <alignment vertical="center"/>
      <protection locked="0"/>
    </xf>
    <xf numFmtId="4" fontId="37" fillId="7" borderId="39" xfId="0" applyNumberFormat="1" applyFont="1" applyFill="1" applyBorder="1" applyAlignment="1" applyProtection="1">
      <alignment vertical="center"/>
      <protection locked="0"/>
    </xf>
    <xf numFmtId="166" fontId="37" fillId="0" borderId="40" xfId="0" applyNumberFormat="1" applyFont="1" applyBorder="1" applyAlignment="1" applyProtection="1">
      <alignment horizontal="left" vertical="center"/>
      <protection locked="0"/>
    </xf>
    <xf numFmtId="4" fontId="37" fillId="0" borderId="39" xfId="0" applyNumberFormat="1" applyFont="1" applyBorder="1" applyAlignment="1" applyProtection="1">
      <alignment vertical="center"/>
      <protection locked="0"/>
    </xf>
    <xf numFmtId="4" fontId="0" fillId="0" borderId="0" xfId="0" applyNumberFormat="1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3" fillId="4" borderId="10" xfId="0" applyFont="1" applyFill="1" applyBorder="1" applyAlignment="1">
      <alignment horizontal="left" vertical="center"/>
    </xf>
    <xf numFmtId="0" fontId="0" fillId="4" borderId="10" xfId="0" applyFill="1" applyBorder="1" applyAlignment="1">
      <alignment vertical="center"/>
    </xf>
    <xf numFmtId="4" fontId="3" fillId="4" borderId="10" xfId="0" applyNumberFormat="1" applyFont="1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2" fillId="5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6" fillId="0" borderId="8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3" fillId="3" borderId="0" xfId="0" applyFont="1" applyFill="1" applyAlignment="1">
      <alignment horizontal="center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5" borderId="10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27" fillId="2" borderId="0" xfId="1" applyFont="1" applyFill="1" applyAlignment="1" applyProtection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8C7E6FF2-BB2E-4631-AEBD-D02DC89BE646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76860" cy="27686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3"/>
  <sheetViews>
    <sheetView showGridLines="0" tabSelected="1" zoomScaleNormal="100" workbookViewId="0">
      <pane ySplit="1" topLeftCell="A2" activePane="bottomLeft" state="frozen"/>
      <selection pane="bottomLeft" activeCell="F12" sqref="F12"/>
    </sheetView>
  </sheetViews>
  <sheetFormatPr defaultRowHeight="12" x14ac:dyDescent="0.3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52" width="21.7109375" hidden="1" customWidth="1"/>
    <col min="53" max="53" width="19.140625" hidden="1" customWidth="1"/>
    <col min="54" max="54" width="25" hidden="1" customWidth="1"/>
    <col min="55" max="56" width="19.140625" hidden="1" customWidth="1"/>
    <col min="57" max="57" width="66.42578125" customWidth="1"/>
    <col min="71" max="91" width="9.28515625" hidden="1"/>
  </cols>
  <sheetData>
    <row r="1" spans="1:74" ht="21.45" customHeight="1" x14ac:dyDescent="0.3">
      <c r="A1" s="12" t="s">
        <v>0</v>
      </c>
      <c r="B1" s="13"/>
      <c r="C1" s="13"/>
      <c r="D1" s="14" t="s">
        <v>1</v>
      </c>
      <c r="E1" s="13"/>
      <c r="F1" s="13"/>
      <c r="G1" s="13"/>
      <c r="H1" s="13"/>
      <c r="I1" s="13"/>
      <c r="J1" s="13"/>
      <c r="K1" s="15" t="s">
        <v>2</v>
      </c>
      <c r="L1" s="15"/>
      <c r="M1" s="15"/>
      <c r="N1" s="15"/>
      <c r="O1" s="15"/>
      <c r="P1" s="15"/>
      <c r="Q1" s="15"/>
      <c r="R1" s="15"/>
      <c r="S1" s="15"/>
      <c r="T1" s="13"/>
      <c r="U1" s="13"/>
      <c r="V1" s="13"/>
      <c r="W1" s="15" t="s">
        <v>3</v>
      </c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6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2" t="s">
        <v>4</v>
      </c>
      <c r="BB1" s="12" t="s">
        <v>5</v>
      </c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T1" s="18" t="s">
        <v>6</v>
      </c>
      <c r="BU1" s="18" t="s">
        <v>6</v>
      </c>
      <c r="BV1" s="18" t="s">
        <v>7</v>
      </c>
    </row>
    <row r="2" spans="1:74" ht="36.9" customHeight="1" x14ac:dyDescent="0.3">
      <c r="AR2" s="211" t="s">
        <v>8</v>
      </c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S2" s="19" t="s">
        <v>9</v>
      </c>
      <c r="BT2" s="19" t="s">
        <v>10</v>
      </c>
    </row>
    <row r="3" spans="1:74" ht="6.9" customHeight="1" x14ac:dyDescent="0.3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2"/>
      <c r="BS3" s="19" t="s">
        <v>9</v>
      </c>
      <c r="BT3" s="19" t="s">
        <v>11</v>
      </c>
    </row>
    <row r="4" spans="1:74" ht="36.9" customHeight="1" x14ac:dyDescent="0.3">
      <c r="B4" s="23"/>
      <c r="D4" s="24" t="s">
        <v>12</v>
      </c>
      <c r="AQ4" s="25"/>
      <c r="AS4" s="26" t="s">
        <v>13</v>
      </c>
      <c r="BS4" s="19" t="s">
        <v>14</v>
      </c>
    </row>
    <row r="5" spans="1:74" ht="14.4" customHeight="1" x14ac:dyDescent="0.3">
      <c r="B5" s="23"/>
      <c r="D5" s="27" t="s">
        <v>15</v>
      </c>
      <c r="K5" s="204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Q5" s="25"/>
      <c r="BS5" s="19" t="s">
        <v>9</v>
      </c>
    </row>
    <row r="6" spans="1:74" ht="36.9" customHeight="1" x14ac:dyDescent="0.3">
      <c r="B6" s="23"/>
      <c r="D6" s="29" t="s">
        <v>16</v>
      </c>
      <c r="K6" s="206" t="s">
        <v>244</v>
      </c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Q6" s="25"/>
      <c r="BS6" s="19" t="s">
        <v>9</v>
      </c>
    </row>
    <row r="7" spans="1:74" ht="14.4" customHeight="1" x14ac:dyDescent="0.3">
      <c r="B7" s="23"/>
      <c r="D7" s="30" t="s">
        <v>17</v>
      </c>
      <c r="K7" s="28" t="s">
        <v>5</v>
      </c>
      <c r="AK7" s="30" t="s">
        <v>18</v>
      </c>
      <c r="AN7" s="28" t="s">
        <v>5</v>
      </c>
      <c r="AQ7" s="25"/>
      <c r="BS7" s="19" t="s">
        <v>9</v>
      </c>
    </row>
    <row r="8" spans="1:74" ht="14.4" customHeight="1" x14ac:dyDescent="0.3">
      <c r="B8" s="23"/>
      <c r="D8" s="30" t="s">
        <v>19</v>
      </c>
      <c r="K8" s="28" t="s">
        <v>124</v>
      </c>
      <c r="AK8" s="30" t="s">
        <v>20</v>
      </c>
      <c r="AN8" s="113">
        <f ca="1">TODAY()</f>
        <v>45743</v>
      </c>
      <c r="AQ8" s="25"/>
      <c r="BS8" s="19" t="s">
        <v>9</v>
      </c>
    </row>
    <row r="9" spans="1:74" ht="14.4" customHeight="1" x14ac:dyDescent="0.3">
      <c r="B9" s="23"/>
      <c r="AQ9" s="25"/>
      <c r="BS9" s="19" t="s">
        <v>9</v>
      </c>
    </row>
    <row r="10" spans="1:74" ht="14.4" customHeight="1" x14ac:dyDescent="0.3">
      <c r="B10" s="23"/>
      <c r="D10" s="30" t="s">
        <v>21</v>
      </c>
      <c r="AK10" s="30" t="s">
        <v>22</v>
      </c>
      <c r="AN10" s="28"/>
      <c r="AQ10" s="25"/>
      <c r="BS10" s="19" t="s">
        <v>9</v>
      </c>
    </row>
    <row r="11" spans="1:74" ht="18.45" customHeight="1" x14ac:dyDescent="0.3">
      <c r="B11" s="23"/>
      <c r="E11" s="28"/>
      <c r="F11" s="28" t="s">
        <v>255</v>
      </c>
      <c r="AK11" s="30" t="s">
        <v>23</v>
      </c>
      <c r="AN11" s="28"/>
      <c r="AQ11" s="25"/>
      <c r="BS11" s="19" t="s">
        <v>9</v>
      </c>
    </row>
    <row r="12" spans="1:74" ht="6.9" customHeight="1" x14ac:dyDescent="0.3">
      <c r="B12" s="23"/>
      <c r="AQ12" s="25"/>
      <c r="BS12" s="19" t="s">
        <v>9</v>
      </c>
    </row>
    <row r="13" spans="1:74" ht="14.4" customHeight="1" x14ac:dyDescent="0.3">
      <c r="B13" s="23"/>
      <c r="D13" s="30" t="s">
        <v>24</v>
      </c>
      <c r="AK13" s="30" t="s">
        <v>97</v>
      </c>
      <c r="AL13" s="180"/>
      <c r="AN13" s="181"/>
      <c r="AQ13" s="25"/>
      <c r="BS13" s="19" t="s">
        <v>9</v>
      </c>
    </row>
    <row r="14" spans="1:74" ht="13.2" x14ac:dyDescent="0.3">
      <c r="B14" s="23"/>
      <c r="E14" s="28"/>
      <c r="F14" s="28"/>
      <c r="AK14" s="30" t="s">
        <v>98</v>
      </c>
      <c r="AN14" s="28"/>
      <c r="AQ14" s="25"/>
      <c r="BS14" s="19" t="s">
        <v>9</v>
      </c>
    </row>
    <row r="15" spans="1:74" ht="6.9" customHeight="1" x14ac:dyDescent="0.3">
      <c r="B15" s="23"/>
      <c r="AQ15" s="25"/>
      <c r="BS15" s="19" t="s">
        <v>6</v>
      </c>
    </row>
    <row r="16" spans="1:74" ht="14.4" customHeight="1" x14ac:dyDescent="0.3">
      <c r="B16" s="23"/>
      <c r="D16" s="30" t="s">
        <v>25</v>
      </c>
      <c r="AK16" s="30" t="s">
        <v>22</v>
      </c>
      <c r="AN16" s="28">
        <v>25200976</v>
      </c>
      <c r="AQ16" s="25"/>
      <c r="BS16" s="19" t="s">
        <v>6</v>
      </c>
    </row>
    <row r="17" spans="2:71" ht="18.45" customHeight="1" x14ac:dyDescent="0.3">
      <c r="B17" s="23"/>
      <c r="D17" s="145"/>
      <c r="E17" s="28"/>
      <c r="F17" s="28" t="s">
        <v>121</v>
      </c>
      <c r="AK17" s="30" t="s">
        <v>23</v>
      </c>
      <c r="AN17" s="28" t="s">
        <v>122</v>
      </c>
      <c r="AQ17" s="25"/>
      <c r="BS17" s="19" t="s">
        <v>26</v>
      </c>
    </row>
    <row r="18" spans="2:71" ht="6.9" customHeight="1" x14ac:dyDescent="0.3">
      <c r="B18" s="23"/>
      <c r="AQ18" s="25"/>
      <c r="BS18" s="19" t="s">
        <v>9</v>
      </c>
    </row>
    <row r="19" spans="2:71" ht="14.4" customHeight="1" x14ac:dyDescent="0.3">
      <c r="B19" s="23"/>
      <c r="D19" s="30" t="s">
        <v>27</v>
      </c>
      <c r="AQ19" s="25"/>
      <c r="BS19" s="19" t="s">
        <v>9</v>
      </c>
    </row>
    <row r="20" spans="2:71" ht="57" customHeight="1" x14ac:dyDescent="0.3">
      <c r="B20" s="23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Q20" s="25"/>
      <c r="BS20" s="19" t="s">
        <v>6</v>
      </c>
    </row>
    <row r="21" spans="2:71" ht="6.9" customHeight="1" x14ac:dyDescent="0.3">
      <c r="B21" s="23"/>
      <c r="AQ21" s="25"/>
    </row>
    <row r="22" spans="2:71" ht="6.9" customHeight="1" x14ac:dyDescent="0.3">
      <c r="B22" s="23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Q22" s="25"/>
    </row>
    <row r="23" spans="2:71" s="1" customFormat="1" ht="25.95" customHeight="1" x14ac:dyDescent="0.3">
      <c r="B23" s="32"/>
      <c r="D23" s="33" t="s">
        <v>28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208">
        <f>ROUND(AG51,2)</f>
        <v>0</v>
      </c>
      <c r="AL23" s="209"/>
      <c r="AM23" s="209"/>
      <c r="AN23" s="209"/>
      <c r="AO23" s="209"/>
      <c r="AQ23" s="35"/>
    </row>
    <row r="24" spans="2:71" s="1" customFormat="1" ht="6.9" customHeight="1" x14ac:dyDescent="0.3">
      <c r="B24" s="32"/>
      <c r="AQ24" s="35"/>
    </row>
    <row r="25" spans="2:71" s="1" customFormat="1" x14ac:dyDescent="0.3">
      <c r="B25" s="32"/>
      <c r="L25" s="210" t="s">
        <v>29</v>
      </c>
      <c r="M25" s="210"/>
      <c r="N25" s="210"/>
      <c r="O25" s="210"/>
      <c r="W25" s="210" t="s">
        <v>30</v>
      </c>
      <c r="X25" s="210"/>
      <c r="Y25" s="210"/>
      <c r="Z25" s="210"/>
      <c r="AA25" s="210"/>
      <c r="AB25" s="210"/>
      <c r="AC25" s="210"/>
      <c r="AD25" s="210"/>
      <c r="AE25" s="210"/>
      <c r="AK25" s="210" t="s">
        <v>31</v>
      </c>
      <c r="AL25" s="210"/>
      <c r="AM25" s="210"/>
      <c r="AN25" s="210"/>
      <c r="AO25" s="210"/>
      <c r="AQ25" s="35"/>
    </row>
    <row r="26" spans="2:71" s="2" customFormat="1" ht="14.4" customHeight="1" x14ac:dyDescent="0.3">
      <c r="B26" s="36"/>
      <c r="D26" s="37" t="s">
        <v>32</v>
      </c>
      <c r="F26" s="37" t="s">
        <v>33</v>
      </c>
      <c r="L26" s="192">
        <v>0.21</v>
      </c>
      <c r="M26" s="193"/>
      <c r="N26" s="193"/>
      <c r="O26" s="193"/>
      <c r="W26" s="198">
        <f>AK23</f>
        <v>0</v>
      </c>
      <c r="X26" s="193"/>
      <c r="Y26" s="193"/>
      <c r="Z26" s="193"/>
      <c r="AA26" s="193"/>
      <c r="AB26" s="193"/>
      <c r="AC26" s="193"/>
      <c r="AD26" s="193"/>
      <c r="AE26" s="193"/>
      <c r="AK26" s="198">
        <f>W26*L26</f>
        <v>0</v>
      </c>
      <c r="AL26" s="193"/>
      <c r="AM26" s="193"/>
      <c r="AN26" s="193"/>
      <c r="AO26" s="193"/>
      <c r="AQ26" s="38"/>
    </row>
    <row r="27" spans="2:71" s="2" customFormat="1" ht="14.4" customHeight="1" x14ac:dyDescent="0.3">
      <c r="B27" s="36"/>
      <c r="F27" s="37" t="s">
        <v>34</v>
      </c>
      <c r="L27" s="192">
        <v>0.12</v>
      </c>
      <c r="M27" s="193"/>
      <c r="N27" s="193"/>
      <c r="O27" s="193"/>
      <c r="W27" s="198"/>
      <c r="X27" s="193"/>
      <c r="Y27" s="193"/>
      <c r="Z27" s="193"/>
      <c r="AA27" s="193"/>
      <c r="AB27" s="193"/>
      <c r="AC27" s="193"/>
      <c r="AD27" s="193"/>
      <c r="AE27" s="193"/>
      <c r="AK27" s="198">
        <f>W27*L27</f>
        <v>0</v>
      </c>
      <c r="AL27" s="193"/>
      <c r="AM27" s="193"/>
      <c r="AN27" s="193"/>
      <c r="AO27" s="193"/>
      <c r="AQ27" s="38"/>
    </row>
    <row r="28" spans="2:71" s="2" customFormat="1" ht="14.4" hidden="1" customHeight="1" x14ac:dyDescent="0.3">
      <c r="B28" s="36"/>
      <c r="F28" s="37" t="s">
        <v>35</v>
      </c>
      <c r="L28" s="192">
        <v>0.21</v>
      </c>
      <c r="M28" s="193"/>
      <c r="N28" s="193"/>
      <c r="O28" s="193"/>
      <c r="W28" s="198" t="e">
        <f>ROUND(BB51,2)</f>
        <v>#REF!</v>
      </c>
      <c r="X28" s="193"/>
      <c r="Y28" s="193"/>
      <c r="Z28" s="193"/>
      <c r="AA28" s="193"/>
      <c r="AB28" s="193"/>
      <c r="AC28" s="193"/>
      <c r="AD28" s="193"/>
      <c r="AE28" s="193"/>
      <c r="AK28" s="198">
        <v>0</v>
      </c>
      <c r="AL28" s="193"/>
      <c r="AM28" s="193"/>
      <c r="AN28" s="193"/>
      <c r="AO28" s="193"/>
      <c r="AQ28" s="38"/>
    </row>
    <row r="29" spans="2:71" s="2" customFormat="1" ht="14.4" hidden="1" customHeight="1" x14ac:dyDescent="0.3">
      <c r="B29" s="36"/>
      <c r="F29" s="37" t="s">
        <v>36</v>
      </c>
      <c r="L29" s="192">
        <v>0.15</v>
      </c>
      <c r="M29" s="193"/>
      <c r="N29" s="193"/>
      <c r="O29" s="193"/>
      <c r="W29" s="198" t="e">
        <f>ROUND(BC51,2)</f>
        <v>#REF!</v>
      </c>
      <c r="X29" s="193"/>
      <c r="Y29" s="193"/>
      <c r="Z29" s="193"/>
      <c r="AA29" s="193"/>
      <c r="AB29" s="193"/>
      <c r="AC29" s="193"/>
      <c r="AD29" s="193"/>
      <c r="AE29" s="193"/>
      <c r="AK29" s="198">
        <v>0</v>
      </c>
      <c r="AL29" s="193"/>
      <c r="AM29" s="193"/>
      <c r="AN29" s="193"/>
      <c r="AO29" s="193"/>
      <c r="AQ29" s="38"/>
    </row>
    <row r="30" spans="2:71" s="2" customFormat="1" ht="14.4" hidden="1" customHeight="1" x14ac:dyDescent="0.3">
      <c r="B30" s="36"/>
      <c r="F30" s="37" t="s">
        <v>37</v>
      </c>
      <c r="L30" s="192">
        <v>0</v>
      </c>
      <c r="M30" s="193"/>
      <c r="N30" s="193"/>
      <c r="O30" s="193"/>
      <c r="W30" s="198" t="e">
        <f>ROUND(BD51,2)</f>
        <v>#REF!</v>
      </c>
      <c r="X30" s="193"/>
      <c r="Y30" s="193"/>
      <c r="Z30" s="193"/>
      <c r="AA30" s="193"/>
      <c r="AB30" s="193"/>
      <c r="AC30" s="193"/>
      <c r="AD30" s="193"/>
      <c r="AE30" s="193"/>
      <c r="AK30" s="198">
        <v>0</v>
      </c>
      <c r="AL30" s="193"/>
      <c r="AM30" s="193"/>
      <c r="AN30" s="193"/>
      <c r="AO30" s="193"/>
      <c r="AQ30" s="38"/>
    </row>
    <row r="31" spans="2:71" s="1" customFormat="1" ht="6.9" customHeight="1" x14ac:dyDescent="0.3">
      <c r="B31" s="32"/>
      <c r="AQ31" s="35"/>
    </row>
    <row r="32" spans="2:71" s="1" customFormat="1" ht="25.95" customHeight="1" x14ac:dyDescent="0.3">
      <c r="B32" s="32"/>
      <c r="C32" s="39"/>
      <c r="D32" s="40" t="s">
        <v>38</v>
      </c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2" t="s">
        <v>39</v>
      </c>
      <c r="U32" s="41"/>
      <c r="V32" s="41"/>
      <c r="W32" s="41"/>
      <c r="X32" s="199" t="s">
        <v>40</v>
      </c>
      <c r="Y32" s="200"/>
      <c r="Z32" s="200"/>
      <c r="AA32" s="200"/>
      <c r="AB32" s="200"/>
      <c r="AC32" s="41"/>
      <c r="AD32" s="41"/>
      <c r="AE32" s="41"/>
      <c r="AF32" s="41"/>
      <c r="AG32" s="41"/>
      <c r="AH32" s="41"/>
      <c r="AI32" s="41"/>
      <c r="AJ32" s="41"/>
      <c r="AK32" s="201">
        <f>SUM(AK23:AK30)</f>
        <v>0</v>
      </c>
      <c r="AL32" s="200"/>
      <c r="AM32" s="200"/>
      <c r="AN32" s="200"/>
      <c r="AO32" s="202"/>
      <c r="AP32" s="39"/>
      <c r="AQ32" s="43"/>
    </row>
    <row r="33" spans="2:56" s="1" customFormat="1" ht="6.9" customHeight="1" x14ac:dyDescent="0.3">
      <c r="B33" s="32"/>
      <c r="AQ33" s="35"/>
    </row>
    <row r="34" spans="2:56" s="1" customFormat="1" ht="6.9" customHeight="1" x14ac:dyDescent="0.3">
      <c r="B34" s="44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6"/>
    </row>
    <row r="38" spans="2:56" s="1" customFormat="1" ht="6.9" customHeight="1" x14ac:dyDescent="0.3">
      <c r="B38" s="47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32"/>
    </row>
    <row r="39" spans="2:56" s="1" customFormat="1" ht="36.9" customHeight="1" x14ac:dyDescent="0.3">
      <c r="B39" s="32"/>
      <c r="C39" s="24" t="s">
        <v>41</v>
      </c>
      <c r="AR39" s="32"/>
    </row>
    <row r="40" spans="2:56" s="1" customFormat="1" ht="6.9" customHeight="1" x14ac:dyDescent="0.3">
      <c r="B40" s="32"/>
      <c r="AR40" s="32"/>
    </row>
    <row r="41" spans="2:56" s="3" customFormat="1" ht="14.4" customHeight="1" x14ac:dyDescent="0.3">
      <c r="B41" s="49"/>
      <c r="C41" s="30" t="s">
        <v>15</v>
      </c>
      <c r="L41" s="3">
        <f>K5</f>
        <v>0</v>
      </c>
      <c r="AR41" s="49"/>
    </row>
    <row r="42" spans="2:56" s="4" customFormat="1" ht="36.9" customHeight="1" x14ac:dyDescent="0.3">
      <c r="B42" s="50"/>
      <c r="C42" s="51" t="s">
        <v>16</v>
      </c>
      <c r="L42" s="214" t="str">
        <f>K6</f>
        <v>stavba Bezbarierový přístup a rozšíření parkovací plochy v areálu Dětského terapeutického centra Trnová</v>
      </c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R42" s="50"/>
    </row>
    <row r="43" spans="2:56" s="1" customFormat="1" ht="6.9" customHeight="1" x14ac:dyDescent="0.3">
      <c r="B43" s="32"/>
      <c r="AR43" s="32"/>
    </row>
    <row r="44" spans="2:56" s="1" customFormat="1" ht="13.2" x14ac:dyDescent="0.3">
      <c r="B44" s="32"/>
      <c r="C44" s="30" t="s">
        <v>19</v>
      </c>
      <c r="L44" s="52" t="str">
        <f>IF(K8="","",K8)</f>
        <v>Trnová</v>
      </c>
      <c r="AI44" s="30" t="s">
        <v>20</v>
      </c>
      <c r="AM44" s="216">
        <f ca="1">TODAY()</f>
        <v>45743</v>
      </c>
      <c r="AN44" s="216"/>
      <c r="AR44" s="32"/>
    </row>
    <row r="45" spans="2:56" s="1" customFormat="1" ht="6.9" customHeight="1" x14ac:dyDescent="0.3">
      <c r="B45" s="32"/>
      <c r="AR45" s="32"/>
    </row>
    <row r="46" spans="2:56" s="1" customFormat="1" ht="13.2" x14ac:dyDescent="0.3">
      <c r="B46" s="32"/>
      <c r="C46" s="30" t="s">
        <v>21</v>
      </c>
      <c r="L46" s="3" t="str">
        <f>F11</f>
        <v>Dětské terapeutické centrum Trnová, příspěvková organizace</v>
      </c>
      <c r="AI46" s="30" t="s">
        <v>25</v>
      </c>
      <c r="AM46" s="217" t="str">
        <f>F17</f>
        <v>PLANSTAV a.s.</v>
      </c>
      <c r="AN46" s="217"/>
      <c r="AO46" s="217"/>
      <c r="AP46" s="217"/>
      <c r="AR46" s="32"/>
      <c r="AS46" s="218" t="s">
        <v>42</v>
      </c>
      <c r="AT46" s="219"/>
      <c r="AU46" s="53"/>
      <c r="AV46" s="53"/>
      <c r="AW46" s="53"/>
      <c r="AX46" s="53"/>
      <c r="AY46" s="53"/>
      <c r="AZ46" s="53"/>
      <c r="BA46" s="53"/>
      <c r="BB46" s="53"/>
      <c r="BC46" s="53"/>
      <c r="BD46" s="54"/>
    </row>
    <row r="47" spans="2:56" s="1" customFormat="1" ht="13.2" x14ac:dyDescent="0.3">
      <c r="B47" s="32"/>
      <c r="C47" s="30" t="s">
        <v>24</v>
      </c>
      <c r="L47" s="3">
        <f>F14</f>
        <v>0</v>
      </c>
      <c r="AR47" s="32"/>
      <c r="AS47" s="220"/>
      <c r="AT47" s="221"/>
      <c r="BD47" s="55"/>
    </row>
    <row r="48" spans="2:56" s="1" customFormat="1" ht="10.95" customHeight="1" x14ac:dyDescent="0.3">
      <c r="B48" s="32"/>
      <c r="AR48" s="32"/>
      <c r="AS48" s="220"/>
      <c r="AT48" s="221"/>
      <c r="BD48" s="55"/>
    </row>
    <row r="49" spans="1:91" s="1" customFormat="1" ht="29.25" customHeight="1" x14ac:dyDescent="0.3">
      <c r="B49" s="32"/>
      <c r="C49" s="196" t="s">
        <v>43</v>
      </c>
      <c r="D49" s="197"/>
      <c r="E49" s="197"/>
      <c r="F49" s="197"/>
      <c r="G49" s="197"/>
      <c r="H49" s="56"/>
      <c r="I49" s="203" t="s">
        <v>44</v>
      </c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222" t="s">
        <v>45</v>
      </c>
      <c r="AH49" s="197"/>
      <c r="AI49" s="197"/>
      <c r="AJ49" s="197"/>
      <c r="AK49" s="197"/>
      <c r="AL49" s="197"/>
      <c r="AM49" s="197"/>
      <c r="AN49" s="203" t="s">
        <v>46</v>
      </c>
      <c r="AO49" s="197"/>
      <c r="AP49" s="197"/>
      <c r="AQ49" s="57" t="s">
        <v>47</v>
      </c>
      <c r="AR49" s="32"/>
      <c r="AS49" s="58" t="s">
        <v>48</v>
      </c>
      <c r="AT49" s="59" t="s">
        <v>49</v>
      </c>
      <c r="AU49" s="59" t="s">
        <v>50</v>
      </c>
      <c r="AV49" s="59" t="s">
        <v>51</v>
      </c>
      <c r="AW49" s="59" t="s">
        <v>52</v>
      </c>
      <c r="AX49" s="59" t="s">
        <v>53</v>
      </c>
      <c r="AY49" s="59" t="s">
        <v>54</v>
      </c>
      <c r="AZ49" s="59" t="s">
        <v>55</v>
      </c>
      <c r="BA49" s="59" t="s">
        <v>56</v>
      </c>
      <c r="BB49" s="59" t="s">
        <v>57</v>
      </c>
      <c r="BC49" s="59" t="s">
        <v>58</v>
      </c>
      <c r="BD49" s="60" t="s">
        <v>59</v>
      </c>
    </row>
    <row r="50" spans="1:91" s="1" customFormat="1" ht="10.95" customHeight="1" x14ac:dyDescent="0.3">
      <c r="B50" s="32"/>
      <c r="AR50" s="32"/>
      <c r="AS50" s="61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4"/>
    </row>
    <row r="51" spans="1:91" s="4" customFormat="1" ht="32.4" customHeight="1" x14ac:dyDescent="0.3">
      <c r="B51" s="50"/>
      <c r="C51" s="62" t="s">
        <v>60</v>
      </c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194">
        <f>SUM(AG52:AM53)</f>
        <v>0</v>
      </c>
      <c r="AH51" s="194"/>
      <c r="AI51" s="194"/>
      <c r="AJ51" s="194"/>
      <c r="AK51" s="194"/>
      <c r="AL51" s="194"/>
      <c r="AM51" s="194"/>
      <c r="AN51" s="195">
        <f>SUM(AN52:AP53)</f>
        <v>0</v>
      </c>
      <c r="AO51" s="195"/>
      <c r="AP51" s="195"/>
      <c r="AQ51" s="64" t="s">
        <v>5</v>
      </c>
      <c r="AR51" s="50"/>
      <c r="AS51" s="65">
        <f>ROUND(SUM(AS52:AS52),2)</f>
        <v>0</v>
      </c>
      <c r="AT51" s="66" t="e">
        <f>ROUND(SUM(AV51:AW51),2)</f>
        <v>#REF!</v>
      </c>
      <c r="AU51" s="67" t="e">
        <f>ROUND(SUM(AU52:AU52),5)</f>
        <v>#REF!</v>
      </c>
      <c r="AV51" s="66" t="e">
        <f>ROUND(AZ51*L26,2)</f>
        <v>#REF!</v>
      </c>
      <c r="AW51" s="66" t="e">
        <f>ROUND(BA51*L27,2)</f>
        <v>#REF!</v>
      </c>
      <c r="AX51" s="66" t="e">
        <f>ROUND(BB51*L26,2)</f>
        <v>#REF!</v>
      </c>
      <c r="AY51" s="66" t="e">
        <f>ROUND(BC51*L27,2)</f>
        <v>#REF!</v>
      </c>
      <c r="AZ51" s="66" t="e">
        <f>ROUND(SUM(AZ52:AZ52),2)</f>
        <v>#REF!</v>
      </c>
      <c r="BA51" s="66" t="e">
        <f>ROUND(SUM(BA52:BA52),2)</f>
        <v>#REF!</v>
      </c>
      <c r="BB51" s="66" t="e">
        <f>ROUND(SUM(BB52:BB52),2)</f>
        <v>#REF!</v>
      </c>
      <c r="BC51" s="66" t="e">
        <f>ROUND(SUM(BC52:BC52),2)</f>
        <v>#REF!</v>
      </c>
      <c r="BD51" s="68" t="e">
        <f>ROUND(SUM(BD52:BD52),2)</f>
        <v>#REF!</v>
      </c>
      <c r="BS51" s="51" t="s">
        <v>61</v>
      </c>
      <c r="BT51" s="51" t="s">
        <v>62</v>
      </c>
      <c r="BU51" s="69" t="s">
        <v>63</v>
      </c>
      <c r="BV51" s="51" t="s">
        <v>64</v>
      </c>
      <c r="BW51" s="51" t="s">
        <v>7</v>
      </c>
      <c r="BX51" s="51" t="s">
        <v>65</v>
      </c>
      <c r="CL51" s="51" t="s">
        <v>5</v>
      </c>
    </row>
    <row r="52" spans="1:91" s="5" customFormat="1" ht="16.5" customHeight="1" x14ac:dyDescent="0.3">
      <c r="A52" s="70"/>
      <c r="B52" s="71"/>
      <c r="C52" s="72"/>
      <c r="D52" s="72" t="s">
        <v>123</v>
      </c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212">
        <f>'ARCH 1'!J88</f>
        <v>0</v>
      </c>
      <c r="AH52" s="213"/>
      <c r="AI52" s="213"/>
      <c r="AJ52" s="213"/>
      <c r="AK52" s="213"/>
      <c r="AL52" s="213"/>
      <c r="AM52" s="213"/>
      <c r="AN52" s="212">
        <f>'ARCH 1'!J36</f>
        <v>0</v>
      </c>
      <c r="AO52" s="213"/>
      <c r="AP52" s="213"/>
      <c r="AQ52" s="73"/>
      <c r="AR52" s="71"/>
      <c r="AS52" s="74">
        <v>0</v>
      </c>
      <c r="AT52" s="75" t="e">
        <f>ROUND(SUM(AV52:AW52),2)</f>
        <v>#REF!</v>
      </c>
      <c r="AU52" s="76" t="e">
        <f>#REF!</f>
        <v>#REF!</v>
      </c>
      <c r="AV52" s="75" t="e">
        <f>#REF!</f>
        <v>#REF!</v>
      </c>
      <c r="AW52" s="75" t="e">
        <f>#REF!</f>
        <v>#REF!</v>
      </c>
      <c r="AX52" s="75" t="e">
        <f>#REF!</f>
        <v>#REF!</v>
      </c>
      <c r="AY52" s="75" t="e">
        <f>#REF!</f>
        <v>#REF!</v>
      </c>
      <c r="AZ52" s="75" t="e">
        <f>#REF!</f>
        <v>#REF!</v>
      </c>
      <c r="BA52" s="75" t="e">
        <f>#REF!</f>
        <v>#REF!</v>
      </c>
      <c r="BB52" s="75" t="e">
        <f>#REF!</f>
        <v>#REF!</v>
      </c>
      <c r="BC52" s="75" t="e">
        <f>#REF!</f>
        <v>#REF!</v>
      </c>
      <c r="BD52" s="77" t="e">
        <f>#REF!</f>
        <v>#REF!</v>
      </c>
      <c r="BT52" s="78" t="s">
        <v>66</v>
      </c>
      <c r="BV52" s="78" t="s">
        <v>64</v>
      </c>
      <c r="BW52" s="78" t="s">
        <v>67</v>
      </c>
      <c r="BX52" s="78" t="s">
        <v>7</v>
      </c>
      <c r="CL52" s="78" t="s">
        <v>5</v>
      </c>
      <c r="CM52" s="78" t="s">
        <v>68</v>
      </c>
    </row>
    <row r="53" spans="1:91" s="1" customFormat="1" ht="6.9" customHeight="1" x14ac:dyDescent="0.3">
      <c r="B53" s="44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32"/>
    </row>
  </sheetData>
  <mergeCells count="37">
    <mergeCell ref="AR2:BE2"/>
    <mergeCell ref="AN52:AP52"/>
    <mergeCell ref="AG52:AM52"/>
    <mergeCell ref="L42:AO42"/>
    <mergeCell ref="AM44:AN44"/>
    <mergeCell ref="AM46:AP46"/>
    <mergeCell ref="AS46:AT48"/>
    <mergeCell ref="L28:O28"/>
    <mergeCell ref="W28:AE28"/>
    <mergeCell ref="AK28:AO28"/>
    <mergeCell ref="L29:O29"/>
    <mergeCell ref="W29:AE29"/>
    <mergeCell ref="I49:AF49"/>
    <mergeCell ref="AG49:AM49"/>
    <mergeCell ref="L27:O27"/>
    <mergeCell ref="W27:AE27"/>
    <mergeCell ref="K5:AO5"/>
    <mergeCell ref="K6:AO6"/>
    <mergeCell ref="E20:AN20"/>
    <mergeCell ref="AK23:AO23"/>
    <mergeCell ref="L25:O25"/>
    <mergeCell ref="W25:AE25"/>
    <mergeCell ref="AK25:AO25"/>
    <mergeCell ref="L26:O26"/>
    <mergeCell ref="AG51:AM51"/>
    <mergeCell ref="AN51:AP51"/>
    <mergeCell ref="C49:G49"/>
    <mergeCell ref="W30:AE30"/>
    <mergeCell ref="W26:AE26"/>
    <mergeCell ref="AK26:AO26"/>
    <mergeCell ref="AK27:AO27"/>
    <mergeCell ref="AK29:AO29"/>
    <mergeCell ref="L30:O30"/>
    <mergeCell ref="AK30:AO30"/>
    <mergeCell ref="X32:AB32"/>
    <mergeCell ref="AK32:AO32"/>
    <mergeCell ref="AN49:AP49"/>
  </mergeCells>
  <hyperlinks>
    <hyperlink ref="K1:S1" location="C2" display="1) Rekapitulace stavby" xr:uid="{00000000-0004-0000-0000-000000000000}"/>
    <hyperlink ref="W1:AI1" location="C51" display="2) Rekapitulace objektů stavby a soupisů prací" xr:uid="{00000000-0004-0000-0000-000001000000}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ECE81-2074-4604-9FBE-582CE5948775}">
  <dimension ref="A1:BB207"/>
  <sheetViews>
    <sheetView showGridLines="0" zoomScaleNormal="100" workbookViewId="0">
      <pane ySplit="1" topLeftCell="A2" activePane="bottomLeft" state="frozen"/>
      <selection pane="bottomLeft" activeCell="F67" sqref="F67"/>
    </sheetView>
  </sheetViews>
  <sheetFormatPr defaultColWidth="9.28515625" defaultRowHeight="12" x14ac:dyDescent="0.3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75" customWidth="1"/>
    <col min="7" max="7" width="8.7109375" customWidth="1"/>
    <col min="8" max="8" width="11.140625" customWidth="1"/>
    <col min="9" max="9" width="12.7109375" customWidth="1"/>
    <col min="10" max="10" width="23.42578125" customWidth="1"/>
    <col min="11" max="11" width="15.42578125" customWidth="1"/>
    <col min="12" max="12" width="12.28515625" customWidth="1"/>
    <col min="13" max="13" width="11" customWidth="1"/>
    <col min="14" max="14" width="15" customWidth="1"/>
    <col min="15" max="15" width="16.28515625" customWidth="1"/>
  </cols>
  <sheetData>
    <row r="1" spans="1:54" ht="21.75" customHeight="1" x14ac:dyDescent="0.3">
      <c r="A1" s="17"/>
      <c r="B1" s="13"/>
      <c r="C1" s="13"/>
      <c r="D1" s="14" t="s">
        <v>1</v>
      </c>
      <c r="E1" s="13"/>
      <c r="F1" s="119" t="s">
        <v>69</v>
      </c>
      <c r="G1" s="229" t="s">
        <v>70</v>
      </c>
      <c r="H1" s="229"/>
      <c r="I1" s="13"/>
      <c r="J1" s="119" t="s">
        <v>71</v>
      </c>
      <c r="K1" s="14" t="s">
        <v>72</v>
      </c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</row>
    <row r="2" spans="1:54" ht="36.9" customHeight="1" x14ac:dyDescent="0.3">
      <c r="AD2" s="19" t="s">
        <v>67</v>
      </c>
    </row>
    <row r="3" spans="1:54" ht="6.9" customHeight="1" x14ac:dyDescent="0.3">
      <c r="B3" s="20"/>
      <c r="C3" s="21"/>
      <c r="D3" s="21"/>
      <c r="E3" s="21"/>
      <c r="F3" s="21"/>
      <c r="G3" s="21"/>
      <c r="H3" s="21"/>
      <c r="I3" s="21"/>
      <c r="J3" s="21"/>
      <c r="K3" s="22"/>
      <c r="AD3" s="19" t="s">
        <v>68</v>
      </c>
    </row>
    <row r="4" spans="1:54" ht="36.9" customHeight="1" x14ac:dyDescent="0.3">
      <c r="B4" s="23"/>
      <c r="D4" s="24" t="s">
        <v>73</v>
      </c>
      <c r="K4" s="25"/>
      <c r="AD4" s="19" t="s">
        <v>6</v>
      </c>
    </row>
    <row r="5" spans="1:54" ht="6.9" customHeight="1" x14ac:dyDescent="0.3">
      <c r="B5" s="23"/>
      <c r="K5" s="25"/>
    </row>
    <row r="6" spans="1:54" ht="13.2" x14ac:dyDescent="0.3">
      <c r="B6" s="23"/>
      <c r="D6" s="30" t="s">
        <v>16</v>
      </c>
      <c r="K6" s="25"/>
    </row>
    <row r="7" spans="1:54" ht="16.5" customHeight="1" x14ac:dyDescent="0.3">
      <c r="B7" s="23"/>
      <c r="E7" s="230" t="str">
        <f>'Rekapitulace stavby'!K6</f>
        <v>stavba Bezbarierový přístup a rozšíření parkovací plochy v areálu Dětského terapeutického centra Trnová</v>
      </c>
      <c r="F7" s="231"/>
      <c r="G7" s="231"/>
      <c r="H7" s="231"/>
      <c r="K7" s="25"/>
    </row>
    <row r="8" spans="1:54" s="1" customFormat="1" ht="13.2" x14ac:dyDescent="0.3">
      <c r="B8" s="32"/>
      <c r="D8" s="30" t="s">
        <v>74</v>
      </c>
      <c r="K8" s="35"/>
    </row>
    <row r="9" spans="1:54" s="1" customFormat="1" ht="36.9" customHeight="1" x14ac:dyDescent="0.3">
      <c r="B9" s="32"/>
      <c r="E9" s="214" t="str">
        <f>'Rekapitulace stavby'!D52</f>
        <v>ARCH 1 - Parkování a rampa</v>
      </c>
      <c r="F9" s="232"/>
      <c r="G9" s="232"/>
      <c r="H9" s="232"/>
      <c r="K9" s="35"/>
    </row>
    <row r="10" spans="1:54" s="1" customFormat="1" x14ac:dyDescent="0.3">
      <c r="B10" s="32"/>
      <c r="K10" s="35"/>
    </row>
    <row r="11" spans="1:54" s="1" customFormat="1" ht="14.4" customHeight="1" x14ac:dyDescent="0.3">
      <c r="B11" s="32"/>
      <c r="D11" s="30" t="s">
        <v>17</v>
      </c>
      <c r="F11" s="28" t="s">
        <v>5</v>
      </c>
      <c r="I11" s="30" t="s">
        <v>18</v>
      </c>
      <c r="J11" s="28" t="s">
        <v>5</v>
      </c>
      <c r="K11" s="35"/>
    </row>
    <row r="12" spans="1:54" s="1" customFormat="1" ht="14.4" customHeight="1" x14ac:dyDescent="0.3">
      <c r="B12" s="32"/>
      <c r="D12" s="30" t="s">
        <v>19</v>
      </c>
      <c r="F12" s="28" t="str">
        <f>'Rekapitulace stavby'!K8</f>
        <v>Trnová</v>
      </c>
      <c r="I12" s="30" t="s">
        <v>20</v>
      </c>
      <c r="J12" s="79">
        <f ca="1">'Rekapitulace stavby'!AN8</f>
        <v>45743</v>
      </c>
      <c r="K12" s="35"/>
    </row>
    <row r="13" spans="1:54" s="1" customFormat="1" ht="10.95" customHeight="1" x14ac:dyDescent="0.3">
      <c r="B13" s="32"/>
      <c r="K13" s="35"/>
    </row>
    <row r="14" spans="1:54" s="1" customFormat="1" ht="14.4" customHeight="1" x14ac:dyDescent="0.3">
      <c r="B14" s="32"/>
      <c r="D14" s="30" t="s">
        <v>21</v>
      </c>
      <c r="I14" s="30" t="s">
        <v>22</v>
      </c>
      <c r="J14" s="28"/>
      <c r="K14" s="35"/>
    </row>
    <row r="15" spans="1:54" s="1" customFormat="1" ht="18" customHeight="1" x14ac:dyDescent="0.3">
      <c r="B15" s="32"/>
      <c r="E15" s="28" t="str">
        <f>'Rekapitulace stavby'!F11</f>
        <v>Dětské terapeutické centrum Trnová, příspěvková organizace</v>
      </c>
      <c r="I15" s="30" t="s">
        <v>23</v>
      </c>
      <c r="J15" s="28"/>
      <c r="K15" s="35"/>
    </row>
    <row r="16" spans="1:54" s="1" customFormat="1" ht="6.9" customHeight="1" x14ac:dyDescent="0.3">
      <c r="B16" s="32"/>
      <c r="K16" s="35"/>
    </row>
    <row r="17" spans="2:11" s="1" customFormat="1" ht="14.4" customHeight="1" x14ac:dyDescent="0.3">
      <c r="B17" s="32"/>
      <c r="D17" s="30" t="s">
        <v>24</v>
      </c>
      <c r="I17" s="30" t="s">
        <v>22</v>
      </c>
      <c r="J17" s="28">
        <f>'Rekapitulace stavby'!AN13</f>
        <v>0</v>
      </c>
      <c r="K17" s="35"/>
    </row>
    <row r="18" spans="2:11" s="1" customFormat="1" ht="18" customHeight="1" x14ac:dyDescent="0.3">
      <c r="B18" s="32"/>
      <c r="E18" s="28">
        <f>'Rekapitulace stavby'!F14</f>
        <v>0</v>
      </c>
      <c r="I18" s="30" t="s">
        <v>23</v>
      </c>
      <c r="J18" s="28">
        <f>'Rekapitulace stavby'!AN14</f>
        <v>0</v>
      </c>
      <c r="K18" s="35"/>
    </row>
    <row r="19" spans="2:11" s="1" customFormat="1" ht="6.9" customHeight="1" x14ac:dyDescent="0.3">
      <c r="B19" s="32"/>
      <c r="K19" s="35"/>
    </row>
    <row r="20" spans="2:11" s="1" customFormat="1" ht="14.4" customHeight="1" x14ac:dyDescent="0.3">
      <c r="B20" s="32"/>
      <c r="D20" s="30" t="s">
        <v>25</v>
      </c>
      <c r="I20" s="30" t="s">
        <v>22</v>
      </c>
      <c r="J20" s="28"/>
      <c r="K20" s="35"/>
    </row>
    <row r="21" spans="2:11" s="1" customFormat="1" ht="18" customHeight="1" x14ac:dyDescent="0.3">
      <c r="B21" s="32"/>
      <c r="E21" s="28" t="str">
        <f>'Rekapitulace stavby'!F17</f>
        <v>PLANSTAV a.s.</v>
      </c>
      <c r="I21" s="30" t="s">
        <v>23</v>
      </c>
      <c r="J21" s="28"/>
      <c r="K21" s="35"/>
    </row>
    <row r="22" spans="2:11" s="1" customFormat="1" ht="6.9" customHeight="1" x14ac:dyDescent="0.3">
      <c r="B22" s="32"/>
      <c r="K22" s="35"/>
    </row>
    <row r="23" spans="2:11" s="1" customFormat="1" ht="14.4" customHeight="1" x14ac:dyDescent="0.3">
      <c r="B23" s="32"/>
      <c r="D23" s="30" t="s">
        <v>27</v>
      </c>
      <c r="K23" s="35"/>
    </row>
    <row r="24" spans="2:11" s="6" customFormat="1" ht="43.2" customHeight="1" x14ac:dyDescent="0.3">
      <c r="B24" s="80"/>
      <c r="E24" s="207">
        <f>'Rekapitulace stavby'!E20:AN20</f>
        <v>0</v>
      </c>
      <c r="F24" s="207"/>
      <c r="G24" s="207"/>
      <c r="H24" s="207"/>
      <c r="K24" s="81"/>
    </row>
    <row r="25" spans="2:11" s="1" customFormat="1" ht="6.9" customHeight="1" x14ac:dyDescent="0.3">
      <c r="B25" s="32"/>
      <c r="K25" s="35"/>
    </row>
    <row r="26" spans="2:11" s="1" customFormat="1" ht="6.9" customHeight="1" x14ac:dyDescent="0.3">
      <c r="B26" s="32"/>
      <c r="D26" s="53"/>
      <c r="E26" s="53"/>
      <c r="F26" s="53"/>
      <c r="G26" s="53"/>
      <c r="H26" s="53"/>
      <c r="I26" s="53"/>
      <c r="J26" s="53"/>
      <c r="K26" s="82"/>
    </row>
    <row r="27" spans="2:11" s="1" customFormat="1" ht="25.35" customHeight="1" x14ac:dyDescent="0.3">
      <c r="B27" s="32"/>
      <c r="D27" s="83" t="s">
        <v>28</v>
      </c>
      <c r="J27" s="84">
        <f>ROUND(J88,2)</f>
        <v>0</v>
      </c>
      <c r="K27" s="35"/>
    </row>
    <row r="28" spans="2:11" s="1" customFormat="1" ht="6.9" customHeight="1" x14ac:dyDescent="0.3">
      <c r="B28" s="32"/>
      <c r="D28" s="53"/>
      <c r="E28" s="53"/>
      <c r="F28" s="53"/>
      <c r="G28" s="53"/>
      <c r="H28" s="53"/>
      <c r="I28" s="53"/>
      <c r="J28" s="53"/>
      <c r="K28" s="82"/>
    </row>
    <row r="29" spans="2:11" s="1" customFormat="1" ht="14.4" customHeight="1" x14ac:dyDescent="0.3">
      <c r="B29" s="32"/>
      <c r="F29" s="118" t="s">
        <v>30</v>
      </c>
      <c r="I29" s="118" t="s">
        <v>29</v>
      </c>
      <c r="J29" s="118" t="s">
        <v>31</v>
      </c>
      <c r="K29" s="35"/>
    </row>
    <row r="30" spans="2:11" s="1" customFormat="1" ht="14.4" customHeight="1" x14ac:dyDescent="0.3">
      <c r="B30" s="32"/>
      <c r="D30" s="37" t="s">
        <v>32</v>
      </c>
      <c r="E30" s="37" t="s">
        <v>33</v>
      </c>
      <c r="F30" s="85">
        <f>J27</f>
        <v>0</v>
      </c>
      <c r="I30" s="86">
        <v>0.21</v>
      </c>
      <c r="J30" s="85">
        <f>F30*I30</f>
        <v>0</v>
      </c>
      <c r="K30" s="35"/>
    </row>
    <row r="31" spans="2:11" s="1" customFormat="1" ht="14.4" customHeight="1" x14ac:dyDescent="0.3">
      <c r="B31" s="32"/>
      <c r="E31" s="37" t="s">
        <v>34</v>
      </c>
      <c r="F31" s="85"/>
      <c r="I31" s="86">
        <v>0.12</v>
      </c>
      <c r="J31" s="85">
        <f>I31*F31</f>
        <v>0</v>
      </c>
      <c r="K31" s="35"/>
    </row>
    <row r="32" spans="2:11" s="1" customFormat="1" ht="14.4" hidden="1" customHeight="1" x14ac:dyDescent="0.3">
      <c r="B32" s="32"/>
      <c r="E32" s="37" t="s">
        <v>35</v>
      </c>
      <c r="F32" s="85">
        <f>ROUND(SUM(AQ88:AQ126), 2)</f>
        <v>0</v>
      </c>
      <c r="I32" s="86">
        <v>0.21</v>
      </c>
      <c r="J32" s="85">
        <v>0</v>
      </c>
      <c r="K32" s="35"/>
    </row>
    <row r="33" spans="2:11" s="1" customFormat="1" ht="14.4" hidden="1" customHeight="1" x14ac:dyDescent="0.3">
      <c r="B33" s="32"/>
      <c r="E33" s="37" t="s">
        <v>36</v>
      </c>
      <c r="F33" s="85">
        <f>ROUND(SUM(AR88:AR126), 2)</f>
        <v>0</v>
      </c>
      <c r="I33" s="86">
        <v>0.15</v>
      </c>
      <c r="J33" s="85">
        <v>0</v>
      </c>
      <c r="K33" s="35"/>
    </row>
    <row r="34" spans="2:11" s="1" customFormat="1" ht="14.4" hidden="1" customHeight="1" x14ac:dyDescent="0.3">
      <c r="B34" s="32"/>
      <c r="E34" s="37" t="s">
        <v>37</v>
      </c>
      <c r="F34" s="85">
        <f>ROUND(SUM(AS88:AS126), 2)</f>
        <v>0</v>
      </c>
      <c r="I34" s="86">
        <v>0</v>
      </c>
      <c r="J34" s="85">
        <v>0</v>
      </c>
      <c r="K34" s="35"/>
    </row>
    <row r="35" spans="2:11" s="1" customFormat="1" ht="6.9" customHeight="1" x14ac:dyDescent="0.3">
      <c r="B35" s="32"/>
      <c r="K35" s="35"/>
    </row>
    <row r="36" spans="2:11" s="1" customFormat="1" ht="25.35" customHeight="1" x14ac:dyDescent="0.3">
      <c r="B36" s="32"/>
      <c r="C36" s="87"/>
      <c r="D36" s="88" t="s">
        <v>38</v>
      </c>
      <c r="E36" s="56"/>
      <c r="F36" s="56"/>
      <c r="G36" s="89" t="s">
        <v>39</v>
      </c>
      <c r="H36" s="90" t="s">
        <v>40</v>
      </c>
      <c r="I36" s="56"/>
      <c r="J36" s="91">
        <f>SUM(J27:J34)</f>
        <v>0</v>
      </c>
      <c r="K36" s="92"/>
    </row>
    <row r="37" spans="2:11" s="1" customFormat="1" ht="14.4" customHeight="1" x14ac:dyDescent="0.3">
      <c r="B37" s="44"/>
      <c r="C37" s="45"/>
      <c r="D37" s="45"/>
      <c r="E37" s="45"/>
      <c r="F37" s="45"/>
      <c r="G37" s="45"/>
      <c r="H37" s="45"/>
      <c r="I37" s="45"/>
      <c r="J37" s="45"/>
      <c r="K37" s="46"/>
    </row>
    <row r="41" spans="2:11" s="1" customFormat="1" ht="6.9" customHeight="1" x14ac:dyDescent="0.3">
      <c r="B41" s="120"/>
      <c r="C41" s="121"/>
      <c r="D41" s="121"/>
      <c r="E41" s="121"/>
      <c r="F41" s="121"/>
      <c r="G41" s="121"/>
      <c r="H41" s="121"/>
      <c r="I41" s="121"/>
      <c r="J41" s="121"/>
      <c r="K41" s="122"/>
    </row>
    <row r="42" spans="2:11" s="1" customFormat="1" ht="36.9" customHeight="1" x14ac:dyDescent="0.3">
      <c r="B42" s="123"/>
      <c r="C42" s="124" t="s">
        <v>75</v>
      </c>
      <c r="D42" s="125"/>
      <c r="E42" s="125"/>
      <c r="F42" s="125"/>
      <c r="G42" s="125"/>
      <c r="H42" s="125"/>
      <c r="I42" s="125"/>
      <c r="J42" s="125"/>
      <c r="K42" s="126"/>
    </row>
    <row r="43" spans="2:11" s="1" customFormat="1" ht="6.9" customHeight="1" x14ac:dyDescent="0.3">
      <c r="B43" s="123"/>
      <c r="C43" s="125"/>
      <c r="D43" s="125"/>
      <c r="E43" s="125"/>
      <c r="F43" s="125"/>
      <c r="G43" s="125"/>
      <c r="H43" s="125"/>
      <c r="I43" s="125"/>
      <c r="J43" s="125"/>
      <c r="K43" s="126"/>
    </row>
    <row r="44" spans="2:11" s="1" customFormat="1" ht="14.4" customHeight="1" x14ac:dyDescent="0.3">
      <c r="B44" s="123"/>
      <c r="C44" s="127" t="s">
        <v>16</v>
      </c>
      <c r="D44" s="125"/>
      <c r="E44" s="125"/>
      <c r="F44" s="125"/>
      <c r="G44" s="125"/>
      <c r="H44" s="125"/>
      <c r="I44" s="125"/>
      <c r="J44" s="125"/>
      <c r="K44" s="126"/>
    </row>
    <row r="45" spans="2:11" s="1" customFormat="1" ht="16.5" customHeight="1" x14ac:dyDescent="0.3">
      <c r="B45" s="123"/>
      <c r="C45" s="125"/>
      <c r="D45" s="125"/>
      <c r="E45" s="225" t="str">
        <f>E7</f>
        <v>stavba Bezbarierový přístup a rozšíření parkovací plochy v areálu Dětského terapeutického centra Trnová</v>
      </c>
      <c r="F45" s="226"/>
      <c r="G45" s="226"/>
      <c r="H45" s="226"/>
      <c r="I45" s="125"/>
      <c r="J45" s="125"/>
      <c r="K45" s="126"/>
    </row>
    <row r="46" spans="2:11" s="1" customFormat="1" ht="14.4" customHeight="1" x14ac:dyDescent="0.3">
      <c r="B46" s="123"/>
      <c r="C46" s="127" t="s">
        <v>74</v>
      </c>
      <c r="D46" s="125"/>
      <c r="E46" s="125"/>
      <c r="F46" s="125"/>
      <c r="G46" s="125"/>
      <c r="H46" s="125"/>
      <c r="I46" s="125"/>
      <c r="J46" s="125"/>
      <c r="K46" s="126"/>
    </row>
    <row r="47" spans="2:11" s="1" customFormat="1" ht="17.25" customHeight="1" x14ac:dyDescent="0.3">
      <c r="B47" s="123"/>
      <c r="C47" s="125"/>
      <c r="D47" s="125"/>
      <c r="E47" s="227" t="str">
        <f>E9</f>
        <v>ARCH 1 - Parkování a rampa</v>
      </c>
      <c r="F47" s="228"/>
      <c r="G47" s="228"/>
      <c r="H47" s="228"/>
      <c r="I47" s="125"/>
      <c r="J47" s="125"/>
      <c r="K47" s="126"/>
    </row>
    <row r="48" spans="2:11" s="1" customFormat="1" ht="6.9" customHeight="1" x14ac:dyDescent="0.3">
      <c r="B48" s="123"/>
      <c r="C48" s="125"/>
      <c r="D48" s="125"/>
      <c r="E48" s="125"/>
      <c r="F48" s="125"/>
      <c r="G48" s="125"/>
      <c r="H48" s="125"/>
      <c r="I48" s="125"/>
      <c r="J48" s="125"/>
      <c r="K48" s="126"/>
    </row>
    <row r="49" spans="2:31" s="1" customFormat="1" ht="18" customHeight="1" x14ac:dyDescent="0.3">
      <c r="B49" s="123"/>
      <c r="C49" s="127" t="s">
        <v>19</v>
      </c>
      <c r="D49" s="125"/>
      <c r="E49" s="125"/>
      <c r="F49" s="128" t="str">
        <f>F12</f>
        <v>Trnová</v>
      </c>
      <c r="G49" s="125"/>
      <c r="H49" s="125"/>
      <c r="I49" s="127" t="s">
        <v>20</v>
      </c>
      <c r="J49" s="129">
        <f ca="1">IF(J12="","",J12)</f>
        <v>45743</v>
      </c>
      <c r="K49" s="126"/>
    </row>
    <row r="50" spans="2:31" s="1" customFormat="1" ht="6.9" customHeight="1" x14ac:dyDescent="0.3">
      <c r="B50" s="123"/>
      <c r="C50" s="125"/>
      <c r="D50" s="125"/>
      <c r="E50" s="125"/>
      <c r="F50" s="125"/>
      <c r="G50" s="125"/>
      <c r="H50" s="125"/>
      <c r="I50" s="125"/>
      <c r="J50" s="125"/>
      <c r="K50" s="126"/>
    </row>
    <row r="51" spans="2:31" s="1" customFormat="1" ht="13.2" x14ac:dyDescent="0.3">
      <c r="B51" s="123"/>
      <c r="C51" s="127" t="s">
        <v>21</v>
      </c>
      <c r="D51" s="125"/>
      <c r="E51" s="125"/>
      <c r="F51" s="128" t="str">
        <f>E15</f>
        <v>Dětské terapeutické centrum Trnová, příspěvková organizace</v>
      </c>
      <c r="G51" s="125"/>
      <c r="H51" s="125"/>
      <c r="I51" s="127" t="s">
        <v>25</v>
      </c>
      <c r="J51" s="223" t="str">
        <f>E21</f>
        <v>PLANSTAV a.s.</v>
      </c>
      <c r="K51" s="126"/>
    </row>
    <row r="52" spans="2:31" s="1" customFormat="1" ht="14.4" customHeight="1" x14ac:dyDescent="0.3">
      <c r="B52" s="123"/>
      <c r="C52" s="127" t="s">
        <v>24</v>
      </c>
      <c r="D52" s="125"/>
      <c r="E52" s="125"/>
      <c r="F52" s="128">
        <f>E18</f>
        <v>0</v>
      </c>
      <c r="G52" s="125"/>
      <c r="H52" s="125"/>
      <c r="I52" s="125"/>
      <c r="J52" s="224"/>
      <c r="K52" s="126"/>
    </row>
    <row r="53" spans="2:31" s="1" customFormat="1" ht="10.35" customHeight="1" x14ac:dyDescent="0.3">
      <c r="B53" s="123"/>
      <c r="C53" s="125"/>
      <c r="D53" s="125"/>
      <c r="E53" s="125"/>
      <c r="F53" s="125"/>
      <c r="G53" s="125"/>
      <c r="H53" s="125"/>
      <c r="I53" s="125"/>
      <c r="J53" s="125"/>
      <c r="K53" s="126"/>
    </row>
    <row r="54" spans="2:31" s="1" customFormat="1" ht="29.25" customHeight="1" x14ac:dyDescent="0.3">
      <c r="B54" s="123"/>
      <c r="C54" s="130" t="s">
        <v>76</v>
      </c>
      <c r="D54" s="131"/>
      <c r="E54" s="131"/>
      <c r="F54" s="131"/>
      <c r="G54" s="131"/>
      <c r="H54" s="131"/>
      <c r="I54" s="131"/>
      <c r="J54" s="132" t="s">
        <v>77</v>
      </c>
      <c r="K54" s="133"/>
    </row>
    <row r="55" spans="2:31" s="1" customFormat="1" ht="10.35" customHeight="1" x14ac:dyDescent="0.3">
      <c r="B55" s="123"/>
      <c r="C55" s="125"/>
      <c r="D55" s="125"/>
      <c r="E55" s="125"/>
      <c r="F55" s="125"/>
      <c r="G55" s="125"/>
      <c r="H55" s="125"/>
      <c r="I55" s="125"/>
      <c r="J55" s="125"/>
      <c r="K55" s="126"/>
    </row>
    <row r="56" spans="2:31" s="1" customFormat="1" ht="29.25" customHeight="1" x14ac:dyDescent="0.3">
      <c r="B56" s="123"/>
      <c r="C56" s="134" t="s">
        <v>78</v>
      </c>
      <c r="D56" s="125"/>
      <c r="E56" s="125"/>
      <c r="F56" s="125"/>
      <c r="G56" s="125"/>
      <c r="H56" s="125"/>
      <c r="I56" s="125"/>
      <c r="J56" s="135">
        <f>J57+J64+J68</f>
        <v>0</v>
      </c>
      <c r="K56" s="126"/>
      <c r="AE56" s="19" t="s">
        <v>79</v>
      </c>
    </row>
    <row r="57" spans="2:31" s="7" customFormat="1" ht="24.9" customHeight="1" x14ac:dyDescent="0.3">
      <c r="B57" s="136"/>
      <c r="C57" s="137"/>
      <c r="D57" s="93" t="str">
        <f>_xlfn.TEXTJOIN(" - ",,E89,F89)</f>
        <v>HSV - Práce a dodávky HSV</v>
      </c>
      <c r="E57" s="94"/>
      <c r="F57" s="94"/>
      <c r="G57" s="94"/>
      <c r="H57" s="94"/>
      <c r="I57" s="94"/>
      <c r="J57" s="95">
        <f>SUM(J58:J63)</f>
        <v>0</v>
      </c>
      <c r="K57" s="138"/>
    </row>
    <row r="58" spans="2:31" s="8" customFormat="1" ht="19.95" customHeight="1" x14ac:dyDescent="0.3">
      <c r="B58" s="139"/>
      <c r="C58" s="140"/>
      <c r="D58" s="96" t="str">
        <f>F90</f>
        <v>Zemní práce</v>
      </c>
      <c r="E58" s="97"/>
      <c r="F58" s="97"/>
      <c r="G58" s="97"/>
      <c r="H58" s="97"/>
      <c r="I58" s="97"/>
      <c r="J58" s="98">
        <f>J90</f>
        <v>0</v>
      </c>
      <c r="K58" s="141"/>
    </row>
    <row r="59" spans="2:31" s="8" customFormat="1" ht="19.95" customHeight="1" x14ac:dyDescent="0.3">
      <c r="B59" s="139"/>
      <c r="C59" s="140"/>
      <c r="D59" s="96" t="str">
        <f>F112</f>
        <v>Základy</v>
      </c>
      <c r="E59" s="97"/>
      <c r="F59" s="97"/>
      <c r="G59" s="97"/>
      <c r="H59" s="97"/>
      <c r="I59" s="97"/>
      <c r="J59" s="98">
        <f>J112</f>
        <v>0</v>
      </c>
      <c r="K59" s="141"/>
    </row>
    <row r="60" spans="2:31" s="8" customFormat="1" ht="19.95" customHeight="1" x14ac:dyDescent="0.3">
      <c r="B60" s="139"/>
      <c r="C60" s="140"/>
      <c r="D60" s="96" t="str">
        <f>F134</f>
        <v>Komunikace</v>
      </c>
      <c r="E60" s="97"/>
      <c r="F60" s="97"/>
      <c r="G60" s="97"/>
      <c r="H60" s="97"/>
      <c r="I60" s="97"/>
      <c r="J60" s="98">
        <f>J134</f>
        <v>0</v>
      </c>
      <c r="K60" s="141"/>
    </row>
    <row r="61" spans="2:31" s="8" customFormat="1" ht="19.95" customHeight="1" x14ac:dyDescent="0.3">
      <c r="B61" s="139"/>
      <c r="C61" s="140"/>
      <c r="D61" s="96" t="str">
        <f>F168</f>
        <v>Plochy a úprava území</v>
      </c>
      <c r="E61" s="97"/>
      <c r="F61" s="97"/>
      <c r="G61" s="97"/>
      <c r="H61" s="97"/>
      <c r="I61" s="97"/>
      <c r="J61" s="98">
        <f>J168</f>
        <v>0</v>
      </c>
      <c r="K61" s="141"/>
    </row>
    <row r="62" spans="2:31" s="8" customFormat="1" ht="19.95" customHeight="1" x14ac:dyDescent="0.3">
      <c r="B62" s="139"/>
      <c r="C62" s="140"/>
      <c r="D62" s="96" t="str">
        <f>F177</f>
        <v>Přesun suti</v>
      </c>
      <c r="E62" s="97"/>
      <c r="F62" s="97"/>
      <c r="G62" s="97"/>
      <c r="H62" s="97"/>
      <c r="I62" s="97"/>
      <c r="J62" s="98">
        <f>J177</f>
        <v>0</v>
      </c>
      <c r="K62" s="141"/>
    </row>
    <row r="63" spans="2:31" s="8" customFormat="1" ht="19.95" customHeight="1" x14ac:dyDescent="0.3">
      <c r="B63" s="139"/>
      <c r="C63" s="140"/>
      <c r="D63" s="96" t="str">
        <f>F182</f>
        <v>Přesun hmot</v>
      </c>
      <c r="E63" s="97"/>
      <c r="F63" s="97"/>
      <c r="G63" s="97"/>
      <c r="H63" s="97"/>
      <c r="I63" s="97"/>
      <c r="J63" s="98">
        <f>J182</f>
        <v>0</v>
      </c>
      <c r="K63" s="141"/>
    </row>
    <row r="64" spans="2:31" s="8" customFormat="1" ht="19.95" customHeight="1" x14ac:dyDescent="0.3">
      <c r="B64" s="139"/>
      <c r="C64" s="140"/>
      <c r="D64" s="93" t="str">
        <f>_xlfn.TEXTJOIN(" - ",,E184,F184)</f>
        <v>PSV - Práce a dodávky PSV</v>
      </c>
      <c r="E64" s="94"/>
      <c r="F64" s="94"/>
      <c r="G64" s="94"/>
      <c r="H64" s="94"/>
      <c r="I64" s="94"/>
      <c r="J64" s="95">
        <f>SUM(J65:J67)</f>
        <v>0</v>
      </c>
      <c r="K64" s="141"/>
    </row>
    <row r="65" spans="2:11" s="8" customFormat="1" ht="19.95" customHeight="1" x14ac:dyDescent="0.3">
      <c r="B65" s="139"/>
      <c r="C65" s="140"/>
      <c r="D65" s="96" t="str">
        <f>F185</f>
        <v>Izolace proti vodě, vlhkosti a plynům</v>
      </c>
      <c r="E65" s="97"/>
      <c r="F65" s="97"/>
      <c r="G65" s="97"/>
      <c r="H65" s="97"/>
      <c r="I65" s="97"/>
      <c r="J65" s="98">
        <f>J185</f>
        <v>0</v>
      </c>
      <c r="K65" s="141"/>
    </row>
    <row r="66" spans="2:11" s="8" customFormat="1" ht="19.95" customHeight="1" x14ac:dyDescent="0.3">
      <c r="B66" s="139"/>
      <c r="C66" s="140"/>
      <c r="D66" s="96" t="str">
        <f>F188</f>
        <v>Konstrukce zámečnické</v>
      </c>
      <c r="E66" s="97"/>
      <c r="F66" s="97"/>
      <c r="G66" s="97"/>
      <c r="H66" s="97"/>
      <c r="I66" s="97"/>
      <c r="J66" s="98">
        <f>J188</f>
        <v>0</v>
      </c>
      <c r="K66" s="141"/>
    </row>
    <row r="67" spans="2:11" s="8" customFormat="1" ht="19.95" customHeight="1" x14ac:dyDescent="0.3">
      <c r="B67" s="139"/>
      <c r="C67" s="140"/>
      <c r="D67" s="96" t="str">
        <f>F192</f>
        <v>Nátěry</v>
      </c>
      <c r="E67" s="97"/>
      <c r="F67" s="97"/>
      <c r="G67" s="97"/>
      <c r="H67" s="97"/>
      <c r="I67" s="97"/>
      <c r="J67" s="98">
        <f>J192</f>
        <v>0</v>
      </c>
      <c r="K67" s="141"/>
    </row>
    <row r="68" spans="2:11" s="8" customFormat="1" ht="19.95" customHeight="1" x14ac:dyDescent="0.3">
      <c r="B68" s="139"/>
      <c r="C68" s="140"/>
      <c r="D68" s="93" t="str">
        <f>_xlfn.TEXTJOIN(" - ",,E195,F195)</f>
        <v>VRN - Práce a dodávky VRN</v>
      </c>
      <c r="E68" s="94"/>
      <c r="F68" s="94"/>
      <c r="G68" s="94"/>
      <c r="H68" s="94"/>
      <c r="I68" s="94"/>
      <c r="J68" s="95">
        <f>SUM(J69:J69)</f>
        <v>0</v>
      </c>
      <c r="K68" s="141"/>
    </row>
    <row r="69" spans="2:11" s="8" customFormat="1" ht="19.95" customHeight="1" x14ac:dyDescent="0.3">
      <c r="B69" s="139"/>
      <c r="C69" s="140"/>
      <c r="D69" s="96" t="str">
        <f>F196</f>
        <v>Vedlejší rozpočtové náklady</v>
      </c>
      <c r="E69" s="97"/>
      <c r="F69" s="97"/>
      <c r="G69" s="97"/>
      <c r="H69" s="97"/>
      <c r="I69" s="97"/>
      <c r="J69" s="98">
        <f>J196</f>
        <v>0</v>
      </c>
      <c r="K69" s="141"/>
    </row>
    <row r="70" spans="2:11" s="1" customFormat="1" ht="6.9" customHeight="1" x14ac:dyDescent="0.3">
      <c r="B70" s="142"/>
      <c r="C70" s="45"/>
      <c r="D70" s="45"/>
      <c r="E70" s="45"/>
      <c r="F70" s="45"/>
      <c r="G70" s="45"/>
      <c r="H70" s="45"/>
      <c r="I70" s="45"/>
      <c r="J70" s="45"/>
      <c r="K70" s="143"/>
    </row>
    <row r="71" spans="2:11" x14ac:dyDescent="0.3">
      <c r="B71" s="144"/>
      <c r="C71" s="145"/>
      <c r="D71" s="145"/>
      <c r="E71" s="145"/>
      <c r="F71" s="145"/>
      <c r="G71" s="145"/>
      <c r="H71" s="145"/>
      <c r="I71" s="145"/>
      <c r="J71" s="145"/>
      <c r="K71" s="146"/>
    </row>
    <row r="72" spans="2:11" x14ac:dyDescent="0.3">
      <c r="B72" s="144"/>
      <c r="C72" s="145"/>
      <c r="D72" s="145"/>
      <c r="E72" s="145"/>
      <c r="F72" s="145"/>
      <c r="G72" s="145"/>
      <c r="H72" s="145"/>
      <c r="I72" s="145"/>
      <c r="J72" s="145"/>
      <c r="K72" s="146"/>
    </row>
    <row r="73" spans="2:11" x14ac:dyDescent="0.3">
      <c r="B73" s="144"/>
      <c r="C73" s="145"/>
      <c r="D73" s="145"/>
      <c r="E73" s="145"/>
      <c r="F73" s="145"/>
      <c r="G73" s="145"/>
      <c r="H73" s="145"/>
      <c r="I73" s="145"/>
      <c r="J73" s="145"/>
      <c r="K73" s="146"/>
    </row>
    <row r="74" spans="2:11" s="1" customFormat="1" ht="6.9" customHeight="1" x14ac:dyDescent="0.3">
      <c r="B74" s="120"/>
      <c r="C74" s="121"/>
      <c r="D74" s="121"/>
      <c r="E74" s="121"/>
      <c r="F74" s="121"/>
      <c r="G74" s="121"/>
      <c r="H74" s="121"/>
      <c r="I74" s="121"/>
      <c r="J74" s="121"/>
      <c r="K74" s="122"/>
    </row>
    <row r="75" spans="2:11" s="1" customFormat="1" ht="36.9" customHeight="1" x14ac:dyDescent="0.3">
      <c r="B75" s="123"/>
      <c r="C75" s="124" t="s">
        <v>80</v>
      </c>
      <c r="D75" s="125"/>
      <c r="E75" s="125"/>
      <c r="F75" s="125"/>
      <c r="G75" s="125"/>
      <c r="H75" s="125"/>
      <c r="I75" s="125"/>
      <c r="J75" s="125"/>
      <c r="K75" s="126"/>
    </row>
    <row r="76" spans="2:11" s="1" customFormat="1" ht="6.9" customHeight="1" x14ac:dyDescent="0.3">
      <c r="B76" s="123"/>
      <c r="C76" s="125"/>
      <c r="D76" s="125"/>
      <c r="E76" s="125"/>
      <c r="F76" s="125"/>
      <c r="G76" s="125"/>
      <c r="H76" s="125"/>
      <c r="I76" s="125"/>
      <c r="J76" s="125"/>
      <c r="K76" s="126"/>
    </row>
    <row r="77" spans="2:11" s="1" customFormat="1" ht="14.4" customHeight="1" x14ac:dyDescent="0.3">
      <c r="B77" s="123"/>
      <c r="C77" s="127" t="s">
        <v>16</v>
      </c>
      <c r="D77" s="125"/>
      <c r="E77" s="125"/>
      <c r="F77" s="125"/>
      <c r="G77" s="125"/>
      <c r="H77" s="125"/>
      <c r="I77" s="125"/>
      <c r="J77" s="125"/>
      <c r="K77" s="126"/>
    </row>
    <row r="78" spans="2:11" s="1" customFormat="1" ht="16.5" customHeight="1" x14ac:dyDescent="0.3">
      <c r="B78" s="123"/>
      <c r="C78" s="125"/>
      <c r="D78" s="125"/>
      <c r="E78" s="225" t="str">
        <f>E7</f>
        <v>stavba Bezbarierový přístup a rozšíření parkovací plochy v areálu Dětského terapeutického centra Trnová</v>
      </c>
      <c r="F78" s="226"/>
      <c r="G78" s="226"/>
      <c r="H78" s="226"/>
      <c r="I78" s="125"/>
      <c r="J78" s="125"/>
      <c r="K78" s="126"/>
    </row>
    <row r="79" spans="2:11" s="1" customFormat="1" ht="14.4" customHeight="1" x14ac:dyDescent="0.3">
      <c r="B79" s="123"/>
      <c r="C79" s="127" t="s">
        <v>74</v>
      </c>
      <c r="D79" s="125"/>
      <c r="E79" s="125"/>
      <c r="F79" s="125"/>
      <c r="G79" s="125"/>
      <c r="H79" s="125"/>
      <c r="I79" s="125"/>
      <c r="J79" s="125"/>
      <c r="K79" s="126"/>
    </row>
    <row r="80" spans="2:11" s="1" customFormat="1" ht="17.25" customHeight="1" x14ac:dyDescent="0.3">
      <c r="B80" s="123"/>
      <c r="C80" s="125"/>
      <c r="D80" s="125"/>
      <c r="E80" s="227" t="str">
        <f>E9</f>
        <v>ARCH 1 - Parkování a rampa</v>
      </c>
      <c r="F80" s="228"/>
      <c r="G80" s="228"/>
      <c r="H80" s="228"/>
      <c r="I80" s="125"/>
      <c r="J80" s="125"/>
      <c r="K80" s="126"/>
    </row>
    <row r="81" spans="2:49" s="1" customFormat="1" ht="6.9" customHeight="1" x14ac:dyDescent="0.3">
      <c r="B81" s="123"/>
      <c r="C81" s="125"/>
      <c r="D81" s="125"/>
      <c r="E81" s="125"/>
      <c r="F81" s="125"/>
      <c r="G81" s="125"/>
      <c r="H81" s="125"/>
      <c r="I81" s="125"/>
      <c r="J81" s="125"/>
      <c r="K81" s="126"/>
    </row>
    <row r="82" spans="2:49" s="1" customFormat="1" ht="18" customHeight="1" x14ac:dyDescent="0.3">
      <c r="B82" s="123"/>
      <c r="C82" s="127" t="s">
        <v>19</v>
      </c>
      <c r="D82" s="125"/>
      <c r="E82" s="125"/>
      <c r="F82" s="128"/>
      <c r="G82" s="125"/>
      <c r="H82" s="125"/>
      <c r="I82" s="127" t="s">
        <v>20</v>
      </c>
      <c r="J82" s="129">
        <f ca="1">IF(J12="","",J12)</f>
        <v>45743</v>
      </c>
      <c r="K82" s="126"/>
    </row>
    <row r="83" spans="2:49" s="1" customFormat="1" ht="6.9" customHeight="1" x14ac:dyDescent="0.3">
      <c r="B83" s="123"/>
      <c r="C83" s="125"/>
      <c r="D83" s="125"/>
      <c r="E83" s="125"/>
      <c r="F83" s="125"/>
      <c r="G83" s="125"/>
      <c r="H83" s="125"/>
      <c r="I83" s="125"/>
      <c r="J83" s="125"/>
      <c r="K83" s="126"/>
    </row>
    <row r="84" spans="2:49" s="1" customFormat="1" ht="13.2" x14ac:dyDescent="0.3">
      <c r="B84" s="123"/>
      <c r="C84" s="127" t="s">
        <v>21</v>
      </c>
      <c r="D84" s="125"/>
      <c r="E84" s="125"/>
      <c r="F84" s="128" t="str">
        <f>E15</f>
        <v>Dětské terapeutické centrum Trnová, příspěvková organizace</v>
      </c>
      <c r="G84" s="125"/>
      <c r="H84" s="125"/>
      <c r="I84" s="127" t="s">
        <v>25</v>
      </c>
      <c r="J84" s="128" t="str">
        <f>E21</f>
        <v>PLANSTAV a.s.</v>
      </c>
      <c r="K84" s="126"/>
    </row>
    <row r="85" spans="2:49" s="1" customFormat="1" ht="14.4" customHeight="1" x14ac:dyDescent="0.3">
      <c r="B85" s="123"/>
      <c r="C85" s="127" t="s">
        <v>24</v>
      </c>
      <c r="D85" s="125"/>
      <c r="E85" s="125"/>
      <c r="F85" s="128">
        <f>IF(E18="","",E18)</f>
        <v>0</v>
      </c>
      <c r="G85" s="125"/>
      <c r="H85" s="125"/>
      <c r="I85" s="125"/>
      <c r="J85" s="125"/>
      <c r="K85" s="126"/>
    </row>
    <row r="86" spans="2:49" s="1" customFormat="1" ht="10.35" customHeight="1" x14ac:dyDescent="0.3">
      <c r="B86" s="123"/>
      <c r="C86" s="125"/>
      <c r="D86" s="125"/>
      <c r="E86" s="125"/>
      <c r="F86" s="125"/>
      <c r="G86" s="125"/>
      <c r="H86" s="125"/>
      <c r="I86" s="125"/>
      <c r="J86" s="125"/>
      <c r="K86" s="126"/>
    </row>
    <row r="87" spans="2:49" s="9" customFormat="1" ht="29.25" customHeight="1" x14ac:dyDescent="0.3">
      <c r="B87" s="147"/>
      <c r="C87" s="99" t="s">
        <v>81</v>
      </c>
      <c r="D87" s="100" t="s">
        <v>47</v>
      </c>
      <c r="E87" s="100" t="s">
        <v>43</v>
      </c>
      <c r="F87" s="100" t="s">
        <v>82</v>
      </c>
      <c r="G87" s="100" t="s">
        <v>83</v>
      </c>
      <c r="H87" s="100" t="s">
        <v>84</v>
      </c>
      <c r="I87" s="100" t="s">
        <v>85</v>
      </c>
      <c r="J87" s="100" t="s">
        <v>77</v>
      </c>
      <c r="K87" s="148" t="s">
        <v>86</v>
      </c>
    </row>
    <row r="88" spans="2:49" s="1" customFormat="1" ht="29.25" customHeight="1" x14ac:dyDescent="0.35">
      <c r="B88" s="123"/>
      <c r="C88" s="149" t="s">
        <v>78</v>
      </c>
      <c r="D88" s="125"/>
      <c r="E88" s="125"/>
      <c r="F88" s="125"/>
      <c r="G88" s="125"/>
      <c r="H88" s="125"/>
      <c r="I88" s="125"/>
      <c r="J88" s="150">
        <f>J89+J184+J195</f>
        <v>0</v>
      </c>
      <c r="K88" s="126"/>
      <c r="AD88" s="19" t="s">
        <v>61</v>
      </c>
      <c r="AE88" s="19" t="s">
        <v>79</v>
      </c>
      <c r="AU88" s="101" t="e">
        <f>AU89</f>
        <v>#REF!</v>
      </c>
    </row>
    <row r="89" spans="2:49" s="10" customFormat="1" ht="37.35" customHeight="1" x14ac:dyDescent="0.35">
      <c r="B89" s="151"/>
      <c r="C89" s="152"/>
      <c r="D89" s="114" t="s">
        <v>61</v>
      </c>
      <c r="E89" s="153" t="s">
        <v>95</v>
      </c>
      <c r="F89" s="153" t="s">
        <v>96</v>
      </c>
      <c r="G89" s="152"/>
      <c r="H89" s="152"/>
      <c r="I89" s="154"/>
      <c r="J89" s="155">
        <f>J90+J112+J182+J134+J177+J168</f>
        <v>0</v>
      </c>
      <c r="K89" s="156"/>
      <c r="AB89" s="102" t="s">
        <v>66</v>
      </c>
      <c r="AD89" s="103" t="s">
        <v>61</v>
      </c>
      <c r="AE89" s="103" t="s">
        <v>62</v>
      </c>
      <c r="AI89" s="102" t="s">
        <v>87</v>
      </c>
      <c r="AU89" s="104" t="e">
        <f>AU90+#REF!</f>
        <v>#REF!</v>
      </c>
    </row>
    <row r="90" spans="2:49" s="10" customFormat="1" ht="22.8" customHeight="1" x14ac:dyDescent="0.35">
      <c r="B90" s="151"/>
      <c r="C90" s="152"/>
      <c r="D90" s="114" t="s">
        <v>61</v>
      </c>
      <c r="E90" s="115"/>
      <c r="F90" s="115" t="s">
        <v>99</v>
      </c>
      <c r="G90" s="152"/>
      <c r="H90" s="152"/>
      <c r="I90" s="154"/>
      <c r="J90" s="116">
        <f>SUM(J91:J111)</f>
        <v>0</v>
      </c>
      <c r="K90" s="156"/>
      <c r="AB90" s="102" t="s">
        <v>66</v>
      </c>
      <c r="AD90" s="103" t="s">
        <v>61</v>
      </c>
      <c r="AE90" s="103" t="s">
        <v>66</v>
      </c>
      <c r="AI90" s="102" t="s">
        <v>87</v>
      </c>
      <c r="AU90" s="104" t="e">
        <f>SUM(#REF!)</f>
        <v>#REF!</v>
      </c>
    </row>
    <row r="91" spans="2:49" s="1" customFormat="1" ht="24" x14ac:dyDescent="0.3">
      <c r="B91" s="157"/>
      <c r="C91" s="105">
        <v>1</v>
      </c>
      <c r="D91" s="105" t="s">
        <v>88</v>
      </c>
      <c r="E91" s="106" t="s">
        <v>132</v>
      </c>
      <c r="F91" s="107" t="s">
        <v>131</v>
      </c>
      <c r="G91" s="108" t="s">
        <v>92</v>
      </c>
      <c r="H91" s="109">
        <f>H98</f>
        <v>20.760400000000004</v>
      </c>
      <c r="I91" s="117"/>
      <c r="J91" s="110">
        <f>I91*H91</f>
        <v>0</v>
      </c>
      <c r="K91" s="158"/>
      <c r="M91" s="1">
        <v>0</v>
      </c>
      <c r="AB91" s="19"/>
      <c r="AD91" s="19"/>
      <c r="AE91" s="19"/>
      <c r="AI91" s="19"/>
      <c r="AO91" s="111"/>
      <c r="AP91" s="111"/>
      <c r="AQ91" s="111"/>
      <c r="AR91" s="111"/>
      <c r="AS91" s="111"/>
      <c r="AT91" s="19"/>
      <c r="AU91" s="111"/>
      <c r="AV91" s="19"/>
      <c r="AW91" s="19"/>
    </row>
    <row r="92" spans="2:49" s="1" customFormat="1" x14ac:dyDescent="0.3">
      <c r="B92" s="157"/>
      <c r="C92" s="174"/>
      <c r="D92" s="175"/>
      <c r="E92" s="174"/>
      <c r="F92" s="178" t="s">
        <v>125</v>
      </c>
      <c r="G92" s="174"/>
      <c r="H92" s="176"/>
      <c r="I92" s="174"/>
      <c r="J92" s="174"/>
      <c r="K92" s="177"/>
      <c r="AB92" s="19"/>
      <c r="AD92" s="19"/>
      <c r="AE92" s="19"/>
      <c r="AI92" s="19"/>
      <c r="AO92" s="111"/>
      <c r="AP92" s="111"/>
      <c r="AQ92" s="111"/>
      <c r="AR92" s="111"/>
      <c r="AS92" s="111"/>
      <c r="AT92" s="19"/>
      <c r="AU92" s="111"/>
      <c r="AV92" s="19"/>
      <c r="AW92" s="19"/>
    </row>
    <row r="93" spans="2:49" s="1" customFormat="1" x14ac:dyDescent="0.3">
      <c r="B93" s="157"/>
      <c r="C93" s="169"/>
      <c r="D93" s="163" t="s">
        <v>90</v>
      </c>
      <c r="E93" s="169"/>
      <c r="F93" s="164" t="s">
        <v>127</v>
      </c>
      <c r="G93" s="169"/>
      <c r="H93" s="182">
        <f>37.5*0.34</f>
        <v>12.750000000000002</v>
      </c>
      <c r="I93" s="174"/>
      <c r="J93" s="169"/>
      <c r="K93" s="170"/>
      <c r="AB93" s="19"/>
      <c r="AD93" s="19"/>
      <c r="AE93" s="19"/>
      <c r="AI93" s="19"/>
      <c r="AO93" s="111"/>
      <c r="AP93" s="111"/>
      <c r="AQ93" s="111"/>
      <c r="AR93" s="111"/>
      <c r="AS93" s="111"/>
      <c r="AT93" s="19"/>
      <c r="AU93" s="111"/>
      <c r="AV93" s="19"/>
      <c r="AW93" s="19"/>
    </row>
    <row r="94" spans="2:49" s="1" customFormat="1" x14ac:dyDescent="0.3">
      <c r="B94" s="157"/>
      <c r="C94" s="174"/>
      <c r="D94" s="175"/>
      <c r="E94" s="174"/>
      <c r="F94" s="178" t="s">
        <v>126</v>
      </c>
      <c r="G94" s="174"/>
      <c r="H94" s="176"/>
      <c r="I94" s="174"/>
      <c r="J94" s="174"/>
      <c r="K94" s="177"/>
      <c r="AB94" s="19"/>
      <c r="AD94" s="19"/>
      <c r="AE94" s="19"/>
      <c r="AI94" s="19"/>
      <c r="AO94" s="111"/>
      <c r="AP94" s="111"/>
      <c r="AQ94" s="111"/>
      <c r="AR94" s="111"/>
      <c r="AS94" s="111"/>
      <c r="AT94" s="19"/>
      <c r="AU94" s="111"/>
      <c r="AV94" s="19"/>
      <c r="AW94" s="19"/>
    </row>
    <row r="95" spans="2:49" s="1" customFormat="1" x14ac:dyDescent="0.3">
      <c r="B95" s="157"/>
      <c r="C95" s="169"/>
      <c r="D95" s="163" t="s">
        <v>90</v>
      </c>
      <c r="E95" s="169"/>
      <c r="F95" s="164" t="s">
        <v>128</v>
      </c>
      <c r="G95" s="169"/>
      <c r="H95" s="182">
        <f>17.5*0.34</f>
        <v>5.95</v>
      </c>
      <c r="I95" s="174"/>
      <c r="J95" s="169"/>
      <c r="K95" s="170"/>
      <c r="AB95" s="19"/>
      <c r="AD95" s="19"/>
      <c r="AE95" s="19"/>
      <c r="AI95" s="19"/>
      <c r="AO95" s="111"/>
      <c r="AP95" s="111"/>
      <c r="AQ95" s="111"/>
      <c r="AR95" s="111"/>
      <c r="AS95" s="111"/>
      <c r="AT95" s="19"/>
      <c r="AU95" s="111"/>
      <c r="AV95" s="19"/>
      <c r="AW95" s="19"/>
    </row>
    <row r="96" spans="2:49" s="1" customFormat="1" x14ac:dyDescent="0.3">
      <c r="B96" s="157"/>
      <c r="C96" s="169"/>
      <c r="D96" s="175"/>
      <c r="E96" s="174"/>
      <c r="F96" s="178" t="s">
        <v>129</v>
      </c>
      <c r="G96" s="174"/>
      <c r="H96" s="176"/>
      <c r="I96" s="174"/>
      <c r="J96" s="169"/>
      <c r="K96" s="170"/>
      <c r="AB96" s="19"/>
      <c r="AD96" s="19"/>
      <c r="AE96" s="19"/>
      <c r="AI96" s="19"/>
      <c r="AO96" s="111"/>
      <c r="AP96" s="111"/>
      <c r="AQ96" s="111"/>
      <c r="AR96" s="111"/>
      <c r="AS96" s="111"/>
      <c r="AT96" s="19"/>
      <c r="AU96" s="111"/>
      <c r="AV96" s="19"/>
      <c r="AW96" s="19"/>
    </row>
    <row r="97" spans="2:49" s="1" customFormat="1" x14ac:dyDescent="0.3">
      <c r="B97" s="157"/>
      <c r="C97" s="169"/>
      <c r="D97" s="163" t="s">
        <v>90</v>
      </c>
      <c r="E97" s="169"/>
      <c r="F97" s="164" t="s">
        <v>130</v>
      </c>
      <c r="G97" s="169"/>
      <c r="H97" s="182">
        <f>(2.91+3.15)*0.34</f>
        <v>2.0604000000000005</v>
      </c>
      <c r="I97" s="174"/>
      <c r="J97" s="169"/>
      <c r="K97" s="170"/>
      <c r="AB97" s="19"/>
      <c r="AD97" s="19"/>
      <c r="AE97" s="19"/>
      <c r="AI97" s="19"/>
      <c r="AO97" s="111"/>
      <c r="AP97" s="111"/>
      <c r="AQ97" s="111"/>
      <c r="AR97" s="111"/>
      <c r="AS97" s="111"/>
      <c r="AT97" s="19"/>
      <c r="AU97" s="111"/>
      <c r="AV97" s="19"/>
      <c r="AW97" s="19"/>
    </row>
    <row r="98" spans="2:49" s="1" customFormat="1" x14ac:dyDescent="0.3">
      <c r="B98" s="157"/>
      <c r="C98" s="171"/>
      <c r="D98" s="166"/>
      <c r="E98" s="171"/>
      <c r="F98" s="167" t="s">
        <v>91</v>
      </c>
      <c r="G98" s="171"/>
      <c r="H98" s="168">
        <f>SUM(H93:H97)</f>
        <v>20.760400000000004</v>
      </c>
      <c r="I98" s="172"/>
      <c r="J98" s="171"/>
      <c r="K98" s="173"/>
      <c r="AB98" s="19"/>
      <c r="AD98" s="19"/>
      <c r="AE98" s="19"/>
      <c r="AI98" s="19"/>
      <c r="AO98" s="111"/>
      <c r="AP98" s="111"/>
      <c r="AQ98" s="111"/>
      <c r="AR98" s="111"/>
      <c r="AS98" s="111"/>
      <c r="AT98" s="19"/>
      <c r="AU98" s="111"/>
      <c r="AV98" s="19"/>
      <c r="AW98" s="19"/>
    </row>
    <row r="99" spans="2:49" s="1" customFormat="1" ht="36" x14ac:dyDescent="0.3">
      <c r="B99" s="157"/>
      <c r="C99" s="105">
        <f>C91+1</f>
        <v>2</v>
      </c>
      <c r="D99" s="105" t="s">
        <v>88</v>
      </c>
      <c r="E99" s="106" t="s">
        <v>134</v>
      </c>
      <c r="F99" s="107" t="s">
        <v>133</v>
      </c>
      <c r="G99" s="108" t="s">
        <v>92</v>
      </c>
      <c r="H99" s="109">
        <f>H102</f>
        <v>21.244</v>
      </c>
      <c r="I99" s="117"/>
      <c r="J99" s="110">
        <f t="shared" ref="J99" si="0">I99*H99</f>
        <v>0</v>
      </c>
      <c r="K99" s="158"/>
      <c r="L99" s="11"/>
      <c r="M99" s="1">
        <f>K99*H99</f>
        <v>0</v>
      </c>
      <c r="AB99" s="19"/>
      <c r="AD99" s="19"/>
      <c r="AE99" s="19"/>
      <c r="AI99" s="19"/>
      <c r="AO99" s="111"/>
      <c r="AP99" s="111"/>
      <c r="AQ99" s="111"/>
      <c r="AR99" s="111"/>
      <c r="AS99" s="111"/>
      <c r="AT99" s="19"/>
      <c r="AU99" s="111"/>
      <c r="AV99" s="19"/>
      <c r="AW99" s="19"/>
    </row>
    <row r="100" spans="2:49" s="1" customFormat="1" x14ac:dyDescent="0.3">
      <c r="B100" s="157"/>
      <c r="C100" s="169"/>
      <c r="D100" s="175"/>
      <c r="E100" s="174"/>
      <c r="F100" s="178" t="s">
        <v>135</v>
      </c>
      <c r="G100" s="174"/>
      <c r="H100" s="176"/>
      <c r="I100" s="174"/>
      <c r="J100" s="169"/>
      <c r="K100" s="170"/>
      <c r="AB100" s="19"/>
      <c r="AD100" s="19"/>
      <c r="AE100" s="19"/>
      <c r="AI100" s="19"/>
      <c r="AO100" s="111"/>
      <c r="AP100" s="111"/>
      <c r="AQ100" s="111"/>
      <c r="AR100" s="111"/>
      <c r="AS100" s="111"/>
      <c r="AT100" s="19"/>
      <c r="AU100" s="111"/>
      <c r="AV100" s="19"/>
      <c r="AW100" s="19"/>
    </row>
    <row r="101" spans="2:49" s="1" customFormat="1" x14ac:dyDescent="0.3">
      <c r="B101" s="157"/>
      <c r="C101" s="169"/>
      <c r="D101" s="163" t="s">
        <v>90</v>
      </c>
      <c r="E101" s="169"/>
      <c r="F101" s="164" t="s">
        <v>136</v>
      </c>
      <c r="G101" s="169"/>
      <c r="H101" s="182">
        <f>(9+1.5+4.5+1.5+3.244+1.5)*2*0.5</f>
        <v>21.244</v>
      </c>
      <c r="I101" s="174"/>
      <c r="J101" s="169"/>
      <c r="K101" s="170"/>
      <c r="AB101" s="19"/>
      <c r="AD101" s="19"/>
      <c r="AE101" s="19"/>
      <c r="AI101" s="19"/>
      <c r="AO101" s="111"/>
      <c r="AP101" s="111"/>
      <c r="AQ101" s="111"/>
      <c r="AR101" s="111"/>
      <c r="AS101" s="111"/>
      <c r="AT101" s="19"/>
      <c r="AU101" s="111"/>
      <c r="AV101" s="19"/>
      <c r="AW101" s="19"/>
    </row>
    <row r="102" spans="2:49" s="1" customFormat="1" x14ac:dyDescent="0.3">
      <c r="B102" s="157"/>
      <c r="C102" s="171"/>
      <c r="D102" s="166"/>
      <c r="E102" s="171"/>
      <c r="F102" s="167" t="s">
        <v>91</v>
      </c>
      <c r="G102" s="171"/>
      <c r="H102" s="168">
        <f>SUM(H100:H101)</f>
        <v>21.244</v>
      </c>
      <c r="I102" s="172"/>
      <c r="J102" s="171"/>
      <c r="K102" s="173"/>
      <c r="AB102" s="19"/>
      <c r="AD102" s="19"/>
      <c r="AE102" s="19"/>
      <c r="AI102" s="19"/>
      <c r="AO102" s="111"/>
      <c r="AP102" s="111"/>
      <c r="AQ102" s="111"/>
      <c r="AR102" s="111"/>
      <c r="AS102" s="111"/>
      <c r="AT102" s="19"/>
      <c r="AU102" s="111"/>
      <c r="AV102" s="19"/>
      <c r="AW102" s="19"/>
    </row>
    <row r="103" spans="2:49" s="1" customFormat="1" x14ac:dyDescent="0.3">
      <c r="B103" s="157"/>
      <c r="C103" s="105">
        <f>C99+1</f>
        <v>3</v>
      </c>
      <c r="D103" s="105" t="s">
        <v>88</v>
      </c>
      <c r="E103" s="106" t="s">
        <v>138</v>
      </c>
      <c r="F103" s="107" t="s">
        <v>137</v>
      </c>
      <c r="G103" s="108" t="s">
        <v>89</v>
      </c>
      <c r="H103" s="109">
        <f>H106</f>
        <v>35.840000000000003</v>
      </c>
      <c r="I103" s="117"/>
      <c r="J103" s="110">
        <f t="shared" ref="J103" si="1">I103*H103</f>
        <v>0</v>
      </c>
      <c r="K103" s="158"/>
      <c r="AB103" s="19"/>
      <c r="AD103" s="19"/>
      <c r="AE103" s="19"/>
      <c r="AI103" s="19"/>
      <c r="AO103" s="111"/>
      <c r="AP103" s="111"/>
      <c r="AQ103" s="111"/>
      <c r="AR103" s="111"/>
      <c r="AS103" s="111"/>
      <c r="AT103" s="19"/>
      <c r="AU103" s="111"/>
      <c r="AV103" s="19"/>
      <c r="AW103" s="19"/>
    </row>
    <row r="104" spans="2:49" s="1" customFormat="1" x14ac:dyDescent="0.3">
      <c r="B104" s="157"/>
      <c r="C104" s="169"/>
      <c r="D104" s="175"/>
      <c r="E104" s="174"/>
      <c r="F104" s="178" t="s">
        <v>139</v>
      </c>
      <c r="G104" s="174"/>
      <c r="H104" s="176"/>
      <c r="I104" s="174"/>
      <c r="J104" s="169"/>
      <c r="K104" s="170"/>
      <c r="AB104" s="19"/>
      <c r="AD104" s="19"/>
      <c r="AE104" s="19"/>
      <c r="AI104" s="19"/>
      <c r="AO104" s="111"/>
      <c r="AP104" s="111"/>
      <c r="AQ104" s="111"/>
      <c r="AR104" s="111"/>
      <c r="AS104" s="111"/>
      <c r="AT104" s="19"/>
      <c r="AU104" s="111"/>
      <c r="AV104" s="19"/>
      <c r="AW104" s="19"/>
    </row>
    <row r="105" spans="2:49" s="1" customFormat="1" x14ac:dyDescent="0.3">
      <c r="B105" s="157"/>
      <c r="C105" s="169"/>
      <c r="D105" s="163" t="s">
        <v>90</v>
      </c>
      <c r="E105" s="169"/>
      <c r="F105" s="164" t="s">
        <v>166</v>
      </c>
      <c r="G105" s="169"/>
      <c r="H105" s="182">
        <f>28.65+2.91+3.15+1.13</f>
        <v>35.840000000000003</v>
      </c>
      <c r="I105" s="174"/>
      <c r="J105" s="169"/>
      <c r="K105" s="170"/>
      <c r="AB105" s="19"/>
      <c r="AD105" s="19"/>
      <c r="AE105" s="19"/>
      <c r="AI105" s="19"/>
      <c r="AO105" s="111"/>
      <c r="AP105" s="111"/>
      <c r="AQ105" s="111"/>
      <c r="AR105" s="111"/>
      <c r="AS105" s="111"/>
      <c r="AT105" s="19"/>
      <c r="AU105" s="111"/>
      <c r="AV105" s="19"/>
      <c r="AW105" s="19"/>
    </row>
    <row r="106" spans="2:49" s="1" customFormat="1" x14ac:dyDescent="0.3">
      <c r="B106" s="157"/>
      <c r="C106" s="171"/>
      <c r="D106" s="166"/>
      <c r="E106" s="171"/>
      <c r="F106" s="167" t="s">
        <v>91</v>
      </c>
      <c r="G106" s="171"/>
      <c r="H106" s="168">
        <f>SUM(H104:H105)</f>
        <v>35.840000000000003</v>
      </c>
      <c r="I106" s="172"/>
      <c r="J106" s="171"/>
      <c r="K106" s="173"/>
      <c r="AB106" s="19"/>
      <c r="AD106" s="19"/>
      <c r="AE106" s="19"/>
      <c r="AI106" s="19"/>
      <c r="AO106" s="111"/>
      <c r="AP106" s="111"/>
      <c r="AQ106" s="111"/>
      <c r="AR106" s="111"/>
      <c r="AS106" s="111"/>
      <c r="AT106" s="19"/>
      <c r="AU106" s="111"/>
      <c r="AV106" s="19"/>
      <c r="AW106" s="19"/>
    </row>
    <row r="107" spans="2:49" s="11" customFormat="1" ht="24" x14ac:dyDescent="0.3">
      <c r="B107" s="159"/>
      <c r="C107" s="105">
        <f>C103+1</f>
        <v>4</v>
      </c>
      <c r="D107" s="105" t="s">
        <v>88</v>
      </c>
      <c r="E107" s="106" t="s">
        <v>102</v>
      </c>
      <c r="F107" s="107" t="s">
        <v>101</v>
      </c>
      <c r="G107" s="108" t="s">
        <v>92</v>
      </c>
      <c r="H107" s="109">
        <f>H91+H99</f>
        <v>42.004400000000004</v>
      </c>
      <c r="I107" s="117"/>
      <c r="J107" s="110">
        <f t="shared" ref="J107" si="2">I107*H107</f>
        <v>0</v>
      </c>
      <c r="K107" s="158"/>
      <c r="M107" s="1">
        <f>K107*H107</f>
        <v>0</v>
      </c>
      <c r="AD107" s="112"/>
      <c r="AE107" s="112"/>
      <c r="AI107" s="112"/>
    </row>
    <row r="108" spans="2:49" s="11" customFormat="1" ht="24" x14ac:dyDescent="0.3">
      <c r="B108" s="159"/>
      <c r="C108" s="105">
        <f>C107+1</f>
        <v>5</v>
      </c>
      <c r="D108" s="105" t="s">
        <v>88</v>
      </c>
      <c r="E108" s="106" t="s">
        <v>104</v>
      </c>
      <c r="F108" s="107" t="s">
        <v>103</v>
      </c>
      <c r="G108" s="108" t="s">
        <v>92</v>
      </c>
      <c r="H108" s="109">
        <f>H107*10</f>
        <v>420.04400000000004</v>
      </c>
      <c r="I108" s="117"/>
      <c r="J108" s="110">
        <f t="shared" ref="J108" si="3">I108*H108</f>
        <v>0</v>
      </c>
      <c r="K108" s="158"/>
      <c r="M108" s="1">
        <f>K108*H108</f>
        <v>0</v>
      </c>
      <c r="AD108" s="112"/>
      <c r="AE108" s="112"/>
      <c r="AI108" s="112"/>
    </row>
    <row r="109" spans="2:49" s="11" customFormat="1" x14ac:dyDescent="0.3">
      <c r="B109" s="159"/>
      <c r="C109" s="105">
        <f>C108+1</f>
        <v>6</v>
      </c>
      <c r="D109" s="105" t="s">
        <v>88</v>
      </c>
      <c r="E109" s="106" t="s">
        <v>106</v>
      </c>
      <c r="F109" s="107" t="s">
        <v>105</v>
      </c>
      <c r="G109" s="108" t="s">
        <v>92</v>
      </c>
      <c r="H109" s="109">
        <f>H107</f>
        <v>42.004400000000004</v>
      </c>
      <c r="I109" s="117"/>
      <c r="J109" s="110">
        <f t="shared" ref="J109" si="4">I109*H109</f>
        <v>0</v>
      </c>
      <c r="K109" s="158"/>
      <c r="M109" s="1">
        <f t="shared" ref="M109:M111" si="5">K109*H109</f>
        <v>0</v>
      </c>
      <c r="AD109" s="112"/>
      <c r="AE109" s="112"/>
      <c r="AI109" s="112"/>
    </row>
    <row r="110" spans="2:49" s="11" customFormat="1" x14ac:dyDescent="0.3">
      <c r="B110" s="159"/>
      <c r="C110" s="105">
        <f>C109+1</f>
        <v>7</v>
      </c>
      <c r="D110" s="105" t="s">
        <v>88</v>
      </c>
      <c r="E110" s="106" t="s">
        <v>108</v>
      </c>
      <c r="F110" s="107" t="s">
        <v>107</v>
      </c>
      <c r="G110" s="108" t="s">
        <v>93</v>
      </c>
      <c r="H110" s="109">
        <f>H109*1.8</f>
        <v>75.607920000000007</v>
      </c>
      <c r="I110" s="117"/>
      <c r="J110" s="110">
        <f t="shared" ref="J110" si="6">I110*H110</f>
        <v>0</v>
      </c>
      <c r="K110" s="158"/>
      <c r="M110" s="1">
        <f t="shared" si="5"/>
        <v>0</v>
      </c>
      <c r="AD110" s="112"/>
      <c r="AE110" s="112"/>
      <c r="AI110" s="112"/>
    </row>
    <row r="111" spans="2:49" s="11" customFormat="1" x14ac:dyDescent="0.3">
      <c r="B111" s="159"/>
      <c r="C111" s="105">
        <f>C110+1</f>
        <v>8</v>
      </c>
      <c r="D111" s="105" t="s">
        <v>88</v>
      </c>
      <c r="E111" s="106" t="s">
        <v>110</v>
      </c>
      <c r="F111" s="107" t="s">
        <v>109</v>
      </c>
      <c r="G111" s="108" t="s">
        <v>89</v>
      </c>
      <c r="H111" s="109">
        <f>H91/0.34+H99/0.5</f>
        <v>103.548</v>
      </c>
      <c r="I111" s="117"/>
      <c r="J111" s="110">
        <f t="shared" ref="J111" si="7">I111*H111</f>
        <v>0</v>
      </c>
      <c r="K111" s="158"/>
      <c r="M111" s="1">
        <f t="shared" si="5"/>
        <v>0</v>
      </c>
      <c r="AD111" s="112"/>
      <c r="AE111" s="112"/>
      <c r="AI111" s="112"/>
    </row>
    <row r="112" spans="2:49" s="11" customFormat="1" ht="22.8" customHeight="1" x14ac:dyDescent="0.35">
      <c r="B112" s="159"/>
      <c r="C112" s="152"/>
      <c r="D112" s="114" t="s">
        <v>61</v>
      </c>
      <c r="E112" s="115"/>
      <c r="F112" s="115" t="s">
        <v>100</v>
      </c>
      <c r="G112" s="152"/>
      <c r="H112" s="152"/>
      <c r="I112" s="154"/>
      <c r="J112" s="116">
        <f>SUM(J113:J133)</f>
        <v>0</v>
      </c>
      <c r="K112" s="156"/>
      <c r="AD112" s="112"/>
      <c r="AE112" s="112"/>
      <c r="AI112" s="112"/>
    </row>
    <row r="113" spans="2:35" s="11" customFormat="1" x14ac:dyDescent="0.3">
      <c r="B113" s="159"/>
      <c r="C113" s="105">
        <f>C111+1</f>
        <v>9</v>
      </c>
      <c r="D113" s="105" t="s">
        <v>88</v>
      </c>
      <c r="E113" s="106" t="s">
        <v>112</v>
      </c>
      <c r="F113" s="107" t="s">
        <v>111</v>
      </c>
      <c r="G113" s="108" t="s">
        <v>92</v>
      </c>
      <c r="H113" s="109">
        <f>H91</f>
        <v>20.760400000000004</v>
      </c>
      <c r="I113" s="117"/>
      <c r="J113" s="110">
        <f t="shared" ref="J113" si="8">I113*H113</f>
        <v>0</v>
      </c>
      <c r="K113" s="158">
        <v>2.16</v>
      </c>
      <c r="M113" s="1">
        <f t="shared" ref="M113:M119" si="9">K113*H113</f>
        <v>44.842464000000014</v>
      </c>
      <c r="AD113" s="112"/>
      <c r="AE113" s="112"/>
      <c r="AI113" s="112"/>
    </row>
    <row r="114" spans="2:35" s="11" customFormat="1" x14ac:dyDescent="0.3">
      <c r="B114" s="159"/>
      <c r="C114" s="174"/>
      <c r="D114" s="175"/>
      <c r="E114" s="174"/>
      <c r="F114" s="178" t="s">
        <v>141</v>
      </c>
      <c r="G114" s="174"/>
      <c r="H114" s="176"/>
      <c r="I114" s="174"/>
      <c r="J114" s="174"/>
      <c r="K114" s="177"/>
      <c r="M114" s="1"/>
      <c r="AD114" s="112"/>
      <c r="AE114" s="112"/>
      <c r="AI114" s="112"/>
    </row>
    <row r="115" spans="2:35" s="11" customFormat="1" x14ac:dyDescent="0.3">
      <c r="B115" s="159"/>
      <c r="C115" s="169"/>
      <c r="D115" s="163" t="s">
        <v>90</v>
      </c>
      <c r="E115" s="169"/>
      <c r="F115" s="164" t="s">
        <v>140</v>
      </c>
      <c r="G115" s="169"/>
      <c r="H115" s="182">
        <f>(9+1.5+4.5+1.5+3.244+1.5)*1.5*0.5</f>
        <v>15.933</v>
      </c>
      <c r="I115" s="174"/>
      <c r="J115" s="169"/>
      <c r="K115" s="170"/>
      <c r="M115" s="1"/>
      <c r="AD115" s="112"/>
      <c r="AE115" s="112"/>
      <c r="AI115" s="112"/>
    </row>
    <row r="116" spans="2:35" s="11" customFormat="1" x14ac:dyDescent="0.3">
      <c r="B116" s="159"/>
      <c r="C116" s="174"/>
      <c r="D116" s="175"/>
      <c r="E116" s="174"/>
      <c r="F116" s="178" t="s">
        <v>142</v>
      </c>
      <c r="G116" s="174"/>
      <c r="H116" s="176"/>
      <c r="I116" s="174"/>
      <c r="J116" s="174"/>
      <c r="K116" s="177"/>
      <c r="M116" s="1"/>
      <c r="AD116" s="112"/>
      <c r="AE116" s="112"/>
      <c r="AI116" s="112"/>
    </row>
    <row r="117" spans="2:35" s="11" customFormat="1" x14ac:dyDescent="0.3">
      <c r="B117" s="159"/>
      <c r="C117" s="169"/>
      <c r="D117" s="163" t="s">
        <v>90</v>
      </c>
      <c r="E117" s="169"/>
      <c r="F117" s="164" t="s">
        <v>164</v>
      </c>
      <c r="G117" s="169"/>
      <c r="H117" s="182">
        <f>(37.5+2.91+17.5+3.15+1.13)*0.05</f>
        <v>3.1095000000000002</v>
      </c>
      <c r="I117" s="174"/>
      <c r="J117" s="169"/>
      <c r="K117" s="170"/>
      <c r="M117" s="1"/>
      <c r="AD117" s="112"/>
      <c r="AE117" s="112"/>
      <c r="AI117" s="112"/>
    </row>
    <row r="118" spans="2:35" s="11" customFormat="1" x14ac:dyDescent="0.3">
      <c r="B118" s="159"/>
      <c r="C118" s="171"/>
      <c r="D118" s="166"/>
      <c r="E118" s="171"/>
      <c r="F118" s="167" t="s">
        <v>91</v>
      </c>
      <c r="G118" s="171"/>
      <c r="H118" s="168">
        <f>SUM(H115:H117)</f>
        <v>19.0425</v>
      </c>
      <c r="I118" s="172"/>
      <c r="J118" s="171"/>
      <c r="K118" s="173"/>
      <c r="M118" s="1"/>
      <c r="AD118" s="112"/>
      <c r="AE118" s="112"/>
      <c r="AI118" s="112"/>
    </row>
    <row r="119" spans="2:35" s="11" customFormat="1" ht="24" x14ac:dyDescent="0.3">
      <c r="B119" s="159"/>
      <c r="C119" s="105">
        <f>C113+1</f>
        <v>10</v>
      </c>
      <c r="D119" s="105" t="s">
        <v>88</v>
      </c>
      <c r="E119" s="106" t="s">
        <v>143</v>
      </c>
      <c r="F119" s="107" t="s">
        <v>144</v>
      </c>
      <c r="G119" s="108" t="s">
        <v>92</v>
      </c>
      <c r="H119" s="109">
        <f>H122</f>
        <v>15.547499999999999</v>
      </c>
      <c r="I119" s="117"/>
      <c r="J119" s="110">
        <f t="shared" ref="J119" si="10">I119*H119</f>
        <v>0</v>
      </c>
      <c r="K119" s="158">
        <v>2.16</v>
      </c>
      <c r="M119" s="1">
        <f t="shared" si="9"/>
        <v>33.582599999999999</v>
      </c>
      <c r="AD119" s="112"/>
      <c r="AE119" s="112"/>
      <c r="AI119" s="112"/>
    </row>
    <row r="120" spans="2:35" s="11" customFormat="1" x14ac:dyDescent="0.3">
      <c r="B120" s="159"/>
      <c r="C120" s="174"/>
      <c r="D120" s="175"/>
      <c r="E120" s="174"/>
      <c r="F120" s="178" t="s">
        <v>142</v>
      </c>
      <c r="G120" s="174"/>
      <c r="H120" s="176"/>
      <c r="I120" s="174"/>
      <c r="J120" s="174"/>
      <c r="K120" s="177"/>
      <c r="M120" s="1"/>
      <c r="AD120" s="112"/>
      <c r="AE120" s="112"/>
      <c r="AI120" s="112"/>
    </row>
    <row r="121" spans="2:35" s="11" customFormat="1" x14ac:dyDescent="0.3">
      <c r="B121" s="159"/>
      <c r="C121" s="169"/>
      <c r="D121" s="163" t="s">
        <v>90</v>
      </c>
      <c r="E121" s="169"/>
      <c r="F121" s="164" t="s">
        <v>165</v>
      </c>
      <c r="G121" s="169"/>
      <c r="H121" s="182">
        <f>(37.5+2.91+17.5+3.15+1.13)*0.25</f>
        <v>15.547499999999999</v>
      </c>
      <c r="I121" s="174"/>
      <c r="J121" s="169"/>
      <c r="K121" s="170"/>
      <c r="M121" s="1"/>
      <c r="AD121" s="112"/>
      <c r="AE121" s="112"/>
      <c r="AI121" s="112"/>
    </row>
    <row r="122" spans="2:35" s="11" customFormat="1" x14ac:dyDescent="0.3">
      <c r="B122" s="159"/>
      <c r="C122" s="171"/>
      <c r="D122" s="166"/>
      <c r="E122" s="171"/>
      <c r="F122" s="167" t="s">
        <v>91</v>
      </c>
      <c r="G122" s="171"/>
      <c r="H122" s="168">
        <f>SUM(H120:H121)</f>
        <v>15.547499999999999</v>
      </c>
      <c r="I122" s="174"/>
      <c r="J122" s="174"/>
      <c r="K122" s="177"/>
      <c r="M122" s="1"/>
      <c r="AD122" s="112"/>
      <c r="AE122" s="112"/>
      <c r="AI122" s="112"/>
    </row>
    <row r="123" spans="2:35" s="11" customFormat="1" ht="24" x14ac:dyDescent="0.3">
      <c r="B123" s="159"/>
      <c r="C123" s="105">
        <f>C119+1</f>
        <v>11</v>
      </c>
      <c r="D123" s="105" t="s">
        <v>88</v>
      </c>
      <c r="E123" s="106" t="s">
        <v>146</v>
      </c>
      <c r="F123" s="107" t="s">
        <v>145</v>
      </c>
      <c r="G123" s="108" t="s">
        <v>92</v>
      </c>
      <c r="H123" s="109">
        <f>H126</f>
        <v>10.2348</v>
      </c>
      <c r="I123" s="117"/>
      <c r="J123" s="110">
        <f t="shared" ref="J123" si="11">I123*H123</f>
        <v>0</v>
      </c>
      <c r="K123" s="158">
        <v>1.63</v>
      </c>
      <c r="M123" s="1">
        <f t="shared" ref="M123" si="12">K123*H123</f>
        <v>16.682724</v>
      </c>
      <c r="AD123" s="112"/>
      <c r="AE123" s="112"/>
      <c r="AI123" s="112"/>
    </row>
    <row r="124" spans="2:35" s="11" customFormat="1" x14ac:dyDescent="0.3">
      <c r="B124" s="159"/>
      <c r="C124" s="174"/>
      <c r="D124" s="175"/>
      <c r="E124" s="174"/>
      <c r="F124" s="178" t="s">
        <v>147</v>
      </c>
      <c r="G124" s="174"/>
      <c r="H124" s="176"/>
      <c r="I124" s="174"/>
      <c r="J124" s="179"/>
      <c r="K124" s="177"/>
      <c r="AD124" s="112"/>
      <c r="AE124" s="112"/>
      <c r="AI124" s="112"/>
    </row>
    <row r="125" spans="2:35" s="11" customFormat="1" x14ac:dyDescent="0.3">
      <c r="B125" s="159"/>
      <c r="C125" s="169"/>
      <c r="D125" s="163" t="s">
        <v>90</v>
      </c>
      <c r="E125" s="169"/>
      <c r="F125" s="164" t="s">
        <v>148</v>
      </c>
      <c r="G125" s="169"/>
      <c r="H125" s="165">
        <f>(9+1.5+1.5+4.5+1.5+1.5+3.244)*0.45*0.5*2</f>
        <v>10.2348</v>
      </c>
      <c r="I125" s="174"/>
      <c r="J125" s="169"/>
      <c r="K125" s="170"/>
      <c r="AD125" s="112"/>
      <c r="AE125" s="112"/>
      <c r="AI125" s="112"/>
    </row>
    <row r="126" spans="2:35" s="11" customFormat="1" x14ac:dyDescent="0.3">
      <c r="B126" s="159"/>
      <c r="C126" s="171"/>
      <c r="D126" s="166"/>
      <c r="E126" s="171"/>
      <c r="F126" s="167" t="s">
        <v>91</v>
      </c>
      <c r="G126" s="171"/>
      <c r="H126" s="168">
        <f>H125</f>
        <v>10.2348</v>
      </c>
      <c r="I126" s="172"/>
      <c r="J126" s="171"/>
      <c r="K126" s="173"/>
      <c r="AD126" s="112"/>
      <c r="AE126" s="112"/>
      <c r="AI126" s="112"/>
    </row>
    <row r="127" spans="2:35" s="11" customFormat="1" ht="24" x14ac:dyDescent="0.3">
      <c r="B127" s="159"/>
      <c r="C127" s="105">
        <f>C123+1</f>
        <v>12</v>
      </c>
      <c r="D127" s="105" t="s">
        <v>88</v>
      </c>
      <c r="E127" s="106" t="s">
        <v>146</v>
      </c>
      <c r="F127" s="107" t="s">
        <v>145</v>
      </c>
      <c r="G127" s="108" t="s">
        <v>92</v>
      </c>
      <c r="H127" s="109">
        <f>H130</f>
        <v>10.2348</v>
      </c>
      <c r="I127" s="117"/>
      <c r="J127" s="110">
        <f t="shared" ref="J127" si="13">I127*H127</f>
        <v>0</v>
      </c>
      <c r="K127" s="158">
        <v>1.63</v>
      </c>
      <c r="M127" s="1">
        <f t="shared" ref="M127" si="14">K127*H127</f>
        <v>16.682724</v>
      </c>
      <c r="AD127" s="112"/>
      <c r="AE127" s="112"/>
      <c r="AI127" s="112"/>
    </row>
    <row r="128" spans="2:35" s="11" customFormat="1" x14ac:dyDescent="0.3">
      <c r="B128" s="159"/>
      <c r="C128" s="174"/>
      <c r="D128" s="175"/>
      <c r="E128" s="174"/>
      <c r="F128" s="178" t="s">
        <v>147</v>
      </c>
      <c r="G128" s="174"/>
      <c r="H128" s="176"/>
      <c r="I128" s="174"/>
      <c r="J128" s="179"/>
      <c r="K128" s="177"/>
      <c r="AD128" s="112"/>
      <c r="AE128" s="112"/>
      <c r="AI128" s="112"/>
    </row>
    <row r="129" spans="2:35" s="11" customFormat="1" x14ac:dyDescent="0.3">
      <c r="B129" s="159"/>
      <c r="C129" s="169"/>
      <c r="D129" s="163" t="s">
        <v>90</v>
      </c>
      <c r="E129" s="169"/>
      <c r="F129" s="164" t="s">
        <v>148</v>
      </c>
      <c r="G129" s="169"/>
      <c r="H129" s="165">
        <f>(9+1.5+1.5+4.5+1.5+1.5+3.244)*0.45*0.5*2</f>
        <v>10.2348</v>
      </c>
      <c r="I129" s="174"/>
      <c r="J129" s="169"/>
      <c r="K129" s="170"/>
      <c r="AD129" s="112"/>
      <c r="AE129" s="112"/>
      <c r="AI129" s="112"/>
    </row>
    <row r="130" spans="2:35" s="11" customFormat="1" x14ac:dyDescent="0.3">
      <c r="B130" s="159"/>
      <c r="C130" s="171"/>
      <c r="D130" s="166"/>
      <c r="E130" s="171"/>
      <c r="F130" s="167" t="s">
        <v>91</v>
      </c>
      <c r="G130" s="171"/>
      <c r="H130" s="168">
        <f>H129</f>
        <v>10.2348</v>
      </c>
      <c r="I130" s="172"/>
      <c r="J130" s="171"/>
      <c r="K130" s="173"/>
      <c r="AD130" s="112"/>
      <c r="AE130" s="112"/>
      <c r="AI130" s="112"/>
    </row>
    <row r="131" spans="2:35" s="11" customFormat="1" ht="24" x14ac:dyDescent="0.3">
      <c r="B131" s="159"/>
      <c r="C131" s="105">
        <f>C127+1</f>
        <v>13</v>
      </c>
      <c r="D131" s="105" t="s">
        <v>88</v>
      </c>
      <c r="E131" s="106" t="s">
        <v>150</v>
      </c>
      <c r="F131" s="107" t="s">
        <v>149</v>
      </c>
      <c r="G131" s="108" t="s">
        <v>89</v>
      </c>
      <c r="H131" s="109">
        <f>H133*0.35</f>
        <v>14.870799999999999</v>
      </c>
      <c r="I131" s="117"/>
      <c r="J131" s="110">
        <f t="shared" ref="J131:J133" si="15">I131*H131</f>
        <v>0</v>
      </c>
      <c r="K131" s="158">
        <v>1.7000000000000001E-4</v>
      </c>
      <c r="M131" s="1">
        <f t="shared" ref="M131" si="16">K131*H131</f>
        <v>2.528036E-3</v>
      </c>
      <c r="AD131" s="112"/>
      <c r="AE131" s="112"/>
      <c r="AI131" s="112"/>
    </row>
    <row r="132" spans="2:35" s="11" customFormat="1" x14ac:dyDescent="0.3">
      <c r="B132" s="159"/>
      <c r="C132" s="183">
        <f>C131+1</f>
        <v>14</v>
      </c>
      <c r="D132" s="183" t="s">
        <v>151</v>
      </c>
      <c r="E132" s="184" t="s">
        <v>153</v>
      </c>
      <c r="F132" s="185" t="s">
        <v>152</v>
      </c>
      <c r="G132" s="186" t="s">
        <v>89</v>
      </c>
      <c r="H132" s="187">
        <f>H131*1.15</f>
        <v>17.101419999999997</v>
      </c>
      <c r="I132" s="188"/>
      <c r="J132" s="190">
        <f t="shared" ref="J132" si="17">I132*H132</f>
        <v>0</v>
      </c>
      <c r="K132" s="189">
        <v>2.9999999999999997E-4</v>
      </c>
      <c r="M132" s="1">
        <f t="shared" ref="M132:M133" si="18">K132*H132</f>
        <v>5.1304259999999987E-3</v>
      </c>
      <c r="AD132" s="112"/>
      <c r="AE132" s="112"/>
      <c r="AI132" s="112"/>
    </row>
    <row r="133" spans="2:35" s="11" customFormat="1" x14ac:dyDescent="0.3">
      <c r="B133" s="159"/>
      <c r="C133" s="105">
        <f>C132+1</f>
        <v>15</v>
      </c>
      <c r="D133" s="105" t="s">
        <v>88</v>
      </c>
      <c r="E133" s="106" t="s">
        <v>155</v>
      </c>
      <c r="F133" s="107" t="s">
        <v>154</v>
      </c>
      <c r="G133" s="108" t="s">
        <v>113</v>
      </c>
      <c r="H133" s="109">
        <f>9+1.5+1.5+4.5+1.5+1.5+3.244+1.5+1.5+3.244+4.5+9</f>
        <v>42.488</v>
      </c>
      <c r="I133" s="117"/>
      <c r="J133" s="110">
        <f t="shared" si="15"/>
        <v>0</v>
      </c>
      <c r="K133" s="158">
        <v>3.3E-4</v>
      </c>
      <c r="M133" s="1">
        <f t="shared" si="18"/>
        <v>1.402104E-2</v>
      </c>
      <c r="AD133" s="112"/>
      <c r="AE133" s="112"/>
      <c r="AI133" s="112"/>
    </row>
    <row r="134" spans="2:35" s="11" customFormat="1" ht="19.8" customHeight="1" x14ac:dyDescent="0.35">
      <c r="B134" s="159"/>
      <c r="C134" s="152"/>
      <c r="D134" s="114" t="s">
        <v>61</v>
      </c>
      <c r="E134" s="115"/>
      <c r="F134" s="115" t="s">
        <v>156</v>
      </c>
      <c r="G134" s="152"/>
      <c r="H134" s="152"/>
      <c r="I134" s="154"/>
      <c r="J134" s="116">
        <f>SUM(J135:J167)</f>
        <v>0</v>
      </c>
      <c r="K134" s="156"/>
      <c r="AD134" s="112"/>
      <c r="AE134" s="112"/>
      <c r="AI134" s="112"/>
    </row>
    <row r="135" spans="2:35" s="11" customFormat="1" ht="36" x14ac:dyDescent="0.3">
      <c r="B135" s="159"/>
      <c r="C135" s="105">
        <f>C133+1</f>
        <v>16</v>
      </c>
      <c r="D135" s="105" t="s">
        <v>88</v>
      </c>
      <c r="E135" s="106" t="s">
        <v>158</v>
      </c>
      <c r="F135" s="107" t="s">
        <v>157</v>
      </c>
      <c r="G135" s="108" t="s">
        <v>89</v>
      </c>
      <c r="H135" s="109">
        <f>H144</f>
        <v>16.040000000000003</v>
      </c>
      <c r="I135" s="117"/>
      <c r="J135" s="110">
        <f t="shared" ref="J135" si="19">I135*H135</f>
        <v>0</v>
      </c>
      <c r="K135" s="158">
        <v>0</v>
      </c>
      <c r="M135" s="1">
        <f t="shared" ref="M135" si="20">K135*H135</f>
        <v>0</v>
      </c>
      <c r="N135" s="11">
        <v>0.29499999999999998</v>
      </c>
      <c r="O135" s="11">
        <f>N135*H135</f>
        <v>4.7318000000000007</v>
      </c>
      <c r="AD135" s="112"/>
      <c r="AE135" s="112"/>
      <c r="AI135" s="112"/>
    </row>
    <row r="136" spans="2:35" s="11" customFormat="1" x14ac:dyDescent="0.3">
      <c r="B136" s="159"/>
      <c r="C136" s="174"/>
      <c r="D136" s="175"/>
      <c r="E136" s="174"/>
      <c r="F136" s="178" t="s">
        <v>159</v>
      </c>
      <c r="G136" s="174"/>
      <c r="H136" s="176"/>
      <c r="I136" s="174"/>
      <c r="J136" s="174"/>
      <c r="K136" s="177"/>
      <c r="AD136" s="112"/>
      <c r="AE136" s="112"/>
      <c r="AI136" s="112"/>
    </row>
    <row r="137" spans="2:35" s="11" customFormat="1" x14ac:dyDescent="0.3">
      <c r="B137" s="159"/>
      <c r="C137" s="169"/>
      <c r="D137" s="163" t="s">
        <v>90</v>
      </c>
      <c r="E137" s="169"/>
      <c r="F137" s="164" t="s">
        <v>160</v>
      </c>
      <c r="G137" s="169"/>
      <c r="H137" s="182">
        <f>37.5-28.65</f>
        <v>8.8500000000000014</v>
      </c>
      <c r="I137" s="174"/>
      <c r="J137" s="169"/>
      <c r="K137" s="170"/>
      <c r="AD137" s="112"/>
      <c r="AE137" s="112"/>
      <c r="AI137" s="112"/>
    </row>
    <row r="138" spans="2:35" s="11" customFormat="1" x14ac:dyDescent="0.3">
      <c r="B138" s="159"/>
      <c r="C138" s="174"/>
      <c r="D138" s="175"/>
      <c r="E138" s="174"/>
      <c r="F138" s="178" t="s">
        <v>161</v>
      </c>
      <c r="G138" s="174"/>
      <c r="H138" s="176"/>
      <c r="I138" s="174"/>
      <c r="J138" s="174"/>
      <c r="K138" s="177"/>
      <c r="AD138" s="112"/>
      <c r="AE138" s="112"/>
      <c r="AI138" s="112"/>
    </row>
    <row r="139" spans="2:35" s="11" customFormat="1" x14ac:dyDescent="0.3">
      <c r="B139" s="159"/>
      <c r="C139" s="169"/>
      <c r="D139" s="163" t="s">
        <v>90</v>
      </c>
      <c r="E139" s="169"/>
      <c r="F139" s="164">
        <v>2.91</v>
      </c>
      <c r="G139" s="169"/>
      <c r="H139" s="182">
        <v>2.91</v>
      </c>
      <c r="I139" s="174"/>
      <c r="J139" s="169"/>
      <c r="K139" s="170"/>
      <c r="AD139" s="112"/>
      <c r="AE139" s="112"/>
      <c r="AI139" s="112"/>
    </row>
    <row r="140" spans="2:35" s="11" customFormat="1" x14ac:dyDescent="0.3">
      <c r="B140" s="159"/>
      <c r="C140" s="169"/>
      <c r="D140" s="175"/>
      <c r="E140" s="174"/>
      <c r="F140" s="178" t="s">
        <v>162</v>
      </c>
      <c r="G140" s="174"/>
      <c r="H140" s="176"/>
      <c r="I140" s="174"/>
      <c r="J140" s="169"/>
      <c r="K140" s="170"/>
      <c r="AD140" s="112"/>
      <c r="AE140" s="112"/>
      <c r="AI140" s="112"/>
    </row>
    <row r="141" spans="2:35" s="11" customFormat="1" x14ac:dyDescent="0.3">
      <c r="B141" s="159"/>
      <c r="C141" s="169"/>
      <c r="D141" s="163" t="s">
        <v>90</v>
      </c>
      <c r="E141" s="169"/>
      <c r="F141" s="164">
        <v>3.15</v>
      </c>
      <c r="G141" s="169"/>
      <c r="H141" s="182">
        <v>3.15</v>
      </c>
      <c r="I141" s="174"/>
      <c r="J141" s="169"/>
      <c r="K141" s="170"/>
      <c r="AD141" s="112"/>
      <c r="AE141" s="112"/>
      <c r="AI141" s="112"/>
    </row>
    <row r="142" spans="2:35" s="11" customFormat="1" x14ac:dyDescent="0.3">
      <c r="B142" s="159"/>
      <c r="C142" s="169"/>
      <c r="D142" s="175"/>
      <c r="E142" s="174"/>
      <c r="F142" s="178" t="s">
        <v>163</v>
      </c>
      <c r="G142" s="174"/>
      <c r="H142" s="176"/>
      <c r="I142" s="174"/>
      <c r="J142" s="169"/>
      <c r="K142" s="170"/>
      <c r="AD142" s="112"/>
      <c r="AE142" s="112"/>
      <c r="AI142" s="112"/>
    </row>
    <row r="143" spans="2:35" s="11" customFormat="1" x14ac:dyDescent="0.3">
      <c r="B143" s="159"/>
      <c r="C143" s="169"/>
      <c r="D143" s="163" t="s">
        <v>90</v>
      </c>
      <c r="E143" s="169"/>
      <c r="F143" s="164">
        <v>1.1299999999999999</v>
      </c>
      <c r="G143" s="169"/>
      <c r="H143" s="182">
        <f>1.13</f>
        <v>1.1299999999999999</v>
      </c>
      <c r="I143" s="174"/>
      <c r="J143" s="169"/>
      <c r="K143" s="170"/>
      <c r="AD143" s="112"/>
      <c r="AE143" s="112"/>
      <c r="AI143" s="112"/>
    </row>
    <row r="144" spans="2:35" s="11" customFormat="1" x14ac:dyDescent="0.3">
      <c r="B144" s="159"/>
      <c r="C144" s="171"/>
      <c r="D144" s="166"/>
      <c r="E144" s="171"/>
      <c r="F144" s="167" t="s">
        <v>91</v>
      </c>
      <c r="G144" s="171"/>
      <c r="H144" s="168">
        <f>SUM(H136:H143)</f>
        <v>16.040000000000003</v>
      </c>
      <c r="I144" s="174"/>
      <c r="J144" s="174"/>
      <c r="K144" s="177"/>
      <c r="AD144" s="112"/>
      <c r="AE144" s="112"/>
      <c r="AI144" s="112"/>
    </row>
    <row r="145" spans="2:35" s="11" customFormat="1" ht="24" x14ac:dyDescent="0.3">
      <c r="B145" s="159"/>
      <c r="C145" s="105">
        <f>C135+1</f>
        <v>17</v>
      </c>
      <c r="D145" s="105" t="s">
        <v>88</v>
      </c>
      <c r="E145" s="106" t="s">
        <v>168</v>
      </c>
      <c r="F145" s="107" t="s">
        <v>167</v>
      </c>
      <c r="G145" s="108" t="s">
        <v>113</v>
      </c>
      <c r="H145" s="109">
        <f>H148</f>
        <v>28.7455</v>
      </c>
      <c r="I145" s="117"/>
      <c r="J145" s="110">
        <f t="shared" ref="J145" si="21">I145*H145</f>
        <v>0</v>
      </c>
      <c r="K145" s="158">
        <v>0</v>
      </c>
      <c r="M145" s="11">
        <f>K145*H145</f>
        <v>0</v>
      </c>
      <c r="N145" s="11">
        <v>0.28999999999999998</v>
      </c>
      <c r="O145" s="11">
        <f>N145*H145</f>
        <v>8.336195</v>
      </c>
      <c r="AD145" s="112"/>
      <c r="AE145" s="112"/>
      <c r="AI145" s="112"/>
    </row>
    <row r="146" spans="2:35" s="11" customFormat="1" x14ac:dyDescent="0.3">
      <c r="B146" s="159"/>
      <c r="C146" s="174"/>
      <c r="D146" s="175"/>
      <c r="E146" s="174"/>
      <c r="F146" s="178" t="s">
        <v>169</v>
      </c>
      <c r="G146" s="174"/>
      <c r="H146" s="176"/>
      <c r="I146" s="174"/>
      <c r="J146" s="174"/>
      <c r="K146" s="177"/>
      <c r="AD146" s="112"/>
      <c r="AE146" s="112"/>
      <c r="AI146" s="112"/>
    </row>
    <row r="147" spans="2:35" s="11" customFormat="1" x14ac:dyDescent="0.3">
      <c r="B147" s="159"/>
      <c r="C147" s="169"/>
      <c r="D147" s="163" t="s">
        <v>90</v>
      </c>
      <c r="E147" s="169"/>
      <c r="F147" s="164" t="s">
        <v>170</v>
      </c>
      <c r="G147" s="169"/>
      <c r="H147" s="182">
        <f>8+5+3.5+7.5+1.5+3.2455</f>
        <v>28.7455</v>
      </c>
      <c r="I147" s="174"/>
      <c r="J147" s="169"/>
      <c r="K147" s="170"/>
      <c r="AD147" s="112"/>
      <c r="AE147" s="112"/>
      <c r="AI147" s="112"/>
    </row>
    <row r="148" spans="2:35" s="11" customFormat="1" x14ac:dyDescent="0.3">
      <c r="B148" s="159"/>
      <c r="C148" s="171"/>
      <c r="D148" s="166"/>
      <c r="E148" s="171"/>
      <c r="F148" s="167" t="s">
        <v>91</v>
      </c>
      <c r="G148" s="171"/>
      <c r="H148" s="168">
        <f>SUM(H146:H147)</f>
        <v>28.7455</v>
      </c>
      <c r="I148" s="174"/>
      <c r="J148" s="174"/>
      <c r="K148" s="177"/>
      <c r="AD148" s="112"/>
      <c r="AE148" s="112"/>
      <c r="AI148" s="112"/>
    </row>
    <row r="149" spans="2:35" s="11" customFormat="1" ht="48" x14ac:dyDescent="0.3">
      <c r="B149" s="159"/>
      <c r="C149" s="105">
        <f>C145+1</f>
        <v>18</v>
      </c>
      <c r="D149" s="105" t="s">
        <v>88</v>
      </c>
      <c r="E149" s="106" t="s">
        <v>174</v>
      </c>
      <c r="F149" s="107" t="s">
        <v>173</v>
      </c>
      <c r="G149" s="108" t="s">
        <v>89</v>
      </c>
      <c r="H149" s="109">
        <f>H152</f>
        <v>93.820000000000007</v>
      </c>
      <c r="I149" s="117"/>
      <c r="J149" s="110">
        <f t="shared" ref="J149" si="22">I149*H149</f>
        <v>0</v>
      </c>
      <c r="K149" s="158">
        <v>8.9219999999999994E-2</v>
      </c>
      <c r="M149" s="11">
        <f>K149*H149</f>
        <v>8.3706204</v>
      </c>
      <c r="AD149" s="112"/>
      <c r="AE149" s="112"/>
      <c r="AI149" s="112"/>
    </row>
    <row r="150" spans="2:35" s="11" customFormat="1" x14ac:dyDescent="0.3">
      <c r="B150" s="159"/>
      <c r="C150" s="174"/>
      <c r="D150" s="175"/>
      <c r="E150" s="174"/>
      <c r="F150" s="178" t="s">
        <v>169</v>
      </c>
      <c r="G150" s="174"/>
      <c r="H150" s="176"/>
      <c r="I150" s="174"/>
      <c r="J150" s="174"/>
      <c r="K150" s="177"/>
      <c r="AD150" s="112"/>
      <c r="AE150" s="112"/>
      <c r="AI150" s="112"/>
    </row>
    <row r="151" spans="2:35" s="11" customFormat="1" x14ac:dyDescent="0.3">
      <c r="B151" s="159"/>
      <c r="C151" s="169"/>
      <c r="D151" s="163" t="s">
        <v>90</v>
      </c>
      <c r="E151" s="169"/>
      <c r="F151" s="164" t="s">
        <v>175</v>
      </c>
      <c r="G151" s="169"/>
      <c r="H151" s="182">
        <f>2.25+4.87+2.13+6.75+2.13+13.5+3.15+1.13+17.5+2.91+37.5</f>
        <v>93.820000000000007</v>
      </c>
      <c r="I151" s="174"/>
      <c r="J151" s="169"/>
      <c r="K151" s="170"/>
      <c r="AD151" s="112"/>
      <c r="AE151" s="112"/>
      <c r="AI151" s="112"/>
    </row>
    <row r="152" spans="2:35" s="11" customFormat="1" x14ac:dyDescent="0.3">
      <c r="B152" s="159"/>
      <c r="C152" s="171"/>
      <c r="D152" s="166"/>
      <c r="E152" s="171"/>
      <c r="F152" s="167" t="s">
        <v>91</v>
      </c>
      <c r="G152" s="171"/>
      <c r="H152" s="168">
        <f>SUM(H150:H151)</f>
        <v>93.820000000000007</v>
      </c>
      <c r="I152" s="174"/>
      <c r="J152" s="174"/>
      <c r="K152" s="177"/>
      <c r="AD152" s="112"/>
      <c r="AE152" s="112"/>
      <c r="AI152" s="112"/>
    </row>
    <row r="153" spans="2:35" s="11" customFormat="1" x14ac:dyDescent="0.3">
      <c r="B153" s="159"/>
      <c r="C153" s="183">
        <f>C149+1</f>
        <v>19</v>
      </c>
      <c r="D153" s="183" t="s">
        <v>151</v>
      </c>
      <c r="E153" s="184" t="s">
        <v>177</v>
      </c>
      <c r="F153" s="185" t="s">
        <v>176</v>
      </c>
      <c r="G153" s="186" t="s">
        <v>89</v>
      </c>
      <c r="H153" s="187">
        <f>H149*1.03</f>
        <v>96.634600000000006</v>
      </c>
      <c r="I153" s="188"/>
      <c r="J153" s="190">
        <f t="shared" ref="J153" si="23">I153*H153</f>
        <v>0</v>
      </c>
      <c r="K153" s="189">
        <v>0.113</v>
      </c>
      <c r="M153" s="11">
        <f t="shared" ref="M153:M160" si="24">K153*H153</f>
        <v>10.919709800000001</v>
      </c>
      <c r="AD153" s="112"/>
      <c r="AE153" s="112"/>
      <c r="AI153" s="112"/>
    </row>
    <row r="154" spans="2:35" s="11" customFormat="1" x14ac:dyDescent="0.3">
      <c r="B154" s="159"/>
      <c r="C154" s="183">
        <f t="shared" ref="C154:C167" si="25">C153+1</f>
        <v>20</v>
      </c>
      <c r="D154" s="183" t="s">
        <v>151</v>
      </c>
      <c r="E154" s="184" t="s">
        <v>179</v>
      </c>
      <c r="F154" s="185" t="s">
        <v>178</v>
      </c>
      <c r="G154" s="186" t="s">
        <v>89</v>
      </c>
      <c r="H154" s="187">
        <f>5*3*0.165</f>
        <v>2.4750000000000001</v>
      </c>
      <c r="I154" s="188"/>
      <c r="J154" s="190">
        <f t="shared" ref="J154:J157" si="26">I154*H154</f>
        <v>0</v>
      </c>
      <c r="K154" s="189">
        <v>0.113</v>
      </c>
      <c r="M154" s="11">
        <f t="shared" si="24"/>
        <v>0.27967500000000001</v>
      </c>
      <c r="AD154" s="112"/>
      <c r="AE154" s="112"/>
      <c r="AI154" s="112"/>
    </row>
    <row r="155" spans="2:35" s="11" customFormat="1" ht="24" x14ac:dyDescent="0.3">
      <c r="B155" s="159"/>
      <c r="C155" s="105">
        <f t="shared" si="25"/>
        <v>21</v>
      </c>
      <c r="D155" s="105" t="s">
        <v>88</v>
      </c>
      <c r="E155" s="106" t="s">
        <v>181</v>
      </c>
      <c r="F155" s="107" t="s">
        <v>180</v>
      </c>
      <c r="G155" s="108" t="s">
        <v>182</v>
      </c>
      <c r="H155" s="109">
        <v>1</v>
      </c>
      <c r="I155" s="117"/>
      <c r="J155" s="110">
        <f t="shared" si="26"/>
        <v>0</v>
      </c>
      <c r="K155" s="158">
        <v>6.9999999999999999E-4</v>
      </c>
      <c r="M155" s="11">
        <f t="shared" si="24"/>
        <v>6.9999999999999999E-4</v>
      </c>
      <c r="AD155" s="112"/>
      <c r="AE155" s="112"/>
      <c r="AI155" s="112"/>
    </row>
    <row r="156" spans="2:35" s="11" customFormat="1" x14ac:dyDescent="0.3">
      <c r="B156" s="159"/>
      <c r="C156" s="183">
        <f t="shared" si="25"/>
        <v>22</v>
      </c>
      <c r="D156" s="183" t="s">
        <v>151</v>
      </c>
      <c r="E156" s="184" t="s">
        <v>184</v>
      </c>
      <c r="F156" s="185" t="s">
        <v>183</v>
      </c>
      <c r="G156" s="186" t="s">
        <v>182</v>
      </c>
      <c r="H156" s="187">
        <v>1</v>
      </c>
      <c r="I156" s="188"/>
      <c r="J156" s="190">
        <f t="shared" si="26"/>
        <v>0</v>
      </c>
      <c r="K156" s="189">
        <v>3.5000000000000001E-3</v>
      </c>
      <c r="M156" s="11">
        <f t="shared" si="24"/>
        <v>3.5000000000000001E-3</v>
      </c>
      <c r="AD156" s="112"/>
      <c r="AE156" s="112"/>
      <c r="AI156" s="112"/>
    </row>
    <row r="157" spans="2:35" s="11" customFormat="1" ht="24" x14ac:dyDescent="0.3">
      <c r="B157" s="159"/>
      <c r="C157" s="105">
        <f t="shared" si="25"/>
        <v>23</v>
      </c>
      <c r="D157" s="105" t="s">
        <v>88</v>
      </c>
      <c r="E157" s="106" t="s">
        <v>186</v>
      </c>
      <c r="F157" s="107" t="s">
        <v>185</v>
      </c>
      <c r="G157" s="108" t="s">
        <v>182</v>
      </c>
      <c r="H157" s="109">
        <v>1</v>
      </c>
      <c r="I157" s="117"/>
      <c r="J157" s="110">
        <f t="shared" si="26"/>
        <v>0</v>
      </c>
      <c r="K157" s="158">
        <v>0.11241</v>
      </c>
      <c r="M157" s="11">
        <f t="shared" si="24"/>
        <v>0.11241</v>
      </c>
      <c r="AD157" s="112"/>
      <c r="AE157" s="112"/>
      <c r="AI157" s="112"/>
    </row>
    <row r="158" spans="2:35" s="11" customFormat="1" x14ac:dyDescent="0.3">
      <c r="B158" s="159"/>
      <c r="C158" s="183">
        <f t="shared" si="25"/>
        <v>24</v>
      </c>
      <c r="D158" s="183" t="s">
        <v>151</v>
      </c>
      <c r="E158" s="184" t="s">
        <v>188</v>
      </c>
      <c r="F158" s="185" t="s">
        <v>187</v>
      </c>
      <c r="G158" s="186" t="s">
        <v>182</v>
      </c>
      <c r="H158" s="187">
        <v>1</v>
      </c>
      <c r="I158" s="188"/>
      <c r="J158" s="190">
        <f t="shared" ref="J158:J161" si="27">I158*H158</f>
        <v>0</v>
      </c>
      <c r="K158" s="189">
        <v>6.1000000000000004E-3</v>
      </c>
      <c r="M158" s="11">
        <f t="shared" si="24"/>
        <v>6.1000000000000004E-3</v>
      </c>
      <c r="AD158" s="112"/>
      <c r="AE158" s="112"/>
      <c r="AI158" s="112"/>
    </row>
    <row r="159" spans="2:35" s="11" customFormat="1" ht="36" x14ac:dyDescent="0.3">
      <c r="B159" s="159"/>
      <c r="C159" s="105">
        <f t="shared" si="25"/>
        <v>25</v>
      </c>
      <c r="D159" s="105" t="s">
        <v>88</v>
      </c>
      <c r="E159" s="106" t="s">
        <v>190</v>
      </c>
      <c r="F159" s="107" t="s">
        <v>189</v>
      </c>
      <c r="G159" s="108" t="s">
        <v>113</v>
      </c>
      <c r="H159" s="109">
        <f>5+7.5+5+3.5+5+3.5+5+3.244+7.5+1.5*3</f>
        <v>49.744</v>
      </c>
      <c r="I159" s="117"/>
      <c r="J159" s="110">
        <f t="shared" si="27"/>
        <v>0</v>
      </c>
      <c r="K159" s="158">
        <v>0.16850000000000001</v>
      </c>
      <c r="M159" s="11">
        <f t="shared" si="24"/>
        <v>8.3818640000000002</v>
      </c>
      <c r="AD159" s="112"/>
      <c r="AE159" s="112"/>
      <c r="AI159" s="112"/>
    </row>
    <row r="160" spans="2:35" s="11" customFormat="1" x14ac:dyDescent="0.3">
      <c r="B160" s="159"/>
      <c r="C160" s="183">
        <f t="shared" si="25"/>
        <v>26</v>
      </c>
      <c r="D160" s="183" t="s">
        <v>151</v>
      </c>
      <c r="E160" s="184" t="s">
        <v>192</v>
      </c>
      <c r="F160" s="185" t="s">
        <v>191</v>
      </c>
      <c r="G160" s="186" t="s">
        <v>113</v>
      </c>
      <c r="H160" s="187">
        <f>H159*1.15</f>
        <v>57.205599999999997</v>
      </c>
      <c r="I160" s="188"/>
      <c r="J160" s="190">
        <f t="shared" ref="J160:J167" si="28">I160*H160</f>
        <v>0</v>
      </c>
      <c r="K160" s="189">
        <v>0.08</v>
      </c>
      <c r="M160" s="11">
        <f t="shared" si="24"/>
        <v>4.5764480000000001</v>
      </c>
      <c r="AD160" s="112"/>
      <c r="AE160" s="112"/>
      <c r="AI160" s="112"/>
    </row>
    <row r="161" spans="2:35" s="11" customFormat="1" ht="24" x14ac:dyDescent="0.3">
      <c r="B161" s="159"/>
      <c r="C161" s="105">
        <f t="shared" si="25"/>
        <v>27</v>
      </c>
      <c r="D161" s="105" t="s">
        <v>88</v>
      </c>
      <c r="E161" s="106" t="s">
        <v>194</v>
      </c>
      <c r="F161" s="107" t="s">
        <v>193</v>
      </c>
      <c r="G161" s="108" t="s">
        <v>113</v>
      </c>
      <c r="H161" s="109">
        <f>3.244*2+1.5+1.5+4.5*2+1.5+1.5+5.15*2</f>
        <v>31.788</v>
      </c>
      <c r="I161" s="117"/>
      <c r="J161" s="110">
        <f t="shared" si="27"/>
        <v>0</v>
      </c>
      <c r="K161" s="158">
        <v>0.24127000000000001</v>
      </c>
      <c r="M161" s="11">
        <f t="shared" ref="M161:M167" si="29">K161*H161</f>
        <v>7.6694907600000004</v>
      </c>
      <c r="AD161" s="112"/>
      <c r="AE161" s="112"/>
      <c r="AI161" s="112"/>
    </row>
    <row r="162" spans="2:35" s="11" customFormat="1" x14ac:dyDescent="0.3">
      <c r="B162" s="159"/>
      <c r="C162" s="183">
        <f t="shared" si="25"/>
        <v>28</v>
      </c>
      <c r="D162" s="183" t="s">
        <v>151</v>
      </c>
      <c r="E162" s="184" t="s">
        <v>196</v>
      </c>
      <c r="F162" s="185" t="s">
        <v>195</v>
      </c>
      <c r="G162" s="186" t="s">
        <v>182</v>
      </c>
      <c r="H162" s="187">
        <f>(16*2+8+7+11*2+3*2)*1.05</f>
        <v>78.75</v>
      </c>
      <c r="I162" s="188"/>
      <c r="J162" s="190">
        <f t="shared" si="28"/>
        <v>0</v>
      </c>
      <c r="K162" s="189">
        <v>3.6499999999999998E-2</v>
      </c>
      <c r="M162" s="11">
        <f t="shared" si="29"/>
        <v>2.8743749999999997</v>
      </c>
      <c r="AD162" s="112"/>
      <c r="AE162" s="112"/>
      <c r="AI162" s="112"/>
    </row>
    <row r="163" spans="2:35" s="11" customFormat="1" x14ac:dyDescent="0.3">
      <c r="B163" s="159"/>
      <c r="C163" s="183">
        <f t="shared" si="25"/>
        <v>29</v>
      </c>
      <c r="D163" s="183" t="s">
        <v>151</v>
      </c>
      <c r="E163" s="184" t="s">
        <v>198</v>
      </c>
      <c r="F163" s="185" t="s">
        <v>197</v>
      </c>
      <c r="G163" s="186" t="s">
        <v>182</v>
      </c>
      <c r="H163" s="187">
        <f>(4*2+6*2)*1.05</f>
        <v>21</v>
      </c>
      <c r="I163" s="188"/>
      <c r="J163" s="190">
        <f t="shared" si="28"/>
        <v>0</v>
      </c>
      <c r="K163" s="189">
        <v>5.0500000000000003E-2</v>
      </c>
      <c r="M163" s="11">
        <f t="shared" si="29"/>
        <v>1.0605</v>
      </c>
      <c r="AD163" s="112"/>
      <c r="AE163" s="112"/>
      <c r="AI163" s="112"/>
    </row>
    <row r="164" spans="2:35" s="11" customFormat="1" x14ac:dyDescent="0.3">
      <c r="B164" s="159"/>
      <c r="C164" s="183">
        <f t="shared" si="25"/>
        <v>30</v>
      </c>
      <c r="D164" s="183" t="s">
        <v>151</v>
      </c>
      <c r="E164" s="184">
        <v>59228414</v>
      </c>
      <c r="F164" s="185" t="s">
        <v>199</v>
      </c>
      <c r="G164" s="186" t="s">
        <v>182</v>
      </c>
      <c r="H164" s="187">
        <f>(16*2+8+8+6*2)*1.05</f>
        <v>63</v>
      </c>
      <c r="I164" s="188"/>
      <c r="J164" s="190">
        <f t="shared" si="28"/>
        <v>0</v>
      </c>
      <c r="K164" s="189">
        <v>6.1499999999999999E-2</v>
      </c>
      <c r="M164" s="11">
        <f t="shared" si="29"/>
        <v>3.8744999999999998</v>
      </c>
      <c r="AD164" s="112"/>
      <c r="AE164" s="112"/>
      <c r="AI164" s="112"/>
    </row>
    <row r="165" spans="2:35" s="11" customFormat="1" ht="24" x14ac:dyDescent="0.3">
      <c r="B165" s="159"/>
      <c r="C165" s="105">
        <f t="shared" si="25"/>
        <v>31</v>
      </c>
      <c r="D165" s="105" t="s">
        <v>88</v>
      </c>
      <c r="E165" s="106">
        <v>339921133</v>
      </c>
      <c r="F165" s="107" t="s">
        <v>200</v>
      </c>
      <c r="G165" s="108" t="s">
        <v>113</v>
      </c>
      <c r="H165" s="109">
        <f>5.15*2</f>
        <v>10.3</v>
      </c>
      <c r="I165" s="117"/>
      <c r="J165" s="110">
        <f t="shared" si="28"/>
        <v>0</v>
      </c>
      <c r="K165" s="158">
        <v>0.29757</v>
      </c>
      <c r="M165" s="11">
        <f t="shared" si="29"/>
        <v>3.0649710000000003</v>
      </c>
      <c r="AD165" s="112"/>
      <c r="AE165" s="112"/>
      <c r="AI165" s="112"/>
    </row>
    <row r="166" spans="2:35" s="11" customFormat="1" x14ac:dyDescent="0.3">
      <c r="B166" s="159"/>
      <c r="C166" s="183">
        <f t="shared" si="25"/>
        <v>32</v>
      </c>
      <c r="D166" s="183" t="s">
        <v>151</v>
      </c>
      <c r="E166" s="184" t="s">
        <v>202</v>
      </c>
      <c r="F166" s="185" t="s">
        <v>201</v>
      </c>
      <c r="G166" s="186" t="s">
        <v>182</v>
      </c>
      <c r="H166" s="187">
        <f>14*1.05</f>
        <v>14.700000000000001</v>
      </c>
      <c r="I166" s="188"/>
      <c r="J166" s="190">
        <f t="shared" si="28"/>
        <v>0</v>
      </c>
      <c r="K166" s="189">
        <v>7.1999999999999995E-2</v>
      </c>
      <c r="M166" s="11">
        <f t="shared" si="29"/>
        <v>1.0584</v>
      </c>
      <c r="AD166" s="112"/>
      <c r="AE166" s="112"/>
      <c r="AI166" s="112"/>
    </row>
    <row r="167" spans="2:35" s="11" customFormat="1" x14ac:dyDescent="0.3">
      <c r="B167" s="159"/>
      <c r="C167" s="183">
        <f t="shared" si="25"/>
        <v>33</v>
      </c>
      <c r="D167" s="183" t="s">
        <v>151</v>
      </c>
      <c r="E167" s="184" t="s">
        <v>204</v>
      </c>
      <c r="F167" s="185" t="s">
        <v>203</v>
      </c>
      <c r="G167" s="186" t="s">
        <v>182</v>
      </c>
      <c r="H167" s="187">
        <f>8*1.05</f>
        <v>8.4</v>
      </c>
      <c r="I167" s="188"/>
      <c r="J167" s="190">
        <f t="shared" si="28"/>
        <v>0</v>
      </c>
      <c r="K167" s="189">
        <v>0.10050000000000001</v>
      </c>
      <c r="M167" s="11">
        <f t="shared" si="29"/>
        <v>0.84420000000000006</v>
      </c>
      <c r="AD167" s="112"/>
      <c r="AE167" s="112"/>
      <c r="AI167" s="112"/>
    </row>
    <row r="168" spans="2:35" s="11" customFormat="1" ht="19.8" customHeight="1" x14ac:dyDescent="0.35">
      <c r="B168" s="159"/>
      <c r="C168" s="152"/>
      <c r="D168" s="114" t="s">
        <v>61</v>
      </c>
      <c r="E168" s="115"/>
      <c r="F168" s="115" t="s">
        <v>222</v>
      </c>
      <c r="G168" s="152"/>
      <c r="H168" s="152"/>
      <c r="I168" s="154"/>
      <c r="J168" s="116">
        <f>SUM(J169:J176)</f>
        <v>0</v>
      </c>
      <c r="K168" s="156"/>
      <c r="AD168" s="112"/>
      <c r="AE168" s="112"/>
      <c r="AI168" s="112"/>
    </row>
    <row r="169" spans="2:35" s="11" customFormat="1" ht="24" x14ac:dyDescent="0.3">
      <c r="B169" s="159"/>
      <c r="C169" s="105">
        <f>C167+1</f>
        <v>34</v>
      </c>
      <c r="D169" s="105" t="s">
        <v>88</v>
      </c>
      <c r="E169" s="106" t="s">
        <v>224</v>
      </c>
      <c r="F169" s="107" t="s">
        <v>223</v>
      </c>
      <c r="G169" s="108" t="s">
        <v>89</v>
      </c>
      <c r="H169" s="109">
        <f>27.19+6.77+10.3+7.38</f>
        <v>51.640000000000008</v>
      </c>
      <c r="I169" s="117"/>
      <c r="J169" s="110">
        <f t="shared" ref="J169:J170" si="30">I169*H169</f>
        <v>0</v>
      </c>
      <c r="K169" s="158"/>
      <c r="AD169" s="112"/>
      <c r="AE169" s="112"/>
      <c r="AI169" s="112"/>
    </row>
    <row r="170" spans="2:35" s="11" customFormat="1" x14ac:dyDescent="0.3">
      <c r="B170" s="159"/>
      <c r="C170" s="105">
        <f>C169+1</f>
        <v>35</v>
      </c>
      <c r="D170" s="105" t="s">
        <v>88</v>
      </c>
      <c r="E170" s="106" t="s">
        <v>226</v>
      </c>
      <c r="F170" s="107" t="s">
        <v>225</v>
      </c>
      <c r="G170" s="108" t="s">
        <v>92</v>
      </c>
      <c r="H170" s="109">
        <f>H169*0.25</f>
        <v>12.910000000000002</v>
      </c>
      <c r="I170" s="117"/>
      <c r="J170" s="110">
        <f t="shared" si="30"/>
        <v>0</v>
      </c>
      <c r="K170" s="158"/>
      <c r="AD170" s="112"/>
      <c r="AE170" s="112"/>
      <c r="AI170" s="112"/>
    </row>
    <row r="171" spans="2:35" s="11" customFormat="1" ht="24" x14ac:dyDescent="0.3">
      <c r="B171" s="159"/>
      <c r="C171" s="105">
        <f t="shared" ref="C171:C172" si="31">C170+1</f>
        <v>36</v>
      </c>
      <c r="D171" s="105" t="s">
        <v>88</v>
      </c>
      <c r="E171" s="106" t="s">
        <v>228</v>
      </c>
      <c r="F171" s="107" t="s">
        <v>227</v>
      </c>
      <c r="G171" s="108" t="s">
        <v>89</v>
      </c>
      <c r="H171" s="109">
        <f>H169</f>
        <v>51.640000000000008</v>
      </c>
      <c r="I171" s="117"/>
      <c r="J171" s="110">
        <f t="shared" ref="J171:J172" si="32">I171*H171</f>
        <v>0</v>
      </c>
      <c r="K171" s="158"/>
      <c r="AD171" s="112"/>
      <c r="AE171" s="112"/>
      <c r="AI171" s="112"/>
    </row>
    <row r="172" spans="2:35" s="11" customFormat="1" x14ac:dyDescent="0.3">
      <c r="B172" s="159"/>
      <c r="C172" s="183">
        <f t="shared" si="31"/>
        <v>37</v>
      </c>
      <c r="D172" s="183" t="s">
        <v>151</v>
      </c>
      <c r="E172" s="184" t="s">
        <v>230</v>
      </c>
      <c r="F172" s="185" t="s">
        <v>229</v>
      </c>
      <c r="G172" s="186" t="s">
        <v>231</v>
      </c>
      <c r="H172" s="187">
        <v>2</v>
      </c>
      <c r="I172" s="188"/>
      <c r="J172" s="190">
        <f t="shared" si="32"/>
        <v>0</v>
      </c>
      <c r="K172" s="189">
        <v>1E-3</v>
      </c>
      <c r="M172" s="11">
        <f t="shared" ref="M172" si="33">K172*H172</f>
        <v>2E-3</v>
      </c>
      <c r="AD172" s="112"/>
      <c r="AE172" s="112"/>
      <c r="AI172" s="112"/>
    </row>
    <row r="173" spans="2:35" s="11" customFormat="1" ht="36" x14ac:dyDescent="0.3">
      <c r="B173" s="159"/>
      <c r="C173" s="105">
        <f t="shared" ref="C173:C175" si="34">C172+1</f>
        <v>38</v>
      </c>
      <c r="D173" s="105" t="s">
        <v>88</v>
      </c>
      <c r="E173" s="106" t="s">
        <v>233</v>
      </c>
      <c r="F173" s="107" t="s">
        <v>232</v>
      </c>
      <c r="G173" s="108" t="s">
        <v>89</v>
      </c>
      <c r="H173" s="109">
        <f>H169</f>
        <v>51.640000000000008</v>
      </c>
      <c r="I173" s="117"/>
      <c r="J173" s="110">
        <f t="shared" ref="J173:J175" si="35">I173*H173</f>
        <v>0</v>
      </c>
      <c r="K173" s="158"/>
      <c r="AD173" s="112"/>
      <c r="AE173" s="112"/>
      <c r="AI173" s="112"/>
    </row>
    <row r="174" spans="2:35" s="11" customFormat="1" ht="24" x14ac:dyDescent="0.3">
      <c r="B174" s="159"/>
      <c r="C174" s="105">
        <f t="shared" si="34"/>
        <v>39</v>
      </c>
      <c r="D174" s="105" t="s">
        <v>88</v>
      </c>
      <c r="E174" s="106" t="s">
        <v>235</v>
      </c>
      <c r="F174" s="107" t="s">
        <v>234</v>
      </c>
      <c r="G174" s="108" t="s">
        <v>182</v>
      </c>
      <c r="H174" s="109">
        <v>20</v>
      </c>
      <c r="I174" s="117"/>
      <c r="J174" s="110">
        <f t="shared" si="35"/>
        <v>0</v>
      </c>
      <c r="K174" s="158"/>
      <c r="AD174" s="112"/>
      <c r="AE174" s="112"/>
      <c r="AI174" s="112"/>
    </row>
    <row r="175" spans="2:35" s="11" customFormat="1" x14ac:dyDescent="0.3">
      <c r="B175" s="159"/>
      <c r="C175" s="183">
        <f t="shared" si="34"/>
        <v>40</v>
      </c>
      <c r="D175" s="183" t="s">
        <v>151</v>
      </c>
      <c r="E175" s="184" t="s">
        <v>237</v>
      </c>
      <c r="F175" s="185" t="s">
        <v>236</v>
      </c>
      <c r="G175" s="186" t="s">
        <v>182</v>
      </c>
      <c r="H175" s="187">
        <f>H174</f>
        <v>20</v>
      </c>
      <c r="I175" s="188"/>
      <c r="J175" s="190">
        <f t="shared" si="35"/>
        <v>0</v>
      </c>
      <c r="K175" s="189">
        <v>8.9999999999999993E-3</v>
      </c>
      <c r="M175" s="11">
        <f t="shared" ref="M175" si="36">K175*H175</f>
        <v>0.18</v>
      </c>
      <c r="AD175" s="112"/>
      <c r="AE175" s="112"/>
      <c r="AI175" s="112"/>
    </row>
    <row r="176" spans="2:35" s="11" customFormat="1" x14ac:dyDescent="0.3">
      <c r="B176" s="159"/>
      <c r="C176" s="105">
        <f>C175+1</f>
        <v>41</v>
      </c>
      <c r="D176" s="105" t="s">
        <v>88</v>
      </c>
      <c r="E176" s="106" t="s">
        <v>218</v>
      </c>
      <c r="F176" s="107" t="s">
        <v>245</v>
      </c>
      <c r="G176" s="108" t="s">
        <v>243</v>
      </c>
      <c r="H176" s="109">
        <v>1</v>
      </c>
      <c r="I176" s="117"/>
      <c r="J176" s="110">
        <f>I176*H176</f>
        <v>0</v>
      </c>
      <c r="K176" s="158"/>
      <c r="AD176" s="112"/>
      <c r="AE176" s="112"/>
      <c r="AI176" s="112"/>
    </row>
    <row r="177" spans="2:35" s="11" customFormat="1" ht="19.8" customHeight="1" x14ac:dyDescent="0.35">
      <c r="B177" s="159"/>
      <c r="C177" s="152"/>
      <c r="D177" s="114" t="s">
        <v>61</v>
      </c>
      <c r="E177" s="115"/>
      <c r="F177" s="115" t="s">
        <v>114</v>
      </c>
      <c r="G177" s="152"/>
      <c r="H177" s="152"/>
      <c r="I177" s="154"/>
      <c r="J177" s="116">
        <f>SUM(J178:J181)</f>
        <v>0</v>
      </c>
      <c r="K177" s="156"/>
      <c r="AD177" s="112"/>
      <c r="AE177" s="112"/>
      <c r="AI177" s="112"/>
    </row>
    <row r="178" spans="2:35" s="11" customFormat="1" x14ac:dyDescent="0.3">
      <c r="B178" s="159"/>
      <c r="C178" s="105">
        <f>C176+1</f>
        <v>42</v>
      </c>
      <c r="D178" s="105" t="s">
        <v>88</v>
      </c>
      <c r="E178" s="106" t="s">
        <v>116</v>
      </c>
      <c r="F178" s="107" t="s">
        <v>115</v>
      </c>
      <c r="G178" s="108" t="s">
        <v>93</v>
      </c>
      <c r="H178" s="109">
        <f>O135+O145</f>
        <v>13.067995</v>
      </c>
      <c r="I178" s="117"/>
      <c r="J178" s="110">
        <f t="shared" ref="J178" si="37">I178*H178</f>
        <v>0</v>
      </c>
      <c r="K178" s="158"/>
      <c r="M178" s="1"/>
      <c r="AD178" s="112"/>
      <c r="AE178" s="112"/>
      <c r="AI178" s="112"/>
    </row>
    <row r="179" spans="2:35" s="11" customFormat="1" x14ac:dyDescent="0.3">
      <c r="B179" s="159"/>
      <c r="C179" s="105">
        <f>C178+1</f>
        <v>43</v>
      </c>
      <c r="D179" s="105" t="s">
        <v>88</v>
      </c>
      <c r="E179" s="106" t="s">
        <v>118</v>
      </c>
      <c r="F179" s="107" t="s">
        <v>117</v>
      </c>
      <c r="G179" s="108" t="s">
        <v>93</v>
      </c>
      <c r="H179" s="109">
        <f>H178</f>
        <v>13.067995</v>
      </c>
      <c r="I179" s="117"/>
      <c r="J179" s="110">
        <f t="shared" ref="J179:J181" si="38">I179*H179</f>
        <v>0</v>
      </c>
      <c r="K179" s="158"/>
      <c r="M179" s="1"/>
      <c r="AD179" s="112"/>
      <c r="AE179" s="112"/>
      <c r="AI179" s="112"/>
    </row>
    <row r="180" spans="2:35" s="11" customFormat="1" x14ac:dyDescent="0.3">
      <c r="B180" s="159"/>
      <c r="C180" s="105">
        <f t="shared" ref="C180:C181" si="39">C179+1</f>
        <v>44</v>
      </c>
      <c r="D180" s="105" t="s">
        <v>88</v>
      </c>
      <c r="E180" s="106" t="s">
        <v>120</v>
      </c>
      <c r="F180" s="107" t="s">
        <v>119</v>
      </c>
      <c r="G180" s="108" t="s">
        <v>93</v>
      </c>
      <c r="H180" s="109">
        <f>H179*24</f>
        <v>313.63188000000002</v>
      </c>
      <c r="I180" s="117"/>
      <c r="J180" s="110">
        <f t="shared" si="38"/>
        <v>0</v>
      </c>
      <c r="K180" s="158"/>
      <c r="M180" s="1"/>
      <c r="AD180" s="112"/>
      <c r="AE180" s="112"/>
      <c r="AI180" s="112"/>
    </row>
    <row r="181" spans="2:35" s="11" customFormat="1" ht="24" x14ac:dyDescent="0.3">
      <c r="B181" s="159"/>
      <c r="C181" s="105">
        <f t="shared" si="39"/>
        <v>45</v>
      </c>
      <c r="D181" s="105" t="s">
        <v>88</v>
      </c>
      <c r="E181" s="106" t="s">
        <v>172</v>
      </c>
      <c r="F181" s="107" t="s">
        <v>171</v>
      </c>
      <c r="G181" s="108" t="s">
        <v>93</v>
      </c>
      <c r="H181" s="109">
        <f>H179</f>
        <v>13.067995</v>
      </c>
      <c r="I181" s="117"/>
      <c r="J181" s="110">
        <f t="shared" si="38"/>
        <v>0</v>
      </c>
      <c r="K181" s="158"/>
      <c r="M181" s="1"/>
      <c r="AD181" s="112"/>
      <c r="AE181" s="112"/>
      <c r="AI181" s="112"/>
    </row>
    <row r="182" spans="2:35" s="11" customFormat="1" ht="22.8" customHeight="1" x14ac:dyDescent="0.35">
      <c r="B182" s="159"/>
      <c r="C182" s="152"/>
      <c r="D182" s="114" t="s">
        <v>61</v>
      </c>
      <c r="E182" s="115"/>
      <c r="F182" s="115" t="s">
        <v>94</v>
      </c>
      <c r="G182" s="152"/>
      <c r="H182" s="152"/>
      <c r="I182" s="154"/>
      <c r="J182" s="116">
        <f>SUM(J183:J183)</f>
        <v>0</v>
      </c>
      <c r="K182" s="156"/>
      <c r="AD182" s="112"/>
      <c r="AE182" s="112"/>
      <c r="AI182" s="112"/>
    </row>
    <row r="183" spans="2:35" s="11" customFormat="1" ht="24" x14ac:dyDescent="0.3">
      <c r="B183" s="159"/>
      <c r="C183" s="105">
        <f>C181+1</f>
        <v>46</v>
      </c>
      <c r="D183" s="105" t="s">
        <v>88</v>
      </c>
      <c r="E183" s="106" t="s">
        <v>206</v>
      </c>
      <c r="F183" s="107" t="s">
        <v>205</v>
      </c>
      <c r="G183" s="108" t="s">
        <v>93</v>
      </c>
      <c r="H183" s="109">
        <f>SUM(M91:M176)</f>
        <v>165.09165546200006</v>
      </c>
      <c r="I183" s="117"/>
      <c r="J183" s="110">
        <f t="shared" ref="J183" si="40">I183*H183</f>
        <v>0</v>
      </c>
      <c r="K183" s="158"/>
      <c r="AD183" s="112"/>
      <c r="AE183" s="112"/>
      <c r="AI183" s="112"/>
    </row>
    <row r="184" spans="2:35" s="11" customFormat="1" ht="37.200000000000003" customHeight="1" x14ac:dyDescent="0.35">
      <c r="B184" s="159"/>
      <c r="C184" s="152"/>
      <c r="D184" s="114" t="s">
        <v>61</v>
      </c>
      <c r="E184" s="153" t="s">
        <v>213</v>
      </c>
      <c r="F184" s="153" t="s">
        <v>214</v>
      </c>
      <c r="G184" s="152"/>
      <c r="H184" s="152"/>
      <c r="I184" s="154"/>
      <c r="J184" s="155">
        <f>J185+J188+J192</f>
        <v>0</v>
      </c>
      <c r="K184" s="156"/>
      <c r="AD184" s="112"/>
      <c r="AE184" s="112"/>
      <c r="AI184" s="112"/>
    </row>
    <row r="185" spans="2:35" s="11" customFormat="1" ht="19.8" customHeight="1" x14ac:dyDescent="0.35">
      <c r="B185" s="159"/>
      <c r="C185" s="152"/>
      <c r="D185" s="114" t="s">
        <v>61</v>
      </c>
      <c r="E185" s="115"/>
      <c r="F185" s="115" t="s">
        <v>207</v>
      </c>
      <c r="G185" s="152"/>
      <c r="H185" s="152"/>
      <c r="I185" s="154"/>
      <c r="J185" s="116">
        <f>SUM(J186:J187)</f>
        <v>0</v>
      </c>
      <c r="K185" s="156"/>
      <c r="AD185" s="112"/>
      <c r="AE185" s="112"/>
      <c r="AI185" s="112"/>
    </row>
    <row r="186" spans="2:35" s="11" customFormat="1" ht="24" x14ac:dyDescent="0.3">
      <c r="B186" s="159"/>
      <c r="C186" s="105">
        <f>C183+1</f>
        <v>47</v>
      </c>
      <c r="D186" s="105" t="s">
        <v>88</v>
      </c>
      <c r="E186" s="106" t="s">
        <v>209</v>
      </c>
      <c r="F186" s="107" t="s">
        <v>208</v>
      </c>
      <c r="G186" s="108" t="s">
        <v>89</v>
      </c>
      <c r="H186" s="109">
        <f>(3.244*2+1.5+1.5+4.5*2+1.5+1.5+9*2)*1.2</f>
        <v>47.385599999999997</v>
      </c>
      <c r="I186" s="117"/>
      <c r="J186" s="110">
        <f>I186*H186</f>
        <v>0</v>
      </c>
      <c r="K186" s="158"/>
      <c r="AD186" s="112"/>
      <c r="AE186" s="112"/>
      <c r="AI186" s="112"/>
    </row>
    <row r="187" spans="2:35" s="11" customFormat="1" ht="36" x14ac:dyDescent="0.3">
      <c r="B187" s="159"/>
      <c r="C187" s="105">
        <f>C186+1</f>
        <v>48</v>
      </c>
      <c r="D187" s="105" t="s">
        <v>88</v>
      </c>
      <c r="E187" s="106" t="s">
        <v>211</v>
      </c>
      <c r="F187" s="107" t="s">
        <v>210</v>
      </c>
      <c r="G187" s="108" t="s">
        <v>212</v>
      </c>
      <c r="H187" s="109">
        <f>SUM(J186)/100</f>
        <v>0</v>
      </c>
      <c r="I187" s="117"/>
      <c r="J187" s="110">
        <f>I187*H187</f>
        <v>0</v>
      </c>
      <c r="K187" s="158"/>
      <c r="AD187" s="112"/>
      <c r="AE187" s="112"/>
      <c r="AI187" s="112"/>
    </row>
    <row r="188" spans="2:35" s="11" customFormat="1" ht="19.8" customHeight="1" x14ac:dyDescent="0.35">
      <c r="B188" s="159"/>
      <c r="C188" s="152"/>
      <c r="D188" s="114" t="s">
        <v>61</v>
      </c>
      <c r="E188" s="115"/>
      <c r="F188" s="115" t="s">
        <v>215</v>
      </c>
      <c r="G188" s="152"/>
      <c r="H188" s="152"/>
      <c r="I188" s="154"/>
      <c r="J188" s="116">
        <f>SUM(J189:J191)</f>
        <v>0</v>
      </c>
      <c r="K188" s="156"/>
      <c r="AD188" s="112"/>
      <c r="AE188" s="112"/>
      <c r="AI188" s="112"/>
    </row>
    <row r="189" spans="2:35" s="11" customFormat="1" x14ac:dyDescent="0.3">
      <c r="B189" s="159"/>
      <c r="C189" s="105">
        <f>C187+1</f>
        <v>49</v>
      </c>
      <c r="D189" s="105" t="s">
        <v>88</v>
      </c>
      <c r="E189" s="106" t="s">
        <v>217</v>
      </c>
      <c r="F189" s="107" t="s">
        <v>216</v>
      </c>
      <c r="G189" s="108" t="s">
        <v>113</v>
      </c>
      <c r="H189" s="109">
        <f>H161+H165</f>
        <v>42.088000000000001</v>
      </c>
      <c r="I189" s="117"/>
      <c r="J189" s="110">
        <f>I189*H189</f>
        <v>0</v>
      </c>
      <c r="K189" s="158"/>
      <c r="AD189" s="112"/>
      <c r="AE189" s="112"/>
      <c r="AI189" s="112"/>
    </row>
    <row r="190" spans="2:35" s="11" customFormat="1" x14ac:dyDescent="0.3">
      <c r="B190" s="159"/>
      <c r="C190" s="183">
        <f>C189+1</f>
        <v>50</v>
      </c>
      <c r="D190" s="183" t="s">
        <v>151</v>
      </c>
      <c r="E190" s="184" t="s">
        <v>218</v>
      </c>
      <c r="F190" s="185" t="s">
        <v>219</v>
      </c>
      <c r="G190" s="186" t="s">
        <v>113</v>
      </c>
      <c r="H190" s="187">
        <f>H189*1.15</f>
        <v>48.401199999999996</v>
      </c>
      <c r="I190" s="188"/>
      <c r="J190" s="190">
        <f t="shared" ref="J190" si="41">I190*H190</f>
        <v>0</v>
      </c>
      <c r="K190" s="189"/>
      <c r="AD190" s="112"/>
      <c r="AE190" s="112"/>
      <c r="AI190" s="112"/>
    </row>
    <row r="191" spans="2:35" s="11" customFormat="1" ht="36" x14ac:dyDescent="0.3">
      <c r="B191" s="159"/>
      <c r="C191" s="105">
        <f>C190+1</f>
        <v>51</v>
      </c>
      <c r="D191" s="105" t="s">
        <v>88</v>
      </c>
      <c r="E191" s="106" t="s">
        <v>221</v>
      </c>
      <c r="F191" s="107" t="s">
        <v>220</v>
      </c>
      <c r="G191" s="108" t="s">
        <v>212</v>
      </c>
      <c r="H191" s="109">
        <f>SUM(J189:J190)/100</f>
        <v>0</v>
      </c>
      <c r="I191" s="117"/>
      <c r="J191" s="110">
        <f>I191*H191</f>
        <v>0</v>
      </c>
      <c r="K191" s="158"/>
      <c r="AD191" s="112"/>
      <c r="AE191" s="112"/>
      <c r="AI191" s="112"/>
    </row>
    <row r="192" spans="2:35" s="11" customFormat="1" ht="19.8" customHeight="1" x14ac:dyDescent="0.35">
      <c r="B192" s="159"/>
      <c r="C192" s="152"/>
      <c r="D192" s="114" t="s">
        <v>61</v>
      </c>
      <c r="E192" s="115"/>
      <c r="F192" s="115" t="s">
        <v>242</v>
      </c>
      <c r="G192" s="152"/>
      <c r="H192" s="152"/>
      <c r="I192" s="154"/>
      <c r="J192" s="116">
        <f>SUM(J193:J194)</f>
        <v>0</v>
      </c>
      <c r="K192" s="156"/>
      <c r="AD192" s="112"/>
      <c r="AE192" s="112"/>
      <c r="AI192" s="112"/>
    </row>
    <row r="193" spans="2:35" s="11" customFormat="1" x14ac:dyDescent="0.3">
      <c r="B193" s="159"/>
      <c r="C193" s="105">
        <f>C191+1</f>
        <v>52</v>
      </c>
      <c r="D193" s="105" t="s">
        <v>88</v>
      </c>
      <c r="E193" s="106" t="s">
        <v>239</v>
      </c>
      <c r="F193" s="107" t="s">
        <v>238</v>
      </c>
      <c r="G193" s="108" t="s">
        <v>89</v>
      </c>
      <c r="H193" s="109">
        <f>2.25+4.87+2.13+6.75+2.13+13.5</f>
        <v>31.63</v>
      </c>
      <c r="I193" s="117"/>
      <c r="J193" s="110">
        <f>I193*H193</f>
        <v>0</v>
      </c>
      <c r="K193" s="158"/>
      <c r="AD193" s="112"/>
      <c r="AE193" s="112"/>
      <c r="AI193" s="112"/>
    </row>
    <row r="194" spans="2:35" s="11" customFormat="1" ht="24" x14ac:dyDescent="0.3">
      <c r="B194" s="159"/>
      <c r="C194" s="105">
        <f>C193+1</f>
        <v>53</v>
      </c>
      <c r="D194" s="105" t="s">
        <v>88</v>
      </c>
      <c r="E194" s="106" t="s">
        <v>240</v>
      </c>
      <c r="F194" s="107" t="s">
        <v>241</v>
      </c>
      <c r="G194" s="108" t="s">
        <v>89</v>
      </c>
      <c r="H194" s="109">
        <f>H193</f>
        <v>31.63</v>
      </c>
      <c r="I194" s="117"/>
      <c r="J194" s="110">
        <f>I194*H194</f>
        <v>0</v>
      </c>
      <c r="K194" s="158"/>
      <c r="AD194" s="112"/>
      <c r="AE194" s="112"/>
      <c r="AI194" s="112"/>
    </row>
    <row r="195" spans="2:35" s="11" customFormat="1" ht="37.200000000000003" customHeight="1" x14ac:dyDescent="0.35">
      <c r="B195" s="159"/>
      <c r="C195" s="152"/>
      <c r="D195" s="114" t="s">
        <v>61</v>
      </c>
      <c r="E195" s="153" t="s">
        <v>246</v>
      </c>
      <c r="F195" s="153" t="s">
        <v>247</v>
      </c>
      <c r="G195" s="152"/>
      <c r="H195" s="152"/>
      <c r="I195" s="154"/>
      <c r="J195" s="155">
        <f>J196</f>
        <v>0</v>
      </c>
      <c r="K195" s="156"/>
      <c r="AD195" s="112"/>
      <c r="AE195" s="112"/>
      <c r="AI195" s="112"/>
    </row>
    <row r="196" spans="2:35" s="11" customFormat="1" ht="19.8" customHeight="1" x14ac:dyDescent="0.35">
      <c r="B196" s="159"/>
      <c r="C196" s="152"/>
      <c r="D196" s="114" t="s">
        <v>61</v>
      </c>
      <c r="E196" s="115"/>
      <c r="F196" s="115" t="s">
        <v>248</v>
      </c>
      <c r="G196" s="152"/>
      <c r="H196" s="152"/>
      <c r="I196" s="154"/>
      <c r="J196" s="116">
        <f>SUM(J197:J200)</f>
        <v>0</v>
      </c>
      <c r="K196" s="156"/>
      <c r="AD196" s="112"/>
      <c r="AE196" s="112"/>
      <c r="AI196" s="112"/>
    </row>
    <row r="197" spans="2:35" s="11" customFormat="1" x14ac:dyDescent="0.3">
      <c r="B197" s="159"/>
      <c r="C197" s="105">
        <f>C194+1</f>
        <v>54</v>
      </c>
      <c r="D197" s="105" t="s">
        <v>88</v>
      </c>
      <c r="E197" s="106" t="s">
        <v>250</v>
      </c>
      <c r="F197" s="107" t="s">
        <v>249</v>
      </c>
      <c r="G197" s="108" t="s">
        <v>243</v>
      </c>
      <c r="H197" s="109">
        <v>1</v>
      </c>
      <c r="I197" s="117"/>
      <c r="J197" s="110">
        <f>I197*H197</f>
        <v>0</v>
      </c>
      <c r="K197" s="158"/>
      <c r="AD197" s="112"/>
      <c r="AE197" s="112"/>
      <c r="AI197" s="112"/>
    </row>
    <row r="198" spans="2:35" s="11" customFormat="1" x14ac:dyDescent="0.3">
      <c r="B198" s="159"/>
      <c r="C198" s="105">
        <f>C197+1</f>
        <v>55</v>
      </c>
      <c r="D198" s="105" t="s">
        <v>88</v>
      </c>
      <c r="E198" s="106" t="s">
        <v>254</v>
      </c>
      <c r="F198" s="107" t="s">
        <v>253</v>
      </c>
      <c r="G198" s="108" t="s">
        <v>243</v>
      </c>
      <c r="H198" s="109">
        <v>1</v>
      </c>
      <c r="I198" s="117"/>
      <c r="J198" s="110">
        <f t="shared" ref="J198:J199" si="42">I198*H198</f>
        <v>0</v>
      </c>
      <c r="K198" s="158"/>
      <c r="AD198" s="112"/>
      <c r="AE198" s="112"/>
      <c r="AI198" s="112"/>
    </row>
    <row r="199" spans="2:35" s="11" customFormat="1" x14ac:dyDescent="0.3">
      <c r="B199" s="159"/>
      <c r="C199" s="105">
        <f>C198+1</f>
        <v>56</v>
      </c>
      <c r="D199" s="105" t="s">
        <v>88</v>
      </c>
      <c r="E199" s="106" t="s">
        <v>252</v>
      </c>
      <c r="F199" s="107" t="s">
        <v>251</v>
      </c>
      <c r="G199" s="108" t="s">
        <v>243</v>
      </c>
      <c r="H199" s="109">
        <v>1</v>
      </c>
      <c r="I199" s="117"/>
      <c r="J199" s="110">
        <f t="shared" si="42"/>
        <v>0</v>
      </c>
      <c r="K199" s="158"/>
      <c r="AD199" s="112"/>
      <c r="AE199" s="112"/>
      <c r="AI199" s="112"/>
    </row>
    <row r="200" spans="2:35" s="1" customFormat="1" ht="6.9" customHeight="1" x14ac:dyDescent="0.3">
      <c r="B200" s="160"/>
      <c r="C200" s="161"/>
      <c r="D200" s="161"/>
      <c r="E200" s="161"/>
      <c r="F200" s="161"/>
      <c r="G200" s="161"/>
      <c r="H200" s="161"/>
      <c r="I200" s="161"/>
      <c r="J200" s="161"/>
      <c r="K200" s="162"/>
    </row>
    <row r="205" spans="2:35" x14ac:dyDescent="0.3">
      <c r="J205" s="191"/>
    </row>
    <row r="206" spans="2:35" x14ac:dyDescent="0.3">
      <c r="J206" s="191"/>
    </row>
    <row r="207" spans="2:35" x14ac:dyDescent="0.3">
      <c r="J207" s="191"/>
    </row>
  </sheetData>
  <autoFilter ref="C87:K126" xr:uid="{00000000-0009-0000-0000-000001000000}"/>
  <mergeCells count="9">
    <mergeCell ref="J51:J52"/>
    <mergeCell ref="E78:H78"/>
    <mergeCell ref="E80:H80"/>
    <mergeCell ref="G1:H1"/>
    <mergeCell ref="E7:H7"/>
    <mergeCell ref="E9:H9"/>
    <mergeCell ref="E24:H24"/>
    <mergeCell ref="E45:H45"/>
    <mergeCell ref="E47:H47"/>
  </mergeCells>
  <phoneticPr fontId="0" type="noConversion"/>
  <hyperlinks>
    <hyperlink ref="F1:G1" location="C2" display="1) Krycí list soupisu" xr:uid="{A0D25E02-5D04-457F-9238-EA0929FBBB14}"/>
    <hyperlink ref="G1:H1" location="C54" display="2) Rekapitulace" xr:uid="{B191BCAD-5A42-40C0-B3E2-C1AFCD9D60B3}"/>
    <hyperlink ref="J1" location="C78" display="3) Soupis prací" xr:uid="{8AA3F754-B086-4D22-8429-DDCFA1934331}"/>
  </hyperlinks>
  <pageMargins left="0.58333330000000005" right="0.58333330000000005" top="0.58333330000000005" bottom="0.58333330000000005" header="0" footer="0"/>
  <pageSetup paperSize="9" scale="25" fitToHeight="100" orientation="landscape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ARCH 1</vt:lpstr>
      <vt:lpstr>'ARCH 1'!Názvy_tisku</vt:lpstr>
      <vt:lpstr>'Rekapitulace stavby'!Názvy_tisku</vt:lpstr>
      <vt:lpstr>'ARCH 1'!Oblast_tisku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Pavel-PC\Pavel</dc:creator>
  <cp:lastModifiedBy>Helena Tichá</cp:lastModifiedBy>
  <dcterms:created xsi:type="dcterms:W3CDTF">2018-06-11T13:08:36Z</dcterms:created>
  <dcterms:modified xsi:type="dcterms:W3CDTF">2025-03-27T06:43:21Z</dcterms:modified>
</cp:coreProperties>
</file>