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ata\Rozpočty\Nedražice\Chodníky\Výměry\"/>
    </mc:Choice>
  </mc:AlternateContent>
  <bookViews>
    <workbookView xWindow="0" yWindow="0" windowWidth="28800" windowHeight="13425"/>
  </bookViews>
  <sheets>
    <sheet name="Souhrnný KL" sheetId="20" r:id="rId1"/>
    <sheet name="SO-101" sheetId="1" r:id="rId2"/>
    <sheet name="SO-101KL" sheetId="3" r:id="rId3"/>
    <sheet name="SO-101VV" sheetId="2" r:id="rId4"/>
    <sheet name="SO-102" sheetId="5" r:id="rId5"/>
    <sheet name="SO-102KL" sheetId="7" r:id="rId6"/>
    <sheet name="SO-102VV" sheetId="6" r:id="rId7"/>
    <sheet name="SO-103" sheetId="8" r:id="rId8"/>
    <sheet name="SO-103KL" sheetId="10" r:id="rId9"/>
    <sheet name="SO-103VV" sheetId="9" r:id="rId10"/>
    <sheet name="SO-201" sheetId="11" r:id="rId11"/>
    <sheet name="SO-201KL" sheetId="13" r:id="rId12"/>
    <sheet name="SO-201VV" sheetId="12" r:id="rId13"/>
    <sheet name="SO-202" sheetId="14" r:id="rId14"/>
    <sheet name="SO-202KL" sheetId="16" r:id="rId15"/>
    <sheet name="SO-202VV" sheetId="15" r:id="rId16"/>
    <sheet name="SO-301" sheetId="17" r:id="rId17"/>
    <sheet name="SO-301KL" sheetId="19" r:id="rId18"/>
    <sheet name="SO-301VV" sheetId="18" r:id="rId19"/>
    <sheet name="VORN" sheetId="4" state="hidden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vorn_sum">VORN!$I$45</definedName>
  </definedNames>
  <calcPr calcId="152511"/>
</workbook>
</file>

<file path=xl/calcChain.xml><?xml version="1.0" encoding="utf-8"?>
<calcChain xmlns="http://schemas.openxmlformats.org/spreadsheetml/2006/main">
  <c r="C4" i="7" l="1"/>
  <c r="C10" i="20" l="1"/>
  <c r="C8" i="20"/>
  <c r="C6" i="20"/>
  <c r="F4" i="20"/>
  <c r="F2" i="20"/>
  <c r="I19" i="19"/>
  <c r="I18" i="19"/>
  <c r="I17" i="19"/>
  <c r="I16" i="19"/>
  <c r="F16" i="19"/>
  <c r="I15" i="19"/>
  <c r="F15" i="19"/>
  <c r="I14" i="19"/>
  <c r="F14" i="19"/>
  <c r="F22" i="19" s="1"/>
  <c r="I10" i="19"/>
  <c r="F10" i="19"/>
  <c r="C10" i="19"/>
  <c r="F8" i="19"/>
  <c r="C8" i="19"/>
  <c r="F6" i="19"/>
  <c r="C6" i="19"/>
  <c r="F4" i="19"/>
  <c r="C4" i="19"/>
  <c r="F2" i="19"/>
  <c r="C2" i="19"/>
  <c r="F8" i="18"/>
  <c r="C8" i="18"/>
  <c r="F6" i="18"/>
  <c r="C6" i="18"/>
  <c r="F4" i="18"/>
  <c r="C4" i="18"/>
  <c r="F2" i="18"/>
  <c r="C2" i="18"/>
  <c r="BR75" i="17"/>
  <c r="BJ75" i="17"/>
  <c r="BF75" i="17"/>
  <c r="BD75" i="17"/>
  <c r="AX75" i="17"/>
  <c r="AP75" i="17"/>
  <c r="BI75" i="17" s="1"/>
  <c r="AO75" i="17"/>
  <c r="AW75" i="17" s="1"/>
  <c r="AK75" i="17"/>
  <c r="AT74" i="17" s="1"/>
  <c r="AJ75" i="17"/>
  <c r="AH75" i="17"/>
  <c r="AG75" i="17"/>
  <c r="AF75" i="17"/>
  <c r="AE75" i="17"/>
  <c r="AD75" i="17"/>
  <c r="AC75" i="17"/>
  <c r="AB75" i="17"/>
  <c r="Z75" i="17"/>
  <c r="J75" i="17"/>
  <c r="AL75" i="17" s="1"/>
  <c r="AU74" i="17" s="1"/>
  <c r="I75" i="17"/>
  <c r="H75" i="17"/>
  <c r="AS74" i="17"/>
  <c r="I74" i="17"/>
  <c r="H74" i="17"/>
  <c r="BP73" i="17"/>
  <c r="BJ73" i="17"/>
  <c r="BF73" i="17"/>
  <c r="BD73" i="17"/>
  <c r="AX73" i="17"/>
  <c r="AP73" i="17"/>
  <c r="BI73" i="17" s="1"/>
  <c r="AO73" i="17"/>
  <c r="AW73" i="17" s="1"/>
  <c r="AK73" i="17"/>
  <c r="AT72" i="17" s="1"/>
  <c r="AJ73" i="17"/>
  <c r="AS72" i="17" s="1"/>
  <c r="AH73" i="17"/>
  <c r="AG73" i="17"/>
  <c r="AF73" i="17"/>
  <c r="AE73" i="17"/>
  <c r="AD73" i="17"/>
  <c r="AC73" i="17"/>
  <c r="AB73" i="17"/>
  <c r="Z73" i="17"/>
  <c r="J73" i="17"/>
  <c r="AL73" i="17" s="1"/>
  <c r="AU72" i="17" s="1"/>
  <c r="I73" i="17"/>
  <c r="H73" i="17"/>
  <c r="I72" i="17"/>
  <c r="H72" i="17"/>
  <c r="BO71" i="17"/>
  <c r="BJ71" i="17"/>
  <c r="BF71" i="17"/>
  <c r="BD71" i="17"/>
  <c r="AX71" i="17"/>
  <c r="AP71" i="17"/>
  <c r="BI71" i="17" s="1"/>
  <c r="AO71" i="17"/>
  <c r="AW71" i="17" s="1"/>
  <c r="AK71" i="17"/>
  <c r="AT70" i="17" s="1"/>
  <c r="AJ71" i="17"/>
  <c r="AS70" i="17" s="1"/>
  <c r="AH71" i="17"/>
  <c r="AG71" i="17"/>
  <c r="AF71" i="17"/>
  <c r="AE71" i="17"/>
  <c r="AD71" i="17"/>
  <c r="AC71" i="17"/>
  <c r="AB71" i="17"/>
  <c r="Z71" i="17"/>
  <c r="J71" i="17"/>
  <c r="AL71" i="17" s="1"/>
  <c r="AU70" i="17" s="1"/>
  <c r="I71" i="17"/>
  <c r="H71" i="17"/>
  <c r="J70" i="17"/>
  <c r="I70" i="17"/>
  <c r="H70" i="17"/>
  <c r="BM69" i="17"/>
  <c r="BJ69" i="17"/>
  <c r="BF69" i="17"/>
  <c r="BD69" i="17"/>
  <c r="AX69" i="17"/>
  <c r="AP69" i="17"/>
  <c r="BI69" i="17" s="1"/>
  <c r="AO69" i="17"/>
  <c r="AW69" i="17" s="1"/>
  <c r="AK69" i="17"/>
  <c r="AT68" i="17" s="1"/>
  <c r="AJ69" i="17"/>
  <c r="AS68" i="17" s="1"/>
  <c r="AH69" i="17"/>
  <c r="AG69" i="17"/>
  <c r="AF69" i="17"/>
  <c r="AE69" i="17"/>
  <c r="AD69" i="17"/>
  <c r="AC69" i="17"/>
  <c r="AB69" i="17"/>
  <c r="Z69" i="17"/>
  <c r="J69" i="17"/>
  <c r="AL69" i="17" s="1"/>
  <c r="AU68" i="17" s="1"/>
  <c r="I69" i="17"/>
  <c r="H69" i="17"/>
  <c r="J68" i="17"/>
  <c r="I68" i="17"/>
  <c r="I67" i="17" s="1"/>
  <c r="H68" i="17"/>
  <c r="H67" i="17" s="1"/>
  <c r="BJ66" i="17"/>
  <c r="BF66" i="17"/>
  <c r="BD66" i="17"/>
  <c r="AP66" i="17"/>
  <c r="AX66" i="17" s="1"/>
  <c r="AO66" i="17"/>
  <c r="AW66" i="17" s="1"/>
  <c r="AK66" i="17"/>
  <c r="AJ66" i="17"/>
  <c r="AH66" i="17"/>
  <c r="AG66" i="17"/>
  <c r="AF66" i="17"/>
  <c r="AE66" i="17"/>
  <c r="AD66" i="17"/>
  <c r="AC66" i="17"/>
  <c r="AB66" i="17"/>
  <c r="Z66" i="17"/>
  <c r="J66" i="17"/>
  <c r="AL66" i="17" s="1"/>
  <c r="I66" i="17"/>
  <c r="BJ65" i="17"/>
  <c r="BF65" i="17"/>
  <c r="BD65" i="17"/>
  <c r="AP65" i="17"/>
  <c r="AX65" i="17" s="1"/>
  <c r="AO65" i="17"/>
  <c r="AW65" i="17" s="1"/>
  <c r="AL65" i="17"/>
  <c r="AK65" i="17"/>
  <c r="AJ65" i="17"/>
  <c r="AH65" i="17"/>
  <c r="AG65" i="17"/>
  <c r="AF65" i="17"/>
  <c r="AE65" i="17"/>
  <c r="AD65" i="17"/>
  <c r="AC65" i="17"/>
  <c r="AB65" i="17"/>
  <c r="Z65" i="17"/>
  <c r="J65" i="17"/>
  <c r="BJ64" i="17"/>
  <c r="AH64" i="17" s="1"/>
  <c r="BF64" i="17"/>
  <c r="BD64" i="17"/>
  <c r="AP64" i="17"/>
  <c r="AX64" i="17" s="1"/>
  <c r="AO64" i="17"/>
  <c r="AW64" i="17" s="1"/>
  <c r="AK64" i="17"/>
  <c r="AJ64" i="17"/>
  <c r="AG64" i="17"/>
  <c r="AF64" i="17"/>
  <c r="AE64" i="17"/>
  <c r="AD64" i="17"/>
  <c r="AC64" i="17"/>
  <c r="AB64" i="17"/>
  <c r="Z64" i="17"/>
  <c r="J64" i="17"/>
  <c r="AL64" i="17" s="1"/>
  <c r="I64" i="17"/>
  <c r="H64" i="17"/>
  <c r="BJ63" i="17"/>
  <c r="BF63" i="17"/>
  <c r="BD63" i="17"/>
  <c r="AW63" i="17"/>
  <c r="AP63" i="17"/>
  <c r="AX63" i="17" s="1"/>
  <c r="AO63" i="17"/>
  <c r="BH63" i="17" s="1"/>
  <c r="AL63" i="17"/>
  <c r="AK63" i="17"/>
  <c r="AJ63" i="17"/>
  <c r="AH63" i="17"/>
  <c r="AG63" i="17"/>
  <c r="AF63" i="17"/>
  <c r="AE63" i="17"/>
  <c r="AD63" i="17"/>
  <c r="AC63" i="17"/>
  <c r="AB63" i="17"/>
  <c r="Z63" i="17"/>
  <c r="J63" i="17"/>
  <c r="I63" i="17"/>
  <c r="H63" i="17"/>
  <c r="BJ62" i="17"/>
  <c r="BF62" i="17"/>
  <c r="BD62" i="17"/>
  <c r="AX62" i="17"/>
  <c r="AP62" i="17"/>
  <c r="BI62" i="17" s="1"/>
  <c r="AO62" i="17"/>
  <c r="BH62" i="17" s="1"/>
  <c r="AK62" i="17"/>
  <c r="AJ62" i="17"/>
  <c r="AH62" i="17"/>
  <c r="AG62" i="17"/>
  <c r="AF62" i="17"/>
  <c r="AE62" i="17"/>
  <c r="AD62" i="17"/>
  <c r="AC62" i="17"/>
  <c r="AB62" i="17"/>
  <c r="Z62" i="17"/>
  <c r="J62" i="17"/>
  <c r="AL62" i="17" s="1"/>
  <c r="I62" i="17"/>
  <c r="H62" i="17"/>
  <c r="BJ61" i="17"/>
  <c r="BF61" i="17"/>
  <c r="BD61" i="17"/>
  <c r="AW61" i="17"/>
  <c r="AP61" i="17"/>
  <c r="BI61" i="17" s="1"/>
  <c r="AO61" i="17"/>
  <c r="H61" i="17" s="1"/>
  <c r="AK61" i="17"/>
  <c r="AJ61" i="17"/>
  <c r="AH61" i="17"/>
  <c r="AG61" i="17"/>
  <c r="AF61" i="17"/>
  <c r="AE61" i="17"/>
  <c r="AD61" i="17"/>
  <c r="AC61" i="17"/>
  <c r="AB61" i="17"/>
  <c r="Z61" i="17"/>
  <c r="J61" i="17"/>
  <c r="AL61" i="17" s="1"/>
  <c r="I61" i="17"/>
  <c r="BJ60" i="17"/>
  <c r="BF60" i="17"/>
  <c r="BD60" i="17"/>
  <c r="AX60" i="17"/>
  <c r="AP60" i="17"/>
  <c r="I60" i="17" s="1"/>
  <c r="AO60" i="17"/>
  <c r="AW60" i="17" s="1"/>
  <c r="AK60" i="17"/>
  <c r="AJ60" i="17"/>
  <c r="AH60" i="17"/>
  <c r="AG60" i="17"/>
  <c r="AF60" i="17"/>
  <c r="AE60" i="17"/>
  <c r="AD60" i="17"/>
  <c r="AC60" i="17"/>
  <c r="AB60" i="17"/>
  <c r="Z60" i="17"/>
  <c r="J60" i="17"/>
  <c r="AL60" i="17" s="1"/>
  <c r="H60" i="17"/>
  <c r="BJ59" i="17"/>
  <c r="BF59" i="17"/>
  <c r="BD59" i="17"/>
  <c r="AW59" i="17"/>
  <c r="AP59" i="17"/>
  <c r="AX59" i="17" s="1"/>
  <c r="AO59" i="17"/>
  <c r="BH59" i="17" s="1"/>
  <c r="AL59" i="17"/>
  <c r="AK59" i="17"/>
  <c r="AJ59" i="17"/>
  <c r="AH59" i="17"/>
  <c r="AG59" i="17"/>
  <c r="AF59" i="17"/>
  <c r="AE59" i="17"/>
  <c r="AD59" i="17"/>
  <c r="AC59" i="17"/>
  <c r="AB59" i="17"/>
  <c r="Z59" i="17"/>
  <c r="J59" i="17"/>
  <c r="I59" i="17"/>
  <c r="H59" i="17"/>
  <c r="BJ58" i="17"/>
  <c r="BF58" i="17"/>
  <c r="BD58" i="17"/>
  <c r="AX58" i="17"/>
  <c r="AP58" i="17"/>
  <c r="BI58" i="17" s="1"/>
  <c r="AO58" i="17"/>
  <c r="AW58" i="17" s="1"/>
  <c r="AK58" i="17"/>
  <c r="AJ58" i="17"/>
  <c r="AH58" i="17"/>
  <c r="AG58" i="17"/>
  <c r="AF58" i="17"/>
  <c r="AE58" i="17"/>
  <c r="AD58" i="17"/>
  <c r="AC58" i="17"/>
  <c r="AB58" i="17"/>
  <c r="Z58" i="17"/>
  <c r="J58" i="17"/>
  <c r="AL58" i="17" s="1"/>
  <c r="I58" i="17"/>
  <c r="BJ57" i="17"/>
  <c r="BF57" i="17"/>
  <c r="BD57" i="17"/>
  <c r="AP57" i="17"/>
  <c r="AX57" i="17" s="1"/>
  <c r="AO57" i="17"/>
  <c r="AW57" i="17" s="1"/>
  <c r="AK57" i="17"/>
  <c r="AJ57" i="17"/>
  <c r="AH57" i="17"/>
  <c r="AG57" i="17"/>
  <c r="AF57" i="17"/>
  <c r="AE57" i="17"/>
  <c r="AD57" i="17"/>
  <c r="AC57" i="17"/>
  <c r="AB57" i="17"/>
  <c r="Z57" i="17"/>
  <c r="J57" i="17"/>
  <c r="AL57" i="17" s="1"/>
  <c r="H57" i="17"/>
  <c r="BJ56" i="17"/>
  <c r="AH56" i="17" s="1"/>
  <c r="BF56" i="17"/>
  <c r="BD56" i="17"/>
  <c r="AP56" i="17"/>
  <c r="AX56" i="17" s="1"/>
  <c r="AO56" i="17"/>
  <c r="AW56" i="17" s="1"/>
  <c r="AK56" i="17"/>
  <c r="AJ56" i="17"/>
  <c r="AG56" i="17"/>
  <c r="AF56" i="17"/>
  <c r="AE56" i="17"/>
  <c r="AD56" i="17"/>
  <c r="AC56" i="17"/>
  <c r="AB56" i="17"/>
  <c r="Z56" i="17"/>
  <c r="J56" i="17"/>
  <c r="AL56" i="17" s="1"/>
  <c r="I56" i="17"/>
  <c r="H56" i="17"/>
  <c r="BJ55" i="17"/>
  <c r="BF55" i="17"/>
  <c r="BD55" i="17"/>
  <c r="AW55" i="17"/>
  <c r="AP55" i="17"/>
  <c r="AX55" i="17" s="1"/>
  <c r="AO55" i="17"/>
  <c r="BH55" i="17" s="1"/>
  <c r="AL55" i="17"/>
  <c r="AK55" i="17"/>
  <c r="AJ55" i="17"/>
  <c r="AH55" i="17"/>
  <c r="AG55" i="17"/>
  <c r="AF55" i="17"/>
  <c r="AE55" i="17"/>
  <c r="AD55" i="17"/>
  <c r="AC55" i="17"/>
  <c r="AB55" i="17"/>
  <c r="Z55" i="17"/>
  <c r="J55" i="17"/>
  <c r="I55" i="17"/>
  <c r="H55" i="17"/>
  <c r="BJ54" i="17"/>
  <c r="BF54" i="17"/>
  <c r="BD54" i="17"/>
  <c r="AX54" i="17"/>
  <c r="AP54" i="17"/>
  <c r="BI54" i="17" s="1"/>
  <c r="AO54" i="17"/>
  <c r="BH54" i="17" s="1"/>
  <c r="AK54" i="17"/>
  <c r="AJ54" i="17"/>
  <c r="AH54" i="17"/>
  <c r="AG54" i="17"/>
  <c r="AF54" i="17"/>
  <c r="AE54" i="17"/>
  <c r="AD54" i="17"/>
  <c r="AC54" i="17"/>
  <c r="AB54" i="17"/>
  <c r="Z54" i="17"/>
  <c r="J54" i="17"/>
  <c r="AL54" i="17" s="1"/>
  <c r="I54" i="17"/>
  <c r="BJ53" i="17"/>
  <c r="BF53" i="17"/>
  <c r="BD53" i="17"/>
  <c r="AP53" i="17"/>
  <c r="BI53" i="17" s="1"/>
  <c r="AO53" i="17"/>
  <c r="H53" i="17" s="1"/>
  <c r="AK53" i="17"/>
  <c r="AJ53" i="17"/>
  <c r="AH53" i="17"/>
  <c r="AG53" i="17"/>
  <c r="AF53" i="17"/>
  <c r="AE53" i="17"/>
  <c r="AD53" i="17"/>
  <c r="AC53" i="17"/>
  <c r="AB53" i="17"/>
  <c r="Z53" i="17"/>
  <c r="J53" i="17"/>
  <c r="AL53" i="17" s="1"/>
  <c r="BJ52" i="17"/>
  <c r="AH52" i="17" s="1"/>
  <c r="BF52" i="17"/>
  <c r="BD52" i="17"/>
  <c r="AP52" i="17"/>
  <c r="I52" i="17" s="1"/>
  <c r="AO52" i="17"/>
  <c r="AW52" i="17" s="1"/>
  <c r="AK52" i="17"/>
  <c r="AJ52" i="17"/>
  <c r="AG52" i="17"/>
  <c r="AF52" i="17"/>
  <c r="AE52" i="17"/>
  <c r="AD52" i="17"/>
  <c r="AC52" i="17"/>
  <c r="AB52" i="17"/>
  <c r="Z52" i="17"/>
  <c r="J52" i="17"/>
  <c r="AL52" i="17" s="1"/>
  <c r="H52" i="17"/>
  <c r="BJ51" i="17"/>
  <c r="AH51" i="17" s="1"/>
  <c r="BF51" i="17"/>
  <c r="BD51" i="17"/>
  <c r="AW51" i="17"/>
  <c r="AV51" i="17" s="1"/>
  <c r="AP51" i="17"/>
  <c r="AX51" i="17" s="1"/>
  <c r="AO51" i="17"/>
  <c r="BH51" i="17" s="1"/>
  <c r="AL51" i="17"/>
  <c r="AK51" i="17"/>
  <c r="AJ51" i="17"/>
  <c r="AG51" i="17"/>
  <c r="AF51" i="17"/>
  <c r="AE51" i="17"/>
  <c r="AD51" i="17"/>
  <c r="AC51" i="17"/>
  <c r="AB51" i="17"/>
  <c r="Z51" i="17"/>
  <c r="J51" i="17"/>
  <c r="I51" i="17"/>
  <c r="H51" i="17"/>
  <c r="BJ50" i="17"/>
  <c r="BF50" i="17"/>
  <c r="BD50" i="17"/>
  <c r="AX50" i="17"/>
  <c r="AW50" i="17"/>
  <c r="BC50" i="17" s="1"/>
  <c r="AP50" i="17"/>
  <c r="BI50" i="17" s="1"/>
  <c r="AO50" i="17"/>
  <c r="H50" i="17" s="1"/>
  <c r="AK50" i="17"/>
  <c r="AJ50" i="17"/>
  <c r="AH50" i="17"/>
  <c r="AG50" i="17"/>
  <c r="AF50" i="17"/>
  <c r="AE50" i="17"/>
  <c r="AD50" i="17"/>
  <c r="AC50" i="17"/>
  <c r="AB50" i="17"/>
  <c r="Z50" i="17"/>
  <c r="J50" i="17"/>
  <c r="AL50" i="17" s="1"/>
  <c r="I50" i="17"/>
  <c r="BJ49" i="17"/>
  <c r="BF49" i="17"/>
  <c r="BD49" i="17"/>
  <c r="AX49" i="17"/>
  <c r="AP49" i="17"/>
  <c r="I49" i="17" s="1"/>
  <c r="AO49" i="17"/>
  <c r="AW49" i="17" s="1"/>
  <c r="AK49" i="17"/>
  <c r="AJ49" i="17"/>
  <c r="AH49" i="17"/>
  <c r="AG49" i="17"/>
  <c r="AF49" i="17"/>
  <c r="AE49" i="17"/>
  <c r="AD49" i="17"/>
  <c r="AC49" i="17"/>
  <c r="AB49" i="17"/>
  <c r="Z49" i="17"/>
  <c r="J49" i="17"/>
  <c r="AL49" i="17" s="1"/>
  <c r="H49" i="17"/>
  <c r="BJ48" i="17"/>
  <c r="AH48" i="17" s="1"/>
  <c r="BF48" i="17"/>
  <c r="BD48" i="17"/>
  <c r="AP48" i="17"/>
  <c r="AX48" i="17" s="1"/>
  <c r="AO48" i="17"/>
  <c r="AW48" i="17" s="1"/>
  <c r="AK48" i="17"/>
  <c r="AJ48" i="17"/>
  <c r="AG48" i="17"/>
  <c r="AF48" i="17"/>
  <c r="AE48" i="17"/>
  <c r="AD48" i="17"/>
  <c r="AC48" i="17"/>
  <c r="AB48" i="17"/>
  <c r="Z48" i="17"/>
  <c r="J48" i="17"/>
  <c r="AL48" i="17" s="1"/>
  <c r="I48" i="17"/>
  <c r="H48" i="17"/>
  <c r="BJ47" i="17"/>
  <c r="BF47" i="17"/>
  <c r="BD47" i="17"/>
  <c r="AW47" i="17"/>
  <c r="BC47" i="17" s="1"/>
  <c r="AP47" i="17"/>
  <c r="AX47" i="17" s="1"/>
  <c r="AO47" i="17"/>
  <c r="BH47" i="17" s="1"/>
  <c r="AL47" i="17"/>
  <c r="AK47" i="17"/>
  <c r="AJ47" i="17"/>
  <c r="AH47" i="17"/>
  <c r="AG47" i="17"/>
  <c r="AF47" i="17"/>
  <c r="AE47" i="17"/>
  <c r="AD47" i="17"/>
  <c r="AC47" i="17"/>
  <c r="AB47" i="17"/>
  <c r="Z47" i="17"/>
  <c r="J47" i="17"/>
  <c r="I47" i="17"/>
  <c r="H47" i="17"/>
  <c r="BJ46" i="17"/>
  <c r="BF46" i="17"/>
  <c r="BD46" i="17"/>
  <c r="AX46" i="17"/>
  <c r="AP46" i="17"/>
  <c r="BI46" i="17" s="1"/>
  <c r="AO46" i="17"/>
  <c r="BH46" i="17" s="1"/>
  <c r="AL46" i="17"/>
  <c r="AU45" i="17" s="1"/>
  <c r="AK46" i="17"/>
  <c r="AJ46" i="17"/>
  <c r="AH46" i="17"/>
  <c r="AG46" i="17"/>
  <c r="AF46" i="17"/>
  <c r="AE46" i="17"/>
  <c r="AD46" i="17"/>
  <c r="AC46" i="17"/>
  <c r="AB46" i="17"/>
  <c r="Z46" i="17"/>
  <c r="J46" i="17"/>
  <c r="J45" i="17" s="1"/>
  <c r="I46" i="17"/>
  <c r="AT45" i="17"/>
  <c r="AS45" i="17"/>
  <c r="BJ44" i="17"/>
  <c r="BF44" i="17"/>
  <c r="BD44" i="17"/>
  <c r="AX44" i="17"/>
  <c r="AW44" i="17"/>
  <c r="BC44" i="17" s="1"/>
  <c r="AP44" i="17"/>
  <c r="BI44" i="17" s="1"/>
  <c r="AC44" i="17" s="1"/>
  <c r="AO44" i="17"/>
  <c r="BH44" i="17" s="1"/>
  <c r="AB44" i="17" s="1"/>
  <c r="AL44" i="17"/>
  <c r="AK44" i="17"/>
  <c r="AJ44" i="17"/>
  <c r="AH44" i="17"/>
  <c r="AG44" i="17"/>
  <c r="AF44" i="17"/>
  <c r="AE44" i="17"/>
  <c r="AD44" i="17"/>
  <c r="Z44" i="17"/>
  <c r="J44" i="17"/>
  <c r="I44" i="17"/>
  <c r="H44" i="17"/>
  <c r="BJ43" i="17"/>
  <c r="BF43" i="17"/>
  <c r="BD43" i="17"/>
  <c r="AX43" i="17"/>
  <c r="AP43" i="17"/>
  <c r="BI43" i="17" s="1"/>
  <c r="AG43" i="17" s="1"/>
  <c r="AO43" i="17"/>
  <c r="BH43" i="17" s="1"/>
  <c r="AF43" i="17" s="1"/>
  <c r="AL43" i="17"/>
  <c r="AK43" i="17"/>
  <c r="AJ43" i="17"/>
  <c r="AH43" i="17"/>
  <c r="AE43" i="17"/>
  <c r="AD43" i="17"/>
  <c r="AC43" i="17"/>
  <c r="AB43" i="17"/>
  <c r="Z43" i="17"/>
  <c r="J43" i="17"/>
  <c r="I43" i="17"/>
  <c r="BJ42" i="17"/>
  <c r="BF42" i="17"/>
  <c r="BD42" i="17"/>
  <c r="AP42" i="17"/>
  <c r="BI42" i="17" s="1"/>
  <c r="AG42" i="17" s="1"/>
  <c r="AO42" i="17"/>
  <c r="H42" i="17" s="1"/>
  <c r="AK42" i="17"/>
  <c r="AJ42" i="17"/>
  <c r="AH42" i="17"/>
  <c r="AE42" i="17"/>
  <c r="AD42" i="17"/>
  <c r="AC42" i="17"/>
  <c r="AB42" i="17"/>
  <c r="Z42" i="17"/>
  <c r="J42" i="17"/>
  <c r="AL42" i="17" s="1"/>
  <c r="BJ41" i="17"/>
  <c r="BF41" i="17"/>
  <c r="BD41" i="17"/>
  <c r="AP41" i="17"/>
  <c r="I41" i="17" s="1"/>
  <c r="AO41" i="17"/>
  <c r="AW41" i="17" s="1"/>
  <c r="AK41" i="17"/>
  <c r="AJ41" i="17"/>
  <c r="AH41" i="17"/>
  <c r="AE41" i="17"/>
  <c r="AD41" i="17"/>
  <c r="AC41" i="17"/>
  <c r="AB41" i="17"/>
  <c r="Z41" i="17"/>
  <c r="J41" i="17"/>
  <c r="AL41" i="17" s="1"/>
  <c r="H41" i="17"/>
  <c r="BJ40" i="17"/>
  <c r="BF40" i="17"/>
  <c r="BD40" i="17"/>
  <c r="AW40" i="17"/>
  <c r="AP40" i="17"/>
  <c r="AX40" i="17" s="1"/>
  <c r="AO40" i="17"/>
  <c r="BH40" i="17" s="1"/>
  <c r="AF40" i="17" s="1"/>
  <c r="AK40" i="17"/>
  <c r="AJ40" i="17"/>
  <c r="AH40" i="17"/>
  <c r="AE40" i="17"/>
  <c r="AD40" i="17"/>
  <c r="AC40" i="17"/>
  <c r="AB40" i="17"/>
  <c r="Z40" i="17"/>
  <c r="J40" i="17"/>
  <c r="AL40" i="17" s="1"/>
  <c r="I40" i="17"/>
  <c r="H40" i="17"/>
  <c r="BJ39" i="17"/>
  <c r="BF39" i="17"/>
  <c r="BD39" i="17"/>
  <c r="AX39" i="17"/>
  <c r="AW39" i="17"/>
  <c r="BC39" i="17" s="1"/>
  <c r="AP39" i="17"/>
  <c r="BI39" i="17" s="1"/>
  <c r="AG39" i="17" s="1"/>
  <c r="AO39" i="17"/>
  <c r="BH39" i="17" s="1"/>
  <c r="AF39" i="17" s="1"/>
  <c r="AK39" i="17"/>
  <c r="AJ39" i="17"/>
  <c r="AH39" i="17"/>
  <c r="AE39" i="17"/>
  <c r="AD39" i="17"/>
  <c r="AC39" i="17"/>
  <c r="AB39" i="17"/>
  <c r="Z39" i="17"/>
  <c r="J39" i="17"/>
  <c r="AL39" i="17" s="1"/>
  <c r="I39" i="17"/>
  <c r="H39" i="17"/>
  <c r="BJ38" i="17"/>
  <c r="BF38" i="17"/>
  <c r="BD38" i="17"/>
  <c r="AX38" i="17"/>
  <c r="AP38" i="17"/>
  <c r="BI38" i="17" s="1"/>
  <c r="AG38" i="17" s="1"/>
  <c r="AO38" i="17"/>
  <c r="AW38" i="17" s="1"/>
  <c r="AK38" i="17"/>
  <c r="AJ38" i="17"/>
  <c r="AH38" i="17"/>
  <c r="AE38" i="17"/>
  <c r="AD38" i="17"/>
  <c r="AC38" i="17"/>
  <c r="AB38" i="17"/>
  <c r="Z38" i="17"/>
  <c r="J38" i="17"/>
  <c r="AL38" i="17" s="1"/>
  <c r="I38" i="17"/>
  <c r="H38" i="17"/>
  <c r="BJ37" i="17"/>
  <c r="BF37" i="17"/>
  <c r="BD37" i="17"/>
  <c r="AP37" i="17"/>
  <c r="AX37" i="17" s="1"/>
  <c r="AO37" i="17"/>
  <c r="AW37" i="17" s="1"/>
  <c r="AK37" i="17"/>
  <c r="AJ37" i="17"/>
  <c r="AH37" i="17"/>
  <c r="AE37" i="17"/>
  <c r="AD37" i="17"/>
  <c r="AC37" i="17"/>
  <c r="AB37" i="17"/>
  <c r="Z37" i="17"/>
  <c r="J37" i="17"/>
  <c r="AL37" i="17" s="1"/>
  <c r="I37" i="17"/>
  <c r="H37" i="17"/>
  <c r="BJ36" i="17"/>
  <c r="BF36" i="17"/>
  <c r="BD36" i="17"/>
  <c r="AW36" i="17"/>
  <c r="AP36" i="17"/>
  <c r="AX36" i="17" s="1"/>
  <c r="AO36" i="17"/>
  <c r="BH36" i="17" s="1"/>
  <c r="AF36" i="17" s="1"/>
  <c r="AL36" i="17"/>
  <c r="AK36" i="17"/>
  <c r="AJ36" i="17"/>
  <c r="AH36" i="17"/>
  <c r="AE36" i="17"/>
  <c r="AD36" i="17"/>
  <c r="AC36" i="17"/>
  <c r="AB36" i="17"/>
  <c r="Z36" i="17"/>
  <c r="J36" i="17"/>
  <c r="I36" i="17"/>
  <c r="H36" i="17"/>
  <c r="BJ35" i="17"/>
  <c r="BF35" i="17"/>
  <c r="BD35" i="17"/>
  <c r="AX35" i="17"/>
  <c r="AP35" i="17"/>
  <c r="BI35" i="17" s="1"/>
  <c r="AG35" i="17" s="1"/>
  <c r="AO35" i="17"/>
  <c r="BH35" i="17" s="1"/>
  <c r="AF35" i="17" s="1"/>
  <c r="AL35" i="17"/>
  <c r="AK35" i="17"/>
  <c r="AJ35" i="17"/>
  <c r="AH35" i="17"/>
  <c r="AE35" i="17"/>
  <c r="AD35" i="17"/>
  <c r="AC35" i="17"/>
  <c r="AB35" i="17"/>
  <c r="Z35" i="17"/>
  <c r="J35" i="17"/>
  <c r="I35" i="17"/>
  <c r="BJ34" i="17"/>
  <c r="BF34" i="17"/>
  <c r="BD34" i="17"/>
  <c r="AP34" i="17"/>
  <c r="BI34" i="17" s="1"/>
  <c r="AG34" i="17" s="1"/>
  <c r="AO34" i="17"/>
  <c r="H34" i="17" s="1"/>
  <c r="AK34" i="17"/>
  <c r="AJ34" i="17"/>
  <c r="AH34" i="17"/>
  <c r="AE34" i="17"/>
  <c r="AD34" i="17"/>
  <c r="AC34" i="17"/>
  <c r="AB34" i="17"/>
  <c r="Z34" i="17"/>
  <c r="J34" i="17"/>
  <c r="AL34" i="17" s="1"/>
  <c r="BJ33" i="17"/>
  <c r="BF33" i="17"/>
  <c r="BD33" i="17"/>
  <c r="AP33" i="17"/>
  <c r="I33" i="17" s="1"/>
  <c r="AO33" i="17"/>
  <c r="AW33" i="17" s="1"/>
  <c r="AK33" i="17"/>
  <c r="AJ33" i="17"/>
  <c r="AH33" i="17"/>
  <c r="AE33" i="17"/>
  <c r="AD33" i="17"/>
  <c r="AC33" i="17"/>
  <c r="AB33" i="17"/>
  <c r="Z33" i="17"/>
  <c r="J33" i="17"/>
  <c r="AL33" i="17" s="1"/>
  <c r="H33" i="17"/>
  <c r="AT32" i="17"/>
  <c r="AS32" i="17"/>
  <c r="J32" i="17"/>
  <c r="BJ31" i="17"/>
  <c r="BF31" i="17"/>
  <c r="BD31" i="17"/>
  <c r="AP31" i="17"/>
  <c r="BI31" i="17" s="1"/>
  <c r="AG31" i="17" s="1"/>
  <c r="AO31" i="17"/>
  <c r="H31" i="17" s="1"/>
  <c r="AK31" i="17"/>
  <c r="AJ31" i="17"/>
  <c r="AH31" i="17"/>
  <c r="AE31" i="17"/>
  <c r="AD31" i="17"/>
  <c r="AC31" i="17"/>
  <c r="AB31" i="17"/>
  <c r="Z31" i="17"/>
  <c r="J31" i="17"/>
  <c r="AL31" i="17" s="1"/>
  <c r="BJ30" i="17"/>
  <c r="BF30" i="17"/>
  <c r="BD30" i="17"/>
  <c r="AP30" i="17"/>
  <c r="I30" i="17" s="1"/>
  <c r="AO30" i="17"/>
  <c r="AW30" i="17" s="1"/>
  <c r="AL30" i="17"/>
  <c r="AK30" i="17"/>
  <c r="AJ30" i="17"/>
  <c r="AH30" i="17"/>
  <c r="AE30" i="17"/>
  <c r="AD30" i="17"/>
  <c r="AC30" i="17"/>
  <c r="AB30" i="17"/>
  <c r="Z30" i="17"/>
  <c r="J30" i="17"/>
  <c r="H30" i="17"/>
  <c r="BJ29" i="17"/>
  <c r="BF29" i="17"/>
  <c r="BD29" i="17"/>
  <c r="AW29" i="17"/>
  <c r="AV29" i="17" s="1"/>
  <c r="AP29" i="17"/>
  <c r="AX29" i="17" s="1"/>
  <c r="AO29" i="17"/>
  <c r="BH29" i="17" s="1"/>
  <c r="AF29" i="17" s="1"/>
  <c r="AL29" i="17"/>
  <c r="AK29" i="17"/>
  <c r="AJ29" i="17"/>
  <c r="AH29" i="17"/>
  <c r="AE29" i="17"/>
  <c r="AD29" i="17"/>
  <c r="AC29" i="17"/>
  <c r="AB29" i="17"/>
  <c r="Z29" i="17"/>
  <c r="J29" i="17"/>
  <c r="I29" i="17"/>
  <c r="H29" i="17"/>
  <c r="BJ28" i="17"/>
  <c r="BF28" i="17"/>
  <c r="BD28" i="17"/>
  <c r="AX28" i="17"/>
  <c r="AW28" i="17"/>
  <c r="BC28" i="17" s="1"/>
  <c r="AP28" i="17"/>
  <c r="BI28" i="17" s="1"/>
  <c r="AG28" i="17" s="1"/>
  <c r="AO28" i="17"/>
  <c r="H28" i="17" s="1"/>
  <c r="AK28" i="17"/>
  <c r="AJ28" i="17"/>
  <c r="AH28" i="17"/>
  <c r="AE28" i="17"/>
  <c r="AD28" i="17"/>
  <c r="AC28" i="17"/>
  <c r="AB28" i="17"/>
  <c r="Z28" i="17"/>
  <c r="J28" i="17"/>
  <c r="AL28" i="17" s="1"/>
  <c r="I28" i="17"/>
  <c r="BJ27" i="17"/>
  <c r="BF27" i="17"/>
  <c r="BD27" i="17"/>
  <c r="AX27" i="17"/>
  <c r="AP27" i="17"/>
  <c r="I27" i="17" s="1"/>
  <c r="AO27" i="17"/>
  <c r="AW27" i="17" s="1"/>
  <c r="AK27" i="17"/>
  <c r="AJ27" i="17"/>
  <c r="AH27" i="17"/>
  <c r="AE27" i="17"/>
  <c r="AD27" i="17"/>
  <c r="AC27" i="17"/>
  <c r="AB27" i="17"/>
  <c r="Z27" i="17"/>
  <c r="J27" i="17"/>
  <c r="AL27" i="17" s="1"/>
  <c r="H27" i="17"/>
  <c r="BJ26" i="17"/>
  <c r="BF26" i="17"/>
  <c r="BD26" i="17"/>
  <c r="AW26" i="17"/>
  <c r="AP26" i="17"/>
  <c r="AX26" i="17" s="1"/>
  <c r="BC26" i="17" s="1"/>
  <c r="AO26" i="17"/>
  <c r="BH26" i="17" s="1"/>
  <c r="AF26" i="17" s="1"/>
  <c r="AK26" i="17"/>
  <c r="AJ26" i="17"/>
  <c r="AH26" i="17"/>
  <c r="AE26" i="17"/>
  <c r="AD26" i="17"/>
  <c r="AC26" i="17"/>
  <c r="AB26" i="17"/>
  <c r="Z26" i="17"/>
  <c r="J26" i="17"/>
  <c r="AL26" i="17" s="1"/>
  <c r="I26" i="17"/>
  <c r="H26" i="17"/>
  <c r="BJ25" i="17"/>
  <c r="BF25" i="17"/>
  <c r="BD25" i="17"/>
  <c r="AX25" i="17"/>
  <c r="AW25" i="17"/>
  <c r="BC25" i="17" s="1"/>
  <c r="AP25" i="17"/>
  <c r="BI25" i="17" s="1"/>
  <c r="AG25" i="17" s="1"/>
  <c r="AO25" i="17"/>
  <c r="BH25" i="17" s="1"/>
  <c r="AF25" i="17" s="1"/>
  <c r="AL25" i="17"/>
  <c r="AK25" i="17"/>
  <c r="AJ25" i="17"/>
  <c r="AH25" i="17"/>
  <c r="AE25" i="17"/>
  <c r="AD25" i="17"/>
  <c r="AC25" i="17"/>
  <c r="AB25" i="17"/>
  <c r="Z25" i="17"/>
  <c r="J25" i="17"/>
  <c r="I25" i="17"/>
  <c r="H25" i="17"/>
  <c r="BJ24" i="17"/>
  <c r="BF24" i="17"/>
  <c r="BD24" i="17"/>
  <c r="AX24" i="17"/>
  <c r="AP24" i="17"/>
  <c r="BI24" i="17" s="1"/>
  <c r="AG24" i="17" s="1"/>
  <c r="AO24" i="17"/>
  <c r="BH24" i="17" s="1"/>
  <c r="AF24" i="17" s="1"/>
  <c r="AL24" i="17"/>
  <c r="AK24" i="17"/>
  <c r="AJ24" i="17"/>
  <c r="AH24" i="17"/>
  <c r="AE24" i="17"/>
  <c r="AD24" i="17"/>
  <c r="AC24" i="17"/>
  <c r="AB24" i="17"/>
  <c r="Z24" i="17"/>
  <c r="J24" i="17"/>
  <c r="I24" i="17"/>
  <c r="BJ23" i="17"/>
  <c r="BF23" i="17"/>
  <c r="BD23" i="17"/>
  <c r="AP23" i="17"/>
  <c r="BI23" i="17" s="1"/>
  <c r="AG23" i="17" s="1"/>
  <c r="AO23" i="17"/>
  <c r="H23" i="17" s="1"/>
  <c r="AK23" i="17"/>
  <c r="AJ23" i="17"/>
  <c r="AH23" i="17"/>
  <c r="AE23" i="17"/>
  <c r="AD23" i="17"/>
  <c r="AC23" i="17"/>
  <c r="AB23" i="17"/>
  <c r="Z23" i="17"/>
  <c r="J23" i="17"/>
  <c r="AL23" i="17" s="1"/>
  <c r="BJ22" i="17"/>
  <c r="BF22" i="17"/>
  <c r="BD22" i="17"/>
  <c r="AP22" i="17"/>
  <c r="I22" i="17" s="1"/>
  <c r="AO22" i="17"/>
  <c r="AW22" i="17" s="1"/>
  <c r="AL22" i="17"/>
  <c r="AK22" i="17"/>
  <c r="AJ22" i="17"/>
  <c r="AH22" i="17"/>
  <c r="AE22" i="17"/>
  <c r="AD22" i="17"/>
  <c r="AC22" i="17"/>
  <c r="AB22" i="17"/>
  <c r="Z22" i="17"/>
  <c r="J22" i="17"/>
  <c r="H22" i="17"/>
  <c r="BJ21" i="17"/>
  <c r="BF21" i="17"/>
  <c r="BD21" i="17"/>
  <c r="AW21" i="17"/>
  <c r="AV21" i="17" s="1"/>
  <c r="AP21" i="17"/>
  <c r="AX21" i="17" s="1"/>
  <c r="AO21" i="17"/>
  <c r="BH21" i="17" s="1"/>
  <c r="AF21" i="17" s="1"/>
  <c r="AL21" i="17"/>
  <c r="AK21" i="17"/>
  <c r="AJ21" i="17"/>
  <c r="AH21" i="17"/>
  <c r="AE21" i="17"/>
  <c r="AD21" i="17"/>
  <c r="AC21" i="17"/>
  <c r="AB21" i="17"/>
  <c r="Z21" i="17"/>
  <c r="J21" i="17"/>
  <c r="I21" i="17"/>
  <c r="H21" i="17"/>
  <c r="BJ20" i="17"/>
  <c r="BF20" i="17"/>
  <c r="BD20" i="17"/>
  <c r="AX20" i="17"/>
  <c r="AW20" i="17"/>
  <c r="BC20" i="17" s="1"/>
  <c r="AP20" i="17"/>
  <c r="BI20" i="17" s="1"/>
  <c r="AG20" i="17" s="1"/>
  <c r="AO20" i="17"/>
  <c r="H20" i="17" s="1"/>
  <c r="AK20" i="17"/>
  <c r="AJ20" i="17"/>
  <c r="AH20" i="17"/>
  <c r="AE20" i="17"/>
  <c r="AD20" i="17"/>
  <c r="AC20" i="17"/>
  <c r="AB20" i="17"/>
  <c r="Z20" i="17"/>
  <c r="J20" i="17"/>
  <c r="AL20" i="17" s="1"/>
  <c r="AU19" i="17" s="1"/>
  <c r="I20" i="17"/>
  <c r="AT19" i="17"/>
  <c r="AS19" i="17"/>
  <c r="BJ18" i="17"/>
  <c r="Z18" i="17" s="1"/>
  <c r="BF18" i="17"/>
  <c r="BD18" i="17"/>
  <c r="AW18" i="17"/>
  <c r="AP18" i="17"/>
  <c r="AX18" i="17" s="1"/>
  <c r="AO18" i="17"/>
  <c r="BH18" i="17" s="1"/>
  <c r="AL18" i="17"/>
  <c r="AU17" i="17" s="1"/>
  <c r="AK18" i="17"/>
  <c r="AJ18" i="17"/>
  <c r="AH18" i="17"/>
  <c r="AG18" i="17"/>
  <c r="AF18" i="17"/>
  <c r="AE18" i="17"/>
  <c r="AD18" i="17"/>
  <c r="AC18" i="17"/>
  <c r="AB18" i="17"/>
  <c r="J18" i="17"/>
  <c r="I18" i="17"/>
  <c r="I17" i="17" s="1"/>
  <c r="H18" i="17"/>
  <c r="H17" i="17" s="1"/>
  <c r="AT17" i="17"/>
  <c r="AS17" i="17"/>
  <c r="J17" i="17"/>
  <c r="BJ16" i="17"/>
  <c r="BF16" i="17"/>
  <c r="BD16" i="17"/>
  <c r="AP16" i="17"/>
  <c r="I16" i="17" s="1"/>
  <c r="I15" i="17" s="1"/>
  <c r="AO16" i="17"/>
  <c r="AW16" i="17" s="1"/>
  <c r="AK16" i="17"/>
  <c r="AT15" i="17" s="1"/>
  <c r="AJ16" i="17"/>
  <c r="AH16" i="17"/>
  <c r="AG16" i="17"/>
  <c r="AF16" i="17"/>
  <c r="AE16" i="17"/>
  <c r="AD16" i="17"/>
  <c r="Z16" i="17"/>
  <c r="J16" i="17"/>
  <c r="AL16" i="17" s="1"/>
  <c r="AU15" i="17" s="1"/>
  <c r="H16" i="17"/>
  <c r="H15" i="17" s="1"/>
  <c r="AS15" i="17"/>
  <c r="J15" i="17"/>
  <c r="BJ14" i="17"/>
  <c r="BF14" i="17"/>
  <c r="BD14" i="17"/>
  <c r="AP14" i="17"/>
  <c r="BI14" i="17" s="1"/>
  <c r="AC14" i="17" s="1"/>
  <c r="AO14" i="17"/>
  <c r="H14" i="17" s="1"/>
  <c r="H13" i="17" s="1"/>
  <c r="AK14" i="17"/>
  <c r="C28" i="19" s="1"/>
  <c r="F28" i="19" s="1"/>
  <c r="AJ14" i="17"/>
  <c r="AS13" i="17" s="1"/>
  <c r="AH14" i="17"/>
  <c r="C20" i="19" s="1"/>
  <c r="AG14" i="17"/>
  <c r="AF14" i="17"/>
  <c r="AE14" i="17"/>
  <c r="C17" i="19" s="1"/>
  <c r="AD14" i="17"/>
  <c r="C16" i="19" s="1"/>
  <c r="Z14" i="17"/>
  <c r="J14" i="17"/>
  <c r="AL14" i="17" s="1"/>
  <c r="AU1" i="17"/>
  <c r="AT1" i="17"/>
  <c r="AS1" i="17"/>
  <c r="I19" i="16"/>
  <c r="I18" i="16"/>
  <c r="I17" i="16"/>
  <c r="I16" i="16"/>
  <c r="F16" i="16"/>
  <c r="I15" i="16"/>
  <c r="F15" i="16"/>
  <c r="I14" i="16"/>
  <c r="F14" i="16"/>
  <c r="I10" i="16"/>
  <c r="F10" i="16"/>
  <c r="C10" i="16"/>
  <c r="F8" i="16"/>
  <c r="C8" i="16"/>
  <c r="F6" i="16"/>
  <c r="C6" i="16"/>
  <c r="F4" i="16"/>
  <c r="C4" i="16"/>
  <c r="F2" i="16"/>
  <c r="C2" i="16"/>
  <c r="F8" i="15"/>
  <c r="C8" i="15"/>
  <c r="F6" i="15"/>
  <c r="C6" i="15"/>
  <c r="F4" i="15"/>
  <c r="C4" i="15"/>
  <c r="F2" i="15"/>
  <c r="C2" i="15"/>
  <c r="BR93" i="14"/>
  <c r="BJ93" i="14"/>
  <c r="BF93" i="14"/>
  <c r="BD93" i="14"/>
  <c r="BC93" i="14"/>
  <c r="AX93" i="14"/>
  <c r="AW93" i="14"/>
  <c r="AV93" i="14" s="1"/>
  <c r="AP93" i="14"/>
  <c r="BI93" i="14" s="1"/>
  <c r="AO93" i="14"/>
  <c r="BH93" i="14" s="1"/>
  <c r="AK93" i="14"/>
  <c r="AJ93" i="14"/>
  <c r="AS92" i="14" s="1"/>
  <c r="AH93" i="14"/>
  <c r="AG93" i="14"/>
  <c r="AF93" i="14"/>
  <c r="AE93" i="14"/>
  <c r="AD93" i="14"/>
  <c r="AC93" i="14"/>
  <c r="AB93" i="14"/>
  <c r="Z93" i="14"/>
  <c r="J93" i="14"/>
  <c r="AL93" i="14" s="1"/>
  <c r="AU92" i="14" s="1"/>
  <c r="I93" i="14"/>
  <c r="H93" i="14"/>
  <c r="H92" i="14" s="1"/>
  <c r="AT92" i="14"/>
  <c r="I92" i="14"/>
  <c r="BO91" i="14"/>
  <c r="BJ91" i="14"/>
  <c r="BF91" i="14"/>
  <c r="BD91" i="14"/>
  <c r="BC91" i="14"/>
  <c r="AX91" i="14"/>
  <c r="AW91" i="14"/>
  <c r="AV91" i="14"/>
  <c r="AP91" i="14"/>
  <c r="BI91" i="14" s="1"/>
  <c r="AO91" i="14"/>
  <c r="BH91" i="14" s="1"/>
  <c r="AK91" i="14"/>
  <c r="AJ91" i="14"/>
  <c r="AS90" i="14" s="1"/>
  <c r="AH91" i="14"/>
  <c r="AG91" i="14"/>
  <c r="AF91" i="14"/>
  <c r="AE91" i="14"/>
  <c r="AD91" i="14"/>
  <c r="AC91" i="14"/>
  <c r="AB91" i="14"/>
  <c r="Z91" i="14"/>
  <c r="J91" i="14"/>
  <c r="AL91" i="14" s="1"/>
  <c r="AU90" i="14" s="1"/>
  <c r="I91" i="14"/>
  <c r="H91" i="14"/>
  <c r="H90" i="14" s="1"/>
  <c r="AT90" i="14"/>
  <c r="I90" i="14"/>
  <c r="BM89" i="14"/>
  <c r="BJ89" i="14"/>
  <c r="BF89" i="14"/>
  <c r="BD89" i="14"/>
  <c r="BC89" i="14"/>
  <c r="AX89" i="14"/>
  <c r="AW89" i="14"/>
  <c r="AV89" i="14"/>
  <c r="AP89" i="14"/>
  <c r="BI89" i="14" s="1"/>
  <c r="AO89" i="14"/>
  <c r="BH89" i="14" s="1"/>
  <c r="AK89" i="14"/>
  <c r="AJ89" i="14"/>
  <c r="AS88" i="14" s="1"/>
  <c r="AH89" i="14"/>
  <c r="AG89" i="14"/>
  <c r="AF89" i="14"/>
  <c r="AE89" i="14"/>
  <c r="AD89" i="14"/>
  <c r="AC89" i="14"/>
  <c r="AB89" i="14"/>
  <c r="Z89" i="14"/>
  <c r="J89" i="14"/>
  <c r="AL89" i="14" s="1"/>
  <c r="AU88" i="14" s="1"/>
  <c r="I89" i="14"/>
  <c r="H89" i="14"/>
  <c r="H88" i="14" s="1"/>
  <c r="H87" i="14" s="1"/>
  <c r="AT88" i="14"/>
  <c r="I88" i="14"/>
  <c r="I87" i="14" s="1"/>
  <c r="BJ86" i="14"/>
  <c r="BF86" i="14"/>
  <c r="BD86" i="14"/>
  <c r="AX86" i="14"/>
  <c r="AP86" i="14"/>
  <c r="BI86" i="14" s="1"/>
  <c r="AO86" i="14"/>
  <c r="AW86" i="14" s="1"/>
  <c r="AL86" i="14"/>
  <c r="AK86" i="14"/>
  <c r="AJ86" i="14"/>
  <c r="AH86" i="14"/>
  <c r="AG86" i="14"/>
  <c r="AF86" i="14"/>
  <c r="AE86" i="14"/>
  <c r="AD86" i="14"/>
  <c r="AC86" i="14"/>
  <c r="AB86" i="14"/>
  <c r="Z86" i="14"/>
  <c r="J86" i="14"/>
  <c r="I86" i="14"/>
  <c r="H86" i="14"/>
  <c r="BJ85" i="14"/>
  <c r="BF85" i="14"/>
  <c r="BD85" i="14"/>
  <c r="AP85" i="14"/>
  <c r="AX85" i="14" s="1"/>
  <c r="AO85" i="14"/>
  <c r="BH85" i="14" s="1"/>
  <c r="AK85" i="14"/>
  <c r="AJ85" i="14"/>
  <c r="AH85" i="14"/>
  <c r="AG85" i="14"/>
  <c r="AF85" i="14"/>
  <c r="AE85" i="14"/>
  <c r="AD85" i="14"/>
  <c r="AC85" i="14"/>
  <c r="AB85" i="14"/>
  <c r="Z85" i="14"/>
  <c r="J85" i="14"/>
  <c r="AL85" i="14" s="1"/>
  <c r="I85" i="14"/>
  <c r="BJ84" i="14"/>
  <c r="BI84" i="14"/>
  <c r="BF84" i="14"/>
  <c r="BD84" i="14"/>
  <c r="AP84" i="14"/>
  <c r="AO84" i="14"/>
  <c r="AW84" i="14" s="1"/>
  <c r="AK84" i="14"/>
  <c r="AJ84" i="14"/>
  <c r="AH84" i="14"/>
  <c r="AG84" i="14"/>
  <c r="AF84" i="14"/>
  <c r="AE84" i="14"/>
  <c r="AD84" i="14"/>
  <c r="AC84" i="14"/>
  <c r="AB84" i="14"/>
  <c r="Z84" i="14"/>
  <c r="J84" i="14"/>
  <c r="AL84" i="14" s="1"/>
  <c r="BJ83" i="14"/>
  <c r="AH83" i="14" s="1"/>
  <c r="BF83" i="14"/>
  <c r="BD83" i="14"/>
  <c r="AP83" i="14"/>
  <c r="AX83" i="14" s="1"/>
  <c r="AO83" i="14"/>
  <c r="BH83" i="14" s="1"/>
  <c r="AL83" i="14"/>
  <c r="AK83" i="14"/>
  <c r="AJ83" i="14"/>
  <c r="AG83" i="14"/>
  <c r="AF83" i="14"/>
  <c r="AE83" i="14"/>
  <c r="AD83" i="14"/>
  <c r="AC83" i="14"/>
  <c r="AB83" i="14"/>
  <c r="Z83" i="14"/>
  <c r="J83" i="14"/>
  <c r="H83" i="14"/>
  <c r="BJ82" i="14"/>
  <c r="AH82" i="14" s="1"/>
  <c r="BF82" i="14"/>
  <c r="BD82" i="14"/>
  <c r="AW82" i="14"/>
  <c r="AP82" i="14"/>
  <c r="BI82" i="14" s="1"/>
  <c r="AO82" i="14"/>
  <c r="BH82" i="14" s="1"/>
  <c r="AK82" i="14"/>
  <c r="AJ82" i="14"/>
  <c r="AG82" i="14"/>
  <c r="AF82" i="14"/>
  <c r="AE82" i="14"/>
  <c r="AD82" i="14"/>
  <c r="AC82" i="14"/>
  <c r="AB82" i="14"/>
  <c r="Z82" i="14"/>
  <c r="J82" i="14"/>
  <c r="AL82" i="14" s="1"/>
  <c r="I82" i="14"/>
  <c r="H82" i="14"/>
  <c r="BJ81" i="14"/>
  <c r="BF81" i="14"/>
  <c r="BD81" i="14"/>
  <c r="AX81" i="14"/>
  <c r="AW81" i="14"/>
  <c r="AV81" i="14" s="1"/>
  <c r="AP81" i="14"/>
  <c r="BI81" i="14" s="1"/>
  <c r="AO81" i="14"/>
  <c r="BH81" i="14" s="1"/>
  <c r="AK81" i="14"/>
  <c r="AJ81" i="14"/>
  <c r="AH81" i="14"/>
  <c r="AG81" i="14"/>
  <c r="AF81" i="14"/>
  <c r="AE81" i="14"/>
  <c r="AD81" i="14"/>
  <c r="AC81" i="14"/>
  <c r="AB81" i="14"/>
  <c r="Z81" i="14"/>
  <c r="J81" i="14"/>
  <c r="AL81" i="14" s="1"/>
  <c r="I81" i="14"/>
  <c r="H81" i="14"/>
  <c r="BJ80" i="14"/>
  <c r="BF80" i="14"/>
  <c r="BD80" i="14"/>
  <c r="BC80" i="14"/>
  <c r="AX80" i="14"/>
  <c r="AP80" i="14"/>
  <c r="BI80" i="14" s="1"/>
  <c r="AO80" i="14"/>
  <c r="AW80" i="14" s="1"/>
  <c r="AV80" i="14" s="1"/>
  <c r="AK80" i="14"/>
  <c r="AJ80" i="14"/>
  <c r="AH80" i="14"/>
  <c r="AG80" i="14"/>
  <c r="AF80" i="14"/>
  <c r="AE80" i="14"/>
  <c r="AD80" i="14"/>
  <c r="AC80" i="14"/>
  <c r="AB80" i="14"/>
  <c r="Z80" i="14"/>
  <c r="J80" i="14"/>
  <c r="AL80" i="14" s="1"/>
  <c r="I80" i="14"/>
  <c r="H80" i="14"/>
  <c r="BJ79" i="14"/>
  <c r="BF79" i="14"/>
  <c r="BD79" i="14"/>
  <c r="AW79" i="14"/>
  <c r="AP79" i="14"/>
  <c r="AX79" i="14" s="1"/>
  <c r="AO79" i="14"/>
  <c r="H79" i="14" s="1"/>
  <c r="AK79" i="14"/>
  <c r="AT78" i="14" s="1"/>
  <c r="AJ79" i="14"/>
  <c r="AH79" i="14"/>
  <c r="AG79" i="14"/>
  <c r="AF79" i="14"/>
  <c r="AE79" i="14"/>
  <c r="AD79" i="14"/>
  <c r="AC79" i="14"/>
  <c r="AB79" i="14"/>
  <c r="Z79" i="14"/>
  <c r="J79" i="14"/>
  <c r="AL79" i="14" s="1"/>
  <c r="I79" i="14"/>
  <c r="J78" i="14"/>
  <c r="BJ77" i="14"/>
  <c r="BF77" i="14"/>
  <c r="BD77" i="14"/>
  <c r="BC77" i="14"/>
  <c r="AX77" i="14"/>
  <c r="AP77" i="14"/>
  <c r="BI77" i="14" s="1"/>
  <c r="AO77" i="14"/>
  <c r="AW77" i="14" s="1"/>
  <c r="AV77" i="14" s="1"/>
  <c r="AK77" i="14"/>
  <c r="AJ77" i="14"/>
  <c r="AS76" i="14" s="1"/>
  <c r="AH77" i="14"/>
  <c r="AG77" i="14"/>
  <c r="AF77" i="14"/>
  <c r="AE77" i="14"/>
  <c r="AD77" i="14"/>
  <c r="AC77" i="14"/>
  <c r="AB77" i="14"/>
  <c r="Z77" i="14"/>
  <c r="J77" i="14"/>
  <c r="AL77" i="14" s="1"/>
  <c r="AU76" i="14" s="1"/>
  <c r="I77" i="14"/>
  <c r="H77" i="14"/>
  <c r="H76" i="14" s="1"/>
  <c r="AT76" i="14"/>
  <c r="I76" i="14"/>
  <c r="BJ75" i="14"/>
  <c r="BF75" i="14"/>
  <c r="BD75" i="14"/>
  <c r="AX75" i="14"/>
  <c r="AW75" i="14"/>
  <c r="AP75" i="14"/>
  <c r="BI75" i="14" s="1"/>
  <c r="AC75" i="14" s="1"/>
  <c r="AO75" i="14"/>
  <c r="BH75" i="14" s="1"/>
  <c r="AB75" i="14" s="1"/>
  <c r="AK75" i="14"/>
  <c r="AT74" i="14" s="1"/>
  <c r="AJ75" i="14"/>
  <c r="AH75" i="14"/>
  <c r="AG75" i="14"/>
  <c r="AF75" i="14"/>
  <c r="AE75" i="14"/>
  <c r="AD75" i="14"/>
  <c r="Z75" i="14"/>
  <c r="J75" i="14"/>
  <c r="I75" i="14"/>
  <c r="I74" i="14" s="1"/>
  <c r="H75" i="14"/>
  <c r="AS74" i="14"/>
  <c r="H74" i="14"/>
  <c r="BJ73" i="14"/>
  <c r="BF73" i="14"/>
  <c r="BD73" i="14"/>
  <c r="AW73" i="14"/>
  <c r="AP73" i="14"/>
  <c r="BI73" i="14" s="1"/>
  <c r="AC73" i="14" s="1"/>
  <c r="AO73" i="14"/>
  <c r="BH73" i="14" s="1"/>
  <c r="AB73" i="14" s="1"/>
  <c r="AK73" i="14"/>
  <c r="AJ73" i="14"/>
  <c r="AH73" i="14"/>
  <c r="AG73" i="14"/>
  <c r="AF73" i="14"/>
  <c r="AE73" i="14"/>
  <c r="AD73" i="14"/>
  <c r="Z73" i="14"/>
  <c r="J73" i="14"/>
  <c r="AL73" i="14" s="1"/>
  <c r="I73" i="14"/>
  <c r="H73" i="14"/>
  <c r="BJ72" i="14"/>
  <c r="BF72" i="14"/>
  <c r="BD72" i="14"/>
  <c r="AX72" i="14"/>
  <c r="AW72" i="14"/>
  <c r="AP72" i="14"/>
  <c r="BI72" i="14" s="1"/>
  <c r="AC72" i="14" s="1"/>
  <c r="AO72" i="14"/>
  <c r="BH72" i="14" s="1"/>
  <c r="AB72" i="14" s="1"/>
  <c r="AK72" i="14"/>
  <c r="AT71" i="14" s="1"/>
  <c r="AJ72" i="14"/>
  <c r="AH72" i="14"/>
  <c r="AG72" i="14"/>
  <c r="AF72" i="14"/>
  <c r="AE72" i="14"/>
  <c r="AD72" i="14"/>
  <c r="Z72" i="14"/>
  <c r="J72" i="14"/>
  <c r="I72" i="14"/>
  <c r="H72" i="14"/>
  <c r="AS71" i="14"/>
  <c r="H71" i="14"/>
  <c r="BJ70" i="14"/>
  <c r="BF70" i="14"/>
  <c r="BD70" i="14"/>
  <c r="AW70" i="14"/>
  <c r="AP70" i="14"/>
  <c r="BI70" i="14" s="1"/>
  <c r="AC70" i="14" s="1"/>
  <c r="AO70" i="14"/>
  <c r="BH70" i="14" s="1"/>
  <c r="AB70" i="14" s="1"/>
  <c r="AK70" i="14"/>
  <c r="AT69" i="14" s="1"/>
  <c r="AJ70" i="14"/>
  <c r="AS69" i="14" s="1"/>
  <c r="AH70" i="14"/>
  <c r="AG70" i="14"/>
  <c r="AF70" i="14"/>
  <c r="AE70" i="14"/>
  <c r="AD70" i="14"/>
  <c r="Z70" i="14"/>
  <c r="J70" i="14"/>
  <c r="AL70" i="14" s="1"/>
  <c r="AU69" i="14" s="1"/>
  <c r="I70" i="14"/>
  <c r="I69" i="14" s="1"/>
  <c r="H70" i="14"/>
  <c r="H69" i="14" s="1"/>
  <c r="J69" i="14"/>
  <c r="BJ68" i="14"/>
  <c r="BF68" i="14"/>
  <c r="BD68" i="14"/>
  <c r="AP68" i="14"/>
  <c r="AX68" i="14" s="1"/>
  <c r="AO68" i="14"/>
  <c r="BH68" i="14" s="1"/>
  <c r="AB68" i="14" s="1"/>
  <c r="AK68" i="14"/>
  <c r="AJ68" i="14"/>
  <c r="AH68" i="14"/>
  <c r="AG68" i="14"/>
  <c r="AF68" i="14"/>
  <c r="AE68" i="14"/>
  <c r="AD68" i="14"/>
  <c r="Z68" i="14"/>
  <c r="J68" i="14"/>
  <c r="AL68" i="14" s="1"/>
  <c r="H68" i="14"/>
  <c r="H65" i="14" s="1"/>
  <c r="BJ67" i="14"/>
  <c r="BF67" i="14"/>
  <c r="BD67" i="14"/>
  <c r="AW67" i="14"/>
  <c r="AP67" i="14"/>
  <c r="BI67" i="14" s="1"/>
  <c r="AC67" i="14" s="1"/>
  <c r="AO67" i="14"/>
  <c r="BH67" i="14" s="1"/>
  <c r="AB67" i="14" s="1"/>
  <c r="AK67" i="14"/>
  <c r="AJ67" i="14"/>
  <c r="AH67" i="14"/>
  <c r="AG67" i="14"/>
  <c r="AF67" i="14"/>
  <c r="AE67" i="14"/>
  <c r="AD67" i="14"/>
  <c r="Z67" i="14"/>
  <c r="J67" i="14"/>
  <c r="AL67" i="14" s="1"/>
  <c r="I67" i="14"/>
  <c r="H67" i="14"/>
  <c r="BJ66" i="14"/>
  <c r="BF66" i="14"/>
  <c r="BD66" i="14"/>
  <c r="AX66" i="14"/>
  <c r="AW66" i="14"/>
  <c r="AV66" i="14" s="1"/>
  <c r="AP66" i="14"/>
  <c r="BI66" i="14" s="1"/>
  <c r="AC66" i="14" s="1"/>
  <c r="AO66" i="14"/>
  <c r="BH66" i="14" s="1"/>
  <c r="AB66" i="14" s="1"/>
  <c r="AK66" i="14"/>
  <c r="AT65" i="14" s="1"/>
  <c r="AJ66" i="14"/>
  <c r="AH66" i="14"/>
  <c r="AG66" i="14"/>
  <c r="AF66" i="14"/>
  <c r="AE66" i="14"/>
  <c r="AD66" i="14"/>
  <c r="Z66" i="14"/>
  <c r="J66" i="14"/>
  <c r="I66" i="14"/>
  <c r="H66" i="14"/>
  <c r="AS65" i="14"/>
  <c r="BJ64" i="14"/>
  <c r="BF64" i="14"/>
  <c r="BD64" i="14"/>
  <c r="AW64" i="14"/>
  <c r="AP64" i="14"/>
  <c r="BI64" i="14" s="1"/>
  <c r="AC64" i="14" s="1"/>
  <c r="AO64" i="14"/>
  <c r="BH64" i="14" s="1"/>
  <c r="AB64" i="14" s="1"/>
  <c r="AK64" i="14"/>
  <c r="AJ64" i="14"/>
  <c r="AH64" i="14"/>
  <c r="AG64" i="14"/>
  <c r="AF64" i="14"/>
  <c r="AE64" i="14"/>
  <c r="AD64" i="14"/>
  <c r="Z64" i="14"/>
  <c r="J64" i="14"/>
  <c r="AL64" i="14" s="1"/>
  <c r="I64" i="14"/>
  <c r="H64" i="14"/>
  <c r="BJ63" i="14"/>
  <c r="BF63" i="14"/>
  <c r="BD63" i="14"/>
  <c r="AX63" i="14"/>
  <c r="AW63" i="14"/>
  <c r="AV63" i="14" s="1"/>
  <c r="AP63" i="14"/>
  <c r="BI63" i="14" s="1"/>
  <c r="AC63" i="14" s="1"/>
  <c r="AO63" i="14"/>
  <c r="BH63" i="14" s="1"/>
  <c r="AB63" i="14" s="1"/>
  <c r="AK63" i="14"/>
  <c r="AJ63" i="14"/>
  <c r="AH63" i="14"/>
  <c r="AG63" i="14"/>
  <c r="AF63" i="14"/>
  <c r="AE63" i="14"/>
  <c r="AD63" i="14"/>
  <c r="Z63" i="14"/>
  <c r="J63" i="14"/>
  <c r="AL63" i="14" s="1"/>
  <c r="I63" i="14"/>
  <c r="H63" i="14"/>
  <c r="BJ62" i="14"/>
  <c r="BF62" i="14"/>
  <c r="BD62" i="14"/>
  <c r="BC62" i="14"/>
  <c r="AX62" i="14"/>
  <c r="AP62" i="14"/>
  <c r="BI62" i="14" s="1"/>
  <c r="AC62" i="14" s="1"/>
  <c r="AO62" i="14"/>
  <c r="AW62" i="14" s="1"/>
  <c r="AV62" i="14" s="1"/>
  <c r="AL62" i="14"/>
  <c r="AK62" i="14"/>
  <c r="AJ62" i="14"/>
  <c r="AH62" i="14"/>
  <c r="AG62" i="14"/>
  <c r="AF62" i="14"/>
  <c r="AE62" i="14"/>
  <c r="AD62" i="14"/>
  <c r="Z62" i="14"/>
  <c r="J62" i="14"/>
  <c r="I62" i="14"/>
  <c r="BJ61" i="14"/>
  <c r="BF61" i="14"/>
  <c r="BD61" i="14"/>
  <c r="AP61" i="14"/>
  <c r="AX61" i="14" s="1"/>
  <c r="AO61" i="14"/>
  <c r="AW61" i="14" s="1"/>
  <c r="AK61" i="14"/>
  <c r="AT60" i="14" s="1"/>
  <c r="AJ61" i="14"/>
  <c r="AS60" i="14" s="1"/>
  <c r="AH61" i="14"/>
  <c r="AG61" i="14"/>
  <c r="AF61" i="14"/>
  <c r="AE61" i="14"/>
  <c r="AD61" i="14"/>
  <c r="Z61" i="14"/>
  <c r="J61" i="14"/>
  <c r="AL61" i="14" s="1"/>
  <c r="AU60" i="14" s="1"/>
  <c r="J60" i="14"/>
  <c r="BJ59" i="14"/>
  <c r="BF59" i="14"/>
  <c r="BD59" i="14"/>
  <c r="AX59" i="14"/>
  <c r="AP59" i="14"/>
  <c r="BI59" i="14" s="1"/>
  <c r="AC59" i="14" s="1"/>
  <c r="AO59" i="14"/>
  <c r="AW59" i="14" s="1"/>
  <c r="AV59" i="14" s="1"/>
  <c r="AK59" i="14"/>
  <c r="AJ59" i="14"/>
  <c r="AS56" i="14" s="1"/>
  <c r="AH59" i="14"/>
  <c r="AG59" i="14"/>
  <c r="AF59" i="14"/>
  <c r="AE59" i="14"/>
  <c r="AD59" i="14"/>
  <c r="Z59" i="14"/>
  <c r="J59" i="14"/>
  <c r="AL59" i="14" s="1"/>
  <c r="I59" i="14"/>
  <c r="BJ58" i="14"/>
  <c r="BF58" i="14"/>
  <c r="BD58" i="14"/>
  <c r="AP58" i="14"/>
  <c r="AX58" i="14" s="1"/>
  <c r="AO58" i="14"/>
  <c r="AW58" i="14" s="1"/>
  <c r="AK58" i="14"/>
  <c r="AJ58" i="14"/>
  <c r="AH58" i="14"/>
  <c r="AG58" i="14"/>
  <c r="AF58" i="14"/>
  <c r="AE58" i="14"/>
  <c r="AD58" i="14"/>
  <c r="Z58" i="14"/>
  <c r="J58" i="14"/>
  <c r="AL58" i="14" s="1"/>
  <c r="BJ57" i="14"/>
  <c r="BF57" i="14"/>
  <c r="BD57" i="14"/>
  <c r="AP57" i="14"/>
  <c r="AX57" i="14" s="1"/>
  <c r="AO57" i="14"/>
  <c r="AW57" i="14" s="1"/>
  <c r="AL57" i="14"/>
  <c r="AU56" i="14" s="1"/>
  <c r="AK57" i="14"/>
  <c r="AJ57" i="14"/>
  <c r="AH57" i="14"/>
  <c r="AG57" i="14"/>
  <c r="AF57" i="14"/>
  <c r="AE57" i="14"/>
  <c r="AD57" i="14"/>
  <c r="Z57" i="14"/>
  <c r="J57" i="14"/>
  <c r="H57" i="14"/>
  <c r="J56" i="14"/>
  <c r="BJ55" i="14"/>
  <c r="BF55" i="14"/>
  <c r="BD55" i="14"/>
  <c r="AP55" i="14"/>
  <c r="AX55" i="14" s="1"/>
  <c r="AO55" i="14"/>
  <c r="AW55" i="14" s="1"/>
  <c r="AK55" i="14"/>
  <c r="AT52" i="14" s="1"/>
  <c r="AJ55" i="14"/>
  <c r="AH55" i="14"/>
  <c r="AG55" i="14"/>
  <c r="AF55" i="14"/>
  <c r="AE55" i="14"/>
  <c r="AD55" i="14"/>
  <c r="Z55" i="14"/>
  <c r="J55" i="14"/>
  <c r="AL55" i="14" s="1"/>
  <c r="BJ54" i="14"/>
  <c r="BF54" i="14"/>
  <c r="BD54" i="14"/>
  <c r="AP54" i="14"/>
  <c r="AX54" i="14" s="1"/>
  <c r="AO54" i="14"/>
  <c r="AW54" i="14" s="1"/>
  <c r="AL54" i="14"/>
  <c r="AK54" i="14"/>
  <c r="AJ54" i="14"/>
  <c r="AH54" i="14"/>
  <c r="AG54" i="14"/>
  <c r="AF54" i="14"/>
  <c r="AE54" i="14"/>
  <c r="AD54" i="14"/>
  <c r="Z54" i="14"/>
  <c r="J54" i="14"/>
  <c r="H54" i="14"/>
  <c r="BJ53" i="14"/>
  <c r="BF53" i="14"/>
  <c r="BD53" i="14"/>
  <c r="AP53" i="14"/>
  <c r="AX53" i="14" s="1"/>
  <c r="AO53" i="14"/>
  <c r="BH53" i="14" s="1"/>
  <c r="AB53" i="14" s="1"/>
  <c r="AL53" i="14"/>
  <c r="AU52" i="14" s="1"/>
  <c r="AK53" i="14"/>
  <c r="AJ53" i="14"/>
  <c r="AH53" i="14"/>
  <c r="AG53" i="14"/>
  <c r="AF53" i="14"/>
  <c r="AE53" i="14"/>
  <c r="AD53" i="14"/>
  <c r="Z53" i="14"/>
  <c r="J53" i="14"/>
  <c r="I53" i="14"/>
  <c r="AS52" i="14"/>
  <c r="J52" i="14"/>
  <c r="BR50" i="14"/>
  <c r="BJ50" i="14"/>
  <c r="BF50" i="14"/>
  <c r="BD50" i="14"/>
  <c r="AW50" i="14"/>
  <c r="AP50" i="14"/>
  <c r="BI50" i="14" s="1"/>
  <c r="AO50" i="14"/>
  <c r="BH50" i="14" s="1"/>
  <c r="AK50" i="14"/>
  <c r="AT49" i="14" s="1"/>
  <c r="AJ50" i="14"/>
  <c r="AS49" i="14" s="1"/>
  <c r="AH50" i="14"/>
  <c r="AG50" i="14"/>
  <c r="AF50" i="14"/>
  <c r="AE50" i="14"/>
  <c r="AD50" i="14"/>
  <c r="AC50" i="14"/>
  <c r="AB50" i="14"/>
  <c r="Z50" i="14"/>
  <c r="J50" i="14"/>
  <c r="AL50" i="14" s="1"/>
  <c r="AU49" i="14" s="1"/>
  <c r="I50" i="14"/>
  <c r="I49" i="14" s="1"/>
  <c r="H50" i="14"/>
  <c r="H49" i="14" s="1"/>
  <c r="J49" i="14"/>
  <c r="BO48" i="14"/>
  <c r="BJ48" i="14"/>
  <c r="BF48" i="14"/>
  <c r="BD48" i="14"/>
  <c r="AW48" i="14"/>
  <c r="AP48" i="14"/>
  <c r="BI48" i="14" s="1"/>
  <c r="AO48" i="14"/>
  <c r="BH48" i="14" s="1"/>
  <c r="AK48" i="14"/>
  <c r="AT47" i="14" s="1"/>
  <c r="AJ48" i="14"/>
  <c r="AS47" i="14" s="1"/>
  <c r="AH48" i="14"/>
  <c r="AG48" i="14"/>
  <c r="AF48" i="14"/>
  <c r="AE48" i="14"/>
  <c r="AD48" i="14"/>
  <c r="AC48" i="14"/>
  <c r="AB48" i="14"/>
  <c r="Z48" i="14"/>
  <c r="J48" i="14"/>
  <c r="AL48" i="14" s="1"/>
  <c r="AU47" i="14" s="1"/>
  <c r="I48" i="14"/>
  <c r="I47" i="14" s="1"/>
  <c r="H48" i="14"/>
  <c r="H47" i="14" s="1"/>
  <c r="J47" i="14"/>
  <c r="BM46" i="14"/>
  <c r="BJ46" i="14"/>
  <c r="BF46" i="14"/>
  <c r="BD46" i="14"/>
  <c r="AW46" i="14"/>
  <c r="AP46" i="14"/>
  <c r="BI46" i="14" s="1"/>
  <c r="AO46" i="14"/>
  <c r="BH46" i="14" s="1"/>
  <c r="AK46" i="14"/>
  <c r="AT45" i="14" s="1"/>
  <c r="AJ46" i="14"/>
  <c r="AS45" i="14" s="1"/>
  <c r="AH46" i="14"/>
  <c r="AG46" i="14"/>
  <c r="AF46" i="14"/>
  <c r="AE46" i="14"/>
  <c r="AD46" i="14"/>
  <c r="AC46" i="14"/>
  <c r="AB46" i="14"/>
  <c r="Z46" i="14"/>
  <c r="J46" i="14"/>
  <c r="AL46" i="14" s="1"/>
  <c r="AU45" i="14" s="1"/>
  <c r="I46" i="14"/>
  <c r="I45" i="14" s="1"/>
  <c r="H46" i="14"/>
  <c r="H45" i="14" s="1"/>
  <c r="J45" i="14"/>
  <c r="J44" i="14"/>
  <c r="BJ43" i="14"/>
  <c r="BF43" i="14"/>
  <c r="BD43" i="14"/>
  <c r="AX43" i="14"/>
  <c r="AP43" i="14"/>
  <c r="BI43" i="14" s="1"/>
  <c r="AO43" i="14"/>
  <c r="AW43" i="14" s="1"/>
  <c r="AV43" i="14" s="1"/>
  <c r="AK43" i="14"/>
  <c r="AJ43" i="14"/>
  <c r="AS38" i="14" s="1"/>
  <c r="AH43" i="14"/>
  <c r="AG43" i="14"/>
  <c r="AF43" i="14"/>
  <c r="AE43" i="14"/>
  <c r="AD43" i="14"/>
  <c r="AC43" i="14"/>
  <c r="AB43" i="14"/>
  <c r="Z43" i="14"/>
  <c r="J43" i="14"/>
  <c r="AL43" i="14" s="1"/>
  <c r="I43" i="14"/>
  <c r="BJ42" i="14"/>
  <c r="BF42" i="14"/>
  <c r="BD42" i="14"/>
  <c r="AP42" i="14"/>
  <c r="AX42" i="14" s="1"/>
  <c r="AO42" i="14"/>
  <c r="AW42" i="14" s="1"/>
  <c r="AK42" i="14"/>
  <c r="AT38" i="14" s="1"/>
  <c r="AJ42" i="14"/>
  <c r="AH42" i="14"/>
  <c r="AG42" i="14"/>
  <c r="AF42" i="14"/>
  <c r="AE42" i="14"/>
  <c r="AD42" i="14"/>
  <c r="AC42" i="14"/>
  <c r="AB42" i="14"/>
  <c r="Z42" i="14"/>
  <c r="J42" i="14"/>
  <c r="AL42" i="14" s="1"/>
  <c r="BJ41" i="14"/>
  <c r="AH41" i="14" s="1"/>
  <c r="BF41" i="14"/>
  <c r="BD41" i="14"/>
  <c r="AP41" i="14"/>
  <c r="AX41" i="14" s="1"/>
  <c r="AO41" i="14"/>
  <c r="AW41" i="14" s="1"/>
  <c r="AL41" i="14"/>
  <c r="AK41" i="14"/>
  <c r="AJ41" i="14"/>
  <c r="AG41" i="14"/>
  <c r="AF41" i="14"/>
  <c r="AE41" i="14"/>
  <c r="AD41" i="14"/>
  <c r="AC41" i="14"/>
  <c r="AB41" i="14"/>
  <c r="Z41" i="14"/>
  <c r="J41" i="14"/>
  <c r="H41" i="14"/>
  <c r="BJ40" i="14"/>
  <c r="AH40" i="14" s="1"/>
  <c r="BF40" i="14"/>
  <c r="BD40" i="14"/>
  <c r="AP40" i="14"/>
  <c r="AX40" i="14" s="1"/>
  <c r="AO40" i="14"/>
  <c r="BH40" i="14" s="1"/>
  <c r="AL40" i="14"/>
  <c r="AK40" i="14"/>
  <c r="AJ40" i="14"/>
  <c r="AG40" i="14"/>
  <c r="AF40" i="14"/>
  <c r="AE40" i="14"/>
  <c r="AD40" i="14"/>
  <c r="AC40" i="14"/>
  <c r="AB40" i="14"/>
  <c r="Z40" i="14"/>
  <c r="J40" i="14"/>
  <c r="I40" i="14"/>
  <c r="BJ39" i="14"/>
  <c r="BI39" i="14"/>
  <c r="BF39" i="14"/>
  <c r="BD39" i="14"/>
  <c r="AP39" i="14"/>
  <c r="AO39" i="14"/>
  <c r="AW39" i="14" s="1"/>
  <c r="AK39" i="14"/>
  <c r="AJ39" i="14"/>
  <c r="AH39" i="14"/>
  <c r="AG39" i="14"/>
  <c r="AF39" i="14"/>
  <c r="AE39" i="14"/>
  <c r="AD39" i="14"/>
  <c r="AC39" i="14"/>
  <c r="AB39" i="14"/>
  <c r="Z39" i="14"/>
  <c r="J39" i="14"/>
  <c r="AL39" i="14" s="1"/>
  <c r="AU38" i="14"/>
  <c r="BJ37" i="14"/>
  <c r="BH37" i="14"/>
  <c r="BF37" i="14"/>
  <c r="BD37" i="14"/>
  <c r="AP37" i="14"/>
  <c r="AX37" i="14" s="1"/>
  <c r="AO37" i="14"/>
  <c r="AL37" i="14"/>
  <c r="AU36" i="14" s="1"/>
  <c r="AK37" i="14"/>
  <c r="AJ37" i="14"/>
  <c r="AH37" i="14"/>
  <c r="AG37" i="14"/>
  <c r="AF37" i="14"/>
  <c r="AE37" i="14"/>
  <c r="AD37" i="14"/>
  <c r="AC37" i="14"/>
  <c r="AB37" i="14"/>
  <c r="Z37" i="14"/>
  <c r="J37" i="14"/>
  <c r="I37" i="14"/>
  <c r="I36" i="14" s="1"/>
  <c r="AT36" i="14"/>
  <c r="AS36" i="14"/>
  <c r="J36" i="14"/>
  <c r="BJ35" i="14"/>
  <c r="BF35" i="14"/>
  <c r="BD35" i="14"/>
  <c r="AP35" i="14"/>
  <c r="AX35" i="14" s="1"/>
  <c r="AO35" i="14"/>
  <c r="AW35" i="14" s="1"/>
  <c r="AL35" i="14"/>
  <c r="AU34" i="14" s="1"/>
  <c r="AK35" i="14"/>
  <c r="AT34" i="14" s="1"/>
  <c r="AJ35" i="14"/>
  <c r="AH35" i="14"/>
  <c r="AG35" i="14"/>
  <c r="AF35" i="14"/>
  <c r="AE35" i="14"/>
  <c r="AD35" i="14"/>
  <c r="Z35" i="14"/>
  <c r="J35" i="14"/>
  <c r="H35" i="14"/>
  <c r="H34" i="14" s="1"/>
  <c r="AS34" i="14"/>
  <c r="J34" i="14"/>
  <c r="BJ33" i="14"/>
  <c r="BF33" i="14"/>
  <c r="BD33" i="14"/>
  <c r="AP33" i="14"/>
  <c r="AX33" i="14" s="1"/>
  <c r="AO33" i="14"/>
  <c r="AW33" i="14" s="1"/>
  <c r="AK33" i="14"/>
  <c r="AJ33" i="14"/>
  <c r="AH33" i="14"/>
  <c r="AG33" i="14"/>
  <c r="AF33" i="14"/>
  <c r="AE33" i="14"/>
  <c r="AD33" i="14"/>
  <c r="Z33" i="14"/>
  <c r="J33" i="14"/>
  <c r="AL33" i="14" s="1"/>
  <c r="BJ32" i="14"/>
  <c r="BF32" i="14"/>
  <c r="BD32" i="14"/>
  <c r="AP32" i="14"/>
  <c r="AX32" i="14" s="1"/>
  <c r="AO32" i="14"/>
  <c r="AW32" i="14" s="1"/>
  <c r="AL32" i="14"/>
  <c r="AU31" i="14" s="1"/>
  <c r="AK32" i="14"/>
  <c r="AT31" i="14" s="1"/>
  <c r="AJ32" i="14"/>
  <c r="AH32" i="14"/>
  <c r="AG32" i="14"/>
  <c r="AF32" i="14"/>
  <c r="AE32" i="14"/>
  <c r="AD32" i="14"/>
  <c r="Z32" i="14"/>
  <c r="J32" i="14"/>
  <c r="H32" i="14"/>
  <c r="AS31" i="14"/>
  <c r="J31" i="14"/>
  <c r="BJ30" i="14"/>
  <c r="BI30" i="14"/>
  <c r="AC30" i="14" s="1"/>
  <c r="BF30" i="14"/>
  <c r="BD30" i="14"/>
  <c r="AP30" i="14"/>
  <c r="AX30" i="14" s="1"/>
  <c r="AO30" i="14"/>
  <c r="H30" i="14" s="1"/>
  <c r="AK30" i="14"/>
  <c r="AT29" i="14" s="1"/>
  <c r="AJ30" i="14"/>
  <c r="AS29" i="14" s="1"/>
  <c r="AH30" i="14"/>
  <c r="AG30" i="14"/>
  <c r="AF30" i="14"/>
  <c r="AE30" i="14"/>
  <c r="AD30" i="14"/>
  <c r="Z30" i="14"/>
  <c r="J30" i="14"/>
  <c r="AL30" i="14" s="1"/>
  <c r="AU29" i="14" s="1"/>
  <c r="I30" i="14"/>
  <c r="I29" i="14" s="1"/>
  <c r="H29" i="14"/>
  <c r="BJ28" i="14"/>
  <c r="BF28" i="14"/>
  <c r="BD28" i="14"/>
  <c r="AX28" i="14"/>
  <c r="AP28" i="14"/>
  <c r="BI28" i="14" s="1"/>
  <c r="AO28" i="14"/>
  <c r="BH28" i="14" s="1"/>
  <c r="AB28" i="14" s="1"/>
  <c r="AL28" i="14"/>
  <c r="AK28" i="14"/>
  <c r="AJ28" i="14"/>
  <c r="AH28" i="14"/>
  <c r="AG28" i="14"/>
  <c r="AF28" i="14"/>
  <c r="AE28" i="14"/>
  <c r="AD28" i="14"/>
  <c r="AC28" i="14"/>
  <c r="Z28" i="14"/>
  <c r="J28" i="14"/>
  <c r="I28" i="14"/>
  <c r="BJ27" i="14"/>
  <c r="BH27" i="14"/>
  <c r="AB27" i="14" s="1"/>
  <c r="BF27" i="14"/>
  <c r="BD27" i="14"/>
  <c r="AP27" i="14"/>
  <c r="I27" i="14" s="1"/>
  <c r="I25" i="14" s="1"/>
  <c r="AO27" i="14"/>
  <c r="H27" i="14" s="1"/>
  <c r="AK27" i="14"/>
  <c r="AJ27" i="14"/>
  <c r="AH27" i="14"/>
  <c r="AG27" i="14"/>
  <c r="AF27" i="14"/>
  <c r="AE27" i="14"/>
  <c r="AD27" i="14"/>
  <c r="Z27" i="14"/>
  <c r="J27" i="14"/>
  <c r="AL27" i="14" s="1"/>
  <c r="BJ26" i="14"/>
  <c r="BI26" i="14"/>
  <c r="BF26" i="14"/>
  <c r="BD26" i="14"/>
  <c r="AX26" i="14"/>
  <c r="AV26" i="14" s="1"/>
  <c r="AP26" i="14"/>
  <c r="I26" i="14" s="1"/>
  <c r="AO26" i="14"/>
  <c r="AW26" i="14" s="1"/>
  <c r="AK26" i="14"/>
  <c r="AJ26" i="14"/>
  <c r="AS25" i="14" s="1"/>
  <c r="AH26" i="14"/>
  <c r="AG26" i="14"/>
  <c r="AF26" i="14"/>
  <c r="AE26" i="14"/>
  <c r="AD26" i="14"/>
  <c r="AC26" i="14"/>
  <c r="Z26" i="14"/>
  <c r="J26" i="14"/>
  <c r="J25" i="14" s="1"/>
  <c r="H26" i="14"/>
  <c r="BJ24" i="14"/>
  <c r="BH24" i="14"/>
  <c r="AB24" i="14" s="1"/>
  <c r="BF24" i="14"/>
  <c r="BD24" i="14"/>
  <c r="AP24" i="14"/>
  <c r="I24" i="14" s="1"/>
  <c r="AO24" i="14"/>
  <c r="H24" i="14" s="1"/>
  <c r="AK24" i="14"/>
  <c r="AJ24" i="14"/>
  <c r="AH24" i="14"/>
  <c r="AG24" i="14"/>
  <c r="AF24" i="14"/>
  <c r="AE24" i="14"/>
  <c r="AD24" i="14"/>
  <c r="Z24" i="14"/>
  <c r="J24" i="14"/>
  <c r="AL24" i="14" s="1"/>
  <c r="BJ23" i="14"/>
  <c r="BH23" i="14"/>
  <c r="BF23" i="14"/>
  <c r="BD23" i="14"/>
  <c r="AX23" i="14"/>
  <c r="BC23" i="14" s="1"/>
  <c r="AP23" i="14"/>
  <c r="I23" i="14" s="1"/>
  <c r="AO23" i="14"/>
  <c r="AW23" i="14" s="1"/>
  <c r="AV23" i="14" s="1"/>
  <c r="AK23" i="14"/>
  <c r="AJ23" i="14"/>
  <c r="AH23" i="14"/>
  <c r="AG23" i="14"/>
  <c r="AF23" i="14"/>
  <c r="AE23" i="14"/>
  <c r="AD23" i="14"/>
  <c r="AB23" i="14"/>
  <c r="Z23" i="14"/>
  <c r="J23" i="14"/>
  <c r="AL23" i="14" s="1"/>
  <c r="H23" i="14"/>
  <c r="BJ22" i="14"/>
  <c r="BF22" i="14"/>
  <c r="BD22" i="14"/>
  <c r="AX22" i="14"/>
  <c r="AW22" i="14"/>
  <c r="AV22" i="14" s="1"/>
  <c r="AP22" i="14"/>
  <c r="BI22" i="14" s="1"/>
  <c r="AC22" i="14" s="1"/>
  <c r="AO22" i="14"/>
  <c r="H22" i="14" s="1"/>
  <c r="AK22" i="14"/>
  <c r="AJ22" i="14"/>
  <c r="AH22" i="14"/>
  <c r="AG22" i="14"/>
  <c r="AF22" i="14"/>
  <c r="AE22" i="14"/>
  <c r="AD22" i="14"/>
  <c r="Z22" i="14"/>
  <c r="J22" i="14"/>
  <c r="AL22" i="14" s="1"/>
  <c r="I22" i="14"/>
  <c r="BJ21" i="14"/>
  <c r="BF21" i="14"/>
  <c r="BD21" i="14"/>
  <c r="AX21" i="14"/>
  <c r="AP21" i="14"/>
  <c r="I21" i="14" s="1"/>
  <c r="I20" i="14" s="1"/>
  <c r="AO21" i="14"/>
  <c r="AW21" i="14" s="1"/>
  <c r="AL21" i="14"/>
  <c r="AU20" i="14" s="1"/>
  <c r="AK21" i="14"/>
  <c r="AT20" i="14" s="1"/>
  <c r="AJ21" i="14"/>
  <c r="AH21" i="14"/>
  <c r="AG21" i="14"/>
  <c r="AF21" i="14"/>
  <c r="AE21" i="14"/>
  <c r="AD21" i="14"/>
  <c r="Z21" i="14"/>
  <c r="J21" i="14"/>
  <c r="J20" i="14" s="1"/>
  <c r="AS20" i="14"/>
  <c r="BJ19" i="14"/>
  <c r="BF19" i="14"/>
  <c r="BD19" i="14"/>
  <c r="AX19" i="14"/>
  <c r="AW19" i="14"/>
  <c r="AV19" i="14" s="1"/>
  <c r="AP19" i="14"/>
  <c r="BI19" i="14" s="1"/>
  <c r="AC19" i="14" s="1"/>
  <c r="AO19" i="14"/>
  <c r="H19" i="14" s="1"/>
  <c r="AK19" i="14"/>
  <c r="AJ19" i="14"/>
  <c r="AH19" i="14"/>
  <c r="AG19" i="14"/>
  <c r="AF19" i="14"/>
  <c r="AE19" i="14"/>
  <c r="AD19" i="14"/>
  <c r="Z19" i="14"/>
  <c r="J19" i="14"/>
  <c r="AL19" i="14" s="1"/>
  <c r="I19" i="14"/>
  <c r="BJ18" i="14"/>
  <c r="BF18" i="14"/>
  <c r="BD18" i="14"/>
  <c r="AX18" i="14"/>
  <c r="AP18" i="14"/>
  <c r="I18" i="14" s="1"/>
  <c r="AO18" i="14"/>
  <c r="AW18" i="14" s="1"/>
  <c r="AL18" i="14"/>
  <c r="AK18" i="14"/>
  <c r="AJ18" i="14"/>
  <c r="AH18" i="14"/>
  <c r="AG18" i="14"/>
  <c r="AF18" i="14"/>
  <c r="AE18" i="14"/>
  <c r="AD18" i="14"/>
  <c r="Z18" i="14"/>
  <c r="J18" i="14"/>
  <c r="BJ17" i="14"/>
  <c r="BF17" i="14"/>
  <c r="BD17" i="14"/>
  <c r="AP17" i="14"/>
  <c r="AX17" i="14" s="1"/>
  <c r="AO17" i="14"/>
  <c r="AW17" i="14" s="1"/>
  <c r="AL17" i="14"/>
  <c r="AK17" i="14"/>
  <c r="AJ17" i="14"/>
  <c r="AS16" i="14" s="1"/>
  <c r="AH17" i="14"/>
  <c r="AG17" i="14"/>
  <c r="AF17" i="14"/>
  <c r="AE17" i="14"/>
  <c r="AD17" i="14"/>
  <c r="Z17" i="14"/>
  <c r="J17" i="14"/>
  <c r="AT16" i="14"/>
  <c r="J16" i="14"/>
  <c r="BJ15" i="14"/>
  <c r="BF15" i="14"/>
  <c r="BD15" i="14"/>
  <c r="AX15" i="14"/>
  <c r="AP15" i="14"/>
  <c r="I15" i="14" s="1"/>
  <c r="AO15" i="14"/>
  <c r="AW15" i="14" s="1"/>
  <c r="AL15" i="14"/>
  <c r="AK15" i="14"/>
  <c r="AJ15" i="14"/>
  <c r="AH15" i="14"/>
  <c r="AG15" i="14"/>
  <c r="AF15" i="14"/>
  <c r="AE15" i="14"/>
  <c r="AD15" i="14"/>
  <c r="Z15" i="14"/>
  <c r="J15" i="14"/>
  <c r="BJ14" i="14"/>
  <c r="BF14" i="14"/>
  <c r="BD14" i="14"/>
  <c r="AP14" i="14"/>
  <c r="AX14" i="14" s="1"/>
  <c r="AO14" i="14"/>
  <c r="BH14" i="14" s="1"/>
  <c r="AB14" i="14" s="1"/>
  <c r="AK14" i="14"/>
  <c r="AT13" i="14" s="1"/>
  <c r="AJ14" i="14"/>
  <c r="AS13" i="14" s="1"/>
  <c r="AH14" i="14"/>
  <c r="AG14" i="14"/>
  <c r="AF14" i="14"/>
  <c r="AE14" i="14"/>
  <c r="C17" i="16" s="1"/>
  <c r="AD14" i="14"/>
  <c r="C16" i="16" s="1"/>
  <c r="Z14" i="14"/>
  <c r="J14" i="14"/>
  <c r="AL14" i="14" s="1"/>
  <c r="I14" i="14"/>
  <c r="AU1" i="14"/>
  <c r="AT1" i="14"/>
  <c r="AS1" i="14"/>
  <c r="I19" i="13"/>
  <c r="I18" i="13"/>
  <c r="I17" i="13"/>
  <c r="I16" i="13"/>
  <c r="F16" i="13"/>
  <c r="I15" i="13"/>
  <c r="F15" i="13"/>
  <c r="I14" i="13"/>
  <c r="F14" i="13"/>
  <c r="I10" i="13"/>
  <c r="F10" i="13"/>
  <c r="C10" i="13"/>
  <c r="F8" i="13"/>
  <c r="C8" i="13"/>
  <c r="F6" i="13"/>
  <c r="C6" i="13"/>
  <c r="F4" i="13"/>
  <c r="C4" i="13"/>
  <c r="F2" i="13"/>
  <c r="C2" i="13"/>
  <c r="F8" i="12"/>
  <c r="C8" i="12"/>
  <c r="F6" i="12"/>
  <c r="C6" i="12"/>
  <c r="F4" i="12"/>
  <c r="C4" i="12"/>
  <c r="F2" i="12"/>
  <c r="C2" i="12"/>
  <c r="BR432" i="11"/>
  <c r="BJ432" i="11"/>
  <c r="BF432" i="11"/>
  <c r="BD432" i="11"/>
  <c r="AX432" i="11"/>
  <c r="AP432" i="11"/>
  <c r="BI432" i="11" s="1"/>
  <c r="AO432" i="11"/>
  <c r="AW432" i="11" s="1"/>
  <c r="AL432" i="11"/>
  <c r="AU431" i="11" s="1"/>
  <c r="AK432" i="11"/>
  <c r="AT431" i="11" s="1"/>
  <c r="AJ432" i="11"/>
  <c r="AH432" i="11"/>
  <c r="AG432" i="11"/>
  <c r="AF432" i="11"/>
  <c r="AE432" i="11"/>
  <c r="AD432" i="11"/>
  <c r="AC432" i="11"/>
  <c r="AB432" i="11"/>
  <c r="Z432" i="11"/>
  <c r="J432" i="11"/>
  <c r="J431" i="11" s="1"/>
  <c r="I432" i="11"/>
  <c r="H432" i="11"/>
  <c r="AS431" i="11"/>
  <c r="I431" i="11"/>
  <c r="H431" i="11"/>
  <c r="BO430" i="11"/>
  <c r="BJ430" i="11"/>
  <c r="BF430" i="11"/>
  <c r="BD430" i="11"/>
  <c r="AX430" i="11"/>
  <c r="AP430" i="11"/>
  <c r="BI430" i="11" s="1"/>
  <c r="AO430" i="11"/>
  <c r="AW430" i="11" s="1"/>
  <c r="AL430" i="11"/>
  <c r="AU429" i="11" s="1"/>
  <c r="AK430" i="11"/>
  <c r="AT429" i="11" s="1"/>
  <c r="AJ430" i="11"/>
  <c r="AH430" i="11"/>
  <c r="AG430" i="11"/>
  <c r="AF430" i="11"/>
  <c r="AE430" i="11"/>
  <c r="AD430" i="11"/>
  <c r="AC430" i="11"/>
  <c r="AB430" i="11"/>
  <c r="Z430" i="11"/>
  <c r="J430" i="11"/>
  <c r="J429" i="11" s="1"/>
  <c r="I430" i="11"/>
  <c r="H430" i="11"/>
  <c r="AS429" i="11"/>
  <c r="I429" i="11"/>
  <c r="H429" i="11"/>
  <c r="BM428" i="11"/>
  <c r="BJ428" i="11"/>
  <c r="BF428" i="11"/>
  <c r="BD428" i="11"/>
  <c r="AX428" i="11"/>
  <c r="AP428" i="11"/>
  <c r="BI428" i="11" s="1"/>
  <c r="AO428" i="11"/>
  <c r="AW428" i="11" s="1"/>
  <c r="AL428" i="11"/>
  <c r="AU427" i="11" s="1"/>
  <c r="AK428" i="11"/>
  <c r="AT427" i="11" s="1"/>
  <c r="AJ428" i="11"/>
  <c r="AH428" i="11"/>
  <c r="AG428" i="11"/>
  <c r="AF428" i="11"/>
  <c r="AE428" i="11"/>
  <c r="AD428" i="11"/>
  <c r="AC428" i="11"/>
  <c r="AB428" i="11"/>
  <c r="Z428" i="11"/>
  <c r="J428" i="11"/>
  <c r="J427" i="11" s="1"/>
  <c r="J426" i="11" s="1"/>
  <c r="I428" i="11"/>
  <c r="H428" i="11"/>
  <c r="AS427" i="11"/>
  <c r="I427" i="11"/>
  <c r="I426" i="11" s="1"/>
  <c r="H427" i="11"/>
  <c r="H426" i="11" s="1"/>
  <c r="BJ425" i="11"/>
  <c r="BF425" i="11"/>
  <c r="BD425" i="11"/>
  <c r="AP425" i="11"/>
  <c r="AO425" i="11"/>
  <c r="AW425" i="11" s="1"/>
  <c r="AL425" i="11"/>
  <c r="AK425" i="11"/>
  <c r="AJ425" i="11"/>
  <c r="AH425" i="11"/>
  <c r="AG425" i="11"/>
  <c r="AF425" i="11"/>
  <c r="AE425" i="11"/>
  <c r="AD425" i="11"/>
  <c r="AC425" i="11"/>
  <c r="AB425" i="11"/>
  <c r="Z425" i="11"/>
  <c r="J425" i="11"/>
  <c r="BJ424" i="11"/>
  <c r="AH424" i="11" s="1"/>
  <c r="BF424" i="11"/>
  <c r="BD424" i="11"/>
  <c r="AP424" i="11"/>
  <c r="AX424" i="11" s="1"/>
  <c r="AO424" i="11"/>
  <c r="AW424" i="11" s="1"/>
  <c r="AL424" i="11"/>
  <c r="AK424" i="11"/>
  <c r="AJ424" i="11"/>
  <c r="AG424" i="11"/>
  <c r="AF424" i="11"/>
  <c r="AE424" i="11"/>
  <c r="AD424" i="11"/>
  <c r="AC424" i="11"/>
  <c r="AB424" i="11"/>
  <c r="Z424" i="11"/>
  <c r="J424" i="11"/>
  <c r="H424" i="11"/>
  <c r="BJ423" i="11"/>
  <c r="AH423" i="11" s="1"/>
  <c r="BH423" i="11"/>
  <c r="BF423" i="11"/>
  <c r="BD423" i="11"/>
  <c r="AP423" i="11"/>
  <c r="AX423" i="11" s="1"/>
  <c r="AO423" i="11"/>
  <c r="H423" i="11" s="1"/>
  <c r="AK423" i="11"/>
  <c r="AJ423" i="11"/>
  <c r="AG423" i="11"/>
  <c r="AF423" i="11"/>
  <c r="AE423" i="11"/>
  <c r="AD423" i="11"/>
  <c r="AC423" i="11"/>
  <c r="AB423" i="11"/>
  <c r="Z423" i="11"/>
  <c r="J423" i="11"/>
  <c r="AL423" i="11" s="1"/>
  <c r="I423" i="11"/>
  <c r="BJ422" i="11"/>
  <c r="BF422" i="11"/>
  <c r="BD422" i="11"/>
  <c r="AW422" i="11"/>
  <c r="AP422" i="11"/>
  <c r="AO422" i="11"/>
  <c r="BH422" i="11" s="1"/>
  <c r="AK422" i="11"/>
  <c r="AJ422" i="11"/>
  <c r="AH422" i="11"/>
  <c r="AG422" i="11"/>
  <c r="AF422" i="11"/>
  <c r="AE422" i="11"/>
  <c r="AD422" i="11"/>
  <c r="AC422" i="11"/>
  <c r="AB422" i="11"/>
  <c r="Z422" i="11"/>
  <c r="J422" i="11"/>
  <c r="AL422" i="11" s="1"/>
  <c r="H422" i="11"/>
  <c r="BJ421" i="11"/>
  <c r="AH421" i="11" s="1"/>
  <c r="BF421" i="11"/>
  <c r="BD421" i="11"/>
  <c r="BC421" i="11"/>
  <c r="AX421" i="11"/>
  <c r="AW421" i="11"/>
  <c r="AV421" i="11"/>
  <c r="AP421" i="11"/>
  <c r="BI421" i="11" s="1"/>
  <c r="AO421" i="11"/>
  <c r="BH421" i="11" s="1"/>
  <c r="AK421" i="11"/>
  <c r="AJ421" i="11"/>
  <c r="AG421" i="11"/>
  <c r="AF421" i="11"/>
  <c r="AE421" i="11"/>
  <c r="AD421" i="11"/>
  <c r="AC421" i="11"/>
  <c r="AB421" i="11"/>
  <c r="Z421" i="11"/>
  <c r="J421" i="11"/>
  <c r="AL421" i="11" s="1"/>
  <c r="I421" i="11"/>
  <c r="H421" i="11"/>
  <c r="BJ420" i="11"/>
  <c r="BF420" i="11"/>
  <c r="BD420" i="11"/>
  <c r="AX420" i="11"/>
  <c r="AW420" i="11"/>
  <c r="AP420" i="11"/>
  <c r="BI420" i="11" s="1"/>
  <c r="AO420" i="11"/>
  <c r="H420" i="11" s="1"/>
  <c r="AK420" i="11"/>
  <c r="AJ420" i="11"/>
  <c r="AH420" i="11"/>
  <c r="AG420" i="11"/>
  <c r="AF420" i="11"/>
  <c r="AE420" i="11"/>
  <c r="AD420" i="11"/>
  <c r="AC420" i="11"/>
  <c r="AB420" i="11"/>
  <c r="Z420" i="11"/>
  <c r="J420" i="11"/>
  <c r="AL420" i="11" s="1"/>
  <c r="I420" i="11"/>
  <c r="BJ419" i="11"/>
  <c r="BF419" i="11"/>
  <c r="BD419" i="11"/>
  <c r="AX419" i="11"/>
  <c r="AP419" i="11"/>
  <c r="I419" i="11" s="1"/>
  <c r="AO419" i="11"/>
  <c r="AW419" i="11" s="1"/>
  <c r="AK419" i="11"/>
  <c r="AJ419" i="11"/>
  <c r="AH419" i="11"/>
  <c r="AG419" i="11"/>
  <c r="AF419" i="11"/>
  <c r="AE419" i="11"/>
  <c r="AD419" i="11"/>
  <c r="AC419" i="11"/>
  <c r="AB419" i="11"/>
  <c r="Z419" i="11"/>
  <c r="J419" i="11"/>
  <c r="AL419" i="11" s="1"/>
  <c r="H419" i="11"/>
  <c r="BJ418" i="11"/>
  <c r="AH418" i="11" s="1"/>
  <c r="BH418" i="11"/>
  <c r="BF418" i="11"/>
  <c r="BD418" i="11"/>
  <c r="AP418" i="11"/>
  <c r="AX418" i="11" s="1"/>
  <c r="AO418" i="11"/>
  <c r="AL418" i="11"/>
  <c r="AK418" i="11"/>
  <c r="AJ418" i="11"/>
  <c r="AG418" i="11"/>
  <c r="AF418" i="11"/>
  <c r="AE418" i="11"/>
  <c r="AD418" i="11"/>
  <c r="AC418" i="11"/>
  <c r="AB418" i="11"/>
  <c r="Z418" i="11"/>
  <c r="J418" i="11"/>
  <c r="I418" i="11"/>
  <c r="BJ417" i="11"/>
  <c r="BF417" i="11"/>
  <c r="BD417" i="11"/>
  <c r="AP417" i="11"/>
  <c r="AO417" i="11"/>
  <c r="AW417" i="11" s="1"/>
  <c r="AL417" i="11"/>
  <c r="AK417" i="11"/>
  <c r="AJ417" i="11"/>
  <c r="AH417" i="11"/>
  <c r="AG417" i="11"/>
  <c r="AF417" i="11"/>
  <c r="AE417" i="11"/>
  <c r="AD417" i="11"/>
  <c r="AC417" i="11"/>
  <c r="AB417" i="11"/>
  <c r="Z417" i="11"/>
  <c r="J417" i="11"/>
  <c r="BJ416" i="11"/>
  <c r="AH416" i="11" s="1"/>
  <c r="BF416" i="11"/>
  <c r="BD416" i="11"/>
  <c r="AP416" i="11"/>
  <c r="AX416" i="11" s="1"/>
  <c r="AO416" i="11"/>
  <c r="AW416" i="11" s="1"/>
  <c r="AL416" i="11"/>
  <c r="AK416" i="11"/>
  <c r="AJ416" i="11"/>
  <c r="AG416" i="11"/>
  <c r="AF416" i="11"/>
  <c r="AE416" i="11"/>
  <c r="AD416" i="11"/>
  <c r="AC416" i="11"/>
  <c r="AB416" i="11"/>
  <c r="Z416" i="11"/>
  <c r="J416" i="11"/>
  <c r="H416" i="11"/>
  <c r="BJ415" i="11"/>
  <c r="AH415" i="11" s="1"/>
  <c r="BH415" i="11"/>
  <c r="BF415" i="11"/>
  <c r="BD415" i="11"/>
  <c r="AP415" i="11"/>
  <c r="AX415" i="11" s="1"/>
  <c r="AO415" i="11"/>
  <c r="H415" i="11" s="1"/>
  <c r="AK415" i="11"/>
  <c r="AJ415" i="11"/>
  <c r="AG415" i="11"/>
  <c r="AF415" i="11"/>
  <c r="AE415" i="11"/>
  <c r="AD415" i="11"/>
  <c r="AC415" i="11"/>
  <c r="AB415" i="11"/>
  <c r="Z415" i="11"/>
  <c r="J415" i="11"/>
  <c r="AL415" i="11" s="1"/>
  <c r="I415" i="11"/>
  <c r="BJ414" i="11"/>
  <c r="BI414" i="11"/>
  <c r="BF414" i="11"/>
  <c r="BD414" i="11"/>
  <c r="AW414" i="11"/>
  <c r="AP414" i="11"/>
  <c r="AO414" i="11"/>
  <c r="BH414" i="11" s="1"/>
  <c r="AK414" i="11"/>
  <c r="AJ414" i="11"/>
  <c r="AH414" i="11"/>
  <c r="AG414" i="11"/>
  <c r="AF414" i="11"/>
  <c r="AE414" i="11"/>
  <c r="AD414" i="11"/>
  <c r="AC414" i="11"/>
  <c r="AB414" i="11"/>
  <c r="Z414" i="11"/>
  <c r="J414" i="11"/>
  <c r="AL414" i="11" s="1"/>
  <c r="H414" i="11"/>
  <c r="BJ413" i="11"/>
  <c r="AH413" i="11" s="1"/>
  <c r="BF413" i="11"/>
  <c r="BD413" i="11"/>
  <c r="BC413" i="11"/>
  <c r="AX413" i="11"/>
  <c r="AW413" i="11"/>
  <c r="AV413" i="11"/>
  <c r="AP413" i="11"/>
  <c r="BI413" i="11" s="1"/>
  <c r="AO413" i="11"/>
  <c r="BH413" i="11" s="1"/>
  <c r="AL413" i="11"/>
  <c r="AK413" i="11"/>
  <c r="AJ413" i="11"/>
  <c r="AG413" i="11"/>
  <c r="AF413" i="11"/>
  <c r="AE413" i="11"/>
  <c r="AD413" i="11"/>
  <c r="AC413" i="11"/>
  <c r="AB413" i="11"/>
  <c r="Z413" i="11"/>
  <c r="J413" i="11"/>
  <c r="J412" i="11" s="1"/>
  <c r="I413" i="11"/>
  <c r="H413" i="11"/>
  <c r="BJ411" i="11"/>
  <c r="Z411" i="11" s="1"/>
  <c r="BF411" i="11"/>
  <c r="BD411" i="11"/>
  <c r="AW411" i="11"/>
  <c r="AP411" i="11"/>
  <c r="AO411" i="11"/>
  <c r="BH411" i="11" s="1"/>
  <c r="AK411" i="11"/>
  <c r="AT410" i="11" s="1"/>
  <c r="AJ411" i="11"/>
  <c r="AH411" i="11"/>
  <c r="AG411" i="11"/>
  <c r="AF411" i="11"/>
  <c r="AE411" i="11"/>
  <c r="AD411" i="11"/>
  <c r="AC411" i="11"/>
  <c r="AB411" i="11"/>
  <c r="J411" i="11"/>
  <c r="H411" i="11"/>
  <c r="AS410" i="11"/>
  <c r="H410" i="11"/>
  <c r="BJ409" i="11"/>
  <c r="BF409" i="11"/>
  <c r="BD409" i="11"/>
  <c r="AP409" i="11"/>
  <c r="AX409" i="11" s="1"/>
  <c r="AO409" i="11"/>
  <c r="H409" i="11" s="1"/>
  <c r="H408" i="11" s="1"/>
  <c r="AK409" i="11"/>
  <c r="AJ409" i="11"/>
  <c r="AS408" i="11" s="1"/>
  <c r="AH409" i="11"/>
  <c r="AG409" i="11"/>
  <c r="AF409" i="11"/>
  <c r="AE409" i="11"/>
  <c r="AD409" i="11"/>
  <c r="Z409" i="11"/>
  <c r="J409" i="11"/>
  <c r="AL409" i="11" s="1"/>
  <c r="AU408" i="11" s="1"/>
  <c r="I409" i="11"/>
  <c r="I408" i="11" s="1"/>
  <c r="AT408" i="11"/>
  <c r="J408" i="11"/>
  <c r="BJ407" i="11"/>
  <c r="BF407" i="11"/>
  <c r="BD407" i="11"/>
  <c r="AX407" i="11"/>
  <c r="AV407" i="11"/>
  <c r="AP407" i="11"/>
  <c r="BI407" i="11" s="1"/>
  <c r="AC407" i="11" s="1"/>
  <c r="AO407" i="11"/>
  <c r="AW407" i="11" s="1"/>
  <c r="BC407" i="11" s="1"/>
  <c r="AL407" i="11"/>
  <c r="AK407" i="11"/>
  <c r="AJ407" i="11"/>
  <c r="AH407" i="11"/>
  <c r="AG407" i="11"/>
  <c r="AF407" i="11"/>
  <c r="AE407" i="11"/>
  <c r="AD407" i="11"/>
  <c r="Z407" i="11"/>
  <c r="J407" i="11"/>
  <c r="I407" i="11"/>
  <c r="H407" i="11"/>
  <c r="BJ406" i="11"/>
  <c r="BH406" i="11"/>
  <c r="AB406" i="11" s="1"/>
  <c r="BF406" i="11"/>
  <c r="BD406" i="11"/>
  <c r="AP406" i="11"/>
  <c r="AX406" i="11" s="1"/>
  <c r="AO406" i="11"/>
  <c r="AK406" i="11"/>
  <c r="AJ406" i="11"/>
  <c r="AH406" i="11"/>
  <c r="AG406" i="11"/>
  <c r="AF406" i="11"/>
  <c r="AE406" i="11"/>
  <c r="AD406" i="11"/>
  <c r="Z406" i="11"/>
  <c r="J406" i="11"/>
  <c r="AL406" i="11" s="1"/>
  <c r="I406" i="11"/>
  <c r="BJ405" i="11"/>
  <c r="BF405" i="11"/>
  <c r="BD405" i="11"/>
  <c r="AP405" i="11"/>
  <c r="AO405" i="11"/>
  <c r="BH405" i="11" s="1"/>
  <c r="AB405" i="11" s="1"/>
  <c r="AK405" i="11"/>
  <c r="AJ405" i="11"/>
  <c r="AH405" i="11"/>
  <c r="AG405" i="11"/>
  <c r="AF405" i="11"/>
  <c r="AE405" i="11"/>
  <c r="AD405" i="11"/>
  <c r="Z405" i="11"/>
  <c r="J405" i="11"/>
  <c r="AL405" i="11" s="1"/>
  <c r="H405" i="11"/>
  <c r="BJ404" i="11"/>
  <c r="BF404" i="11"/>
  <c r="BD404" i="11"/>
  <c r="AW404" i="11"/>
  <c r="AP404" i="11"/>
  <c r="BI404" i="11" s="1"/>
  <c r="AC404" i="11" s="1"/>
  <c r="AO404" i="11"/>
  <c r="BH404" i="11" s="1"/>
  <c r="AB404" i="11" s="1"/>
  <c r="AL404" i="11"/>
  <c r="AK404" i="11"/>
  <c r="AJ404" i="11"/>
  <c r="AH404" i="11"/>
  <c r="AG404" i="11"/>
  <c r="AF404" i="11"/>
  <c r="AE404" i="11"/>
  <c r="AD404" i="11"/>
  <c r="Z404" i="11"/>
  <c r="J404" i="11"/>
  <c r="I404" i="11"/>
  <c r="H404" i="11"/>
  <c r="BJ403" i="11"/>
  <c r="BF403" i="11"/>
  <c r="BD403" i="11"/>
  <c r="AX403" i="11"/>
  <c r="AW403" i="11"/>
  <c r="AP403" i="11"/>
  <c r="BI403" i="11" s="1"/>
  <c r="AC403" i="11" s="1"/>
  <c r="AO403" i="11"/>
  <c r="H403" i="11" s="1"/>
  <c r="AK403" i="11"/>
  <c r="AJ403" i="11"/>
  <c r="AH403" i="11"/>
  <c r="AG403" i="11"/>
  <c r="AF403" i="11"/>
  <c r="AE403" i="11"/>
  <c r="AD403" i="11"/>
  <c r="Z403" i="11"/>
  <c r="J403" i="11"/>
  <c r="AL403" i="11" s="1"/>
  <c r="I403" i="11"/>
  <c r="BJ402" i="11"/>
  <c r="BF402" i="11"/>
  <c r="BD402" i="11"/>
  <c r="AX402" i="11"/>
  <c r="AP402" i="11"/>
  <c r="I402" i="11" s="1"/>
  <c r="AO402" i="11"/>
  <c r="AW402" i="11" s="1"/>
  <c r="AL402" i="11"/>
  <c r="AK402" i="11"/>
  <c r="AJ402" i="11"/>
  <c r="AH402" i="11"/>
  <c r="AG402" i="11"/>
  <c r="AF402" i="11"/>
  <c r="AE402" i="11"/>
  <c r="AD402" i="11"/>
  <c r="Z402" i="11"/>
  <c r="J402" i="11"/>
  <c r="J399" i="11" s="1"/>
  <c r="H402" i="11"/>
  <c r="BJ401" i="11"/>
  <c r="BF401" i="11"/>
  <c r="BD401" i="11"/>
  <c r="AP401" i="11"/>
  <c r="AX401" i="11" s="1"/>
  <c r="AO401" i="11"/>
  <c r="AK401" i="11"/>
  <c r="AJ401" i="11"/>
  <c r="AH401" i="11"/>
  <c r="AG401" i="11"/>
  <c r="AF401" i="11"/>
  <c r="AE401" i="11"/>
  <c r="AD401" i="11"/>
  <c r="Z401" i="11"/>
  <c r="J401" i="11"/>
  <c r="AL401" i="11" s="1"/>
  <c r="AU399" i="11" s="1"/>
  <c r="I401" i="11"/>
  <c r="BJ400" i="11"/>
  <c r="BF400" i="11"/>
  <c r="BD400" i="11"/>
  <c r="AW400" i="11"/>
  <c r="AP400" i="11"/>
  <c r="AO400" i="11"/>
  <c r="BH400" i="11" s="1"/>
  <c r="AB400" i="11" s="1"/>
  <c r="AL400" i="11"/>
  <c r="AK400" i="11"/>
  <c r="AJ400" i="11"/>
  <c r="AH400" i="11"/>
  <c r="AG400" i="11"/>
  <c r="AF400" i="11"/>
  <c r="AE400" i="11"/>
  <c r="AD400" i="11"/>
  <c r="Z400" i="11"/>
  <c r="J400" i="11"/>
  <c r="H400" i="11"/>
  <c r="BJ398" i="11"/>
  <c r="BF398" i="11"/>
  <c r="BD398" i="11"/>
  <c r="AP398" i="11"/>
  <c r="AX398" i="11" s="1"/>
  <c r="AO398" i="11"/>
  <c r="AK398" i="11"/>
  <c r="AJ398" i="11"/>
  <c r="AS396" i="11" s="1"/>
  <c r="AH398" i="11"/>
  <c r="AG398" i="11"/>
  <c r="AF398" i="11"/>
  <c r="AE398" i="11"/>
  <c r="AD398" i="11"/>
  <c r="Z398" i="11"/>
  <c r="J398" i="11"/>
  <c r="AL398" i="11" s="1"/>
  <c r="AU396" i="11" s="1"/>
  <c r="I398" i="11"/>
  <c r="BJ397" i="11"/>
  <c r="BF397" i="11"/>
  <c r="BD397" i="11"/>
  <c r="AW397" i="11"/>
  <c r="AP397" i="11"/>
  <c r="AO397" i="11"/>
  <c r="BH397" i="11" s="1"/>
  <c r="AL397" i="11"/>
  <c r="AK397" i="11"/>
  <c r="AT396" i="11" s="1"/>
  <c r="AJ397" i="11"/>
  <c r="AH397" i="11"/>
  <c r="AG397" i="11"/>
  <c r="AF397" i="11"/>
  <c r="AE397" i="11"/>
  <c r="AD397" i="11"/>
  <c r="AB397" i="11"/>
  <c r="Z397" i="11"/>
  <c r="J397" i="11"/>
  <c r="H397" i="11"/>
  <c r="J396" i="11"/>
  <c r="BJ395" i="11"/>
  <c r="BH395" i="11"/>
  <c r="AB395" i="11" s="1"/>
  <c r="BF395" i="11"/>
  <c r="BD395" i="11"/>
  <c r="AP395" i="11"/>
  <c r="AX395" i="11" s="1"/>
  <c r="AO395" i="11"/>
  <c r="AK395" i="11"/>
  <c r="AJ395" i="11"/>
  <c r="AS394" i="11" s="1"/>
  <c r="AH395" i="11"/>
  <c r="AG395" i="11"/>
  <c r="AF395" i="11"/>
  <c r="AE395" i="11"/>
  <c r="AD395" i="11"/>
  <c r="Z395" i="11"/>
  <c r="J395" i="11"/>
  <c r="AL395" i="11" s="1"/>
  <c r="AU394" i="11" s="1"/>
  <c r="I395" i="11"/>
  <c r="AT394" i="11"/>
  <c r="J394" i="11"/>
  <c r="I394" i="11"/>
  <c r="BJ393" i="11"/>
  <c r="BF393" i="11"/>
  <c r="BD393" i="11"/>
  <c r="AX393" i="11"/>
  <c r="AP393" i="11"/>
  <c r="I393" i="11" s="1"/>
  <c r="AO393" i="11"/>
  <c r="AW393" i="11" s="1"/>
  <c r="AL393" i="11"/>
  <c r="AK393" i="11"/>
  <c r="AJ393" i="11"/>
  <c r="AH393" i="11"/>
  <c r="AG393" i="11"/>
  <c r="AF393" i="11"/>
  <c r="AE393" i="11"/>
  <c r="AD393" i="11"/>
  <c r="Z393" i="11"/>
  <c r="J393" i="11"/>
  <c r="H393" i="11"/>
  <c r="BJ392" i="11"/>
  <c r="BH392" i="11"/>
  <c r="AB392" i="11" s="1"/>
  <c r="BF392" i="11"/>
  <c r="BD392" i="11"/>
  <c r="AP392" i="11"/>
  <c r="AX392" i="11" s="1"/>
  <c r="AO392" i="11"/>
  <c r="AL392" i="11"/>
  <c r="AK392" i="11"/>
  <c r="AJ392" i="11"/>
  <c r="AH392" i="11"/>
  <c r="AG392" i="11"/>
  <c r="AF392" i="11"/>
  <c r="AE392" i="11"/>
  <c r="AD392" i="11"/>
  <c r="Z392" i="11"/>
  <c r="J392" i="11"/>
  <c r="I392" i="11"/>
  <c r="BJ391" i="11"/>
  <c r="BI391" i="11"/>
  <c r="AC391" i="11" s="1"/>
  <c r="BF391" i="11"/>
  <c r="BD391" i="11"/>
  <c r="AW391" i="11"/>
  <c r="AP391" i="11"/>
  <c r="AO391" i="11"/>
  <c r="BH391" i="11" s="1"/>
  <c r="AL391" i="11"/>
  <c r="AK391" i="11"/>
  <c r="AT389" i="11" s="1"/>
  <c r="AJ391" i="11"/>
  <c r="AH391" i="11"/>
  <c r="AG391" i="11"/>
  <c r="AF391" i="11"/>
  <c r="AE391" i="11"/>
  <c r="AD391" i="11"/>
  <c r="AB391" i="11"/>
  <c r="Z391" i="11"/>
  <c r="J391" i="11"/>
  <c r="H391" i="11"/>
  <c r="BJ390" i="11"/>
  <c r="BF390" i="11"/>
  <c r="BD390" i="11"/>
  <c r="AX390" i="11"/>
  <c r="AP390" i="11"/>
  <c r="BI390" i="11" s="1"/>
  <c r="AC390" i="11" s="1"/>
  <c r="AO390" i="11"/>
  <c r="AW390" i="11" s="1"/>
  <c r="BC390" i="11" s="1"/>
  <c r="AL390" i="11"/>
  <c r="AK390" i="11"/>
  <c r="AJ390" i="11"/>
  <c r="AH390" i="11"/>
  <c r="AG390" i="11"/>
  <c r="AF390" i="11"/>
  <c r="AE390" i="11"/>
  <c r="AD390" i="11"/>
  <c r="Z390" i="11"/>
  <c r="J390" i="11"/>
  <c r="J389" i="11" s="1"/>
  <c r="I390" i="11"/>
  <c r="H390" i="11"/>
  <c r="AS389" i="11"/>
  <c r="BJ388" i="11"/>
  <c r="BI388" i="11"/>
  <c r="AC388" i="11" s="1"/>
  <c r="BF388" i="11"/>
  <c r="BD388" i="11"/>
  <c r="AW388" i="11"/>
  <c r="AP388" i="11"/>
  <c r="AO388" i="11"/>
  <c r="BH388" i="11" s="1"/>
  <c r="AL388" i="11"/>
  <c r="AK388" i="11"/>
  <c r="AT387" i="11" s="1"/>
  <c r="AJ388" i="11"/>
  <c r="AH388" i="11"/>
  <c r="AG388" i="11"/>
  <c r="AF388" i="11"/>
  <c r="AE388" i="11"/>
  <c r="AD388" i="11"/>
  <c r="AB388" i="11"/>
  <c r="Z388" i="11"/>
  <c r="J388" i="11"/>
  <c r="H388" i="11"/>
  <c r="AU387" i="11"/>
  <c r="AS387" i="11"/>
  <c r="J387" i="11"/>
  <c r="H387" i="11"/>
  <c r="BJ386" i="11"/>
  <c r="BH386" i="11"/>
  <c r="AB386" i="11" s="1"/>
  <c r="BF386" i="11"/>
  <c r="BD386" i="11"/>
  <c r="AP386" i="11"/>
  <c r="AX386" i="11" s="1"/>
  <c r="AO386" i="11"/>
  <c r="AK386" i="11"/>
  <c r="AJ386" i="11"/>
  <c r="AS384" i="11" s="1"/>
  <c r="AH386" i="11"/>
  <c r="AG386" i="11"/>
  <c r="AF386" i="11"/>
  <c r="AE386" i="11"/>
  <c r="AD386" i="11"/>
  <c r="Z386" i="11"/>
  <c r="J386" i="11"/>
  <c r="AL386" i="11" s="1"/>
  <c r="I386" i="11"/>
  <c r="BJ385" i="11"/>
  <c r="BF385" i="11"/>
  <c r="BD385" i="11"/>
  <c r="AW385" i="11"/>
  <c r="AP385" i="11"/>
  <c r="BI385" i="11" s="1"/>
  <c r="AC385" i="11" s="1"/>
  <c r="AO385" i="11"/>
  <c r="BH385" i="11" s="1"/>
  <c r="AL385" i="11"/>
  <c r="AK385" i="11"/>
  <c r="AT384" i="11" s="1"/>
  <c r="AJ385" i="11"/>
  <c r="AH385" i="11"/>
  <c r="AG385" i="11"/>
  <c r="AF385" i="11"/>
  <c r="AE385" i="11"/>
  <c r="AD385" i="11"/>
  <c r="AB385" i="11"/>
  <c r="Z385" i="11"/>
  <c r="J385" i="11"/>
  <c r="H385" i="11"/>
  <c r="AU384" i="11"/>
  <c r="J384" i="11"/>
  <c r="BJ383" i="11"/>
  <c r="BF383" i="11"/>
  <c r="BD383" i="11"/>
  <c r="AP383" i="11"/>
  <c r="AX383" i="11" s="1"/>
  <c r="AO383" i="11"/>
  <c r="AK383" i="11"/>
  <c r="AJ383" i="11"/>
  <c r="AH383" i="11"/>
  <c r="AG383" i="11"/>
  <c r="AF383" i="11"/>
  <c r="AE383" i="11"/>
  <c r="AD383" i="11"/>
  <c r="Z383" i="11"/>
  <c r="J383" i="11"/>
  <c r="AL383" i="11" s="1"/>
  <c r="I383" i="11"/>
  <c r="BJ382" i="11"/>
  <c r="BF382" i="11"/>
  <c r="BD382" i="11"/>
  <c r="AW382" i="11"/>
  <c r="AP382" i="11"/>
  <c r="AO382" i="11"/>
  <c r="BH382" i="11" s="1"/>
  <c r="AL382" i="11"/>
  <c r="AK382" i="11"/>
  <c r="AT380" i="11" s="1"/>
  <c r="AJ382" i="11"/>
  <c r="AH382" i="11"/>
  <c r="AG382" i="11"/>
  <c r="AF382" i="11"/>
  <c r="AE382" i="11"/>
  <c r="AD382" i="11"/>
  <c r="AB382" i="11"/>
  <c r="Z382" i="11"/>
  <c r="J382" i="11"/>
  <c r="H382" i="11"/>
  <c r="BJ381" i="11"/>
  <c r="BF381" i="11"/>
  <c r="BD381" i="11"/>
  <c r="AX381" i="11"/>
  <c r="AV381" i="11"/>
  <c r="AP381" i="11"/>
  <c r="BI381" i="11" s="1"/>
  <c r="AO381" i="11"/>
  <c r="AW381" i="11" s="1"/>
  <c r="BC381" i="11" s="1"/>
  <c r="AL381" i="11"/>
  <c r="AU380" i="11" s="1"/>
  <c r="AK381" i="11"/>
  <c r="AJ381" i="11"/>
  <c r="AH381" i="11"/>
  <c r="AG381" i="11"/>
  <c r="AF381" i="11"/>
  <c r="AE381" i="11"/>
  <c r="AD381" i="11"/>
  <c r="AC381" i="11"/>
  <c r="Z381" i="11"/>
  <c r="J381" i="11"/>
  <c r="J380" i="11" s="1"/>
  <c r="I381" i="11"/>
  <c r="H381" i="11"/>
  <c r="AS380" i="11"/>
  <c r="BJ379" i="11"/>
  <c r="BF379" i="11"/>
  <c r="BD379" i="11"/>
  <c r="AW379" i="11"/>
  <c r="AP379" i="11"/>
  <c r="AO379" i="11"/>
  <c r="BH379" i="11" s="1"/>
  <c r="AL379" i="11"/>
  <c r="AK379" i="11"/>
  <c r="AJ379" i="11"/>
  <c r="AH379" i="11"/>
  <c r="AG379" i="11"/>
  <c r="AF379" i="11"/>
  <c r="AE379" i="11"/>
  <c r="AD379" i="11"/>
  <c r="AB379" i="11"/>
  <c r="Z379" i="11"/>
  <c r="J379" i="11"/>
  <c r="H379" i="11"/>
  <c r="BJ378" i="11"/>
  <c r="BF378" i="11"/>
  <c r="BD378" i="11"/>
  <c r="AX378" i="11"/>
  <c r="AV378" i="11"/>
  <c r="AP378" i="11"/>
  <c r="BI378" i="11" s="1"/>
  <c r="AO378" i="11"/>
  <c r="AW378" i="11" s="1"/>
  <c r="BC378" i="11" s="1"/>
  <c r="AL378" i="11"/>
  <c r="AK378" i="11"/>
  <c r="AJ378" i="11"/>
  <c r="AH378" i="11"/>
  <c r="AG378" i="11"/>
  <c r="AF378" i="11"/>
  <c r="AE378" i="11"/>
  <c r="AD378" i="11"/>
  <c r="AC378" i="11"/>
  <c r="Z378" i="11"/>
  <c r="J378" i="11"/>
  <c r="I378" i="11"/>
  <c r="H378" i="11"/>
  <c r="BJ377" i="11"/>
  <c r="BF377" i="11"/>
  <c r="BD377" i="11"/>
  <c r="AP377" i="11"/>
  <c r="AX377" i="11" s="1"/>
  <c r="AO377" i="11"/>
  <c r="AK377" i="11"/>
  <c r="AJ377" i="11"/>
  <c r="AH377" i="11"/>
  <c r="AG377" i="11"/>
  <c r="AF377" i="11"/>
  <c r="AE377" i="11"/>
  <c r="AD377" i="11"/>
  <c r="Z377" i="11"/>
  <c r="J377" i="11"/>
  <c r="AL377" i="11" s="1"/>
  <c r="I377" i="11"/>
  <c r="BJ376" i="11"/>
  <c r="BF376" i="11"/>
  <c r="BD376" i="11"/>
  <c r="AP376" i="11"/>
  <c r="AO376" i="11"/>
  <c r="BH376" i="11" s="1"/>
  <c r="AB376" i="11" s="1"/>
  <c r="AK376" i="11"/>
  <c r="AJ376" i="11"/>
  <c r="AH376" i="11"/>
  <c r="AG376" i="11"/>
  <c r="AF376" i="11"/>
  <c r="AE376" i="11"/>
  <c r="AD376" i="11"/>
  <c r="Z376" i="11"/>
  <c r="J376" i="11"/>
  <c r="AL376" i="11" s="1"/>
  <c r="H376" i="11"/>
  <c r="BJ375" i="11"/>
  <c r="BF375" i="11"/>
  <c r="BD375" i="11"/>
  <c r="AW375" i="11"/>
  <c r="AP375" i="11"/>
  <c r="BI375" i="11" s="1"/>
  <c r="AC375" i="11" s="1"/>
  <c r="AO375" i="11"/>
  <c r="BH375" i="11" s="1"/>
  <c r="AB375" i="11" s="1"/>
  <c r="AL375" i="11"/>
  <c r="AK375" i="11"/>
  <c r="AJ375" i="11"/>
  <c r="AS373" i="11" s="1"/>
  <c r="AH375" i="11"/>
  <c r="AG375" i="11"/>
  <c r="AF375" i="11"/>
  <c r="AE375" i="11"/>
  <c r="AD375" i="11"/>
  <c r="Z375" i="11"/>
  <c r="J375" i="11"/>
  <c r="I375" i="11"/>
  <c r="H375" i="11"/>
  <c r="BJ374" i="11"/>
  <c r="BF374" i="11"/>
  <c r="BD374" i="11"/>
  <c r="AX374" i="11"/>
  <c r="AW374" i="11"/>
  <c r="AP374" i="11"/>
  <c r="BI374" i="11" s="1"/>
  <c r="AC374" i="11" s="1"/>
  <c r="AO374" i="11"/>
  <c r="H374" i="11" s="1"/>
  <c r="AK374" i="11"/>
  <c r="AT373" i="11" s="1"/>
  <c r="AJ374" i="11"/>
  <c r="AH374" i="11"/>
  <c r="AG374" i="11"/>
  <c r="AF374" i="11"/>
  <c r="AE374" i="11"/>
  <c r="AD374" i="11"/>
  <c r="Z374" i="11"/>
  <c r="J374" i="11"/>
  <c r="AL374" i="11" s="1"/>
  <c r="AU373" i="11" s="1"/>
  <c r="I374" i="11"/>
  <c r="J373" i="11"/>
  <c r="BJ372" i="11"/>
  <c r="BF372" i="11"/>
  <c r="BD372" i="11"/>
  <c r="AW372" i="11"/>
  <c r="AP372" i="11"/>
  <c r="BI372" i="11" s="1"/>
  <c r="AC372" i="11" s="1"/>
  <c r="AO372" i="11"/>
  <c r="BH372" i="11" s="1"/>
  <c r="AB372" i="11" s="1"/>
  <c r="AL372" i="11"/>
  <c r="AK372" i="11"/>
  <c r="AJ372" i="11"/>
  <c r="AS370" i="11" s="1"/>
  <c r="AH372" i="11"/>
  <c r="AG372" i="11"/>
  <c r="AF372" i="11"/>
  <c r="AE372" i="11"/>
  <c r="AD372" i="11"/>
  <c r="Z372" i="11"/>
  <c r="J372" i="11"/>
  <c r="I372" i="11"/>
  <c r="H372" i="11"/>
  <c r="BJ371" i="11"/>
  <c r="BF371" i="11"/>
  <c r="BD371" i="11"/>
  <c r="AX371" i="11"/>
  <c r="AW371" i="11"/>
  <c r="AP371" i="11"/>
  <c r="BI371" i="11" s="1"/>
  <c r="AC371" i="11" s="1"/>
  <c r="AO371" i="11"/>
  <c r="H371" i="11" s="1"/>
  <c r="H370" i="11" s="1"/>
  <c r="AK371" i="11"/>
  <c r="AT370" i="11" s="1"/>
  <c r="AJ371" i="11"/>
  <c r="AH371" i="11"/>
  <c r="AG371" i="11"/>
  <c r="AF371" i="11"/>
  <c r="AE371" i="11"/>
  <c r="AD371" i="11"/>
  <c r="Z371" i="11"/>
  <c r="J371" i="11"/>
  <c r="AL371" i="11" s="1"/>
  <c r="AU370" i="11" s="1"/>
  <c r="I371" i="11"/>
  <c r="I370" i="11" s="1"/>
  <c r="J370" i="11"/>
  <c r="BJ369" i="11"/>
  <c r="BF369" i="11"/>
  <c r="BD369" i="11"/>
  <c r="AW369" i="11"/>
  <c r="AP369" i="11"/>
  <c r="BI369" i="11" s="1"/>
  <c r="AO369" i="11"/>
  <c r="BH369" i="11" s="1"/>
  <c r="AB369" i="11" s="1"/>
  <c r="AL369" i="11"/>
  <c r="AK369" i="11"/>
  <c r="AJ369" i="11"/>
  <c r="AS367" i="11" s="1"/>
  <c r="AH369" i="11"/>
  <c r="AG369" i="11"/>
  <c r="AF369" i="11"/>
  <c r="AE369" i="11"/>
  <c r="AD369" i="11"/>
  <c r="AC369" i="11"/>
  <c r="Z369" i="11"/>
  <c r="J369" i="11"/>
  <c r="I369" i="11"/>
  <c r="H369" i="11"/>
  <c r="BJ368" i="11"/>
  <c r="BF368" i="11"/>
  <c r="BD368" i="11"/>
  <c r="AX368" i="11"/>
  <c r="AP368" i="11"/>
  <c r="AO368" i="11"/>
  <c r="AK368" i="11"/>
  <c r="AJ368" i="11"/>
  <c r="AH368" i="11"/>
  <c r="AG368" i="11"/>
  <c r="AF368" i="11"/>
  <c r="AE368" i="11"/>
  <c r="AD368" i="11"/>
  <c r="Z368" i="11"/>
  <c r="J368" i="11"/>
  <c r="AL368" i="11" s="1"/>
  <c r="AU367" i="11" s="1"/>
  <c r="AT367" i="11"/>
  <c r="BJ366" i="11"/>
  <c r="BF366" i="11"/>
  <c r="BD366" i="11"/>
  <c r="AW366" i="11"/>
  <c r="AP366" i="11"/>
  <c r="BI366" i="11" s="1"/>
  <c r="AC366" i="11" s="1"/>
  <c r="AO366" i="11"/>
  <c r="BH366" i="11" s="1"/>
  <c r="AB366" i="11" s="1"/>
  <c r="AL366" i="11"/>
  <c r="AK366" i="11"/>
  <c r="AJ366" i="11"/>
  <c r="AS364" i="11" s="1"/>
  <c r="AH366" i="11"/>
  <c r="AG366" i="11"/>
  <c r="AF366" i="11"/>
  <c r="AE366" i="11"/>
  <c r="AD366" i="11"/>
  <c r="Z366" i="11"/>
  <c r="J366" i="11"/>
  <c r="I366" i="11"/>
  <c r="H366" i="11"/>
  <c r="H364" i="11" s="1"/>
  <c r="BJ365" i="11"/>
  <c r="BI365" i="11"/>
  <c r="AC365" i="11" s="1"/>
  <c r="BH365" i="11"/>
  <c r="AB365" i="11" s="1"/>
  <c r="BF365" i="11"/>
  <c r="BD365" i="11"/>
  <c r="AP365" i="11"/>
  <c r="AO365" i="11"/>
  <c r="H365" i="11" s="1"/>
  <c r="AK365" i="11"/>
  <c r="AT364" i="11" s="1"/>
  <c r="AJ365" i="11"/>
  <c r="AH365" i="11"/>
  <c r="AG365" i="11"/>
  <c r="AF365" i="11"/>
  <c r="AE365" i="11"/>
  <c r="AD365" i="11"/>
  <c r="Z365" i="11"/>
  <c r="J365" i="11"/>
  <c r="BJ363" i="11"/>
  <c r="BH363" i="11"/>
  <c r="AB363" i="11" s="1"/>
  <c r="BF363" i="11"/>
  <c r="BD363" i="11"/>
  <c r="AP363" i="11"/>
  <c r="BI363" i="11" s="1"/>
  <c r="AO363" i="11"/>
  <c r="AW363" i="11" s="1"/>
  <c r="AL363" i="11"/>
  <c r="AK363" i="11"/>
  <c r="AJ363" i="11"/>
  <c r="AH363" i="11"/>
  <c r="AG363" i="11"/>
  <c r="AF363" i="11"/>
  <c r="AE363" i="11"/>
  <c r="AD363" i="11"/>
  <c r="AC363" i="11"/>
  <c r="Z363" i="11"/>
  <c r="J363" i="11"/>
  <c r="I363" i="11"/>
  <c r="BJ362" i="11"/>
  <c r="BI362" i="11"/>
  <c r="AC362" i="11" s="1"/>
  <c r="BH362" i="11"/>
  <c r="BF362" i="11"/>
  <c r="BD362" i="11"/>
  <c r="AW362" i="11"/>
  <c r="AP362" i="11"/>
  <c r="AX362" i="11" s="1"/>
  <c r="AO362" i="11"/>
  <c r="H362" i="11" s="1"/>
  <c r="AK362" i="11"/>
  <c r="AJ362" i="11"/>
  <c r="AH362" i="11"/>
  <c r="AG362" i="11"/>
  <c r="AF362" i="11"/>
  <c r="AE362" i="11"/>
  <c r="AD362" i="11"/>
  <c r="AB362" i="11"/>
  <c r="Z362" i="11"/>
  <c r="J362" i="11"/>
  <c r="AL362" i="11" s="1"/>
  <c r="I362" i="11"/>
  <c r="BJ361" i="11"/>
  <c r="BF361" i="11"/>
  <c r="BD361" i="11"/>
  <c r="AP361" i="11"/>
  <c r="AO361" i="11"/>
  <c r="AK361" i="11"/>
  <c r="AJ361" i="11"/>
  <c r="AH361" i="11"/>
  <c r="AG361" i="11"/>
  <c r="AF361" i="11"/>
  <c r="AE361" i="11"/>
  <c r="AD361" i="11"/>
  <c r="Z361" i="11"/>
  <c r="J361" i="11"/>
  <c r="AL361" i="11" s="1"/>
  <c r="BJ360" i="11"/>
  <c r="BH360" i="11"/>
  <c r="AB360" i="11" s="1"/>
  <c r="BF360" i="11"/>
  <c r="BD360" i="11"/>
  <c r="AP360" i="11"/>
  <c r="AO360" i="11"/>
  <c r="AW360" i="11" s="1"/>
  <c r="AL360" i="11"/>
  <c r="AK360" i="11"/>
  <c r="AJ360" i="11"/>
  <c r="AH360" i="11"/>
  <c r="AG360" i="11"/>
  <c r="AF360" i="11"/>
  <c r="AE360" i="11"/>
  <c r="AD360" i="11"/>
  <c r="Z360" i="11"/>
  <c r="J360" i="11"/>
  <c r="BJ359" i="11"/>
  <c r="BI359" i="11"/>
  <c r="AC359" i="11" s="1"/>
  <c r="BF359" i="11"/>
  <c r="BD359" i="11"/>
  <c r="AX359" i="11"/>
  <c r="AV359" i="11" s="1"/>
  <c r="AW359" i="11"/>
  <c r="AP359" i="11"/>
  <c r="I359" i="11" s="1"/>
  <c r="AO359" i="11"/>
  <c r="BH359" i="11" s="1"/>
  <c r="AK359" i="11"/>
  <c r="AJ359" i="11"/>
  <c r="AH359" i="11"/>
  <c r="AG359" i="11"/>
  <c r="AF359" i="11"/>
  <c r="AE359" i="11"/>
  <c r="AD359" i="11"/>
  <c r="AB359" i="11"/>
  <c r="Z359" i="11"/>
  <c r="J359" i="11"/>
  <c r="J358" i="11" s="1"/>
  <c r="H359" i="11"/>
  <c r="AS358" i="11"/>
  <c r="BR356" i="11"/>
  <c r="BJ356" i="11"/>
  <c r="BI356" i="11"/>
  <c r="BF356" i="11"/>
  <c r="BD356" i="11"/>
  <c r="AP356" i="11"/>
  <c r="AO356" i="11"/>
  <c r="AW356" i="11" s="1"/>
  <c r="AL356" i="11"/>
  <c r="AK356" i="11"/>
  <c r="AT355" i="11" s="1"/>
  <c r="AJ356" i="11"/>
  <c r="AH356" i="11"/>
  <c r="AG356" i="11"/>
  <c r="AF356" i="11"/>
  <c r="AE356" i="11"/>
  <c r="AD356" i="11"/>
  <c r="AC356" i="11"/>
  <c r="AB356" i="11"/>
  <c r="Z356" i="11"/>
  <c r="J356" i="11"/>
  <c r="H356" i="11"/>
  <c r="AU355" i="11"/>
  <c r="AS355" i="11"/>
  <c r="J355" i="11"/>
  <c r="H355" i="11"/>
  <c r="BO354" i="11"/>
  <c r="BJ354" i="11"/>
  <c r="BI354" i="11"/>
  <c r="BF354" i="11"/>
  <c r="BD354" i="11"/>
  <c r="AP354" i="11"/>
  <c r="AO354" i="11"/>
  <c r="AW354" i="11" s="1"/>
  <c r="AL354" i="11"/>
  <c r="AK354" i="11"/>
  <c r="AT353" i="11" s="1"/>
  <c r="AJ354" i="11"/>
  <c r="AH354" i="11"/>
  <c r="AG354" i="11"/>
  <c r="AF354" i="11"/>
  <c r="AE354" i="11"/>
  <c r="AD354" i="11"/>
  <c r="AC354" i="11"/>
  <c r="AB354" i="11"/>
  <c r="Z354" i="11"/>
  <c r="J354" i="11"/>
  <c r="H354" i="11"/>
  <c r="AU353" i="11"/>
  <c r="AS353" i="11"/>
  <c r="J353" i="11"/>
  <c r="H353" i="11"/>
  <c r="BM352" i="11"/>
  <c r="BJ352" i="11"/>
  <c r="BI352" i="11"/>
  <c r="BF352" i="11"/>
  <c r="BD352" i="11"/>
  <c r="AP352" i="11"/>
  <c r="AO352" i="11"/>
  <c r="AW352" i="11" s="1"/>
  <c r="AL352" i="11"/>
  <c r="AK352" i="11"/>
  <c r="AT351" i="11" s="1"/>
  <c r="AJ352" i="11"/>
  <c r="AH352" i="11"/>
  <c r="AG352" i="11"/>
  <c r="AF352" i="11"/>
  <c r="AE352" i="11"/>
  <c r="AD352" i="11"/>
  <c r="AC352" i="11"/>
  <c r="AB352" i="11"/>
  <c r="Z352" i="11"/>
  <c r="J352" i="11"/>
  <c r="H352" i="11"/>
  <c r="AU351" i="11"/>
  <c r="AS351" i="11"/>
  <c r="J351" i="11"/>
  <c r="J350" i="11" s="1"/>
  <c r="H351" i="11"/>
  <c r="H350" i="11"/>
  <c r="BJ349" i="11"/>
  <c r="BI349" i="11"/>
  <c r="BH349" i="11"/>
  <c r="BF349" i="11"/>
  <c r="BD349" i="11"/>
  <c r="AP349" i="11"/>
  <c r="AX349" i="11" s="1"/>
  <c r="AO349" i="11"/>
  <c r="H349" i="11" s="1"/>
  <c r="AK349" i="11"/>
  <c r="AJ349" i="11"/>
  <c r="AH349" i="11"/>
  <c r="AG349" i="11"/>
  <c r="AF349" i="11"/>
  <c r="AE349" i="11"/>
  <c r="AD349" i="11"/>
  <c r="AC349" i="11"/>
  <c r="AB349" i="11"/>
  <c r="Z349" i="11"/>
  <c r="J349" i="11"/>
  <c r="AL349" i="11" s="1"/>
  <c r="I349" i="11"/>
  <c r="BJ348" i="11"/>
  <c r="BF348" i="11"/>
  <c r="BD348" i="11"/>
  <c r="AW348" i="11"/>
  <c r="AP348" i="11"/>
  <c r="AO348" i="11"/>
  <c r="BH348" i="11" s="1"/>
  <c r="AK348" i="11"/>
  <c r="AJ348" i="11"/>
  <c r="AH348" i="11"/>
  <c r="AG348" i="11"/>
  <c r="AF348" i="11"/>
  <c r="AE348" i="11"/>
  <c r="AD348" i="11"/>
  <c r="AC348" i="11"/>
  <c r="AB348" i="11"/>
  <c r="Z348" i="11"/>
  <c r="J348" i="11"/>
  <c r="AL348" i="11" s="1"/>
  <c r="H348" i="11"/>
  <c r="BJ347" i="11"/>
  <c r="AH347" i="11" s="1"/>
  <c r="BF347" i="11"/>
  <c r="BD347" i="11"/>
  <c r="AX347" i="11"/>
  <c r="AW347" i="11"/>
  <c r="BC347" i="11" s="1"/>
  <c r="AV347" i="11"/>
  <c r="AP347" i="11"/>
  <c r="BI347" i="11" s="1"/>
  <c r="AO347" i="11"/>
  <c r="BH347" i="11" s="1"/>
  <c r="AK347" i="11"/>
  <c r="AJ347" i="11"/>
  <c r="AG347" i="11"/>
  <c r="AF347" i="11"/>
  <c r="AE347" i="11"/>
  <c r="AD347" i="11"/>
  <c r="AC347" i="11"/>
  <c r="AB347" i="11"/>
  <c r="Z347" i="11"/>
  <c r="J347" i="11"/>
  <c r="AL347" i="11" s="1"/>
  <c r="I347" i="11"/>
  <c r="H347" i="11"/>
  <c r="BJ346" i="11"/>
  <c r="BF346" i="11"/>
  <c r="BD346" i="11"/>
  <c r="AX346" i="11"/>
  <c r="AW346" i="11"/>
  <c r="AP346" i="11"/>
  <c r="BI346" i="11" s="1"/>
  <c r="AO346" i="11"/>
  <c r="H346" i="11" s="1"/>
  <c r="AK346" i="11"/>
  <c r="AJ346" i="11"/>
  <c r="AH346" i="11"/>
  <c r="AG346" i="11"/>
  <c r="AF346" i="11"/>
  <c r="AE346" i="11"/>
  <c r="AD346" i="11"/>
  <c r="AC346" i="11"/>
  <c r="AB346" i="11"/>
  <c r="Z346" i="11"/>
  <c r="J346" i="11"/>
  <c r="AL346" i="11" s="1"/>
  <c r="I346" i="11"/>
  <c r="BJ345" i="11"/>
  <c r="BF345" i="11"/>
  <c r="BD345" i="11"/>
  <c r="AX345" i="11"/>
  <c r="AP345" i="11"/>
  <c r="I345" i="11" s="1"/>
  <c r="AO345" i="11"/>
  <c r="AW345" i="11" s="1"/>
  <c r="AV345" i="11" s="1"/>
  <c r="AK345" i="11"/>
  <c r="AJ345" i="11"/>
  <c r="AH345" i="11"/>
  <c r="AG345" i="11"/>
  <c r="AF345" i="11"/>
  <c r="AE345" i="11"/>
  <c r="AD345" i="11"/>
  <c r="AC345" i="11"/>
  <c r="AB345" i="11"/>
  <c r="Z345" i="11"/>
  <c r="J345" i="11"/>
  <c r="AL345" i="11" s="1"/>
  <c r="H345" i="11"/>
  <c r="BJ344" i="11"/>
  <c r="AH344" i="11" s="1"/>
  <c r="BF344" i="11"/>
  <c r="BD344" i="11"/>
  <c r="AP344" i="11"/>
  <c r="AX344" i="11" s="1"/>
  <c r="AO344" i="11"/>
  <c r="AL344" i="11"/>
  <c r="AK344" i="11"/>
  <c r="AJ344" i="11"/>
  <c r="AG344" i="11"/>
  <c r="AF344" i="11"/>
  <c r="AE344" i="11"/>
  <c r="AD344" i="11"/>
  <c r="AC344" i="11"/>
  <c r="AB344" i="11"/>
  <c r="Z344" i="11"/>
  <c r="J344" i="11"/>
  <c r="I344" i="11"/>
  <c r="BJ343" i="11"/>
  <c r="BI343" i="11"/>
  <c r="BF343" i="11"/>
  <c r="BD343" i="11"/>
  <c r="AP343" i="11"/>
  <c r="AO343" i="11"/>
  <c r="AW343" i="11" s="1"/>
  <c r="AL343" i="11"/>
  <c r="AK343" i="11"/>
  <c r="AJ343" i="11"/>
  <c r="AH343" i="11"/>
  <c r="AG343" i="11"/>
  <c r="AF343" i="11"/>
  <c r="AE343" i="11"/>
  <c r="AD343" i="11"/>
  <c r="AC343" i="11"/>
  <c r="AB343" i="11"/>
  <c r="Z343" i="11"/>
  <c r="J343" i="11"/>
  <c r="H343" i="11"/>
  <c r="BJ342" i="11"/>
  <c r="AH342" i="11" s="1"/>
  <c r="BF342" i="11"/>
  <c r="BD342" i="11"/>
  <c r="AP342" i="11"/>
  <c r="AX342" i="11" s="1"/>
  <c r="AV342" i="11" s="1"/>
  <c r="AO342" i="11"/>
  <c r="AW342" i="11" s="1"/>
  <c r="AL342" i="11"/>
  <c r="AK342" i="11"/>
  <c r="AJ342" i="11"/>
  <c r="AG342" i="11"/>
  <c r="AF342" i="11"/>
  <c r="AE342" i="11"/>
  <c r="AD342" i="11"/>
  <c r="AC342" i="11"/>
  <c r="AB342" i="11"/>
  <c r="Z342" i="11"/>
  <c r="J342" i="11"/>
  <c r="I342" i="11"/>
  <c r="BJ341" i="11"/>
  <c r="BI341" i="11"/>
  <c r="BH341" i="11"/>
  <c r="BF341" i="11"/>
  <c r="BD341" i="11"/>
  <c r="AP341" i="11"/>
  <c r="AX341" i="11" s="1"/>
  <c r="AO341" i="11"/>
  <c r="H341" i="11" s="1"/>
  <c r="AK341" i="11"/>
  <c r="AJ341" i="11"/>
  <c r="AH341" i="11"/>
  <c r="AG341" i="11"/>
  <c r="AF341" i="11"/>
  <c r="AE341" i="11"/>
  <c r="AD341" i="11"/>
  <c r="AC341" i="11"/>
  <c r="AB341" i="11"/>
  <c r="Z341" i="11"/>
  <c r="J341" i="11"/>
  <c r="AL341" i="11" s="1"/>
  <c r="I341" i="11"/>
  <c r="BJ340" i="11"/>
  <c r="AH340" i="11" s="1"/>
  <c r="BF340" i="11"/>
  <c r="BD340" i="11"/>
  <c r="AW340" i="11"/>
  <c r="AP340" i="11"/>
  <c r="I340" i="11" s="1"/>
  <c r="AO340" i="11"/>
  <c r="BH340" i="11" s="1"/>
  <c r="AK340" i="11"/>
  <c r="AJ340" i="11"/>
  <c r="AG340" i="11"/>
  <c r="AF340" i="11"/>
  <c r="AE340" i="11"/>
  <c r="AD340" i="11"/>
  <c r="AC340" i="11"/>
  <c r="AB340" i="11"/>
  <c r="Z340" i="11"/>
  <c r="J340" i="11"/>
  <c r="AL340" i="11" s="1"/>
  <c r="H340" i="11"/>
  <c r="BJ339" i="11"/>
  <c r="AH339" i="11" s="1"/>
  <c r="BF339" i="11"/>
  <c r="BD339" i="11"/>
  <c r="BC339" i="11"/>
  <c r="AX339" i="11"/>
  <c r="AW339" i="11"/>
  <c r="AV339" i="11"/>
  <c r="AP339" i="11"/>
  <c r="BI339" i="11" s="1"/>
  <c r="AO339" i="11"/>
  <c r="BH339" i="11" s="1"/>
  <c r="AK339" i="11"/>
  <c r="AJ339" i="11"/>
  <c r="AG339" i="11"/>
  <c r="AF339" i="11"/>
  <c r="AE339" i="11"/>
  <c r="AD339" i="11"/>
  <c r="AC339" i="11"/>
  <c r="AB339" i="11"/>
  <c r="Z339" i="11"/>
  <c r="J339" i="11"/>
  <c r="AL339" i="11" s="1"/>
  <c r="I339" i="11"/>
  <c r="H339" i="11"/>
  <c r="BJ338" i="11"/>
  <c r="BF338" i="11"/>
  <c r="BD338" i="11"/>
  <c r="AX338" i="11"/>
  <c r="AW338" i="11"/>
  <c r="AP338" i="11"/>
  <c r="BI338" i="11" s="1"/>
  <c r="AO338" i="11"/>
  <c r="H338" i="11" s="1"/>
  <c r="AK338" i="11"/>
  <c r="AJ338" i="11"/>
  <c r="AH338" i="11"/>
  <c r="AG338" i="11"/>
  <c r="AF338" i="11"/>
  <c r="AE338" i="11"/>
  <c r="AD338" i="11"/>
  <c r="AC338" i="11"/>
  <c r="AB338" i="11"/>
  <c r="Z338" i="11"/>
  <c r="J338" i="11"/>
  <c r="AL338" i="11" s="1"/>
  <c r="I338" i="11"/>
  <c r="BJ337" i="11"/>
  <c r="BF337" i="11"/>
  <c r="BD337" i="11"/>
  <c r="BC337" i="11"/>
  <c r="AX337" i="11"/>
  <c r="AP337" i="11"/>
  <c r="I337" i="11" s="1"/>
  <c r="AO337" i="11"/>
  <c r="AW337" i="11" s="1"/>
  <c r="AV337" i="11" s="1"/>
  <c r="AK337" i="11"/>
  <c r="AJ337" i="11"/>
  <c r="AH337" i="11"/>
  <c r="AG337" i="11"/>
  <c r="AF337" i="11"/>
  <c r="AE337" i="11"/>
  <c r="AD337" i="11"/>
  <c r="AC337" i="11"/>
  <c r="AB337" i="11"/>
  <c r="Z337" i="11"/>
  <c r="J337" i="11"/>
  <c r="H337" i="11"/>
  <c r="BJ336" i="11"/>
  <c r="AH336" i="11" s="1"/>
  <c r="BF336" i="11"/>
  <c r="BD336" i="11"/>
  <c r="AP336" i="11"/>
  <c r="AX336" i="11" s="1"/>
  <c r="AO336" i="11"/>
  <c r="AL336" i="11"/>
  <c r="AK336" i="11"/>
  <c r="AJ336" i="11"/>
  <c r="AS334" i="11" s="1"/>
  <c r="AG336" i="11"/>
  <c r="AF336" i="11"/>
  <c r="AE336" i="11"/>
  <c r="AD336" i="11"/>
  <c r="AC336" i="11"/>
  <c r="AB336" i="11"/>
  <c r="Z336" i="11"/>
  <c r="J336" i="11"/>
  <c r="I336" i="11"/>
  <c r="BJ335" i="11"/>
  <c r="BF335" i="11"/>
  <c r="BD335" i="11"/>
  <c r="AP335" i="11"/>
  <c r="AO335" i="11"/>
  <c r="AW335" i="11" s="1"/>
  <c r="AL335" i="11"/>
  <c r="AK335" i="11"/>
  <c r="AJ335" i="11"/>
  <c r="AH335" i="11"/>
  <c r="AG335" i="11"/>
  <c r="AF335" i="11"/>
  <c r="AE335" i="11"/>
  <c r="AD335" i="11"/>
  <c r="AC335" i="11"/>
  <c r="AB335" i="11"/>
  <c r="Z335" i="11"/>
  <c r="J335" i="11"/>
  <c r="H335" i="11"/>
  <c r="BJ333" i="11"/>
  <c r="BF333" i="11"/>
  <c r="BD333" i="11"/>
  <c r="AP333" i="11"/>
  <c r="AX333" i="11" s="1"/>
  <c r="AO333" i="11"/>
  <c r="AL333" i="11"/>
  <c r="AK333" i="11"/>
  <c r="AT332" i="11" s="1"/>
  <c r="AJ333" i="11"/>
  <c r="AS332" i="11" s="1"/>
  <c r="AH333" i="11"/>
  <c r="AG333" i="11"/>
  <c r="AF333" i="11"/>
  <c r="AE333" i="11"/>
  <c r="AD333" i="11"/>
  <c r="AC333" i="11"/>
  <c r="AB333" i="11"/>
  <c r="Z333" i="11"/>
  <c r="J333" i="11"/>
  <c r="I333" i="11"/>
  <c r="AU332" i="11"/>
  <c r="J332" i="11"/>
  <c r="I332" i="11"/>
  <c r="BJ331" i="11"/>
  <c r="BF331" i="11"/>
  <c r="BD331" i="11"/>
  <c r="AX331" i="11"/>
  <c r="AP331" i="11"/>
  <c r="I331" i="11" s="1"/>
  <c r="AO331" i="11"/>
  <c r="AW331" i="11" s="1"/>
  <c r="AK331" i="11"/>
  <c r="AJ331" i="11"/>
  <c r="AS330" i="11" s="1"/>
  <c r="AH331" i="11"/>
  <c r="AG331" i="11"/>
  <c r="AF331" i="11"/>
  <c r="AE331" i="11"/>
  <c r="AD331" i="11"/>
  <c r="Z331" i="11"/>
  <c r="J331" i="11"/>
  <c r="J330" i="11" s="1"/>
  <c r="H331" i="11"/>
  <c r="AT330" i="11"/>
  <c r="I330" i="11"/>
  <c r="H330" i="11"/>
  <c r="BJ329" i="11"/>
  <c r="BF329" i="11"/>
  <c r="BD329" i="11"/>
  <c r="AX329" i="11"/>
  <c r="AW329" i="11"/>
  <c r="AP329" i="11"/>
  <c r="BI329" i="11" s="1"/>
  <c r="AC329" i="11" s="1"/>
  <c r="AO329" i="11"/>
  <c r="H329" i="11" s="1"/>
  <c r="AK329" i="11"/>
  <c r="AJ329" i="11"/>
  <c r="AH329" i="11"/>
  <c r="AG329" i="11"/>
  <c r="AF329" i="11"/>
  <c r="AE329" i="11"/>
  <c r="AD329" i="11"/>
  <c r="Z329" i="11"/>
  <c r="J329" i="11"/>
  <c r="AL329" i="11" s="1"/>
  <c r="I329" i="11"/>
  <c r="BJ328" i="11"/>
  <c r="BF328" i="11"/>
  <c r="BD328" i="11"/>
  <c r="AX328" i="11"/>
  <c r="BC328" i="11" s="1"/>
  <c r="AP328" i="11"/>
  <c r="I328" i="11" s="1"/>
  <c r="AO328" i="11"/>
  <c r="AW328" i="11" s="1"/>
  <c r="AL328" i="11"/>
  <c r="AK328" i="11"/>
  <c r="AJ328" i="11"/>
  <c r="AH328" i="11"/>
  <c r="AG328" i="11"/>
  <c r="AF328" i="11"/>
  <c r="AE328" i="11"/>
  <c r="AD328" i="11"/>
  <c r="Z328" i="11"/>
  <c r="J328" i="11"/>
  <c r="H328" i="11"/>
  <c r="BJ327" i="11"/>
  <c r="BH327" i="11"/>
  <c r="BF327" i="11"/>
  <c r="BD327" i="11"/>
  <c r="AP327" i="11"/>
  <c r="AX327" i="11" s="1"/>
  <c r="AO327" i="11"/>
  <c r="AL327" i="11"/>
  <c r="AK327" i="11"/>
  <c r="AJ327" i="11"/>
  <c r="AH327" i="11"/>
  <c r="AG327" i="11"/>
  <c r="AF327" i="11"/>
  <c r="AE327" i="11"/>
  <c r="AD327" i="11"/>
  <c r="AB327" i="11"/>
  <c r="Z327" i="11"/>
  <c r="J327" i="11"/>
  <c r="I327" i="11"/>
  <c r="BJ326" i="11"/>
  <c r="BI326" i="11"/>
  <c r="AC326" i="11" s="1"/>
  <c r="BF326" i="11"/>
  <c r="BD326" i="11"/>
  <c r="AP326" i="11"/>
  <c r="AO326" i="11"/>
  <c r="AW326" i="11" s="1"/>
  <c r="AL326" i="11"/>
  <c r="AK326" i="11"/>
  <c r="AJ326" i="11"/>
  <c r="AH326" i="11"/>
  <c r="AG326" i="11"/>
  <c r="AF326" i="11"/>
  <c r="AE326" i="11"/>
  <c r="AD326" i="11"/>
  <c r="Z326" i="11"/>
  <c r="J326" i="11"/>
  <c r="BJ325" i="11"/>
  <c r="BH325" i="11"/>
  <c r="AB325" i="11" s="1"/>
  <c r="BF325" i="11"/>
  <c r="BD325" i="11"/>
  <c r="AP325" i="11"/>
  <c r="AX325" i="11" s="1"/>
  <c r="AV325" i="11" s="1"/>
  <c r="AO325" i="11"/>
  <c r="AW325" i="11" s="1"/>
  <c r="AL325" i="11"/>
  <c r="AK325" i="11"/>
  <c r="AJ325" i="11"/>
  <c r="AH325" i="11"/>
  <c r="AG325" i="11"/>
  <c r="AF325" i="11"/>
  <c r="AE325" i="11"/>
  <c r="AD325" i="11"/>
  <c r="Z325" i="11"/>
  <c r="J325" i="11"/>
  <c r="H325" i="11"/>
  <c r="BJ324" i="11"/>
  <c r="BI324" i="11"/>
  <c r="AC324" i="11" s="1"/>
  <c r="BH324" i="11"/>
  <c r="AB324" i="11" s="1"/>
  <c r="BF324" i="11"/>
  <c r="BD324" i="11"/>
  <c r="AP324" i="11"/>
  <c r="AX324" i="11" s="1"/>
  <c r="AO324" i="11"/>
  <c r="H324" i="11" s="1"/>
  <c r="AK324" i="11"/>
  <c r="AJ324" i="11"/>
  <c r="AH324" i="11"/>
  <c r="AG324" i="11"/>
  <c r="AF324" i="11"/>
  <c r="AE324" i="11"/>
  <c r="AD324" i="11"/>
  <c r="Z324" i="11"/>
  <c r="J324" i="11"/>
  <c r="AL324" i="11" s="1"/>
  <c r="I324" i="11"/>
  <c r="BJ323" i="11"/>
  <c r="BI323" i="11"/>
  <c r="AC323" i="11" s="1"/>
  <c r="BF323" i="11"/>
  <c r="BD323" i="11"/>
  <c r="AW323" i="11"/>
  <c r="AP323" i="11"/>
  <c r="AO323" i="11"/>
  <c r="BH323" i="11" s="1"/>
  <c r="AB323" i="11" s="1"/>
  <c r="AL323" i="11"/>
  <c r="AK323" i="11"/>
  <c r="AJ323" i="11"/>
  <c r="AH323" i="11"/>
  <c r="AG323" i="11"/>
  <c r="AF323" i="11"/>
  <c r="AE323" i="11"/>
  <c r="AD323" i="11"/>
  <c r="Z323" i="11"/>
  <c r="J323" i="11"/>
  <c r="J322" i="11" s="1"/>
  <c r="H323" i="11"/>
  <c r="AS322" i="11"/>
  <c r="BJ321" i="11"/>
  <c r="BI321" i="11"/>
  <c r="AC321" i="11" s="1"/>
  <c r="BF321" i="11"/>
  <c r="BD321" i="11"/>
  <c r="AP321" i="11"/>
  <c r="AX321" i="11" s="1"/>
  <c r="AO321" i="11"/>
  <c r="AK321" i="11"/>
  <c r="AJ321" i="11"/>
  <c r="AH321" i="11"/>
  <c r="AG321" i="11"/>
  <c r="AF321" i="11"/>
  <c r="AE321" i="11"/>
  <c r="AD321" i="11"/>
  <c r="Z321" i="11"/>
  <c r="J321" i="11"/>
  <c r="AL321" i="11" s="1"/>
  <c r="BJ320" i="11"/>
  <c r="BI320" i="11"/>
  <c r="BF320" i="11"/>
  <c r="BD320" i="11"/>
  <c r="AX320" i="11"/>
  <c r="AW320" i="11"/>
  <c r="AV320" i="11"/>
  <c r="AP320" i="11"/>
  <c r="I320" i="11" s="1"/>
  <c r="AO320" i="11"/>
  <c r="BH320" i="11" s="1"/>
  <c r="AB320" i="11" s="1"/>
  <c r="AL320" i="11"/>
  <c r="AK320" i="11"/>
  <c r="AT319" i="11" s="1"/>
  <c r="AJ320" i="11"/>
  <c r="AH320" i="11"/>
  <c r="AG320" i="11"/>
  <c r="AF320" i="11"/>
  <c r="AE320" i="11"/>
  <c r="AD320" i="11"/>
  <c r="AC320" i="11"/>
  <c r="Z320" i="11"/>
  <c r="J320" i="11"/>
  <c r="J319" i="11" s="1"/>
  <c r="H320" i="11"/>
  <c r="AS319" i="11"/>
  <c r="BJ318" i="11"/>
  <c r="BF318" i="11"/>
  <c r="BD318" i="11"/>
  <c r="AP318" i="11"/>
  <c r="AO318" i="11"/>
  <c r="H318" i="11" s="1"/>
  <c r="H317" i="11" s="1"/>
  <c r="AK318" i="11"/>
  <c r="AJ318" i="11"/>
  <c r="AH318" i="11"/>
  <c r="AG318" i="11"/>
  <c r="AF318" i="11"/>
  <c r="AE318" i="11"/>
  <c r="AD318" i="11"/>
  <c r="Z318" i="11"/>
  <c r="J318" i="11"/>
  <c r="AL318" i="11" s="1"/>
  <c r="AU317" i="11" s="1"/>
  <c r="AT317" i="11"/>
  <c r="AS317" i="11"/>
  <c r="J317" i="11"/>
  <c r="BJ316" i="11"/>
  <c r="BF316" i="11"/>
  <c r="BD316" i="11"/>
  <c r="AP316" i="11"/>
  <c r="AX316" i="11" s="1"/>
  <c r="AO316" i="11"/>
  <c r="AL316" i="11"/>
  <c r="AK316" i="11"/>
  <c r="AJ316" i="11"/>
  <c r="AH316" i="11"/>
  <c r="AG316" i="11"/>
  <c r="AF316" i="11"/>
  <c r="AE316" i="11"/>
  <c r="AD316" i="11"/>
  <c r="Z316" i="11"/>
  <c r="J316" i="11"/>
  <c r="BJ315" i="11"/>
  <c r="BI315" i="11"/>
  <c r="AC315" i="11" s="1"/>
  <c r="BF315" i="11"/>
  <c r="BD315" i="11"/>
  <c r="AW315" i="11"/>
  <c r="AP315" i="11"/>
  <c r="AX315" i="11" s="1"/>
  <c r="AO315" i="11"/>
  <c r="H315" i="11" s="1"/>
  <c r="AK315" i="11"/>
  <c r="AT312" i="11" s="1"/>
  <c r="AJ315" i="11"/>
  <c r="AH315" i="11"/>
  <c r="AG315" i="11"/>
  <c r="AF315" i="11"/>
  <c r="AE315" i="11"/>
  <c r="AD315" i="11"/>
  <c r="Z315" i="11"/>
  <c r="J315" i="11"/>
  <c r="AL315" i="11" s="1"/>
  <c r="BJ314" i="11"/>
  <c r="BI314" i="11"/>
  <c r="BF314" i="11"/>
  <c r="BD314" i="11"/>
  <c r="AX314" i="11"/>
  <c r="AW314" i="11"/>
  <c r="BC314" i="11" s="1"/>
  <c r="AV314" i="11"/>
  <c r="AP314" i="11"/>
  <c r="I314" i="11" s="1"/>
  <c r="AO314" i="11"/>
  <c r="BH314" i="11" s="1"/>
  <c r="AB314" i="11" s="1"/>
  <c r="AK314" i="11"/>
  <c r="AJ314" i="11"/>
  <c r="AH314" i="11"/>
  <c r="AG314" i="11"/>
  <c r="AF314" i="11"/>
  <c r="AE314" i="11"/>
  <c r="AD314" i="11"/>
  <c r="AC314" i="11"/>
  <c r="Z314" i="11"/>
  <c r="J314" i="11"/>
  <c r="AL314" i="11" s="1"/>
  <c r="H314" i="11"/>
  <c r="BJ313" i="11"/>
  <c r="BH313" i="11"/>
  <c r="AB313" i="11" s="1"/>
  <c r="BF313" i="11"/>
  <c r="BD313" i="11"/>
  <c r="AX313" i="11"/>
  <c r="AP313" i="11"/>
  <c r="BI313" i="11" s="1"/>
  <c r="AC313" i="11" s="1"/>
  <c r="AO313" i="11"/>
  <c r="AK313" i="11"/>
  <c r="AJ313" i="11"/>
  <c r="AS312" i="11" s="1"/>
  <c r="AH313" i="11"/>
  <c r="AG313" i="11"/>
  <c r="AF313" i="11"/>
  <c r="AE313" i="11"/>
  <c r="AD313" i="11"/>
  <c r="Z313" i="11"/>
  <c r="J313" i="11"/>
  <c r="AL313" i="11" s="1"/>
  <c r="I313" i="11"/>
  <c r="BJ311" i="11"/>
  <c r="BF311" i="11"/>
  <c r="BD311" i="11"/>
  <c r="AX311" i="11"/>
  <c r="AV311" i="11" s="1"/>
  <c r="AW311" i="11"/>
  <c r="AP311" i="11"/>
  <c r="I311" i="11" s="1"/>
  <c r="I310" i="11" s="1"/>
  <c r="AO311" i="11"/>
  <c r="BH311" i="11" s="1"/>
  <c r="AB311" i="11" s="1"/>
  <c r="AL311" i="11"/>
  <c r="AU310" i="11" s="1"/>
  <c r="AK311" i="11"/>
  <c r="AT310" i="11" s="1"/>
  <c r="AJ311" i="11"/>
  <c r="AH311" i="11"/>
  <c r="AG311" i="11"/>
  <c r="AF311" i="11"/>
  <c r="AE311" i="11"/>
  <c r="AD311" i="11"/>
  <c r="Z311" i="11"/>
  <c r="J311" i="11"/>
  <c r="J310" i="11" s="1"/>
  <c r="H311" i="11"/>
  <c r="H310" i="11" s="1"/>
  <c r="AS310" i="11"/>
  <c r="BJ309" i="11"/>
  <c r="BI309" i="11"/>
  <c r="AC309" i="11" s="1"/>
  <c r="BH309" i="11"/>
  <c r="AB309" i="11" s="1"/>
  <c r="BF309" i="11"/>
  <c r="BD309" i="11"/>
  <c r="AP309" i="11"/>
  <c r="AX309" i="11" s="1"/>
  <c r="AO309" i="11"/>
  <c r="H309" i="11" s="1"/>
  <c r="AK309" i="11"/>
  <c r="AJ309" i="11"/>
  <c r="AH309" i="11"/>
  <c r="AG309" i="11"/>
  <c r="AF309" i="11"/>
  <c r="AE309" i="11"/>
  <c r="AD309" i="11"/>
  <c r="Z309" i="11"/>
  <c r="J309" i="11"/>
  <c r="AL309" i="11" s="1"/>
  <c r="I309" i="11"/>
  <c r="BJ308" i="11"/>
  <c r="BF308" i="11"/>
  <c r="BD308" i="11"/>
  <c r="AW308" i="11"/>
  <c r="AP308" i="11"/>
  <c r="AO308" i="11"/>
  <c r="BH308" i="11" s="1"/>
  <c r="AB308" i="11" s="1"/>
  <c r="AL308" i="11"/>
  <c r="AK308" i="11"/>
  <c r="AJ308" i="11"/>
  <c r="AH308" i="11"/>
  <c r="AG308" i="11"/>
  <c r="AF308" i="11"/>
  <c r="AE308" i="11"/>
  <c r="AD308" i="11"/>
  <c r="Z308" i="11"/>
  <c r="J308" i="11"/>
  <c r="J306" i="11" s="1"/>
  <c r="H308" i="11"/>
  <c r="BJ307" i="11"/>
  <c r="BF307" i="11"/>
  <c r="BD307" i="11"/>
  <c r="BC307" i="11"/>
  <c r="AX307" i="11"/>
  <c r="AP307" i="11"/>
  <c r="BI307" i="11" s="1"/>
  <c r="AC307" i="11" s="1"/>
  <c r="AO307" i="11"/>
  <c r="AW307" i="11" s="1"/>
  <c r="AV307" i="11" s="1"/>
  <c r="AK307" i="11"/>
  <c r="AJ307" i="11"/>
  <c r="AS306" i="11" s="1"/>
  <c r="AH307" i="11"/>
  <c r="AG307" i="11"/>
  <c r="AF307" i="11"/>
  <c r="AE307" i="11"/>
  <c r="AD307" i="11"/>
  <c r="Z307" i="11"/>
  <c r="J307" i="11"/>
  <c r="AL307" i="11" s="1"/>
  <c r="I307" i="11"/>
  <c r="H307" i="11"/>
  <c r="H306" i="11" s="1"/>
  <c r="AT306" i="11"/>
  <c r="BJ305" i="11"/>
  <c r="BF305" i="11"/>
  <c r="BD305" i="11"/>
  <c r="AW305" i="11"/>
  <c r="AP305" i="11"/>
  <c r="I305" i="11" s="1"/>
  <c r="AO305" i="11"/>
  <c r="BH305" i="11" s="1"/>
  <c r="AB305" i="11" s="1"/>
  <c r="AK305" i="11"/>
  <c r="AJ305" i="11"/>
  <c r="AH305" i="11"/>
  <c r="AG305" i="11"/>
  <c r="AF305" i="11"/>
  <c r="AE305" i="11"/>
  <c r="AD305" i="11"/>
  <c r="Z305" i="11"/>
  <c r="J305" i="11"/>
  <c r="AL305" i="11" s="1"/>
  <c r="H305" i="11"/>
  <c r="BJ304" i="11"/>
  <c r="BF304" i="11"/>
  <c r="BD304" i="11"/>
  <c r="AX304" i="11"/>
  <c r="AW304" i="11"/>
  <c r="AP304" i="11"/>
  <c r="BI304" i="11" s="1"/>
  <c r="AC304" i="11" s="1"/>
  <c r="AO304" i="11"/>
  <c r="BH304" i="11" s="1"/>
  <c r="AB304" i="11" s="1"/>
  <c r="AK304" i="11"/>
  <c r="AJ304" i="11"/>
  <c r="AS299" i="11" s="1"/>
  <c r="AH304" i="11"/>
  <c r="AG304" i="11"/>
  <c r="AF304" i="11"/>
  <c r="AE304" i="11"/>
  <c r="AD304" i="11"/>
  <c r="Z304" i="11"/>
  <c r="J304" i="11"/>
  <c r="AL304" i="11" s="1"/>
  <c r="I304" i="11"/>
  <c r="BJ303" i="11"/>
  <c r="BI303" i="11"/>
  <c r="AC303" i="11" s="1"/>
  <c r="BF303" i="11"/>
  <c r="BD303" i="11"/>
  <c r="AW303" i="11"/>
  <c r="AP303" i="11"/>
  <c r="I303" i="11" s="1"/>
  <c r="AO303" i="11"/>
  <c r="H303" i="11" s="1"/>
  <c r="AK303" i="11"/>
  <c r="AJ303" i="11"/>
  <c r="AH303" i="11"/>
  <c r="AG303" i="11"/>
  <c r="AF303" i="11"/>
  <c r="AE303" i="11"/>
  <c r="AD303" i="11"/>
  <c r="Z303" i="11"/>
  <c r="J303" i="11"/>
  <c r="AL303" i="11" s="1"/>
  <c r="BJ302" i="11"/>
  <c r="BF302" i="11"/>
  <c r="BD302" i="11"/>
  <c r="BC302" i="11"/>
  <c r="AX302" i="11"/>
  <c r="AV302" i="11"/>
  <c r="AP302" i="11"/>
  <c r="I302" i="11" s="1"/>
  <c r="AO302" i="11"/>
  <c r="AW302" i="11" s="1"/>
  <c r="AL302" i="11"/>
  <c r="AK302" i="11"/>
  <c r="AJ302" i="11"/>
  <c r="AH302" i="11"/>
  <c r="AG302" i="11"/>
  <c r="AF302" i="11"/>
  <c r="AE302" i="11"/>
  <c r="AD302" i="11"/>
  <c r="Z302" i="11"/>
  <c r="J302" i="11"/>
  <c r="H302" i="11"/>
  <c r="BJ301" i="11"/>
  <c r="BH301" i="11"/>
  <c r="AB301" i="11" s="1"/>
  <c r="BF301" i="11"/>
  <c r="BD301" i="11"/>
  <c r="AW301" i="11"/>
  <c r="AP301" i="11"/>
  <c r="AX301" i="11" s="1"/>
  <c r="AO301" i="11"/>
  <c r="AL301" i="11"/>
  <c r="AK301" i="11"/>
  <c r="AJ301" i="11"/>
  <c r="AH301" i="11"/>
  <c r="AG301" i="11"/>
  <c r="AF301" i="11"/>
  <c r="AE301" i="11"/>
  <c r="AD301" i="11"/>
  <c r="Z301" i="11"/>
  <c r="J301" i="11"/>
  <c r="H301" i="11"/>
  <c r="BJ300" i="11"/>
  <c r="BH300" i="11"/>
  <c r="BF300" i="11"/>
  <c r="BD300" i="11"/>
  <c r="AX300" i="11"/>
  <c r="AP300" i="11"/>
  <c r="I300" i="11" s="1"/>
  <c r="AO300" i="11"/>
  <c r="AW300" i="11" s="1"/>
  <c r="AK300" i="11"/>
  <c r="AT299" i="11" s="1"/>
  <c r="AJ300" i="11"/>
  <c r="AH300" i="11"/>
  <c r="AG300" i="11"/>
  <c r="AF300" i="11"/>
  <c r="AE300" i="11"/>
  <c r="AD300" i="11"/>
  <c r="AB300" i="11"/>
  <c r="Z300" i="11"/>
  <c r="J300" i="11"/>
  <c r="H300" i="11"/>
  <c r="BJ298" i="11"/>
  <c r="BH298" i="11"/>
  <c r="BF298" i="11"/>
  <c r="BD298" i="11"/>
  <c r="AW298" i="11"/>
  <c r="AP298" i="11"/>
  <c r="AO298" i="11"/>
  <c r="H298" i="11" s="1"/>
  <c r="AK298" i="11"/>
  <c r="AT296" i="11" s="1"/>
  <c r="AJ298" i="11"/>
  <c r="AH298" i="11"/>
  <c r="AG298" i="11"/>
  <c r="AF298" i="11"/>
  <c r="AE298" i="11"/>
  <c r="AD298" i="11"/>
  <c r="AB298" i="11"/>
  <c r="Z298" i="11"/>
  <c r="J298" i="11"/>
  <c r="AL298" i="11" s="1"/>
  <c r="BJ297" i="11"/>
  <c r="BF297" i="11"/>
  <c r="BD297" i="11"/>
  <c r="AX297" i="11"/>
  <c r="AV297" i="11" s="1"/>
  <c r="AP297" i="11"/>
  <c r="I297" i="11" s="1"/>
  <c r="AO297" i="11"/>
  <c r="AW297" i="11" s="1"/>
  <c r="AK297" i="11"/>
  <c r="AJ297" i="11"/>
  <c r="AH297" i="11"/>
  <c r="AG297" i="11"/>
  <c r="AF297" i="11"/>
  <c r="AE297" i="11"/>
  <c r="AD297" i="11"/>
  <c r="Z297" i="11"/>
  <c r="J297" i="11"/>
  <c r="H297" i="11"/>
  <c r="AS296" i="11"/>
  <c r="H296" i="11"/>
  <c r="BJ295" i="11"/>
  <c r="BI295" i="11"/>
  <c r="AC295" i="11" s="1"/>
  <c r="BF295" i="11"/>
  <c r="BD295" i="11"/>
  <c r="AW295" i="11"/>
  <c r="AP295" i="11"/>
  <c r="AX295" i="11" s="1"/>
  <c r="AO295" i="11"/>
  <c r="H295" i="11" s="1"/>
  <c r="AK295" i="11"/>
  <c r="AT293" i="11" s="1"/>
  <c r="AJ295" i="11"/>
  <c r="AH295" i="11"/>
  <c r="AG295" i="11"/>
  <c r="AF295" i="11"/>
  <c r="AE295" i="11"/>
  <c r="AD295" i="11"/>
  <c r="Z295" i="11"/>
  <c r="J295" i="11"/>
  <c r="AL295" i="11" s="1"/>
  <c r="I295" i="11"/>
  <c r="BJ294" i="11"/>
  <c r="BF294" i="11"/>
  <c r="BD294" i="11"/>
  <c r="AX294" i="11"/>
  <c r="AP294" i="11"/>
  <c r="I294" i="11" s="1"/>
  <c r="I293" i="11" s="1"/>
  <c r="AO294" i="11"/>
  <c r="AW294" i="11" s="1"/>
  <c r="AK294" i="11"/>
  <c r="AJ294" i="11"/>
  <c r="AH294" i="11"/>
  <c r="AG294" i="11"/>
  <c r="AF294" i="11"/>
  <c r="AE294" i="11"/>
  <c r="AD294" i="11"/>
  <c r="Z294" i="11"/>
  <c r="J294" i="11"/>
  <c r="H294" i="11"/>
  <c r="AS293" i="11"/>
  <c r="BJ292" i="11"/>
  <c r="BF292" i="11"/>
  <c r="BD292" i="11"/>
  <c r="AW292" i="11"/>
  <c r="AP292" i="11"/>
  <c r="AX292" i="11" s="1"/>
  <c r="AO292" i="11"/>
  <c r="H292" i="11" s="1"/>
  <c r="H291" i="11" s="1"/>
  <c r="AK292" i="11"/>
  <c r="AT291" i="11" s="1"/>
  <c r="AJ292" i="11"/>
  <c r="AH292" i="11"/>
  <c r="AG292" i="11"/>
  <c r="AF292" i="11"/>
  <c r="AE292" i="11"/>
  <c r="AD292" i="11"/>
  <c r="Z292" i="11"/>
  <c r="J292" i="11"/>
  <c r="AL292" i="11" s="1"/>
  <c r="AU291" i="11"/>
  <c r="AS291" i="11"/>
  <c r="J291" i="11"/>
  <c r="BJ290" i="11"/>
  <c r="BF290" i="11"/>
  <c r="BD290" i="11"/>
  <c r="AX290" i="11"/>
  <c r="AP290" i="11"/>
  <c r="BI290" i="11" s="1"/>
  <c r="AC290" i="11" s="1"/>
  <c r="AO290" i="11"/>
  <c r="AK290" i="11"/>
  <c r="AJ290" i="11"/>
  <c r="AH290" i="11"/>
  <c r="AG290" i="11"/>
  <c r="AF290" i="11"/>
  <c r="AE290" i="11"/>
  <c r="AD290" i="11"/>
  <c r="Z290" i="11"/>
  <c r="J290" i="11"/>
  <c r="AL290" i="11" s="1"/>
  <c r="I290" i="11"/>
  <c r="BJ289" i="11"/>
  <c r="BF289" i="11"/>
  <c r="BD289" i="11"/>
  <c r="AW289" i="11"/>
  <c r="AP289" i="11"/>
  <c r="AO289" i="11"/>
  <c r="H289" i="11" s="1"/>
  <c r="AK289" i="11"/>
  <c r="AJ289" i="11"/>
  <c r="AH289" i="11"/>
  <c r="AG289" i="11"/>
  <c r="AF289" i="11"/>
  <c r="AE289" i="11"/>
  <c r="AD289" i="11"/>
  <c r="Z289" i="11"/>
  <c r="J289" i="11"/>
  <c r="AL289" i="11" s="1"/>
  <c r="BJ288" i="11"/>
  <c r="BF288" i="11"/>
  <c r="BD288" i="11"/>
  <c r="AX288" i="11"/>
  <c r="AV288" i="11" s="1"/>
  <c r="AP288" i="11"/>
  <c r="I288" i="11" s="1"/>
  <c r="AO288" i="11"/>
  <c r="AW288" i="11" s="1"/>
  <c r="AK288" i="11"/>
  <c r="AJ288" i="11"/>
  <c r="AH288" i="11"/>
  <c r="AG288" i="11"/>
  <c r="AF288" i="11"/>
  <c r="AE288" i="11"/>
  <c r="AD288" i="11"/>
  <c r="Z288" i="11"/>
  <c r="J288" i="11"/>
  <c r="AL288" i="11" s="1"/>
  <c r="H288" i="11"/>
  <c r="BJ287" i="11"/>
  <c r="BF287" i="11"/>
  <c r="BD287" i="11"/>
  <c r="BC287" i="11"/>
  <c r="AW287" i="11"/>
  <c r="AV287" i="11" s="1"/>
  <c r="AP287" i="11"/>
  <c r="AX287" i="11" s="1"/>
  <c r="AO287" i="11"/>
  <c r="H287" i="11" s="1"/>
  <c r="AL287" i="11"/>
  <c r="AK287" i="11"/>
  <c r="AJ287" i="11"/>
  <c r="AS285" i="11" s="1"/>
  <c r="AH287" i="11"/>
  <c r="AG287" i="11"/>
  <c r="AF287" i="11"/>
  <c r="AE287" i="11"/>
  <c r="AD287" i="11"/>
  <c r="Z287" i="11"/>
  <c r="J287" i="11"/>
  <c r="I287" i="11"/>
  <c r="BJ286" i="11"/>
  <c r="BF286" i="11"/>
  <c r="BD286" i="11"/>
  <c r="AX286" i="11"/>
  <c r="AP286" i="11"/>
  <c r="I286" i="11" s="1"/>
  <c r="AO286" i="11"/>
  <c r="AW286" i="11" s="1"/>
  <c r="AK286" i="11"/>
  <c r="AT285" i="11" s="1"/>
  <c r="AJ286" i="11"/>
  <c r="AH286" i="11"/>
  <c r="AG286" i="11"/>
  <c r="AF286" i="11"/>
  <c r="AE286" i="11"/>
  <c r="AD286" i="11"/>
  <c r="Z286" i="11"/>
  <c r="J286" i="11"/>
  <c r="AL286" i="11" s="1"/>
  <c r="AU285" i="11" s="1"/>
  <c r="H286" i="11"/>
  <c r="J285" i="11"/>
  <c r="BR283" i="11"/>
  <c r="BJ283" i="11"/>
  <c r="BF283" i="11"/>
  <c r="BD283" i="11"/>
  <c r="AW283" i="11"/>
  <c r="AP283" i="11"/>
  <c r="AO283" i="11"/>
  <c r="BH283" i="11" s="1"/>
  <c r="AL283" i="11"/>
  <c r="AK283" i="11"/>
  <c r="AT282" i="11" s="1"/>
  <c r="AJ283" i="11"/>
  <c r="AH283" i="11"/>
  <c r="AG283" i="11"/>
  <c r="AF283" i="11"/>
  <c r="AE283" i="11"/>
  <c r="AD283" i="11"/>
  <c r="AC283" i="11"/>
  <c r="AB283" i="11"/>
  <c r="Z283" i="11"/>
  <c r="J283" i="11"/>
  <c r="J282" i="11" s="1"/>
  <c r="H283" i="11"/>
  <c r="AU282" i="11"/>
  <c r="AS282" i="11"/>
  <c r="H282" i="11"/>
  <c r="H277" i="11" s="1"/>
  <c r="BO281" i="11"/>
  <c r="BJ281" i="11"/>
  <c r="BF281" i="11"/>
  <c r="BD281" i="11"/>
  <c r="AX281" i="11"/>
  <c r="AW281" i="11"/>
  <c r="AP281" i="11"/>
  <c r="I281" i="11" s="1"/>
  <c r="I280" i="11" s="1"/>
  <c r="AO281" i="11"/>
  <c r="BH281" i="11" s="1"/>
  <c r="AK281" i="11"/>
  <c r="AT280" i="11" s="1"/>
  <c r="AJ281" i="11"/>
  <c r="AH281" i="11"/>
  <c r="AG281" i="11"/>
  <c r="AF281" i="11"/>
  <c r="AE281" i="11"/>
  <c r="AD281" i="11"/>
  <c r="AC281" i="11"/>
  <c r="AB281" i="11"/>
  <c r="Z281" i="11"/>
  <c r="J281" i="11"/>
  <c r="H281" i="11"/>
  <c r="AS280" i="11"/>
  <c r="H280" i="11"/>
  <c r="BM279" i="11"/>
  <c r="BJ279" i="11"/>
  <c r="BI279" i="11"/>
  <c r="BF279" i="11"/>
  <c r="BD279" i="11"/>
  <c r="AX279" i="11"/>
  <c r="AW279" i="11"/>
  <c r="AP279" i="11"/>
  <c r="I279" i="11" s="1"/>
  <c r="I278" i="11" s="1"/>
  <c r="AO279" i="11"/>
  <c r="BH279" i="11" s="1"/>
  <c r="AK279" i="11"/>
  <c r="AT278" i="11" s="1"/>
  <c r="AJ279" i="11"/>
  <c r="AH279" i="11"/>
  <c r="AG279" i="11"/>
  <c r="AF279" i="11"/>
  <c r="AE279" i="11"/>
  <c r="AD279" i="11"/>
  <c r="AC279" i="11"/>
  <c r="AB279" i="11"/>
  <c r="Z279" i="11"/>
  <c r="J279" i="11"/>
  <c r="H279" i="11"/>
  <c r="AS278" i="11"/>
  <c r="H278" i="11"/>
  <c r="BJ276" i="11"/>
  <c r="BI276" i="11"/>
  <c r="BF276" i="11"/>
  <c r="BD276" i="11"/>
  <c r="AW276" i="11"/>
  <c r="AP276" i="11"/>
  <c r="AX276" i="11" s="1"/>
  <c r="AO276" i="11"/>
  <c r="H276" i="11" s="1"/>
  <c r="AK276" i="11"/>
  <c r="AJ276" i="11"/>
  <c r="AH276" i="11"/>
  <c r="AG276" i="11"/>
  <c r="AF276" i="11"/>
  <c r="AE276" i="11"/>
  <c r="AD276" i="11"/>
  <c r="AC276" i="11"/>
  <c r="AB276" i="11"/>
  <c r="Z276" i="11"/>
  <c r="J276" i="11"/>
  <c r="AL276" i="11" s="1"/>
  <c r="I276" i="11"/>
  <c r="BJ275" i="11"/>
  <c r="AH275" i="11" s="1"/>
  <c r="BF275" i="11"/>
  <c r="BD275" i="11"/>
  <c r="AX275" i="11"/>
  <c r="AP275" i="11"/>
  <c r="I275" i="11" s="1"/>
  <c r="AO275" i="11"/>
  <c r="AW275" i="11" s="1"/>
  <c r="AL275" i="11"/>
  <c r="AK275" i="11"/>
  <c r="AJ275" i="11"/>
  <c r="AG275" i="11"/>
  <c r="AF275" i="11"/>
  <c r="AE275" i="11"/>
  <c r="AD275" i="11"/>
  <c r="AC275" i="11"/>
  <c r="AB275" i="11"/>
  <c r="Z275" i="11"/>
  <c r="J275" i="11"/>
  <c r="H275" i="11"/>
  <c r="BJ274" i="11"/>
  <c r="AH274" i="11" s="1"/>
  <c r="BH274" i="11"/>
  <c r="BF274" i="11"/>
  <c r="BD274" i="11"/>
  <c r="BC274" i="11"/>
  <c r="AW274" i="11"/>
  <c r="AV274" i="11" s="1"/>
  <c r="AP274" i="11"/>
  <c r="AX274" i="11" s="1"/>
  <c r="AO274" i="11"/>
  <c r="H274" i="11" s="1"/>
  <c r="AL274" i="11"/>
  <c r="AK274" i="11"/>
  <c r="AJ274" i="11"/>
  <c r="AG274" i="11"/>
  <c r="AF274" i="11"/>
  <c r="AE274" i="11"/>
  <c r="AD274" i="11"/>
  <c r="AC274" i="11"/>
  <c r="AB274" i="11"/>
  <c r="Z274" i="11"/>
  <c r="J274" i="11"/>
  <c r="I274" i="11"/>
  <c r="BJ273" i="11"/>
  <c r="BI273" i="11"/>
  <c r="BF273" i="11"/>
  <c r="BD273" i="11"/>
  <c r="AP273" i="11"/>
  <c r="I273" i="11" s="1"/>
  <c r="AO273" i="11"/>
  <c r="AW273" i="11" s="1"/>
  <c r="AK273" i="11"/>
  <c r="AJ273" i="11"/>
  <c r="AH273" i="11"/>
  <c r="AG273" i="11"/>
  <c r="AF273" i="11"/>
  <c r="AE273" i="11"/>
  <c r="AD273" i="11"/>
  <c r="AC273" i="11"/>
  <c r="AB273" i="11"/>
  <c r="Z273" i="11"/>
  <c r="J273" i="11"/>
  <c r="AL273" i="11" s="1"/>
  <c r="H273" i="11"/>
  <c r="BJ272" i="11"/>
  <c r="AH272" i="11" s="1"/>
  <c r="BF272" i="11"/>
  <c r="BD272" i="11"/>
  <c r="AP272" i="11"/>
  <c r="AX272" i="11" s="1"/>
  <c r="BC272" i="11" s="1"/>
  <c r="AO272" i="11"/>
  <c r="AW272" i="11" s="1"/>
  <c r="AL272" i="11"/>
  <c r="AK272" i="11"/>
  <c r="AJ272" i="11"/>
  <c r="AG272" i="11"/>
  <c r="AF272" i="11"/>
  <c r="AE272" i="11"/>
  <c r="AD272" i="11"/>
  <c r="AC272" i="11"/>
  <c r="AB272" i="11"/>
  <c r="Z272" i="11"/>
  <c r="J272" i="11"/>
  <c r="I272" i="11"/>
  <c r="H272" i="11"/>
  <c r="BJ271" i="11"/>
  <c r="BH271" i="11"/>
  <c r="BF271" i="11"/>
  <c r="BD271" i="11"/>
  <c r="AP271" i="11"/>
  <c r="AX271" i="11" s="1"/>
  <c r="AO271" i="11"/>
  <c r="H271" i="11" s="1"/>
  <c r="AK271" i="11"/>
  <c r="AJ271" i="11"/>
  <c r="AH271" i="11"/>
  <c r="AG271" i="11"/>
  <c r="AF271" i="11"/>
  <c r="AE271" i="11"/>
  <c r="AD271" i="11"/>
  <c r="AC271" i="11"/>
  <c r="AB271" i="11"/>
  <c r="Z271" i="11"/>
  <c r="J271" i="11"/>
  <c r="AL271" i="11" s="1"/>
  <c r="I271" i="11"/>
  <c r="BJ270" i="11"/>
  <c r="BF270" i="11"/>
  <c r="BD270" i="11"/>
  <c r="AW270" i="11"/>
  <c r="AP270" i="11"/>
  <c r="AO270" i="11"/>
  <c r="BH270" i="11" s="1"/>
  <c r="AK270" i="11"/>
  <c r="AJ270" i="11"/>
  <c r="AH270" i="11"/>
  <c r="AG270" i="11"/>
  <c r="AF270" i="11"/>
  <c r="AE270" i="11"/>
  <c r="AD270" i="11"/>
  <c r="AC270" i="11"/>
  <c r="AB270" i="11"/>
  <c r="Z270" i="11"/>
  <c r="J270" i="11"/>
  <c r="AL270" i="11" s="1"/>
  <c r="H270" i="11"/>
  <c r="BJ269" i="11"/>
  <c r="AH269" i="11" s="1"/>
  <c r="BF269" i="11"/>
  <c r="BD269" i="11"/>
  <c r="AX269" i="11"/>
  <c r="AP269" i="11"/>
  <c r="BI269" i="11" s="1"/>
  <c r="AO269" i="11"/>
  <c r="AK269" i="11"/>
  <c r="AJ269" i="11"/>
  <c r="AG269" i="11"/>
  <c r="AF269" i="11"/>
  <c r="AE269" i="11"/>
  <c r="AD269" i="11"/>
  <c r="AC269" i="11"/>
  <c r="AB269" i="11"/>
  <c r="Z269" i="11"/>
  <c r="J269" i="11"/>
  <c r="AL269" i="11" s="1"/>
  <c r="I269" i="11"/>
  <c r="BJ268" i="11"/>
  <c r="BF268" i="11"/>
  <c r="BD268" i="11"/>
  <c r="AW268" i="11"/>
  <c r="AP268" i="11"/>
  <c r="AX268" i="11" s="1"/>
  <c r="AO268" i="11"/>
  <c r="H268" i="11" s="1"/>
  <c r="AK268" i="11"/>
  <c r="AJ268" i="11"/>
  <c r="AH268" i="11"/>
  <c r="AG268" i="11"/>
  <c r="AF268" i="11"/>
  <c r="AE268" i="11"/>
  <c r="AD268" i="11"/>
  <c r="AC268" i="11"/>
  <c r="AB268" i="11"/>
  <c r="Z268" i="11"/>
  <c r="J268" i="11"/>
  <c r="AL268" i="11" s="1"/>
  <c r="I268" i="11"/>
  <c r="BJ267" i="11"/>
  <c r="AH267" i="11" s="1"/>
  <c r="BF267" i="11"/>
  <c r="BD267" i="11"/>
  <c r="AX267" i="11"/>
  <c r="AP267" i="11"/>
  <c r="I267" i="11" s="1"/>
  <c r="AO267" i="11"/>
  <c r="AW267" i="11" s="1"/>
  <c r="BC267" i="11" s="1"/>
  <c r="AL267" i="11"/>
  <c r="AK267" i="11"/>
  <c r="AJ267" i="11"/>
  <c r="AG267" i="11"/>
  <c r="AF267" i="11"/>
  <c r="AE267" i="11"/>
  <c r="AD267" i="11"/>
  <c r="AC267" i="11"/>
  <c r="AB267" i="11"/>
  <c r="Z267" i="11"/>
  <c r="J267" i="11"/>
  <c r="J266" i="11" s="1"/>
  <c r="H267" i="11"/>
  <c r="BJ265" i="11"/>
  <c r="BI265" i="11"/>
  <c r="BF265" i="11"/>
  <c r="BD265" i="11"/>
  <c r="AW265" i="11"/>
  <c r="AP265" i="11"/>
  <c r="AX265" i="11" s="1"/>
  <c r="AO265" i="11"/>
  <c r="H265" i="11" s="1"/>
  <c r="H264" i="11" s="1"/>
  <c r="AK265" i="11"/>
  <c r="AT264" i="11" s="1"/>
  <c r="AJ265" i="11"/>
  <c r="AH265" i="11"/>
  <c r="AG265" i="11"/>
  <c r="AF265" i="11"/>
  <c r="AE265" i="11"/>
  <c r="AD265" i="11"/>
  <c r="AC265" i="11"/>
  <c r="AB265" i="11"/>
  <c r="Z265" i="11"/>
  <c r="J265" i="11"/>
  <c r="AL265" i="11" s="1"/>
  <c r="I265" i="11"/>
  <c r="I264" i="11" s="1"/>
  <c r="AU264" i="11"/>
  <c r="AS264" i="11"/>
  <c r="J264" i="11"/>
  <c r="BJ263" i="11"/>
  <c r="BF263" i="11"/>
  <c r="BD263" i="11"/>
  <c r="BC263" i="11"/>
  <c r="AX263" i="11"/>
  <c r="AV263" i="11"/>
  <c r="AP263" i="11"/>
  <c r="BI263" i="11" s="1"/>
  <c r="AC263" i="11" s="1"/>
  <c r="AO263" i="11"/>
  <c r="AW263" i="11" s="1"/>
  <c r="AK263" i="11"/>
  <c r="AJ263" i="11"/>
  <c r="AH263" i="11"/>
  <c r="AG263" i="11"/>
  <c r="AF263" i="11"/>
  <c r="AE263" i="11"/>
  <c r="AD263" i="11"/>
  <c r="Z263" i="11"/>
  <c r="J263" i="11"/>
  <c r="AL263" i="11" s="1"/>
  <c r="I263" i="11"/>
  <c r="H263" i="11"/>
  <c r="BJ262" i="11"/>
  <c r="BI262" i="11"/>
  <c r="AC262" i="11" s="1"/>
  <c r="BF262" i="11"/>
  <c r="BD262" i="11"/>
  <c r="AW262" i="11"/>
  <c r="AP262" i="11"/>
  <c r="AX262" i="11" s="1"/>
  <c r="AO262" i="11"/>
  <c r="H262" i="11" s="1"/>
  <c r="AK262" i="11"/>
  <c r="AJ262" i="11"/>
  <c r="AH262" i="11"/>
  <c r="AG262" i="11"/>
  <c r="AF262" i="11"/>
  <c r="AE262" i="11"/>
  <c r="AD262" i="11"/>
  <c r="Z262" i="11"/>
  <c r="J262" i="11"/>
  <c r="AL262" i="11" s="1"/>
  <c r="I262" i="11"/>
  <c r="BJ261" i="11"/>
  <c r="BF261" i="11"/>
  <c r="BD261" i="11"/>
  <c r="AX261" i="11"/>
  <c r="AP261" i="11"/>
  <c r="I261" i="11" s="1"/>
  <c r="AO261" i="11"/>
  <c r="AW261" i="11" s="1"/>
  <c r="AL261" i="11"/>
  <c r="AK261" i="11"/>
  <c r="AJ261" i="11"/>
  <c r="AH261" i="11"/>
  <c r="AG261" i="11"/>
  <c r="AF261" i="11"/>
  <c r="AE261" i="11"/>
  <c r="AD261" i="11"/>
  <c r="Z261" i="11"/>
  <c r="J261" i="11"/>
  <c r="H261" i="11"/>
  <c r="BJ260" i="11"/>
  <c r="BH260" i="11"/>
  <c r="AB260" i="11" s="1"/>
  <c r="BF260" i="11"/>
  <c r="BD260" i="11"/>
  <c r="BC260" i="11"/>
  <c r="AW260" i="11"/>
  <c r="AP260" i="11"/>
  <c r="AX260" i="11" s="1"/>
  <c r="AO260" i="11"/>
  <c r="H260" i="11" s="1"/>
  <c r="AL260" i="11"/>
  <c r="AK260" i="11"/>
  <c r="AJ260" i="11"/>
  <c r="AS257" i="11" s="1"/>
  <c r="AH260" i="11"/>
  <c r="AG260" i="11"/>
  <c r="AF260" i="11"/>
  <c r="AE260" i="11"/>
  <c r="AD260" i="11"/>
  <c r="Z260" i="11"/>
  <c r="J260" i="11"/>
  <c r="I260" i="11"/>
  <c r="I257" i="11" s="1"/>
  <c r="BJ259" i="11"/>
  <c r="BI259" i="11"/>
  <c r="AC259" i="11" s="1"/>
  <c r="BF259" i="11"/>
  <c r="BD259" i="11"/>
  <c r="AX259" i="11"/>
  <c r="AP259" i="11"/>
  <c r="I259" i="11" s="1"/>
  <c r="AO259" i="11"/>
  <c r="AW259" i="11" s="1"/>
  <c r="AK259" i="11"/>
  <c r="AJ259" i="11"/>
  <c r="AH259" i="11"/>
  <c r="AG259" i="11"/>
  <c r="AF259" i="11"/>
  <c r="AE259" i="11"/>
  <c r="AD259" i="11"/>
  <c r="Z259" i="11"/>
  <c r="J259" i="11"/>
  <c r="AL259" i="11" s="1"/>
  <c r="H259" i="11"/>
  <c r="BJ258" i="11"/>
  <c r="BF258" i="11"/>
  <c r="BD258" i="11"/>
  <c r="AP258" i="11"/>
  <c r="AX258" i="11" s="1"/>
  <c r="AO258" i="11"/>
  <c r="AL258" i="11"/>
  <c r="AK258" i="11"/>
  <c r="AJ258" i="11"/>
  <c r="AH258" i="11"/>
  <c r="AG258" i="11"/>
  <c r="AF258" i="11"/>
  <c r="AE258" i="11"/>
  <c r="AD258" i="11"/>
  <c r="Z258" i="11"/>
  <c r="J258" i="11"/>
  <c r="I258" i="11"/>
  <c r="BJ256" i="11"/>
  <c r="BF256" i="11"/>
  <c r="BD256" i="11"/>
  <c r="AP256" i="11"/>
  <c r="AO256" i="11"/>
  <c r="AW256" i="11" s="1"/>
  <c r="AL256" i="11"/>
  <c r="AK256" i="11"/>
  <c r="AT254" i="11" s="1"/>
  <c r="AJ256" i="11"/>
  <c r="AH256" i="11"/>
  <c r="AG256" i="11"/>
  <c r="AF256" i="11"/>
  <c r="AE256" i="11"/>
  <c r="AD256" i="11"/>
  <c r="Z256" i="11"/>
  <c r="J256" i="11"/>
  <c r="H256" i="11"/>
  <c r="BJ255" i="11"/>
  <c r="BH255" i="11"/>
  <c r="AB255" i="11" s="1"/>
  <c r="BF255" i="11"/>
  <c r="BD255" i="11"/>
  <c r="AW255" i="11"/>
  <c r="AV255" i="11" s="1"/>
  <c r="AP255" i="11"/>
  <c r="AX255" i="11" s="1"/>
  <c r="AO255" i="11"/>
  <c r="AL255" i="11"/>
  <c r="AU254" i="11" s="1"/>
  <c r="AK255" i="11"/>
  <c r="AJ255" i="11"/>
  <c r="AS254" i="11" s="1"/>
  <c r="AH255" i="11"/>
  <c r="AG255" i="11"/>
  <c r="AF255" i="11"/>
  <c r="AE255" i="11"/>
  <c r="AD255" i="11"/>
  <c r="Z255" i="11"/>
  <c r="J255" i="11"/>
  <c r="J254" i="11" s="1"/>
  <c r="I255" i="11"/>
  <c r="H255" i="11"/>
  <c r="H254" i="11" s="1"/>
  <c r="BJ253" i="11"/>
  <c r="BI253" i="11"/>
  <c r="BF253" i="11"/>
  <c r="BD253" i="11"/>
  <c r="AX253" i="11"/>
  <c r="AP253" i="11"/>
  <c r="I253" i="11" s="1"/>
  <c r="I252" i="11" s="1"/>
  <c r="AO253" i="11"/>
  <c r="AW253" i="11" s="1"/>
  <c r="AL253" i="11"/>
  <c r="AU252" i="11" s="1"/>
  <c r="AK253" i="11"/>
  <c r="AT252" i="11" s="1"/>
  <c r="AJ253" i="11"/>
  <c r="AH253" i="11"/>
  <c r="AG253" i="11"/>
  <c r="AF253" i="11"/>
  <c r="AE253" i="11"/>
  <c r="AD253" i="11"/>
  <c r="AC253" i="11"/>
  <c r="Z253" i="11"/>
  <c r="J253" i="11"/>
  <c r="J252" i="11" s="1"/>
  <c r="H253" i="11"/>
  <c r="AS252" i="11"/>
  <c r="H252" i="11"/>
  <c r="BJ251" i="11"/>
  <c r="BI251" i="11"/>
  <c r="AC251" i="11" s="1"/>
  <c r="BF251" i="11"/>
  <c r="BD251" i="11"/>
  <c r="AP251" i="11"/>
  <c r="AO251" i="11"/>
  <c r="AL251" i="11"/>
  <c r="AK251" i="11"/>
  <c r="AJ251" i="11"/>
  <c r="AH251" i="11"/>
  <c r="AG251" i="11"/>
  <c r="AF251" i="11"/>
  <c r="AE251" i="11"/>
  <c r="AD251" i="11"/>
  <c r="Z251" i="11"/>
  <c r="J251" i="11"/>
  <c r="BJ250" i="11"/>
  <c r="BF250" i="11"/>
  <c r="BD250" i="11"/>
  <c r="AX250" i="11"/>
  <c r="AV250" i="11" s="1"/>
  <c r="AP250" i="11"/>
  <c r="I250" i="11" s="1"/>
  <c r="AO250" i="11"/>
  <c r="AW250" i="11" s="1"/>
  <c r="AK250" i="11"/>
  <c r="AJ250" i="11"/>
  <c r="AH250" i="11"/>
  <c r="AG250" i="11"/>
  <c r="AF250" i="11"/>
  <c r="AE250" i="11"/>
  <c r="AD250" i="11"/>
  <c r="Z250" i="11"/>
  <c r="J250" i="11"/>
  <c r="AL250" i="11" s="1"/>
  <c r="H250" i="11"/>
  <c r="BJ249" i="11"/>
  <c r="BH249" i="11"/>
  <c r="AB249" i="11" s="1"/>
  <c r="BF249" i="11"/>
  <c r="BD249" i="11"/>
  <c r="AW249" i="11"/>
  <c r="AP249" i="11"/>
  <c r="AX249" i="11" s="1"/>
  <c r="AV249" i="11" s="1"/>
  <c r="AO249" i="11"/>
  <c r="AL249" i="11"/>
  <c r="AK249" i="11"/>
  <c r="AJ249" i="11"/>
  <c r="AH249" i="11"/>
  <c r="AG249" i="11"/>
  <c r="AF249" i="11"/>
  <c r="AE249" i="11"/>
  <c r="AD249" i="11"/>
  <c r="Z249" i="11"/>
  <c r="J249" i="11"/>
  <c r="I249" i="11"/>
  <c r="H249" i="11"/>
  <c r="AT248" i="11"/>
  <c r="AS248" i="11"/>
  <c r="BJ247" i="11"/>
  <c r="BF247" i="11"/>
  <c r="BD247" i="11"/>
  <c r="AP247" i="11"/>
  <c r="AO247" i="11"/>
  <c r="AW247" i="11" s="1"/>
  <c r="AL247" i="11"/>
  <c r="AK247" i="11"/>
  <c r="AJ247" i="11"/>
  <c r="AH247" i="11"/>
  <c r="AG247" i="11"/>
  <c r="AF247" i="11"/>
  <c r="AE247" i="11"/>
  <c r="AD247" i="11"/>
  <c r="Z247" i="11"/>
  <c r="J247" i="11"/>
  <c r="H247" i="11"/>
  <c r="BJ246" i="11"/>
  <c r="BF246" i="11"/>
  <c r="BD246" i="11"/>
  <c r="AP246" i="11"/>
  <c r="AX246" i="11" s="1"/>
  <c r="AO246" i="11"/>
  <c r="AL246" i="11"/>
  <c r="AK246" i="11"/>
  <c r="AJ246" i="11"/>
  <c r="AH246" i="11"/>
  <c r="AG246" i="11"/>
  <c r="AF246" i="11"/>
  <c r="AE246" i="11"/>
  <c r="AD246" i="11"/>
  <c r="Z246" i="11"/>
  <c r="J246" i="11"/>
  <c r="I246" i="11"/>
  <c r="BJ245" i="11"/>
  <c r="BI245" i="11"/>
  <c r="AC245" i="11" s="1"/>
  <c r="BH245" i="11"/>
  <c r="AB245" i="11" s="1"/>
  <c r="BF245" i="11"/>
  <c r="BD245" i="11"/>
  <c r="AX245" i="11"/>
  <c r="AP245" i="11"/>
  <c r="AO245" i="11"/>
  <c r="H245" i="11" s="1"/>
  <c r="AK245" i="11"/>
  <c r="AJ245" i="11"/>
  <c r="AH245" i="11"/>
  <c r="AG245" i="11"/>
  <c r="AF245" i="11"/>
  <c r="AE245" i="11"/>
  <c r="AD245" i="11"/>
  <c r="Z245" i="11"/>
  <c r="J245" i="11"/>
  <c r="AL245" i="11" s="1"/>
  <c r="I245" i="11"/>
  <c r="BJ244" i="11"/>
  <c r="BI244" i="11"/>
  <c r="AC244" i="11" s="1"/>
  <c r="BF244" i="11"/>
  <c r="BD244" i="11"/>
  <c r="AX244" i="11"/>
  <c r="AW244" i="11"/>
  <c r="AP244" i="11"/>
  <c r="I244" i="11" s="1"/>
  <c r="AO244" i="11"/>
  <c r="BH244" i="11" s="1"/>
  <c r="AB244" i="11" s="1"/>
  <c r="AK244" i="11"/>
  <c r="AJ244" i="11"/>
  <c r="AH244" i="11"/>
  <c r="AG244" i="11"/>
  <c r="AF244" i="11"/>
  <c r="AE244" i="11"/>
  <c r="AD244" i="11"/>
  <c r="Z244" i="11"/>
  <c r="J244" i="11"/>
  <c r="H244" i="11"/>
  <c r="AS243" i="11"/>
  <c r="BJ242" i="11"/>
  <c r="BH242" i="11"/>
  <c r="AB242" i="11" s="1"/>
  <c r="BF242" i="11"/>
  <c r="BD242" i="11"/>
  <c r="AX242" i="11"/>
  <c r="AW242" i="11"/>
  <c r="AP242" i="11"/>
  <c r="BI242" i="11" s="1"/>
  <c r="AC242" i="11" s="1"/>
  <c r="AO242" i="11"/>
  <c r="H242" i="11" s="1"/>
  <c r="AK242" i="11"/>
  <c r="AJ242" i="11"/>
  <c r="AH242" i="11"/>
  <c r="AG242" i="11"/>
  <c r="AF242" i="11"/>
  <c r="AE242" i="11"/>
  <c r="AD242" i="11"/>
  <c r="Z242" i="11"/>
  <c r="J242" i="11"/>
  <c r="AL242" i="11" s="1"/>
  <c r="I242" i="11"/>
  <c r="BJ241" i="11"/>
  <c r="BI241" i="11"/>
  <c r="AC241" i="11" s="1"/>
  <c r="BF241" i="11"/>
  <c r="BD241" i="11"/>
  <c r="AW241" i="11"/>
  <c r="AP241" i="11"/>
  <c r="AO241" i="11"/>
  <c r="BH241" i="11" s="1"/>
  <c r="AB241" i="11" s="1"/>
  <c r="AL241" i="11"/>
  <c r="AU240" i="11" s="1"/>
  <c r="AK241" i="11"/>
  <c r="AT240" i="11" s="1"/>
  <c r="AJ241" i="11"/>
  <c r="AH241" i="11"/>
  <c r="AG241" i="11"/>
  <c r="AF241" i="11"/>
  <c r="AE241" i="11"/>
  <c r="AD241" i="11"/>
  <c r="Z241" i="11"/>
  <c r="J241" i="11"/>
  <c r="H241" i="11"/>
  <c r="AS240" i="11"/>
  <c r="H240" i="11"/>
  <c r="BJ239" i="11"/>
  <c r="BF239" i="11"/>
  <c r="BD239" i="11"/>
  <c r="AW239" i="11"/>
  <c r="AP239" i="11"/>
  <c r="AO239" i="11"/>
  <c r="BH239" i="11" s="1"/>
  <c r="AB239" i="11" s="1"/>
  <c r="AK239" i="11"/>
  <c r="AJ239" i="11"/>
  <c r="AH239" i="11"/>
  <c r="AG239" i="11"/>
  <c r="AF239" i="11"/>
  <c r="AE239" i="11"/>
  <c r="AD239" i="11"/>
  <c r="Z239" i="11"/>
  <c r="J239" i="11"/>
  <c r="AL239" i="11" s="1"/>
  <c r="BJ238" i="11"/>
  <c r="BF238" i="11"/>
  <c r="BD238" i="11"/>
  <c r="AW238" i="11"/>
  <c r="AP238" i="11"/>
  <c r="AO238" i="11"/>
  <c r="BH238" i="11" s="1"/>
  <c r="AB238" i="11" s="1"/>
  <c r="AL238" i="11"/>
  <c r="AK238" i="11"/>
  <c r="AJ238" i="11"/>
  <c r="AH238" i="11"/>
  <c r="AG238" i="11"/>
  <c r="AF238" i="11"/>
  <c r="AE238" i="11"/>
  <c r="AD238" i="11"/>
  <c r="Z238" i="11"/>
  <c r="J238" i="11"/>
  <c r="H238" i="11"/>
  <c r="AU237" i="11"/>
  <c r="AS237" i="11"/>
  <c r="J237" i="11"/>
  <c r="BJ236" i="11"/>
  <c r="BF236" i="11"/>
  <c r="BD236" i="11"/>
  <c r="AX236" i="11"/>
  <c r="AW236" i="11"/>
  <c r="AV236" i="11" s="1"/>
  <c r="AP236" i="11"/>
  <c r="BI236" i="11" s="1"/>
  <c r="AC236" i="11" s="1"/>
  <c r="AO236" i="11"/>
  <c r="BH236" i="11" s="1"/>
  <c r="AB236" i="11" s="1"/>
  <c r="AK236" i="11"/>
  <c r="AT235" i="11" s="1"/>
  <c r="AJ236" i="11"/>
  <c r="AS235" i="11" s="1"/>
  <c r="AH236" i="11"/>
  <c r="AG236" i="11"/>
  <c r="AF236" i="11"/>
  <c r="AE236" i="11"/>
  <c r="AD236" i="11"/>
  <c r="Z236" i="11"/>
  <c r="J236" i="11"/>
  <c r="I236" i="11"/>
  <c r="H236" i="11"/>
  <c r="I235" i="11"/>
  <c r="H235" i="11"/>
  <c r="BJ234" i="11"/>
  <c r="BH234" i="11"/>
  <c r="AB234" i="11" s="1"/>
  <c r="BF234" i="11"/>
  <c r="BD234" i="11"/>
  <c r="AX234" i="11"/>
  <c r="AW234" i="11"/>
  <c r="BC234" i="11" s="1"/>
  <c r="AV234" i="11"/>
  <c r="AP234" i="11"/>
  <c r="BI234" i="11" s="1"/>
  <c r="AC234" i="11" s="1"/>
  <c r="AO234" i="11"/>
  <c r="H234" i="11" s="1"/>
  <c r="H232" i="11" s="1"/>
  <c r="AK234" i="11"/>
  <c r="AJ234" i="11"/>
  <c r="AH234" i="11"/>
  <c r="AG234" i="11"/>
  <c r="AF234" i="11"/>
  <c r="AE234" i="11"/>
  <c r="AD234" i="11"/>
  <c r="Z234" i="11"/>
  <c r="J234" i="11"/>
  <c r="AL234" i="11" s="1"/>
  <c r="I234" i="11"/>
  <c r="BJ233" i="11"/>
  <c r="BI233" i="11"/>
  <c r="AC233" i="11" s="1"/>
  <c r="BF233" i="11"/>
  <c r="BD233" i="11"/>
  <c r="AX233" i="11"/>
  <c r="BC233" i="11" s="1"/>
  <c r="AW233" i="11"/>
  <c r="AP233" i="11"/>
  <c r="AO233" i="11"/>
  <c r="BH233" i="11" s="1"/>
  <c r="AB233" i="11" s="1"/>
  <c r="AK233" i="11"/>
  <c r="AT232" i="11" s="1"/>
  <c r="AJ233" i="11"/>
  <c r="AS232" i="11" s="1"/>
  <c r="AH233" i="11"/>
  <c r="AG233" i="11"/>
  <c r="AF233" i="11"/>
  <c r="AE233" i="11"/>
  <c r="AD233" i="11"/>
  <c r="Z233" i="11"/>
  <c r="J233" i="11"/>
  <c r="I233" i="11"/>
  <c r="H233" i="11"/>
  <c r="I232" i="11"/>
  <c r="BR230" i="11"/>
  <c r="BJ230" i="11"/>
  <c r="BH230" i="11"/>
  <c r="BF230" i="11"/>
  <c r="BD230" i="11"/>
  <c r="AX230" i="11"/>
  <c r="AP230" i="11"/>
  <c r="I230" i="11" s="1"/>
  <c r="I229" i="11" s="1"/>
  <c r="AO230" i="11"/>
  <c r="AL230" i="11"/>
  <c r="AU229" i="11" s="1"/>
  <c r="AK230" i="11"/>
  <c r="AJ230" i="11"/>
  <c r="AH230" i="11"/>
  <c r="AG230" i="11"/>
  <c r="AF230" i="11"/>
  <c r="AE230" i="11"/>
  <c r="AD230" i="11"/>
  <c r="AC230" i="11"/>
  <c r="AB230" i="11"/>
  <c r="Z230" i="11"/>
  <c r="J230" i="11"/>
  <c r="J229" i="11" s="1"/>
  <c r="AT229" i="11"/>
  <c r="AS229" i="11"/>
  <c r="BO228" i="11"/>
  <c r="BJ228" i="11"/>
  <c r="BH228" i="11"/>
  <c r="BF228" i="11"/>
  <c r="BD228" i="11"/>
  <c r="AX228" i="11"/>
  <c r="AP228" i="11"/>
  <c r="I228" i="11" s="1"/>
  <c r="I227" i="11" s="1"/>
  <c r="AO228" i="11"/>
  <c r="AL228" i="11"/>
  <c r="AU227" i="11" s="1"/>
  <c r="AK228" i="11"/>
  <c r="AJ228" i="11"/>
  <c r="AH228" i="11"/>
  <c r="AG228" i="11"/>
  <c r="AF228" i="11"/>
  <c r="AE228" i="11"/>
  <c r="AD228" i="11"/>
  <c r="AC228" i="11"/>
  <c r="AB228" i="11"/>
  <c r="Z228" i="11"/>
  <c r="J228" i="11"/>
  <c r="J227" i="11" s="1"/>
  <c r="AT227" i="11"/>
  <c r="AS227" i="11"/>
  <c r="BM226" i="11"/>
  <c r="BJ226" i="11"/>
  <c r="BH226" i="11"/>
  <c r="BF226" i="11"/>
  <c r="BD226" i="11"/>
  <c r="AX226" i="11"/>
  <c r="AP226" i="11"/>
  <c r="I226" i="11" s="1"/>
  <c r="I225" i="11" s="1"/>
  <c r="I224" i="11" s="1"/>
  <c r="AO226" i="11"/>
  <c r="AL226" i="11"/>
  <c r="AU225" i="11" s="1"/>
  <c r="AK226" i="11"/>
  <c r="AJ226" i="11"/>
  <c r="AH226" i="11"/>
  <c r="AG226" i="11"/>
  <c r="AF226" i="11"/>
  <c r="AE226" i="11"/>
  <c r="AD226" i="11"/>
  <c r="AC226" i="11"/>
  <c r="AB226" i="11"/>
  <c r="Z226" i="11"/>
  <c r="J226" i="11"/>
  <c r="J225" i="11" s="1"/>
  <c r="AT225" i="11"/>
  <c r="AS225" i="11"/>
  <c r="BJ223" i="11"/>
  <c r="AH223" i="11" s="1"/>
  <c r="BI223" i="11"/>
  <c r="BH223" i="11"/>
  <c r="BF223" i="11"/>
  <c r="BD223" i="11"/>
  <c r="AP223" i="11"/>
  <c r="AX223" i="11" s="1"/>
  <c r="AO223" i="11"/>
  <c r="AW223" i="11" s="1"/>
  <c r="BC223" i="11" s="1"/>
  <c r="AL223" i="11"/>
  <c r="AK223" i="11"/>
  <c r="AJ223" i="11"/>
  <c r="AG223" i="11"/>
  <c r="AF223" i="11"/>
  <c r="AE223" i="11"/>
  <c r="AD223" i="11"/>
  <c r="AC223" i="11"/>
  <c r="AB223" i="11"/>
  <c r="Z223" i="11"/>
  <c r="J223" i="11"/>
  <c r="I223" i="11"/>
  <c r="H223" i="11"/>
  <c r="BJ222" i="11"/>
  <c r="BF222" i="11"/>
  <c r="BD222" i="11"/>
  <c r="AW222" i="11"/>
  <c r="AP222" i="11"/>
  <c r="AO222" i="11"/>
  <c r="BH222" i="11" s="1"/>
  <c r="AK222" i="11"/>
  <c r="AJ222" i="11"/>
  <c r="AH222" i="11"/>
  <c r="AG222" i="11"/>
  <c r="AF222" i="11"/>
  <c r="AE222" i="11"/>
  <c r="AD222" i="11"/>
  <c r="AC222" i="11"/>
  <c r="AB222" i="11"/>
  <c r="Z222" i="11"/>
  <c r="J222" i="11"/>
  <c r="AL222" i="11" s="1"/>
  <c r="H222" i="11"/>
  <c r="BJ221" i="11"/>
  <c r="AH221" i="11" s="1"/>
  <c r="BF221" i="11"/>
  <c r="BD221" i="11"/>
  <c r="AX221" i="11"/>
  <c r="AW221" i="11"/>
  <c r="BC221" i="11" s="1"/>
  <c r="AP221" i="11"/>
  <c r="BI221" i="11" s="1"/>
  <c r="AO221" i="11"/>
  <c r="BH221" i="11" s="1"/>
  <c r="AK221" i="11"/>
  <c r="AJ221" i="11"/>
  <c r="AG221" i="11"/>
  <c r="AF221" i="11"/>
  <c r="AE221" i="11"/>
  <c r="AD221" i="11"/>
  <c r="AC221" i="11"/>
  <c r="AB221" i="11"/>
  <c r="Z221" i="11"/>
  <c r="J221" i="11"/>
  <c r="AL221" i="11" s="1"/>
  <c r="I221" i="11"/>
  <c r="H221" i="11"/>
  <c r="BJ220" i="11"/>
  <c r="BI220" i="11"/>
  <c r="BF220" i="11"/>
  <c r="BD220" i="11"/>
  <c r="AW220" i="11"/>
  <c r="AP220" i="11"/>
  <c r="I220" i="11" s="1"/>
  <c r="AO220" i="11"/>
  <c r="BH220" i="11" s="1"/>
  <c r="AK220" i="11"/>
  <c r="AJ220" i="11"/>
  <c r="AH220" i="11"/>
  <c r="AG220" i="11"/>
  <c r="AF220" i="11"/>
  <c r="AE220" i="11"/>
  <c r="AD220" i="11"/>
  <c r="AC220" i="11"/>
  <c r="AB220" i="11"/>
  <c r="Z220" i="11"/>
  <c r="J220" i="11"/>
  <c r="AL220" i="11" s="1"/>
  <c r="H220" i="11"/>
  <c r="BJ219" i="11"/>
  <c r="AH219" i="11" s="1"/>
  <c r="BF219" i="11"/>
  <c r="BD219" i="11"/>
  <c r="BC219" i="11"/>
  <c r="AX219" i="11"/>
  <c r="AW219" i="11"/>
  <c r="AV219" i="11"/>
  <c r="AP219" i="11"/>
  <c r="BI219" i="11" s="1"/>
  <c r="AO219" i="11"/>
  <c r="BH219" i="11" s="1"/>
  <c r="AL219" i="11"/>
  <c r="AK219" i="11"/>
  <c r="AJ219" i="11"/>
  <c r="AS215" i="11" s="1"/>
  <c r="AG219" i="11"/>
  <c r="AF219" i="11"/>
  <c r="AE219" i="11"/>
  <c r="AD219" i="11"/>
  <c r="AC219" i="11"/>
  <c r="AB219" i="11"/>
  <c r="Z219" i="11"/>
  <c r="J219" i="11"/>
  <c r="I219" i="11"/>
  <c r="H219" i="11"/>
  <c r="BJ218" i="11"/>
  <c r="BH218" i="11"/>
  <c r="BF218" i="11"/>
  <c r="BD218" i="11"/>
  <c r="AX218" i="11"/>
  <c r="AP218" i="11"/>
  <c r="BI218" i="11" s="1"/>
  <c r="AO218" i="11"/>
  <c r="H218" i="11" s="1"/>
  <c r="AL218" i="11"/>
  <c r="AK218" i="11"/>
  <c r="AJ218" i="11"/>
  <c r="AH218" i="11"/>
  <c r="AG218" i="11"/>
  <c r="AF218" i="11"/>
  <c r="AE218" i="11"/>
  <c r="AD218" i="11"/>
  <c r="AC218" i="11"/>
  <c r="AB218" i="11"/>
  <c r="Z218" i="11"/>
  <c r="J218" i="11"/>
  <c r="I218" i="11"/>
  <c r="BJ217" i="11"/>
  <c r="BH217" i="11"/>
  <c r="BF217" i="11"/>
  <c r="BD217" i="11"/>
  <c r="AP217" i="11"/>
  <c r="AO217" i="11"/>
  <c r="AK217" i="11"/>
  <c r="AJ217" i="11"/>
  <c r="AH217" i="11"/>
  <c r="AG217" i="11"/>
  <c r="AF217" i="11"/>
  <c r="AE217" i="11"/>
  <c r="AD217" i="11"/>
  <c r="AC217" i="11"/>
  <c r="AB217" i="11"/>
  <c r="Z217" i="11"/>
  <c r="J217" i="11"/>
  <c r="J215" i="11" s="1"/>
  <c r="BJ216" i="11"/>
  <c r="AH216" i="11" s="1"/>
  <c r="BH216" i="11"/>
  <c r="BF216" i="11"/>
  <c r="BD216" i="11"/>
  <c r="AP216" i="11"/>
  <c r="BI216" i="11" s="1"/>
  <c r="AO216" i="11"/>
  <c r="AW216" i="11" s="1"/>
  <c r="AL216" i="11"/>
  <c r="AK216" i="11"/>
  <c r="AJ216" i="11"/>
  <c r="AG216" i="11"/>
  <c r="AF216" i="11"/>
  <c r="AE216" i="11"/>
  <c r="AD216" i="11"/>
  <c r="AC216" i="11"/>
  <c r="AB216" i="11"/>
  <c r="Z216" i="11"/>
  <c r="J216" i="11"/>
  <c r="BJ214" i="11"/>
  <c r="BI214" i="11"/>
  <c r="BF214" i="11"/>
  <c r="BD214" i="11"/>
  <c r="AP214" i="11"/>
  <c r="I214" i="11" s="1"/>
  <c r="I213" i="11" s="1"/>
  <c r="AO214" i="11"/>
  <c r="AL214" i="11"/>
  <c r="AU213" i="11" s="1"/>
  <c r="AK214" i="11"/>
  <c r="AT213" i="11" s="1"/>
  <c r="AJ214" i="11"/>
  <c r="AH214" i="11"/>
  <c r="AG214" i="11"/>
  <c r="AF214" i="11"/>
  <c r="AE214" i="11"/>
  <c r="AD214" i="11"/>
  <c r="AC214" i="11"/>
  <c r="AB214" i="11"/>
  <c r="Z214" i="11"/>
  <c r="J214" i="11"/>
  <c r="AS213" i="11"/>
  <c r="J213" i="11"/>
  <c r="BJ212" i="11"/>
  <c r="BF212" i="11"/>
  <c r="BD212" i="11"/>
  <c r="AX212" i="11"/>
  <c r="AP212" i="11"/>
  <c r="BI212" i="11" s="1"/>
  <c r="AC212" i="11" s="1"/>
  <c r="AO212" i="11"/>
  <c r="AL212" i="11"/>
  <c r="AK212" i="11"/>
  <c r="AJ212" i="11"/>
  <c r="AH212" i="11"/>
  <c r="AG212" i="11"/>
  <c r="AF212" i="11"/>
  <c r="AE212" i="11"/>
  <c r="AD212" i="11"/>
  <c r="Z212" i="11"/>
  <c r="J212" i="11"/>
  <c r="I212" i="11"/>
  <c r="BJ211" i="11"/>
  <c r="BH211" i="11"/>
  <c r="AB211" i="11" s="1"/>
  <c r="BF211" i="11"/>
  <c r="BD211" i="11"/>
  <c r="AP211" i="11"/>
  <c r="I211" i="11" s="1"/>
  <c r="AO211" i="11"/>
  <c r="AL211" i="11"/>
  <c r="AK211" i="11"/>
  <c r="AJ211" i="11"/>
  <c r="AH211" i="11"/>
  <c r="AG211" i="11"/>
  <c r="AF211" i="11"/>
  <c r="AE211" i="11"/>
  <c r="AD211" i="11"/>
  <c r="Z211" i="11"/>
  <c r="J211" i="11"/>
  <c r="BJ210" i="11"/>
  <c r="BI210" i="11"/>
  <c r="BH210" i="11"/>
  <c r="AB210" i="11" s="1"/>
  <c r="BF210" i="11"/>
  <c r="BD210" i="11"/>
  <c r="AP210" i="11"/>
  <c r="AO210" i="11"/>
  <c r="AW210" i="11" s="1"/>
  <c r="AL210" i="11"/>
  <c r="AK210" i="11"/>
  <c r="AJ210" i="11"/>
  <c r="AS207" i="11" s="1"/>
  <c r="AH210" i="11"/>
  <c r="AG210" i="11"/>
  <c r="AF210" i="11"/>
  <c r="AE210" i="11"/>
  <c r="AD210" i="11"/>
  <c r="AC210" i="11"/>
  <c r="Z210" i="11"/>
  <c r="J210" i="11"/>
  <c r="H210" i="11"/>
  <c r="BJ209" i="11"/>
  <c r="BI209" i="11"/>
  <c r="AC209" i="11" s="1"/>
  <c r="BF209" i="11"/>
  <c r="BD209" i="11"/>
  <c r="AW209" i="11"/>
  <c r="AP209" i="11"/>
  <c r="AX209" i="11" s="1"/>
  <c r="AV209" i="11" s="1"/>
  <c r="AO209" i="11"/>
  <c r="BH209" i="11" s="1"/>
  <c r="AB209" i="11" s="1"/>
  <c r="AL209" i="11"/>
  <c r="AK209" i="11"/>
  <c r="AJ209" i="11"/>
  <c r="AH209" i="11"/>
  <c r="AG209" i="11"/>
  <c r="AF209" i="11"/>
  <c r="AE209" i="11"/>
  <c r="AD209" i="11"/>
  <c r="Z209" i="11"/>
  <c r="J209" i="11"/>
  <c r="H209" i="11"/>
  <c r="BJ208" i="11"/>
  <c r="BH208" i="11"/>
  <c r="AB208" i="11" s="1"/>
  <c r="BF208" i="11"/>
  <c r="BD208" i="11"/>
  <c r="AW208" i="11"/>
  <c r="AP208" i="11"/>
  <c r="AX208" i="11" s="1"/>
  <c r="AV208" i="11" s="1"/>
  <c r="AO208" i="11"/>
  <c r="AL208" i="11"/>
  <c r="AU207" i="11" s="1"/>
  <c r="AK208" i="11"/>
  <c r="AJ208" i="11"/>
  <c r="AH208" i="11"/>
  <c r="AG208" i="11"/>
  <c r="AF208" i="11"/>
  <c r="AE208" i="11"/>
  <c r="AD208" i="11"/>
  <c r="Z208" i="11"/>
  <c r="J208" i="11"/>
  <c r="J207" i="11" s="1"/>
  <c r="H208" i="11"/>
  <c r="AT207" i="11"/>
  <c r="BJ206" i="11"/>
  <c r="BH206" i="11"/>
  <c r="BF206" i="11"/>
  <c r="BD206" i="11"/>
  <c r="AW206" i="11"/>
  <c r="AP206" i="11"/>
  <c r="AO206" i="11"/>
  <c r="AL206" i="11"/>
  <c r="AK206" i="11"/>
  <c r="AJ206" i="11"/>
  <c r="AH206" i="11"/>
  <c r="AG206" i="11"/>
  <c r="AF206" i="11"/>
  <c r="AE206" i="11"/>
  <c r="AD206" i="11"/>
  <c r="AB206" i="11"/>
  <c r="Z206" i="11"/>
  <c r="J206" i="11"/>
  <c r="H206" i="11"/>
  <c r="BJ205" i="11"/>
  <c r="BH205" i="11"/>
  <c r="AB205" i="11" s="1"/>
  <c r="BF205" i="11"/>
  <c r="BD205" i="11"/>
  <c r="AW205" i="11"/>
  <c r="AP205" i="11"/>
  <c r="AO205" i="11"/>
  <c r="AK205" i="11"/>
  <c r="AJ205" i="11"/>
  <c r="AH205" i="11"/>
  <c r="AG205" i="11"/>
  <c r="AF205" i="11"/>
  <c r="AE205" i="11"/>
  <c r="AD205" i="11"/>
  <c r="Z205" i="11"/>
  <c r="J205" i="11"/>
  <c r="J204" i="11" s="1"/>
  <c r="H205" i="11"/>
  <c r="H204" i="11" s="1"/>
  <c r="AT204" i="11"/>
  <c r="AS204" i="11"/>
  <c r="BJ203" i="11"/>
  <c r="BI203" i="11"/>
  <c r="BH203" i="11"/>
  <c r="BF203" i="11"/>
  <c r="BD203" i="11"/>
  <c r="AW203" i="11"/>
  <c r="AP203" i="11"/>
  <c r="AX203" i="11" s="1"/>
  <c r="AO203" i="11"/>
  <c r="H203" i="11" s="1"/>
  <c r="H202" i="11" s="1"/>
  <c r="AL203" i="11"/>
  <c r="AU202" i="11" s="1"/>
  <c r="AK203" i="11"/>
  <c r="AT202" i="11" s="1"/>
  <c r="AJ203" i="11"/>
  <c r="AH203" i="11"/>
  <c r="AG203" i="11"/>
  <c r="AF203" i="11"/>
  <c r="AE203" i="11"/>
  <c r="AD203" i="11"/>
  <c r="AC203" i="11"/>
  <c r="AB203" i="11"/>
  <c r="Z203" i="11"/>
  <c r="J203" i="11"/>
  <c r="I203" i="11"/>
  <c r="I202" i="11" s="1"/>
  <c r="AS202" i="11"/>
  <c r="J202" i="11"/>
  <c r="BJ201" i="11"/>
  <c r="BH201" i="11"/>
  <c r="AB201" i="11" s="1"/>
  <c r="BF201" i="11"/>
  <c r="BD201" i="11"/>
  <c r="AP201" i="11"/>
  <c r="BI201" i="11" s="1"/>
  <c r="AC201" i="11" s="1"/>
  <c r="AO201" i="11"/>
  <c r="AW201" i="11" s="1"/>
  <c r="AL201" i="11"/>
  <c r="AK201" i="11"/>
  <c r="AT200" i="11" s="1"/>
  <c r="AJ201" i="11"/>
  <c r="AH201" i="11"/>
  <c r="AG201" i="11"/>
  <c r="AF201" i="11"/>
  <c r="AE201" i="11"/>
  <c r="AD201" i="11"/>
  <c r="Z201" i="11"/>
  <c r="J201" i="11"/>
  <c r="AU200" i="11"/>
  <c r="AS200" i="11"/>
  <c r="J200" i="11"/>
  <c r="BJ199" i="11"/>
  <c r="BH199" i="11"/>
  <c r="BF199" i="11"/>
  <c r="BD199" i="11"/>
  <c r="AP199" i="11"/>
  <c r="AO199" i="11"/>
  <c r="AK199" i="11"/>
  <c r="AJ199" i="11"/>
  <c r="AH199" i="11"/>
  <c r="AG199" i="11"/>
  <c r="AF199" i="11"/>
  <c r="AE199" i="11"/>
  <c r="AD199" i="11"/>
  <c r="AB199" i="11"/>
  <c r="Z199" i="11"/>
  <c r="J199" i="11"/>
  <c r="AL199" i="11" s="1"/>
  <c r="BJ198" i="11"/>
  <c r="BH198" i="11"/>
  <c r="AB198" i="11" s="1"/>
  <c r="BF198" i="11"/>
  <c r="BD198" i="11"/>
  <c r="AP198" i="11"/>
  <c r="BI198" i="11" s="1"/>
  <c r="AC198" i="11" s="1"/>
  <c r="AO198" i="11"/>
  <c r="AW198" i="11" s="1"/>
  <c r="AL198" i="11"/>
  <c r="AK198" i="11"/>
  <c r="AJ198" i="11"/>
  <c r="AH198" i="11"/>
  <c r="AG198" i="11"/>
  <c r="AF198" i="11"/>
  <c r="AE198" i="11"/>
  <c r="AD198" i="11"/>
  <c r="Z198" i="11"/>
  <c r="J198" i="11"/>
  <c r="BJ197" i="11"/>
  <c r="BI197" i="11"/>
  <c r="BH197" i="11"/>
  <c r="BF197" i="11"/>
  <c r="BD197" i="11"/>
  <c r="AP197" i="11"/>
  <c r="AX197" i="11" s="1"/>
  <c r="AO197" i="11"/>
  <c r="AW197" i="11" s="1"/>
  <c r="AL197" i="11"/>
  <c r="AU196" i="11" s="1"/>
  <c r="AK197" i="11"/>
  <c r="AJ197" i="11"/>
  <c r="AH197" i="11"/>
  <c r="AG197" i="11"/>
  <c r="AF197" i="11"/>
  <c r="AE197" i="11"/>
  <c r="AD197" i="11"/>
  <c r="AC197" i="11"/>
  <c r="AB197" i="11"/>
  <c r="Z197" i="11"/>
  <c r="J197" i="11"/>
  <c r="AS196" i="11"/>
  <c r="J196" i="11"/>
  <c r="BJ195" i="11"/>
  <c r="BI195" i="11"/>
  <c r="BF195" i="11"/>
  <c r="BD195" i="11"/>
  <c r="AP195" i="11"/>
  <c r="AO195" i="11"/>
  <c r="AW195" i="11" s="1"/>
  <c r="AL195" i="11"/>
  <c r="AK195" i="11"/>
  <c r="AJ195" i="11"/>
  <c r="AH195" i="11"/>
  <c r="AG195" i="11"/>
  <c r="AF195" i="11"/>
  <c r="AE195" i="11"/>
  <c r="AD195" i="11"/>
  <c r="AC195" i="11"/>
  <c r="Z195" i="11"/>
  <c r="J195" i="11"/>
  <c r="H195" i="11"/>
  <c r="BJ194" i="11"/>
  <c r="BI194" i="11"/>
  <c r="BF194" i="11"/>
  <c r="BD194" i="11"/>
  <c r="AP194" i="11"/>
  <c r="AX194" i="11" s="1"/>
  <c r="AO194" i="11"/>
  <c r="AW194" i="11" s="1"/>
  <c r="AL194" i="11"/>
  <c r="AK194" i="11"/>
  <c r="AJ194" i="11"/>
  <c r="AH194" i="11"/>
  <c r="AG194" i="11"/>
  <c r="AF194" i="11"/>
  <c r="AE194" i="11"/>
  <c r="AD194" i="11"/>
  <c r="AC194" i="11"/>
  <c r="Z194" i="11"/>
  <c r="J194" i="11"/>
  <c r="BJ193" i="11"/>
  <c r="BI193" i="11"/>
  <c r="BH193" i="11"/>
  <c r="AB193" i="11" s="1"/>
  <c r="BF193" i="11"/>
  <c r="BD193" i="11"/>
  <c r="AP193" i="11"/>
  <c r="AX193" i="11" s="1"/>
  <c r="AO193" i="11"/>
  <c r="AW193" i="11" s="1"/>
  <c r="AK193" i="11"/>
  <c r="AJ193" i="11"/>
  <c r="AH193" i="11"/>
  <c r="AG193" i="11"/>
  <c r="AF193" i="11"/>
  <c r="AE193" i="11"/>
  <c r="AD193" i="11"/>
  <c r="AC193" i="11"/>
  <c r="Z193" i="11"/>
  <c r="J193" i="11"/>
  <c r="AL193" i="11" s="1"/>
  <c r="BJ192" i="11"/>
  <c r="BF192" i="11"/>
  <c r="BD192" i="11"/>
  <c r="AP192" i="11"/>
  <c r="AX192" i="11" s="1"/>
  <c r="AO192" i="11"/>
  <c r="AW192" i="11" s="1"/>
  <c r="AV192" i="11" s="1"/>
  <c r="AK192" i="11"/>
  <c r="AJ192" i="11"/>
  <c r="AH192" i="11"/>
  <c r="AG192" i="11"/>
  <c r="AF192" i="11"/>
  <c r="AE192" i="11"/>
  <c r="AD192" i="11"/>
  <c r="Z192" i="11"/>
  <c r="J192" i="11"/>
  <c r="AL192" i="11" s="1"/>
  <c r="H192" i="11"/>
  <c r="BJ191" i="11"/>
  <c r="BF191" i="11"/>
  <c r="BD191" i="11"/>
  <c r="AX191" i="11"/>
  <c r="AW191" i="11"/>
  <c r="AP191" i="11"/>
  <c r="BI191" i="11" s="1"/>
  <c r="AC191" i="11" s="1"/>
  <c r="AO191" i="11"/>
  <c r="BH191" i="11" s="1"/>
  <c r="AB191" i="11" s="1"/>
  <c r="AK191" i="11"/>
  <c r="AJ191" i="11"/>
  <c r="AH191" i="11"/>
  <c r="AG191" i="11"/>
  <c r="AF191" i="11"/>
  <c r="AE191" i="11"/>
  <c r="AD191" i="11"/>
  <c r="Z191" i="11"/>
  <c r="J191" i="11"/>
  <c r="AL191" i="11" s="1"/>
  <c r="I191" i="11"/>
  <c r="H191" i="11"/>
  <c r="BJ190" i="11"/>
  <c r="BF190" i="11"/>
  <c r="BD190" i="11"/>
  <c r="AX190" i="11"/>
  <c r="BC190" i="11" s="1"/>
  <c r="AW190" i="11"/>
  <c r="AV190" i="11"/>
  <c r="AP190" i="11"/>
  <c r="BI190" i="11" s="1"/>
  <c r="AC190" i="11" s="1"/>
  <c r="AO190" i="11"/>
  <c r="BH190" i="11" s="1"/>
  <c r="AB190" i="11" s="1"/>
  <c r="AK190" i="11"/>
  <c r="AJ190" i="11"/>
  <c r="AH190" i="11"/>
  <c r="AG190" i="11"/>
  <c r="AF190" i="11"/>
  <c r="AE190" i="11"/>
  <c r="AD190" i="11"/>
  <c r="Z190" i="11"/>
  <c r="J190" i="11"/>
  <c r="AL190" i="11" s="1"/>
  <c r="I190" i="11"/>
  <c r="H190" i="11"/>
  <c r="BJ189" i="11"/>
  <c r="BF189" i="11"/>
  <c r="BD189" i="11"/>
  <c r="AX189" i="11"/>
  <c r="AW189" i="11"/>
  <c r="AP189" i="11"/>
  <c r="BI189" i="11" s="1"/>
  <c r="AC189" i="11" s="1"/>
  <c r="AO189" i="11"/>
  <c r="H189" i="11" s="1"/>
  <c r="AL189" i="11"/>
  <c r="AK189" i="11"/>
  <c r="AJ189" i="11"/>
  <c r="AS187" i="11" s="1"/>
  <c r="AH189" i="11"/>
  <c r="AG189" i="11"/>
  <c r="AF189" i="11"/>
  <c r="AE189" i="11"/>
  <c r="AD189" i="11"/>
  <c r="Z189" i="11"/>
  <c r="J189" i="11"/>
  <c r="I189" i="11"/>
  <c r="BJ188" i="11"/>
  <c r="BF188" i="11"/>
  <c r="BD188" i="11"/>
  <c r="AX188" i="11"/>
  <c r="AP188" i="11"/>
  <c r="I188" i="11" s="1"/>
  <c r="AO188" i="11"/>
  <c r="AW188" i="11" s="1"/>
  <c r="AK188" i="11"/>
  <c r="AT187" i="11" s="1"/>
  <c r="AJ188" i="11"/>
  <c r="AH188" i="11"/>
  <c r="AG188" i="11"/>
  <c r="AF188" i="11"/>
  <c r="AE188" i="11"/>
  <c r="AD188" i="11"/>
  <c r="Z188" i="11"/>
  <c r="J188" i="11"/>
  <c r="BJ186" i="11"/>
  <c r="BF186" i="11"/>
  <c r="BD186" i="11"/>
  <c r="AX186" i="11"/>
  <c r="AW186" i="11"/>
  <c r="AP186" i="11"/>
  <c r="BI186" i="11" s="1"/>
  <c r="AC186" i="11" s="1"/>
  <c r="AO186" i="11"/>
  <c r="H186" i="11" s="1"/>
  <c r="AL186" i="11"/>
  <c r="AK186" i="11"/>
  <c r="AJ186" i="11"/>
  <c r="AS184" i="11" s="1"/>
  <c r="AH186" i="11"/>
  <c r="AG186" i="11"/>
  <c r="AF186" i="11"/>
  <c r="AE186" i="11"/>
  <c r="AD186" i="11"/>
  <c r="Z186" i="11"/>
  <c r="J186" i="11"/>
  <c r="I186" i="11"/>
  <c r="BJ185" i="11"/>
  <c r="BF185" i="11"/>
  <c r="BD185" i="11"/>
  <c r="AX185" i="11"/>
  <c r="AP185" i="11"/>
  <c r="I185" i="11" s="1"/>
  <c r="AO185" i="11"/>
  <c r="AW185" i="11" s="1"/>
  <c r="AK185" i="11"/>
  <c r="AT184" i="11" s="1"/>
  <c r="AJ185" i="11"/>
  <c r="AH185" i="11"/>
  <c r="AG185" i="11"/>
  <c r="AF185" i="11"/>
  <c r="AE185" i="11"/>
  <c r="AD185" i="11"/>
  <c r="Z185" i="11"/>
  <c r="J185" i="11"/>
  <c r="BJ183" i="11"/>
  <c r="BF183" i="11"/>
  <c r="BD183" i="11"/>
  <c r="AX183" i="11"/>
  <c r="AW183" i="11"/>
  <c r="AP183" i="11"/>
  <c r="BI183" i="11" s="1"/>
  <c r="AC183" i="11" s="1"/>
  <c r="AO183" i="11"/>
  <c r="H183" i="11" s="1"/>
  <c r="AL183" i="11"/>
  <c r="AK183" i="11"/>
  <c r="AJ183" i="11"/>
  <c r="AH183" i="11"/>
  <c r="AG183" i="11"/>
  <c r="AF183" i="11"/>
  <c r="AE183" i="11"/>
  <c r="AD183" i="11"/>
  <c r="Z183" i="11"/>
  <c r="J183" i="11"/>
  <c r="I183" i="11"/>
  <c r="BJ182" i="11"/>
  <c r="BF182" i="11"/>
  <c r="BD182" i="11"/>
  <c r="AX182" i="11"/>
  <c r="AP182" i="11"/>
  <c r="I182" i="11" s="1"/>
  <c r="AO182" i="11"/>
  <c r="AW182" i="11" s="1"/>
  <c r="AK182" i="11"/>
  <c r="AT180" i="11" s="1"/>
  <c r="AJ182" i="11"/>
  <c r="AH182" i="11"/>
  <c r="AG182" i="11"/>
  <c r="AF182" i="11"/>
  <c r="AE182" i="11"/>
  <c r="AD182" i="11"/>
  <c r="Z182" i="11"/>
  <c r="J182" i="11"/>
  <c r="BJ181" i="11"/>
  <c r="BF181" i="11"/>
  <c r="BD181" i="11"/>
  <c r="AP181" i="11"/>
  <c r="AX181" i="11" s="1"/>
  <c r="BC181" i="11" s="1"/>
  <c r="AO181" i="11"/>
  <c r="AW181" i="11" s="1"/>
  <c r="AL181" i="11"/>
  <c r="AK181" i="11"/>
  <c r="AJ181" i="11"/>
  <c r="AS180" i="11" s="1"/>
  <c r="AH181" i="11"/>
  <c r="AG181" i="11"/>
  <c r="AF181" i="11"/>
  <c r="AE181" i="11"/>
  <c r="AD181" i="11"/>
  <c r="Z181" i="11"/>
  <c r="J181" i="11"/>
  <c r="BJ179" i="11"/>
  <c r="BF179" i="11"/>
  <c r="BD179" i="11"/>
  <c r="AX179" i="11"/>
  <c r="AP179" i="11"/>
  <c r="I179" i="11" s="1"/>
  <c r="AO179" i="11"/>
  <c r="AW179" i="11" s="1"/>
  <c r="AK179" i="11"/>
  <c r="AT177" i="11" s="1"/>
  <c r="AJ179" i="11"/>
  <c r="AH179" i="11"/>
  <c r="AG179" i="11"/>
  <c r="AF179" i="11"/>
  <c r="AE179" i="11"/>
  <c r="AD179" i="11"/>
  <c r="Z179" i="11"/>
  <c r="J179" i="11"/>
  <c r="BJ178" i="11"/>
  <c r="BF178" i="11"/>
  <c r="BD178" i="11"/>
  <c r="AP178" i="11"/>
  <c r="AX178" i="11" s="1"/>
  <c r="BC178" i="11" s="1"/>
  <c r="AO178" i="11"/>
  <c r="AW178" i="11" s="1"/>
  <c r="AL178" i="11"/>
  <c r="AK178" i="11"/>
  <c r="AJ178" i="11"/>
  <c r="AS177" i="11" s="1"/>
  <c r="AH178" i="11"/>
  <c r="AG178" i="11"/>
  <c r="AF178" i="11"/>
  <c r="AE178" i="11"/>
  <c r="AD178" i="11"/>
  <c r="Z178" i="11"/>
  <c r="J178" i="11"/>
  <c r="BR175" i="11"/>
  <c r="BJ175" i="11"/>
  <c r="BF175" i="11"/>
  <c r="BD175" i="11"/>
  <c r="AX175" i="11"/>
  <c r="AP175" i="11"/>
  <c r="BI175" i="11" s="1"/>
  <c r="AO175" i="11"/>
  <c r="BH175" i="11" s="1"/>
  <c r="AK175" i="11"/>
  <c r="AJ175" i="11"/>
  <c r="AS174" i="11" s="1"/>
  <c r="AH175" i="11"/>
  <c r="AG175" i="11"/>
  <c r="AF175" i="11"/>
  <c r="AE175" i="11"/>
  <c r="AD175" i="11"/>
  <c r="AC175" i="11"/>
  <c r="AB175" i="11"/>
  <c r="Z175" i="11"/>
  <c r="J175" i="11"/>
  <c r="AL175" i="11" s="1"/>
  <c r="AU174" i="11" s="1"/>
  <c r="I175" i="11"/>
  <c r="I174" i="11" s="1"/>
  <c r="AT174" i="11"/>
  <c r="BO173" i="11"/>
  <c r="BJ173" i="11"/>
  <c r="BH173" i="11"/>
  <c r="BF173" i="11"/>
  <c r="BD173" i="11"/>
  <c r="AX173" i="11"/>
  <c r="AP173" i="11"/>
  <c r="BI173" i="11" s="1"/>
  <c r="AO173" i="11"/>
  <c r="AK173" i="11"/>
  <c r="AJ173" i="11"/>
  <c r="AS172" i="11" s="1"/>
  <c r="AH173" i="11"/>
  <c r="AG173" i="11"/>
  <c r="AF173" i="11"/>
  <c r="AE173" i="11"/>
  <c r="AD173" i="11"/>
  <c r="AC173" i="11"/>
  <c r="AB173" i="11"/>
  <c r="Z173" i="11"/>
  <c r="J173" i="11"/>
  <c r="AL173" i="11" s="1"/>
  <c r="AU172" i="11" s="1"/>
  <c r="I173" i="11"/>
  <c r="I172" i="11" s="1"/>
  <c r="AT172" i="11"/>
  <c r="BM171" i="11"/>
  <c r="BJ171" i="11"/>
  <c r="BH171" i="11"/>
  <c r="BF171" i="11"/>
  <c r="BD171" i="11"/>
  <c r="AX171" i="11"/>
  <c r="AP171" i="11"/>
  <c r="BI171" i="11" s="1"/>
  <c r="AO171" i="11"/>
  <c r="AK171" i="11"/>
  <c r="AJ171" i="11"/>
  <c r="AS170" i="11" s="1"/>
  <c r="AH171" i="11"/>
  <c r="AG171" i="11"/>
  <c r="AF171" i="11"/>
  <c r="AE171" i="11"/>
  <c r="AD171" i="11"/>
  <c r="AC171" i="11"/>
  <c r="AB171" i="11"/>
  <c r="Z171" i="11"/>
  <c r="J171" i="11"/>
  <c r="AL171" i="11" s="1"/>
  <c r="AU170" i="11" s="1"/>
  <c r="I171" i="11"/>
  <c r="I170" i="11" s="1"/>
  <c r="I169" i="11" s="1"/>
  <c r="AT170" i="11"/>
  <c r="BJ168" i="11"/>
  <c r="AH168" i="11" s="1"/>
  <c r="BF168" i="11"/>
  <c r="BD168" i="11"/>
  <c r="AX168" i="11"/>
  <c r="BC168" i="11" s="1"/>
  <c r="AW168" i="11"/>
  <c r="AV168" i="11"/>
  <c r="AP168" i="11"/>
  <c r="BI168" i="11" s="1"/>
  <c r="AO168" i="11"/>
  <c r="BH168" i="11" s="1"/>
  <c r="AK168" i="11"/>
  <c r="AJ168" i="11"/>
  <c r="AG168" i="11"/>
  <c r="AF168" i="11"/>
  <c r="AE168" i="11"/>
  <c r="AD168" i="11"/>
  <c r="AC168" i="11"/>
  <c r="AB168" i="11"/>
  <c r="Z168" i="11"/>
  <c r="J168" i="11"/>
  <c r="AL168" i="11" s="1"/>
  <c r="I168" i="11"/>
  <c r="H168" i="11"/>
  <c r="BJ167" i="11"/>
  <c r="BF167" i="11"/>
  <c r="BD167" i="11"/>
  <c r="AX167" i="11"/>
  <c r="AW167" i="11"/>
  <c r="AP167" i="11"/>
  <c r="BI167" i="11" s="1"/>
  <c r="AO167" i="11"/>
  <c r="H167" i="11" s="1"/>
  <c r="AL167" i="11"/>
  <c r="AK167" i="11"/>
  <c r="AJ167" i="11"/>
  <c r="AH167" i="11"/>
  <c r="AG167" i="11"/>
  <c r="AF167" i="11"/>
  <c r="AE167" i="11"/>
  <c r="AD167" i="11"/>
  <c r="AC167" i="11"/>
  <c r="AB167" i="11"/>
  <c r="Z167" i="11"/>
  <c r="J167" i="11"/>
  <c r="I167" i="11"/>
  <c r="BJ166" i="11"/>
  <c r="BF166" i="11"/>
  <c r="BD166" i="11"/>
  <c r="AX166" i="11"/>
  <c r="AP166" i="11"/>
  <c r="I166" i="11" s="1"/>
  <c r="AO166" i="11"/>
  <c r="AW166" i="11" s="1"/>
  <c r="AK166" i="11"/>
  <c r="AJ166" i="11"/>
  <c r="AH166" i="11"/>
  <c r="AG166" i="11"/>
  <c r="AF166" i="11"/>
  <c r="AE166" i="11"/>
  <c r="AD166" i="11"/>
  <c r="AC166" i="11"/>
  <c r="AB166" i="11"/>
  <c r="Z166" i="11"/>
  <c r="J166" i="11"/>
  <c r="AL166" i="11" s="1"/>
  <c r="BJ165" i="11"/>
  <c r="AH165" i="11" s="1"/>
  <c r="BF165" i="11"/>
  <c r="BD165" i="11"/>
  <c r="AP165" i="11"/>
  <c r="AX165" i="11" s="1"/>
  <c r="AO165" i="11"/>
  <c r="AW165" i="11" s="1"/>
  <c r="AL165" i="11"/>
  <c r="AK165" i="11"/>
  <c r="AJ165" i="11"/>
  <c r="AG165" i="11"/>
  <c r="AF165" i="11"/>
  <c r="AE165" i="11"/>
  <c r="AD165" i="11"/>
  <c r="AC165" i="11"/>
  <c r="AB165" i="11"/>
  <c r="Z165" i="11"/>
  <c r="J165" i="11"/>
  <c r="BJ164" i="11"/>
  <c r="AH164" i="11" s="1"/>
  <c r="BF164" i="11"/>
  <c r="BD164" i="11"/>
  <c r="AP164" i="11"/>
  <c r="AX164" i="11" s="1"/>
  <c r="AO164" i="11"/>
  <c r="AW164" i="11" s="1"/>
  <c r="AL164" i="11"/>
  <c r="AK164" i="11"/>
  <c r="AJ164" i="11"/>
  <c r="AG164" i="11"/>
  <c r="AF164" i="11"/>
  <c r="AE164" i="11"/>
  <c r="AD164" i="11"/>
  <c r="AC164" i="11"/>
  <c r="AB164" i="11"/>
  <c r="Z164" i="11"/>
  <c r="J164" i="11"/>
  <c r="BJ163" i="11"/>
  <c r="AH163" i="11" s="1"/>
  <c r="BF163" i="11"/>
  <c r="BD163" i="11"/>
  <c r="AW163" i="11"/>
  <c r="AP163" i="11"/>
  <c r="AX163" i="11" s="1"/>
  <c r="AV163" i="11" s="1"/>
  <c r="AO163" i="11"/>
  <c r="BH163" i="11" s="1"/>
  <c r="AL163" i="11"/>
  <c r="AK163" i="11"/>
  <c r="AJ163" i="11"/>
  <c r="AG163" i="11"/>
  <c r="AF163" i="11"/>
  <c r="AE163" i="11"/>
  <c r="AD163" i="11"/>
  <c r="AC163" i="11"/>
  <c r="AB163" i="11"/>
  <c r="Z163" i="11"/>
  <c r="J163" i="11"/>
  <c r="H163" i="11"/>
  <c r="BJ162" i="11"/>
  <c r="AH162" i="11" s="1"/>
  <c r="BF162" i="11"/>
  <c r="BD162" i="11"/>
  <c r="AX162" i="11"/>
  <c r="AP162" i="11"/>
  <c r="BI162" i="11" s="1"/>
  <c r="AO162" i="11"/>
  <c r="AW162" i="11" s="1"/>
  <c r="BC162" i="11" s="1"/>
  <c r="AK162" i="11"/>
  <c r="AJ162" i="11"/>
  <c r="AG162" i="11"/>
  <c r="AF162" i="11"/>
  <c r="AE162" i="11"/>
  <c r="AD162" i="11"/>
  <c r="AC162" i="11"/>
  <c r="AB162" i="11"/>
  <c r="Z162" i="11"/>
  <c r="J162" i="11"/>
  <c r="AL162" i="11" s="1"/>
  <c r="I162" i="11"/>
  <c r="H162" i="11"/>
  <c r="BJ161" i="11"/>
  <c r="BF161" i="11"/>
  <c r="BD161" i="11"/>
  <c r="AW161" i="11"/>
  <c r="AP161" i="11"/>
  <c r="AX161" i="11" s="1"/>
  <c r="AO161" i="11"/>
  <c r="BH161" i="11" s="1"/>
  <c r="AK161" i="11"/>
  <c r="AJ161" i="11"/>
  <c r="AH161" i="11"/>
  <c r="AG161" i="11"/>
  <c r="AF161" i="11"/>
  <c r="AE161" i="11"/>
  <c r="AD161" i="11"/>
  <c r="AC161" i="11"/>
  <c r="AB161" i="11"/>
  <c r="Z161" i="11"/>
  <c r="J161" i="11"/>
  <c r="AL161" i="11" s="1"/>
  <c r="H161" i="11"/>
  <c r="BJ160" i="11"/>
  <c r="BF160" i="11"/>
  <c r="BD160" i="11"/>
  <c r="AX160" i="11"/>
  <c r="AW160" i="11"/>
  <c r="AP160" i="11"/>
  <c r="BI160" i="11" s="1"/>
  <c r="AO160" i="11"/>
  <c r="BH160" i="11" s="1"/>
  <c r="AK160" i="11"/>
  <c r="AJ160" i="11"/>
  <c r="AH160" i="11"/>
  <c r="AG160" i="11"/>
  <c r="AF160" i="11"/>
  <c r="AE160" i="11"/>
  <c r="AD160" i="11"/>
  <c r="AC160" i="11"/>
  <c r="AB160" i="11"/>
  <c r="Z160" i="11"/>
  <c r="J160" i="11"/>
  <c r="I160" i="11"/>
  <c r="H160" i="11"/>
  <c r="BJ159" i="11"/>
  <c r="BF159" i="11"/>
  <c r="BD159" i="11"/>
  <c r="AX159" i="11"/>
  <c r="AW159" i="11"/>
  <c r="AP159" i="11"/>
  <c r="BI159" i="11" s="1"/>
  <c r="AO159" i="11"/>
  <c r="H159" i="11" s="1"/>
  <c r="AL159" i="11"/>
  <c r="AK159" i="11"/>
  <c r="AJ159" i="11"/>
  <c r="AS158" i="11" s="1"/>
  <c r="AH159" i="11"/>
  <c r="AG159" i="11"/>
  <c r="AF159" i="11"/>
  <c r="AE159" i="11"/>
  <c r="AD159" i="11"/>
  <c r="AC159" i="11"/>
  <c r="AB159" i="11"/>
  <c r="Z159" i="11"/>
  <c r="J159" i="11"/>
  <c r="I159" i="11"/>
  <c r="BJ157" i="11"/>
  <c r="Z157" i="11" s="1"/>
  <c r="BF157" i="11"/>
  <c r="BD157" i="11"/>
  <c r="AX157" i="11"/>
  <c r="BC157" i="11" s="1"/>
  <c r="AW157" i="11"/>
  <c r="AV157" i="11"/>
  <c r="AP157" i="11"/>
  <c r="BI157" i="11" s="1"/>
  <c r="AO157" i="11"/>
  <c r="BH157" i="11" s="1"/>
  <c r="AK157" i="11"/>
  <c r="AT156" i="11" s="1"/>
  <c r="AJ157" i="11"/>
  <c r="AS156" i="11" s="1"/>
  <c r="AH157" i="11"/>
  <c r="AG157" i="11"/>
  <c r="AF157" i="11"/>
  <c r="AE157" i="11"/>
  <c r="AD157" i="11"/>
  <c r="AC157" i="11"/>
  <c r="AB157" i="11"/>
  <c r="J157" i="11"/>
  <c r="I157" i="11"/>
  <c r="H157" i="11"/>
  <c r="I156" i="11"/>
  <c r="H156" i="11"/>
  <c r="BJ155" i="11"/>
  <c r="BI155" i="11"/>
  <c r="AC155" i="11" s="1"/>
  <c r="BF155" i="11"/>
  <c r="BD155" i="11"/>
  <c r="AW155" i="11"/>
  <c r="AP155" i="11"/>
  <c r="AX155" i="11" s="1"/>
  <c r="AO155" i="11"/>
  <c r="BH155" i="11" s="1"/>
  <c r="AB155" i="11" s="1"/>
  <c r="AK155" i="11"/>
  <c r="AJ155" i="11"/>
  <c r="AH155" i="11"/>
  <c r="AG155" i="11"/>
  <c r="AF155" i="11"/>
  <c r="AE155" i="11"/>
  <c r="AD155" i="11"/>
  <c r="Z155" i="11"/>
  <c r="J155" i="11"/>
  <c r="AL155" i="11" s="1"/>
  <c r="I155" i="11"/>
  <c r="H155" i="11"/>
  <c r="BJ154" i="11"/>
  <c r="BF154" i="11"/>
  <c r="BD154" i="11"/>
  <c r="AX154" i="11"/>
  <c r="BC154" i="11" s="1"/>
  <c r="AW154" i="11"/>
  <c r="AV154" i="11"/>
  <c r="AP154" i="11"/>
  <c r="BI154" i="11" s="1"/>
  <c r="AC154" i="11" s="1"/>
  <c r="AO154" i="11"/>
  <c r="BH154" i="11" s="1"/>
  <c r="AB154" i="11" s="1"/>
  <c r="AK154" i="11"/>
  <c r="AJ154" i="11"/>
  <c r="AH154" i="11"/>
  <c r="AG154" i="11"/>
  <c r="AF154" i="11"/>
  <c r="AE154" i="11"/>
  <c r="AD154" i="11"/>
  <c r="Z154" i="11"/>
  <c r="J154" i="11"/>
  <c r="AL154" i="11" s="1"/>
  <c r="I154" i="11"/>
  <c r="H154" i="11"/>
  <c r="BJ153" i="11"/>
  <c r="BF153" i="11"/>
  <c r="BD153" i="11"/>
  <c r="AX153" i="11"/>
  <c r="AW153" i="11"/>
  <c r="AP153" i="11"/>
  <c r="BI153" i="11" s="1"/>
  <c r="AC153" i="11" s="1"/>
  <c r="AO153" i="11"/>
  <c r="H153" i="11" s="1"/>
  <c r="AL153" i="11"/>
  <c r="AK153" i="11"/>
  <c r="AJ153" i="11"/>
  <c r="AH153" i="11"/>
  <c r="AG153" i="11"/>
  <c r="AF153" i="11"/>
  <c r="AE153" i="11"/>
  <c r="AD153" i="11"/>
  <c r="Z153" i="11"/>
  <c r="J153" i="11"/>
  <c r="I153" i="11"/>
  <c r="BJ152" i="11"/>
  <c r="BF152" i="11"/>
  <c r="BD152" i="11"/>
  <c r="AX152" i="11"/>
  <c r="AP152" i="11"/>
  <c r="I152" i="11" s="1"/>
  <c r="AO152" i="11"/>
  <c r="AW152" i="11" s="1"/>
  <c r="AK152" i="11"/>
  <c r="AJ152" i="11"/>
  <c r="AH152" i="11"/>
  <c r="AG152" i="11"/>
  <c r="AF152" i="11"/>
  <c r="AE152" i="11"/>
  <c r="AD152" i="11"/>
  <c r="Z152" i="11"/>
  <c r="J152" i="11"/>
  <c r="AL152" i="11" s="1"/>
  <c r="BJ151" i="11"/>
  <c r="BF151" i="11"/>
  <c r="BD151" i="11"/>
  <c r="AP151" i="11"/>
  <c r="AX151" i="11" s="1"/>
  <c r="AO151" i="11"/>
  <c r="AL151" i="11"/>
  <c r="AK151" i="11"/>
  <c r="AJ151" i="11"/>
  <c r="AH151" i="11"/>
  <c r="AG151" i="11"/>
  <c r="AF151" i="11"/>
  <c r="AE151" i="11"/>
  <c r="AD151" i="11"/>
  <c r="Z151" i="11"/>
  <c r="J151" i="11"/>
  <c r="BJ150" i="11"/>
  <c r="BI150" i="11"/>
  <c r="AC150" i="11" s="1"/>
  <c r="BF150" i="11"/>
  <c r="BD150" i="11"/>
  <c r="AP150" i="11"/>
  <c r="AO150" i="11"/>
  <c r="BH150" i="11" s="1"/>
  <c r="AB150" i="11" s="1"/>
  <c r="AL150" i="11"/>
  <c r="AK150" i="11"/>
  <c r="AJ150" i="11"/>
  <c r="AH150" i="11"/>
  <c r="AG150" i="11"/>
  <c r="AF150" i="11"/>
  <c r="AE150" i="11"/>
  <c r="AD150" i="11"/>
  <c r="Z150" i="11"/>
  <c r="J150" i="11"/>
  <c r="BJ149" i="11"/>
  <c r="BI149" i="11"/>
  <c r="BF149" i="11"/>
  <c r="BD149" i="11"/>
  <c r="AW149" i="11"/>
  <c r="AP149" i="11"/>
  <c r="AO149" i="11"/>
  <c r="BH149" i="11" s="1"/>
  <c r="AB149" i="11" s="1"/>
  <c r="AL149" i="11"/>
  <c r="AK149" i="11"/>
  <c r="AJ149" i="11"/>
  <c r="AH149" i="11"/>
  <c r="AG149" i="11"/>
  <c r="AF149" i="11"/>
  <c r="AE149" i="11"/>
  <c r="AD149" i="11"/>
  <c r="AC149" i="11"/>
  <c r="Z149" i="11"/>
  <c r="J149" i="11"/>
  <c r="J148" i="11" s="1"/>
  <c r="H149" i="11"/>
  <c r="AS148" i="11"/>
  <c r="BJ147" i="11"/>
  <c r="BF147" i="11"/>
  <c r="BD147" i="11"/>
  <c r="AP147" i="11"/>
  <c r="AO147" i="11"/>
  <c r="BH147" i="11" s="1"/>
  <c r="AB147" i="11" s="1"/>
  <c r="AL147" i="11"/>
  <c r="AK147" i="11"/>
  <c r="AT145" i="11" s="1"/>
  <c r="AJ147" i="11"/>
  <c r="AH147" i="11"/>
  <c r="AG147" i="11"/>
  <c r="AF147" i="11"/>
  <c r="AE147" i="11"/>
  <c r="AD147" i="11"/>
  <c r="Z147" i="11"/>
  <c r="J147" i="11"/>
  <c r="BJ146" i="11"/>
  <c r="BI146" i="11"/>
  <c r="BF146" i="11"/>
  <c r="BD146" i="11"/>
  <c r="AW146" i="11"/>
  <c r="AP146" i="11"/>
  <c r="AO146" i="11"/>
  <c r="BH146" i="11" s="1"/>
  <c r="AB146" i="11" s="1"/>
  <c r="AL146" i="11"/>
  <c r="AK146" i="11"/>
  <c r="AJ146" i="11"/>
  <c r="AH146" i="11"/>
  <c r="AG146" i="11"/>
  <c r="AF146" i="11"/>
  <c r="AE146" i="11"/>
  <c r="AD146" i="11"/>
  <c r="AC146" i="11"/>
  <c r="Z146" i="11"/>
  <c r="J146" i="11"/>
  <c r="J145" i="11" s="1"/>
  <c r="H146" i="11"/>
  <c r="AU145" i="11"/>
  <c r="AS145" i="11"/>
  <c r="BJ144" i="11"/>
  <c r="BI144" i="11"/>
  <c r="AC144" i="11" s="1"/>
  <c r="BF144" i="11"/>
  <c r="BD144" i="11"/>
  <c r="AP144" i="11"/>
  <c r="AO144" i="11"/>
  <c r="BH144" i="11" s="1"/>
  <c r="AB144" i="11" s="1"/>
  <c r="AL144" i="11"/>
  <c r="AK144" i="11"/>
  <c r="AJ144" i="11"/>
  <c r="AH144" i="11"/>
  <c r="AG144" i="11"/>
  <c r="AF144" i="11"/>
  <c r="AE144" i="11"/>
  <c r="AD144" i="11"/>
  <c r="Z144" i="11"/>
  <c r="J144" i="11"/>
  <c r="AU143" i="11"/>
  <c r="AT143" i="11"/>
  <c r="AS143" i="11"/>
  <c r="J143" i="11"/>
  <c r="BJ142" i="11"/>
  <c r="BF142" i="11"/>
  <c r="BD142" i="11"/>
  <c r="AP142" i="11"/>
  <c r="AX142" i="11" s="1"/>
  <c r="AO142" i="11"/>
  <c r="AL142" i="11"/>
  <c r="AU140" i="11" s="1"/>
  <c r="AK142" i="11"/>
  <c r="AJ142" i="11"/>
  <c r="AS140" i="11" s="1"/>
  <c r="AH142" i="11"/>
  <c r="AG142" i="11"/>
  <c r="AF142" i="11"/>
  <c r="AE142" i="11"/>
  <c r="AD142" i="11"/>
  <c r="Z142" i="11"/>
  <c r="J142" i="11"/>
  <c r="BJ141" i="11"/>
  <c r="BF141" i="11"/>
  <c r="BD141" i="11"/>
  <c r="AP141" i="11"/>
  <c r="AO141" i="11"/>
  <c r="BH141" i="11" s="1"/>
  <c r="AB141" i="11" s="1"/>
  <c r="AL141" i="11"/>
  <c r="AK141" i="11"/>
  <c r="AJ141" i="11"/>
  <c r="AH141" i="11"/>
  <c r="AG141" i="11"/>
  <c r="AF141" i="11"/>
  <c r="AE141" i="11"/>
  <c r="AD141" i="11"/>
  <c r="Z141" i="11"/>
  <c r="J141" i="11"/>
  <c r="AT140" i="11"/>
  <c r="J140" i="11"/>
  <c r="BJ139" i="11"/>
  <c r="BH139" i="11"/>
  <c r="AB139" i="11" s="1"/>
  <c r="BF139" i="11"/>
  <c r="BD139" i="11"/>
  <c r="AP139" i="11"/>
  <c r="AX139" i="11" s="1"/>
  <c r="AO139" i="11"/>
  <c r="AL139" i="11"/>
  <c r="AU136" i="11" s="1"/>
  <c r="AK139" i="11"/>
  <c r="AJ139" i="11"/>
  <c r="AH139" i="11"/>
  <c r="AG139" i="11"/>
  <c r="AF139" i="11"/>
  <c r="AE139" i="11"/>
  <c r="AD139" i="11"/>
  <c r="Z139" i="11"/>
  <c r="J139" i="11"/>
  <c r="BJ138" i="11"/>
  <c r="BF138" i="11"/>
  <c r="BD138" i="11"/>
  <c r="AP138" i="11"/>
  <c r="AO138" i="11"/>
  <c r="BH138" i="11" s="1"/>
  <c r="AB138" i="11" s="1"/>
  <c r="AL138" i="11"/>
  <c r="AK138" i="11"/>
  <c r="AT136" i="11" s="1"/>
  <c r="AJ138" i="11"/>
  <c r="AH138" i="11"/>
  <c r="AG138" i="11"/>
  <c r="AF138" i="11"/>
  <c r="AE138" i="11"/>
  <c r="AD138" i="11"/>
  <c r="Z138" i="11"/>
  <c r="J138" i="11"/>
  <c r="BJ137" i="11"/>
  <c r="BF137" i="11"/>
  <c r="BD137" i="11"/>
  <c r="AW137" i="11"/>
  <c r="AP137" i="11"/>
  <c r="BI137" i="11" s="1"/>
  <c r="AO137" i="11"/>
  <c r="BH137" i="11" s="1"/>
  <c r="AB137" i="11" s="1"/>
  <c r="AL137" i="11"/>
  <c r="AK137" i="11"/>
  <c r="AJ137" i="11"/>
  <c r="AH137" i="11"/>
  <c r="AG137" i="11"/>
  <c r="AF137" i="11"/>
  <c r="AE137" i="11"/>
  <c r="AD137" i="11"/>
  <c r="AC137" i="11"/>
  <c r="Z137" i="11"/>
  <c r="J137" i="11"/>
  <c r="J136" i="11" s="1"/>
  <c r="H137" i="11"/>
  <c r="AS136" i="11"/>
  <c r="BJ135" i="11"/>
  <c r="BH135" i="11"/>
  <c r="AB135" i="11" s="1"/>
  <c r="BF135" i="11"/>
  <c r="BD135" i="11"/>
  <c r="AP135" i="11"/>
  <c r="AO135" i="11"/>
  <c r="AL135" i="11"/>
  <c r="AK135" i="11"/>
  <c r="AJ135" i="11"/>
  <c r="AH135" i="11"/>
  <c r="AG135" i="11"/>
  <c r="AF135" i="11"/>
  <c r="AE135" i="11"/>
  <c r="AD135" i="11"/>
  <c r="Z135" i="11"/>
  <c r="J135" i="11"/>
  <c r="BJ134" i="11"/>
  <c r="BF134" i="11"/>
  <c r="BD134" i="11"/>
  <c r="AW134" i="11"/>
  <c r="AP134" i="11"/>
  <c r="BI134" i="11" s="1"/>
  <c r="AC134" i="11" s="1"/>
  <c r="AO134" i="11"/>
  <c r="BH134" i="11" s="1"/>
  <c r="AB134" i="11" s="1"/>
  <c r="AL134" i="11"/>
  <c r="AK134" i="11"/>
  <c r="AJ134" i="11"/>
  <c r="AH134" i="11"/>
  <c r="AG134" i="11"/>
  <c r="AF134" i="11"/>
  <c r="AE134" i="11"/>
  <c r="AD134" i="11"/>
  <c r="Z134" i="11"/>
  <c r="J134" i="11"/>
  <c r="H134" i="11"/>
  <c r="BJ133" i="11"/>
  <c r="BF133" i="11"/>
  <c r="BD133" i="11"/>
  <c r="AX133" i="11"/>
  <c r="AP133" i="11"/>
  <c r="BI133" i="11" s="1"/>
  <c r="AC133" i="11" s="1"/>
  <c r="AO133" i="11"/>
  <c r="AK133" i="11"/>
  <c r="AJ133" i="11"/>
  <c r="AS132" i="11" s="1"/>
  <c r="AH133" i="11"/>
  <c r="AG133" i="11"/>
  <c r="AF133" i="11"/>
  <c r="AE133" i="11"/>
  <c r="AD133" i="11"/>
  <c r="Z133" i="11"/>
  <c r="J133" i="11"/>
  <c r="AL133" i="11" s="1"/>
  <c r="I133" i="11"/>
  <c r="AT132" i="11"/>
  <c r="BJ131" i="11"/>
  <c r="BI131" i="11"/>
  <c r="BF131" i="11"/>
  <c r="BD131" i="11"/>
  <c r="AW131" i="11"/>
  <c r="AP131" i="11"/>
  <c r="AO131" i="11"/>
  <c r="BH131" i="11" s="1"/>
  <c r="AB131" i="11" s="1"/>
  <c r="AL131" i="11"/>
  <c r="AK131" i="11"/>
  <c r="AJ131" i="11"/>
  <c r="AH131" i="11"/>
  <c r="AG131" i="11"/>
  <c r="AF131" i="11"/>
  <c r="AE131" i="11"/>
  <c r="AD131" i="11"/>
  <c r="AC131" i="11"/>
  <c r="Z131" i="11"/>
  <c r="J131" i="11"/>
  <c r="H131" i="11"/>
  <c r="BJ130" i="11"/>
  <c r="BF130" i="11"/>
  <c r="BD130" i="11"/>
  <c r="AX130" i="11"/>
  <c r="AP130" i="11"/>
  <c r="BI130" i="11" s="1"/>
  <c r="AC130" i="11" s="1"/>
  <c r="AO130" i="11"/>
  <c r="BH130" i="11" s="1"/>
  <c r="AB130" i="11" s="1"/>
  <c r="AK130" i="11"/>
  <c r="AJ130" i="11"/>
  <c r="AS129" i="11" s="1"/>
  <c r="AH130" i="11"/>
  <c r="AG130" i="11"/>
  <c r="AF130" i="11"/>
  <c r="AE130" i="11"/>
  <c r="AD130" i="11"/>
  <c r="Z130" i="11"/>
  <c r="J130" i="11"/>
  <c r="AL130" i="11" s="1"/>
  <c r="AU129" i="11" s="1"/>
  <c r="I130" i="11"/>
  <c r="H130" i="11"/>
  <c r="H129" i="11" s="1"/>
  <c r="AT129" i="11"/>
  <c r="BJ128" i="11"/>
  <c r="BF128" i="11"/>
  <c r="BD128" i="11"/>
  <c r="AW128" i="11"/>
  <c r="AP128" i="11"/>
  <c r="BI128" i="11" s="1"/>
  <c r="AC128" i="11" s="1"/>
  <c r="AO128" i="11"/>
  <c r="BH128" i="11" s="1"/>
  <c r="AB128" i="11" s="1"/>
  <c r="AL128" i="11"/>
  <c r="AK128" i="11"/>
  <c r="AJ128" i="11"/>
  <c r="AH128" i="11"/>
  <c r="AG128" i="11"/>
  <c r="AF128" i="11"/>
  <c r="AE128" i="11"/>
  <c r="AD128" i="11"/>
  <c r="Z128" i="11"/>
  <c r="J128" i="11"/>
  <c r="H128" i="11"/>
  <c r="BJ127" i="11"/>
  <c r="BF127" i="11"/>
  <c r="BD127" i="11"/>
  <c r="AX127" i="11"/>
  <c r="AW127" i="11"/>
  <c r="BC127" i="11" s="1"/>
  <c r="AP127" i="11"/>
  <c r="BI127" i="11" s="1"/>
  <c r="AC127" i="11" s="1"/>
  <c r="AO127" i="11"/>
  <c r="BH127" i="11" s="1"/>
  <c r="AB127" i="11" s="1"/>
  <c r="AK127" i="11"/>
  <c r="AJ127" i="11"/>
  <c r="AS126" i="11" s="1"/>
  <c r="AH127" i="11"/>
  <c r="AG127" i="11"/>
  <c r="AF127" i="11"/>
  <c r="AE127" i="11"/>
  <c r="AD127" i="11"/>
  <c r="Z127" i="11"/>
  <c r="J127" i="11"/>
  <c r="AL127" i="11" s="1"/>
  <c r="I127" i="11"/>
  <c r="AT126" i="11"/>
  <c r="BJ125" i="11"/>
  <c r="BI125" i="11"/>
  <c r="AC125" i="11" s="1"/>
  <c r="BF125" i="11"/>
  <c r="BD125" i="11"/>
  <c r="AW125" i="11"/>
  <c r="AP125" i="11"/>
  <c r="AO125" i="11"/>
  <c r="BH125" i="11" s="1"/>
  <c r="AB125" i="11" s="1"/>
  <c r="AL125" i="11"/>
  <c r="AU124" i="11" s="1"/>
  <c r="AK125" i="11"/>
  <c r="AJ125" i="11"/>
  <c r="AH125" i="11"/>
  <c r="AG125" i="11"/>
  <c r="AF125" i="11"/>
  <c r="AE125" i="11"/>
  <c r="AD125" i="11"/>
  <c r="Z125" i="11"/>
  <c r="J125" i="11"/>
  <c r="J124" i="11" s="1"/>
  <c r="H125" i="11"/>
  <c r="H124" i="11" s="1"/>
  <c r="AT124" i="11"/>
  <c r="AS124" i="11"/>
  <c r="BJ123" i="11"/>
  <c r="BI123" i="11"/>
  <c r="AC123" i="11" s="1"/>
  <c r="BH123" i="11"/>
  <c r="AB123" i="11" s="1"/>
  <c r="BF123" i="11"/>
  <c r="BD123" i="11"/>
  <c r="AP123" i="11"/>
  <c r="AO123" i="11"/>
  <c r="AW123" i="11" s="1"/>
  <c r="AL123" i="11"/>
  <c r="AK123" i="11"/>
  <c r="AJ123" i="11"/>
  <c r="AH123" i="11"/>
  <c r="AG123" i="11"/>
  <c r="AF123" i="11"/>
  <c r="AE123" i="11"/>
  <c r="AD123" i="11"/>
  <c r="Z123" i="11"/>
  <c r="J123" i="11"/>
  <c r="H123" i="11"/>
  <c r="H122" i="11" s="1"/>
  <c r="AU122" i="11"/>
  <c r="AT122" i="11"/>
  <c r="AS122" i="11"/>
  <c r="J122" i="11"/>
  <c r="BR120" i="11"/>
  <c r="BJ120" i="11"/>
  <c r="BF120" i="11"/>
  <c r="BD120" i="11"/>
  <c r="AW120" i="11"/>
  <c r="AP120" i="11"/>
  <c r="AO120" i="11"/>
  <c r="BH120" i="11" s="1"/>
  <c r="AK120" i="11"/>
  <c r="AT119" i="11" s="1"/>
  <c r="AJ120" i="11"/>
  <c r="AS119" i="11" s="1"/>
  <c r="AH120" i="11"/>
  <c r="AG120" i="11"/>
  <c r="AF120" i="11"/>
  <c r="AE120" i="11"/>
  <c r="AD120" i="11"/>
  <c r="AC120" i="11"/>
  <c r="AB120" i="11"/>
  <c r="Z120" i="11"/>
  <c r="J120" i="11"/>
  <c r="I120" i="11"/>
  <c r="H120" i="11"/>
  <c r="I119" i="11"/>
  <c r="H119" i="11"/>
  <c r="BO118" i="11"/>
  <c r="BJ118" i="11"/>
  <c r="BF118" i="11"/>
  <c r="BD118" i="11"/>
  <c r="AX118" i="11"/>
  <c r="AW118" i="11"/>
  <c r="AP118" i="11"/>
  <c r="BI118" i="11" s="1"/>
  <c r="AO118" i="11"/>
  <c r="BH118" i="11" s="1"/>
  <c r="AK118" i="11"/>
  <c r="AT117" i="11" s="1"/>
  <c r="AJ118" i="11"/>
  <c r="AS117" i="11" s="1"/>
  <c r="AH118" i="11"/>
  <c r="AG118" i="11"/>
  <c r="AF118" i="11"/>
  <c r="AE118" i="11"/>
  <c r="AD118" i="11"/>
  <c r="AC118" i="11"/>
  <c r="AB118" i="11"/>
  <c r="Z118" i="11"/>
  <c r="J118" i="11"/>
  <c r="H118" i="11"/>
  <c r="H117" i="11"/>
  <c r="BM116" i="11"/>
  <c r="BJ116" i="11"/>
  <c r="BI116" i="11"/>
  <c r="BF116" i="11"/>
  <c r="BD116" i="11"/>
  <c r="BC116" i="11"/>
  <c r="AX116" i="11"/>
  <c r="AW116" i="11"/>
  <c r="AP116" i="11"/>
  <c r="AO116" i="11"/>
  <c r="BH116" i="11" s="1"/>
  <c r="AK116" i="11"/>
  <c r="AT115" i="11" s="1"/>
  <c r="AJ116" i="11"/>
  <c r="AS115" i="11" s="1"/>
  <c r="AH116" i="11"/>
  <c r="AG116" i="11"/>
  <c r="AF116" i="11"/>
  <c r="AE116" i="11"/>
  <c r="AD116" i="11"/>
  <c r="AC116" i="11"/>
  <c r="AB116" i="11"/>
  <c r="Z116" i="11"/>
  <c r="J116" i="11"/>
  <c r="I116" i="11"/>
  <c r="I115" i="11" s="1"/>
  <c r="H116" i="11"/>
  <c r="H115" i="11"/>
  <c r="H114" i="11" s="1"/>
  <c r="BJ113" i="11"/>
  <c r="BF113" i="11"/>
  <c r="BD113" i="11"/>
  <c r="AX113" i="11"/>
  <c r="AW113" i="11"/>
  <c r="AP113" i="11"/>
  <c r="BI113" i="11" s="1"/>
  <c r="AO113" i="11"/>
  <c r="H113" i="11" s="1"/>
  <c r="AL113" i="11"/>
  <c r="AK113" i="11"/>
  <c r="AJ113" i="11"/>
  <c r="AH113" i="11"/>
  <c r="AG113" i="11"/>
  <c r="AF113" i="11"/>
  <c r="AE113" i="11"/>
  <c r="AD113" i="11"/>
  <c r="AC113" i="11"/>
  <c r="AB113" i="11"/>
  <c r="Z113" i="11"/>
  <c r="J113" i="11"/>
  <c r="I113" i="11"/>
  <c r="BJ112" i="11"/>
  <c r="BF112" i="11"/>
  <c r="BD112" i="11"/>
  <c r="AX112" i="11"/>
  <c r="AP112" i="11"/>
  <c r="I112" i="11" s="1"/>
  <c r="AO112" i="11"/>
  <c r="BH112" i="11" s="1"/>
  <c r="AK112" i="11"/>
  <c r="AJ112" i="11"/>
  <c r="AH112" i="11"/>
  <c r="AG112" i="11"/>
  <c r="AF112" i="11"/>
  <c r="AE112" i="11"/>
  <c r="AD112" i="11"/>
  <c r="AC112" i="11"/>
  <c r="AB112" i="11"/>
  <c r="Z112" i="11"/>
  <c r="J112" i="11"/>
  <c r="AL112" i="11" s="1"/>
  <c r="BJ111" i="11"/>
  <c r="AH111" i="11" s="1"/>
  <c r="BI111" i="11"/>
  <c r="BH111" i="11"/>
  <c r="BF111" i="11"/>
  <c r="BD111" i="11"/>
  <c r="AP111" i="11"/>
  <c r="AO111" i="11"/>
  <c r="AL111" i="11"/>
  <c r="AK111" i="11"/>
  <c r="AJ111" i="11"/>
  <c r="AS108" i="11" s="1"/>
  <c r="AG111" i="11"/>
  <c r="AF111" i="11"/>
  <c r="AE111" i="11"/>
  <c r="AD111" i="11"/>
  <c r="AC111" i="11"/>
  <c r="AB111" i="11"/>
  <c r="Z111" i="11"/>
  <c r="J111" i="11"/>
  <c r="BJ110" i="11"/>
  <c r="AH110" i="11" s="1"/>
  <c r="BH110" i="11"/>
  <c r="BF110" i="11"/>
  <c r="BD110" i="11"/>
  <c r="AP110" i="11"/>
  <c r="AO110" i="11"/>
  <c r="AW110" i="11" s="1"/>
  <c r="AL110" i="11"/>
  <c r="AK110" i="11"/>
  <c r="AJ110" i="11"/>
  <c r="AG110" i="11"/>
  <c r="AF110" i="11"/>
  <c r="AE110" i="11"/>
  <c r="AD110" i="11"/>
  <c r="AC110" i="11"/>
  <c r="AB110" i="11"/>
  <c r="Z110" i="11"/>
  <c r="J110" i="11"/>
  <c r="BJ109" i="11"/>
  <c r="AH109" i="11" s="1"/>
  <c r="BI109" i="11"/>
  <c r="BH109" i="11"/>
  <c r="BF109" i="11"/>
  <c r="BD109" i="11"/>
  <c r="AV109" i="11"/>
  <c r="AP109" i="11"/>
  <c r="AX109" i="11" s="1"/>
  <c r="AO109" i="11"/>
  <c r="AW109" i="11" s="1"/>
  <c r="BC109" i="11" s="1"/>
  <c r="AL109" i="11"/>
  <c r="AU108" i="11" s="1"/>
  <c r="AK109" i="11"/>
  <c r="AJ109" i="11"/>
  <c r="AG109" i="11"/>
  <c r="AF109" i="11"/>
  <c r="AE109" i="11"/>
  <c r="AD109" i="11"/>
  <c r="AC109" i="11"/>
  <c r="AB109" i="11"/>
  <c r="Z109" i="11"/>
  <c r="J109" i="11"/>
  <c r="J108" i="11" s="1"/>
  <c r="I109" i="11"/>
  <c r="BJ107" i="11"/>
  <c r="Z107" i="11" s="1"/>
  <c r="BI107" i="11"/>
  <c r="BH107" i="11"/>
  <c r="BF107" i="11"/>
  <c r="BD107" i="11"/>
  <c r="AP107" i="11"/>
  <c r="AO107" i="11"/>
  <c r="AW107" i="11" s="1"/>
  <c r="AL107" i="11"/>
  <c r="AU106" i="11" s="1"/>
  <c r="AK107" i="11"/>
  <c r="AT106" i="11" s="1"/>
  <c r="AJ107" i="11"/>
  <c r="AH107" i="11"/>
  <c r="AG107" i="11"/>
  <c r="AF107" i="11"/>
  <c r="AE107" i="11"/>
  <c r="AD107" i="11"/>
  <c r="AC107" i="11"/>
  <c r="AB107" i="11"/>
  <c r="J107" i="11"/>
  <c r="H107" i="11"/>
  <c r="H106" i="11" s="1"/>
  <c r="AS106" i="11"/>
  <c r="J106" i="11"/>
  <c r="BJ105" i="11"/>
  <c r="BI105" i="11"/>
  <c r="AC105" i="11" s="1"/>
  <c r="BH105" i="11"/>
  <c r="BF105" i="11"/>
  <c r="BD105" i="11"/>
  <c r="AP105" i="11"/>
  <c r="AO105" i="11"/>
  <c r="AL105" i="11"/>
  <c r="AU104" i="11" s="1"/>
  <c r="AK105" i="11"/>
  <c r="AT104" i="11" s="1"/>
  <c r="AJ105" i="11"/>
  <c r="AS104" i="11" s="1"/>
  <c r="AH105" i="11"/>
  <c r="AG105" i="11"/>
  <c r="AF105" i="11"/>
  <c r="AE105" i="11"/>
  <c r="AD105" i="11"/>
  <c r="AB105" i="11"/>
  <c r="Z105" i="11"/>
  <c r="J105" i="11"/>
  <c r="J104" i="11"/>
  <c r="BJ103" i="11"/>
  <c r="BF103" i="11"/>
  <c r="BD103" i="11"/>
  <c r="AX103" i="11"/>
  <c r="AP103" i="11"/>
  <c r="I103" i="11" s="1"/>
  <c r="AO103" i="11"/>
  <c r="AL103" i="11"/>
  <c r="AU102" i="11" s="1"/>
  <c r="AK103" i="11"/>
  <c r="AJ103" i="11"/>
  <c r="AS102" i="11" s="1"/>
  <c r="AH103" i="11"/>
  <c r="AG103" i="11"/>
  <c r="AF103" i="11"/>
  <c r="AE103" i="11"/>
  <c r="AD103" i="11"/>
  <c r="Z103" i="11"/>
  <c r="J103" i="11"/>
  <c r="AT102" i="11"/>
  <c r="J102" i="11"/>
  <c r="I102" i="11"/>
  <c r="BJ101" i="11"/>
  <c r="BF101" i="11"/>
  <c r="BD101" i="11"/>
  <c r="BC101" i="11"/>
  <c r="AX101" i="11"/>
  <c r="AW101" i="11"/>
  <c r="AV101" i="11" s="1"/>
  <c r="AP101" i="11"/>
  <c r="BI101" i="11" s="1"/>
  <c r="AC101" i="11" s="1"/>
  <c r="AO101" i="11"/>
  <c r="H101" i="11" s="1"/>
  <c r="AK101" i="11"/>
  <c r="AJ101" i="11"/>
  <c r="AH101" i="11"/>
  <c r="AG101" i="11"/>
  <c r="AF101" i="11"/>
  <c r="AE101" i="11"/>
  <c r="AD101" i="11"/>
  <c r="Z101" i="11"/>
  <c r="J101" i="11"/>
  <c r="AL101" i="11" s="1"/>
  <c r="I101" i="11"/>
  <c r="BJ100" i="11"/>
  <c r="BH100" i="11"/>
  <c r="AB100" i="11" s="1"/>
  <c r="BF100" i="11"/>
  <c r="BD100" i="11"/>
  <c r="AX100" i="11"/>
  <c r="AP100" i="11"/>
  <c r="I100" i="11" s="1"/>
  <c r="AO100" i="11"/>
  <c r="AK100" i="11"/>
  <c r="AJ100" i="11"/>
  <c r="AH100" i="11"/>
  <c r="AG100" i="11"/>
  <c r="AF100" i="11"/>
  <c r="AE100" i="11"/>
  <c r="AD100" i="11"/>
  <c r="Z100" i="11"/>
  <c r="J100" i="11"/>
  <c r="AL100" i="11" s="1"/>
  <c r="BJ99" i="11"/>
  <c r="BH99" i="11"/>
  <c r="AB99" i="11" s="1"/>
  <c r="BF99" i="11"/>
  <c r="BD99" i="11"/>
  <c r="AP99" i="11"/>
  <c r="AO99" i="11"/>
  <c r="AL99" i="11"/>
  <c r="AK99" i="11"/>
  <c r="AJ99" i="11"/>
  <c r="AH99" i="11"/>
  <c r="AG99" i="11"/>
  <c r="AF99" i="11"/>
  <c r="AE99" i="11"/>
  <c r="AD99" i="11"/>
  <c r="Z99" i="11"/>
  <c r="J99" i="11"/>
  <c r="BJ98" i="11"/>
  <c r="BH98" i="11"/>
  <c r="BF98" i="11"/>
  <c r="BD98" i="11"/>
  <c r="AP98" i="11"/>
  <c r="BI98" i="11" s="1"/>
  <c r="AC98" i="11" s="1"/>
  <c r="AO98" i="11"/>
  <c r="AW98" i="11" s="1"/>
  <c r="AL98" i="11"/>
  <c r="AK98" i="11"/>
  <c r="AJ98" i="11"/>
  <c r="AH98" i="11"/>
  <c r="AG98" i="11"/>
  <c r="AF98" i="11"/>
  <c r="AE98" i="11"/>
  <c r="AD98" i="11"/>
  <c r="AB98" i="11"/>
  <c r="Z98" i="11"/>
  <c r="J98" i="11"/>
  <c r="H98" i="11"/>
  <c r="BJ97" i="11"/>
  <c r="BI97" i="11"/>
  <c r="BH97" i="11"/>
  <c r="AB97" i="11" s="1"/>
  <c r="BF97" i="11"/>
  <c r="BD97" i="11"/>
  <c r="AW97" i="11"/>
  <c r="AP97" i="11"/>
  <c r="AX97" i="11" s="1"/>
  <c r="AO97" i="11"/>
  <c r="AL97" i="11"/>
  <c r="AU95" i="11" s="1"/>
  <c r="AK97" i="11"/>
  <c r="AJ97" i="11"/>
  <c r="AH97" i="11"/>
  <c r="AG97" i="11"/>
  <c r="AF97" i="11"/>
  <c r="AE97" i="11"/>
  <c r="AD97" i="11"/>
  <c r="AC97" i="11"/>
  <c r="Z97" i="11"/>
  <c r="J97" i="11"/>
  <c r="I97" i="11"/>
  <c r="H97" i="11"/>
  <c r="BJ96" i="11"/>
  <c r="BF96" i="11"/>
  <c r="BD96" i="11"/>
  <c r="AX96" i="11"/>
  <c r="AW96" i="11"/>
  <c r="AP96" i="11"/>
  <c r="BI96" i="11" s="1"/>
  <c r="AC96" i="11" s="1"/>
  <c r="AO96" i="11"/>
  <c r="BH96" i="11" s="1"/>
  <c r="AB96" i="11" s="1"/>
  <c r="AK96" i="11"/>
  <c r="AJ96" i="11"/>
  <c r="AH96" i="11"/>
  <c r="AG96" i="11"/>
  <c r="AF96" i="11"/>
  <c r="AE96" i="11"/>
  <c r="AD96" i="11"/>
  <c r="Z96" i="11"/>
  <c r="J96" i="11"/>
  <c r="AL96" i="11" s="1"/>
  <c r="I96" i="11"/>
  <c r="H96" i="11"/>
  <c r="BJ94" i="11"/>
  <c r="BI94" i="11"/>
  <c r="AC94" i="11" s="1"/>
  <c r="BH94" i="11"/>
  <c r="AB94" i="11" s="1"/>
  <c r="BF94" i="11"/>
  <c r="BD94" i="11"/>
  <c r="AX94" i="11"/>
  <c r="AP94" i="11"/>
  <c r="I94" i="11" s="1"/>
  <c r="I93" i="11" s="1"/>
  <c r="AO94" i="11"/>
  <c r="AK94" i="11"/>
  <c r="AJ94" i="11"/>
  <c r="AH94" i="11"/>
  <c r="AG94" i="11"/>
  <c r="AF94" i="11"/>
  <c r="AE94" i="11"/>
  <c r="AD94" i="11"/>
  <c r="Z94" i="11"/>
  <c r="J94" i="11"/>
  <c r="AT93" i="11"/>
  <c r="AS93" i="11"/>
  <c r="BJ92" i="11"/>
  <c r="BF92" i="11"/>
  <c r="BD92" i="11"/>
  <c r="AW92" i="11"/>
  <c r="AP92" i="11"/>
  <c r="AX92" i="11" s="1"/>
  <c r="AO92" i="11"/>
  <c r="H92" i="11" s="1"/>
  <c r="AL92" i="11"/>
  <c r="AK92" i="11"/>
  <c r="AJ92" i="11"/>
  <c r="AH92" i="11"/>
  <c r="AG92" i="11"/>
  <c r="AF92" i="11"/>
  <c r="AE92" i="11"/>
  <c r="AD92" i="11"/>
  <c r="Z92" i="11"/>
  <c r="J92" i="11"/>
  <c r="I92" i="11"/>
  <c r="BJ91" i="11"/>
  <c r="BI91" i="11"/>
  <c r="AC91" i="11" s="1"/>
  <c r="BH91" i="11"/>
  <c r="AB91" i="11" s="1"/>
  <c r="BF91" i="11"/>
  <c r="BD91" i="11"/>
  <c r="AX91" i="11"/>
  <c r="AP91" i="11"/>
  <c r="I91" i="11" s="1"/>
  <c r="AO91" i="11"/>
  <c r="AK91" i="11"/>
  <c r="AJ91" i="11"/>
  <c r="AH91" i="11"/>
  <c r="AG91" i="11"/>
  <c r="AF91" i="11"/>
  <c r="AE91" i="11"/>
  <c r="AD91" i="11"/>
  <c r="Z91" i="11"/>
  <c r="J91" i="11"/>
  <c r="AT90" i="11"/>
  <c r="AS90" i="11"/>
  <c r="BJ89" i="11"/>
  <c r="BF89" i="11"/>
  <c r="BD89" i="11"/>
  <c r="AW89" i="11"/>
  <c r="AP89" i="11"/>
  <c r="AX89" i="11" s="1"/>
  <c r="AO89" i="11"/>
  <c r="H89" i="11" s="1"/>
  <c r="H88" i="11" s="1"/>
  <c r="AL89" i="11"/>
  <c r="AU88" i="11" s="1"/>
  <c r="AK89" i="11"/>
  <c r="AJ89" i="11"/>
  <c r="AH89" i="11"/>
  <c r="AG89" i="11"/>
  <c r="AF89" i="11"/>
  <c r="AE89" i="11"/>
  <c r="AD89" i="11"/>
  <c r="Z89" i="11"/>
  <c r="J89" i="11"/>
  <c r="I89" i="11"/>
  <c r="I88" i="11" s="1"/>
  <c r="AT88" i="11"/>
  <c r="AS88" i="11"/>
  <c r="J88" i="11"/>
  <c r="BJ87" i="11"/>
  <c r="BF87" i="11"/>
  <c r="BD87" i="11"/>
  <c r="AX87" i="11"/>
  <c r="AP87" i="11"/>
  <c r="I87" i="11" s="1"/>
  <c r="I86" i="11" s="1"/>
  <c r="AO87" i="11"/>
  <c r="AW87" i="11" s="1"/>
  <c r="BC87" i="11" s="1"/>
  <c r="AL87" i="11"/>
  <c r="AU86" i="11" s="1"/>
  <c r="AK87" i="11"/>
  <c r="AT86" i="11" s="1"/>
  <c r="AJ87" i="11"/>
  <c r="AH87" i="11"/>
  <c r="AG87" i="11"/>
  <c r="AF87" i="11"/>
  <c r="AE87" i="11"/>
  <c r="AD87" i="11"/>
  <c r="Z87" i="11"/>
  <c r="J87" i="11"/>
  <c r="H87" i="11"/>
  <c r="H86" i="11" s="1"/>
  <c r="AS86" i="11"/>
  <c r="J86" i="11"/>
  <c r="BR84" i="11"/>
  <c r="BJ84" i="11"/>
  <c r="BF84" i="11"/>
  <c r="BD84" i="11"/>
  <c r="AP84" i="11"/>
  <c r="AO84" i="11"/>
  <c r="BH84" i="11" s="1"/>
  <c r="AL84" i="11"/>
  <c r="AK84" i="11"/>
  <c r="AJ84" i="11"/>
  <c r="AS83" i="11" s="1"/>
  <c r="AH84" i="11"/>
  <c r="AG84" i="11"/>
  <c r="AF84" i="11"/>
  <c r="AE84" i="11"/>
  <c r="AD84" i="11"/>
  <c r="AC84" i="11"/>
  <c r="AB84" i="11"/>
  <c r="Z84" i="11"/>
  <c r="J84" i="11"/>
  <c r="J83" i="11" s="1"/>
  <c r="H84" i="11"/>
  <c r="H83" i="11" s="1"/>
  <c r="AU83" i="11"/>
  <c r="AT83" i="11"/>
  <c r="BO82" i="11"/>
  <c r="BJ82" i="11"/>
  <c r="BF82" i="11"/>
  <c r="BD82" i="11"/>
  <c r="AP82" i="11"/>
  <c r="AO82" i="11"/>
  <c r="BH82" i="11" s="1"/>
  <c r="AL82" i="11"/>
  <c r="AK82" i="11"/>
  <c r="AJ82" i="11"/>
  <c r="AS81" i="11" s="1"/>
  <c r="AH82" i="11"/>
  <c r="AG82" i="11"/>
  <c r="AF82" i="11"/>
  <c r="AE82" i="11"/>
  <c r="AD82" i="11"/>
  <c r="AC82" i="11"/>
  <c r="AB82" i="11"/>
  <c r="Z82" i="11"/>
  <c r="J82" i="11"/>
  <c r="J81" i="11" s="1"/>
  <c r="H82" i="11"/>
  <c r="H81" i="11" s="1"/>
  <c r="AU81" i="11"/>
  <c r="AT81" i="11"/>
  <c r="BM80" i="11"/>
  <c r="BJ80" i="11"/>
  <c r="BF80" i="11"/>
  <c r="BD80" i="11"/>
  <c r="AP80" i="11"/>
  <c r="AO80" i="11"/>
  <c r="BH80" i="11" s="1"/>
  <c r="AL80" i="11"/>
  <c r="AK80" i="11"/>
  <c r="AJ80" i="11"/>
  <c r="AS79" i="11" s="1"/>
  <c r="AH80" i="11"/>
  <c r="AG80" i="11"/>
  <c r="AF80" i="11"/>
  <c r="AE80" i="11"/>
  <c r="AD80" i="11"/>
  <c r="AC80" i="11"/>
  <c r="AB80" i="11"/>
  <c r="Z80" i="11"/>
  <c r="J80" i="11"/>
  <c r="J79" i="11" s="1"/>
  <c r="H80" i="11"/>
  <c r="H79" i="11" s="1"/>
  <c r="H78" i="11" s="1"/>
  <c r="AU79" i="11"/>
  <c r="AT79" i="11"/>
  <c r="BJ77" i="11"/>
  <c r="BF77" i="11"/>
  <c r="BD77" i="11"/>
  <c r="AX77" i="11"/>
  <c r="AW77" i="11"/>
  <c r="AP77" i="11"/>
  <c r="BI77" i="11" s="1"/>
  <c r="AO77" i="11"/>
  <c r="BH77" i="11" s="1"/>
  <c r="AK77" i="11"/>
  <c r="AJ77" i="11"/>
  <c r="AH77" i="11"/>
  <c r="AG77" i="11"/>
  <c r="AF77" i="11"/>
  <c r="AE77" i="11"/>
  <c r="AD77" i="11"/>
  <c r="AC77" i="11"/>
  <c r="AB77" i="11"/>
  <c r="Z77" i="11"/>
  <c r="J77" i="11"/>
  <c r="AL77" i="11" s="1"/>
  <c r="I77" i="11"/>
  <c r="H77" i="11"/>
  <c r="BJ76" i="11"/>
  <c r="BF76" i="11"/>
  <c r="BD76" i="11"/>
  <c r="AX76" i="11"/>
  <c r="AP76" i="11"/>
  <c r="BI76" i="11" s="1"/>
  <c r="AO76" i="11"/>
  <c r="AK76" i="11"/>
  <c r="AJ76" i="11"/>
  <c r="AH76" i="11"/>
  <c r="AG76" i="11"/>
  <c r="AF76" i="11"/>
  <c r="AE76" i="11"/>
  <c r="AD76" i="11"/>
  <c r="AC76" i="11"/>
  <c r="AB76" i="11"/>
  <c r="Z76" i="11"/>
  <c r="J76" i="11"/>
  <c r="I76" i="11"/>
  <c r="BJ75" i="11"/>
  <c r="BI75" i="11"/>
  <c r="BF75" i="11"/>
  <c r="BD75" i="11"/>
  <c r="AW75" i="11"/>
  <c r="AP75" i="11"/>
  <c r="AO75" i="11"/>
  <c r="H75" i="11" s="1"/>
  <c r="AK75" i="11"/>
  <c r="AJ75" i="11"/>
  <c r="AH75" i="11"/>
  <c r="AG75" i="11"/>
  <c r="AF75" i="11"/>
  <c r="AE75" i="11"/>
  <c r="AD75" i="11"/>
  <c r="AC75" i="11"/>
  <c r="AB75" i="11"/>
  <c r="Z75" i="11"/>
  <c r="J75" i="11"/>
  <c r="AL75" i="11" s="1"/>
  <c r="BJ74" i="11"/>
  <c r="AH74" i="11" s="1"/>
  <c r="BF74" i="11"/>
  <c r="BD74" i="11"/>
  <c r="AX74" i="11"/>
  <c r="AP74" i="11"/>
  <c r="I74" i="11" s="1"/>
  <c r="AO74" i="11"/>
  <c r="AW74" i="11" s="1"/>
  <c r="BC74" i="11" s="1"/>
  <c r="AL74" i="11"/>
  <c r="AK74" i="11"/>
  <c r="AJ74" i="11"/>
  <c r="AG74" i="11"/>
  <c r="AF74" i="11"/>
  <c r="AE74" i="11"/>
  <c r="AD74" i="11"/>
  <c r="AC74" i="11"/>
  <c r="AB74" i="11"/>
  <c r="Z74" i="11"/>
  <c r="J74" i="11"/>
  <c r="H74" i="11"/>
  <c r="BJ73" i="11"/>
  <c r="AH73" i="11" s="1"/>
  <c r="BF73" i="11"/>
  <c r="BD73" i="11"/>
  <c r="AW73" i="11"/>
  <c r="AP73" i="11"/>
  <c r="AX73" i="11" s="1"/>
  <c r="AO73" i="11"/>
  <c r="H73" i="11" s="1"/>
  <c r="AL73" i="11"/>
  <c r="AK73" i="11"/>
  <c r="AJ73" i="11"/>
  <c r="AG73" i="11"/>
  <c r="AF73" i="11"/>
  <c r="AE73" i="11"/>
  <c r="AD73" i="11"/>
  <c r="AC73" i="11"/>
  <c r="AB73" i="11"/>
  <c r="Z73" i="11"/>
  <c r="J73" i="11"/>
  <c r="I73" i="11"/>
  <c r="AT72" i="11"/>
  <c r="AS72" i="11"/>
  <c r="BJ71" i="11"/>
  <c r="Z71" i="11" s="1"/>
  <c r="BF71" i="11"/>
  <c r="BD71" i="11"/>
  <c r="AX71" i="11"/>
  <c r="AP71" i="11"/>
  <c r="I71" i="11" s="1"/>
  <c r="I70" i="11" s="1"/>
  <c r="AO71" i="11"/>
  <c r="AW71" i="11" s="1"/>
  <c r="BC71" i="11" s="1"/>
  <c r="AL71" i="11"/>
  <c r="AU70" i="11" s="1"/>
  <c r="AK71" i="11"/>
  <c r="AT70" i="11" s="1"/>
  <c r="AJ71" i="11"/>
  <c r="AH71" i="11"/>
  <c r="AG71" i="11"/>
  <c r="AF71" i="11"/>
  <c r="AE71" i="11"/>
  <c r="AD71" i="11"/>
  <c r="AC71" i="11"/>
  <c r="AB71" i="11"/>
  <c r="J71" i="11"/>
  <c r="H71" i="11"/>
  <c r="H70" i="11" s="1"/>
  <c r="AS70" i="11"/>
  <c r="J70" i="11"/>
  <c r="BJ69" i="11"/>
  <c r="BI69" i="11"/>
  <c r="AC69" i="11" s="1"/>
  <c r="BF69" i="11"/>
  <c r="BD69" i="11"/>
  <c r="AW69" i="11"/>
  <c r="AP69" i="11"/>
  <c r="AO69" i="11"/>
  <c r="H69" i="11" s="1"/>
  <c r="H68" i="11" s="1"/>
  <c r="AK69" i="11"/>
  <c r="AT68" i="11" s="1"/>
  <c r="AJ69" i="11"/>
  <c r="AS68" i="11" s="1"/>
  <c r="AH69" i="11"/>
  <c r="AG69" i="11"/>
  <c r="AF69" i="11"/>
  <c r="AE69" i="11"/>
  <c r="AD69" i="11"/>
  <c r="Z69" i="11"/>
  <c r="J69" i="11"/>
  <c r="AL69" i="11" s="1"/>
  <c r="AU68" i="11"/>
  <c r="J68" i="11"/>
  <c r="BJ67" i="11"/>
  <c r="BF67" i="11"/>
  <c r="BD67" i="11"/>
  <c r="AX67" i="11"/>
  <c r="AP67" i="11"/>
  <c r="BI67" i="11" s="1"/>
  <c r="AC67" i="11" s="1"/>
  <c r="AO67" i="11"/>
  <c r="BH67" i="11" s="1"/>
  <c r="AB67" i="11" s="1"/>
  <c r="AK67" i="11"/>
  <c r="AJ67" i="11"/>
  <c r="AS66" i="11" s="1"/>
  <c r="AH67" i="11"/>
  <c r="AG67" i="11"/>
  <c r="AF67" i="11"/>
  <c r="AE67" i="11"/>
  <c r="AD67" i="11"/>
  <c r="Z67" i="11"/>
  <c r="J67" i="11"/>
  <c r="I67" i="11"/>
  <c r="AT66" i="11"/>
  <c r="I66" i="11"/>
  <c r="BJ65" i="11"/>
  <c r="BF65" i="11"/>
  <c r="BD65" i="11"/>
  <c r="AX65" i="11"/>
  <c r="AW65" i="11"/>
  <c r="AP65" i="11"/>
  <c r="BI65" i="11" s="1"/>
  <c r="AO65" i="11"/>
  <c r="BH65" i="11" s="1"/>
  <c r="AB65" i="11" s="1"/>
  <c r="AL65" i="11"/>
  <c r="AK65" i="11"/>
  <c r="AJ65" i="11"/>
  <c r="AH65" i="11"/>
  <c r="AG65" i="11"/>
  <c r="AF65" i="11"/>
  <c r="AE65" i="11"/>
  <c r="AD65" i="11"/>
  <c r="AC65" i="11"/>
  <c r="Z65" i="11"/>
  <c r="J65" i="11"/>
  <c r="I65" i="11"/>
  <c r="H65" i="11"/>
  <c r="BJ64" i="11"/>
  <c r="BF64" i="11"/>
  <c r="BD64" i="11"/>
  <c r="AX64" i="11"/>
  <c r="AP64" i="11"/>
  <c r="BI64" i="11" s="1"/>
  <c r="AC64" i="11" s="1"/>
  <c r="AO64" i="11"/>
  <c r="BH64" i="11" s="1"/>
  <c r="AB64" i="11" s="1"/>
  <c r="AK64" i="11"/>
  <c r="AJ64" i="11"/>
  <c r="AH64" i="11"/>
  <c r="AG64" i="11"/>
  <c r="AF64" i="11"/>
  <c r="AE64" i="11"/>
  <c r="AD64" i="11"/>
  <c r="Z64" i="11"/>
  <c r="J64" i="11"/>
  <c r="AL64" i="11" s="1"/>
  <c r="I64" i="11"/>
  <c r="BJ63" i="11"/>
  <c r="BI63" i="11"/>
  <c r="AC63" i="11" s="1"/>
  <c r="BF63" i="11"/>
  <c r="BD63" i="11"/>
  <c r="AW63" i="11"/>
  <c r="AP63" i="11"/>
  <c r="AO63" i="11"/>
  <c r="H63" i="11" s="1"/>
  <c r="AK63" i="11"/>
  <c r="AJ63" i="11"/>
  <c r="AS59" i="11" s="1"/>
  <c r="AH63" i="11"/>
  <c r="AG63" i="11"/>
  <c r="AF63" i="11"/>
  <c r="AE63" i="11"/>
  <c r="AD63" i="11"/>
  <c r="Z63" i="11"/>
  <c r="J63" i="11"/>
  <c r="AL63" i="11" s="1"/>
  <c r="BJ62" i="11"/>
  <c r="BF62" i="11"/>
  <c r="BD62" i="11"/>
  <c r="AX62" i="11"/>
  <c r="AP62" i="11"/>
  <c r="I62" i="11" s="1"/>
  <c r="AO62" i="11"/>
  <c r="AW62" i="11" s="1"/>
  <c r="BC62" i="11" s="1"/>
  <c r="AL62" i="11"/>
  <c r="AK62" i="11"/>
  <c r="AT59" i="11" s="1"/>
  <c r="AJ62" i="11"/>
  <c r="AH62" i="11"/>
  <c r="AG62" i="11"/>
  <c r="AF62" i="11"/>
  <c r="AE62" i="11"/>
  <c r="AD62" i="11"/>
  <c r="Z62" i="11"/>
  <c r="J62" i="11"/>
  <c r="H62" i="11"/>
  <c r="BJ61" i="11"/>
  <c r="BF61" i="11"/>
  <c r="BD61" i="11"/>
  <c r="AW61" i="11"/>
  <c r="AP61" i="11"/>
  <c r="AX61" i="11" s="1"/>
  <c r="AO61" i="11"/>
  <c r="H61" i="11" s="1"/>
  <c r="AL61" i="11"/>
  <c r="AK61" i="11"/>
  <c r="AJ61" i="11"/>
  <c r="AH61" i="11"/>
  <c r="AG61" i="11"/>
  <c r="AF61" i="11"/>
  <c r="AE61" i="11"/>
  <c r="AD61" i="11"/>
  <c r="Z61" i="11"/>
  <c r="J61" i="11"/>
  <c r="I61" i="11"/>
  <c r="BJ60" i="11"/>
  <c r="BI60" i="11"/>
  <c r="AC60" i="11" s="1"/>
  <c r="BH60" i="11"/>
  <c r="AB60" i="11" s="1"/>
  <c r="BF60" i="11"/>
  <c r="BD60" i="11"/>
  <c r="AP60" i="11"/>
  <c r="I60" i="11" s="1"/>
  <c r="AO60" i="11"/>
  <c r="AK60" i="11"/>
  <c r="AJ60" i="11"/>
  <c r="AH60" i="11"/>
  <c r="AG60" i="11"/>
  <c r="AF60" i="11"/>
  <c r="AE60" i="11"/>
  <c r="AD60" i="11"/>
  <c r="Z60" i="11"/>
  <c r="J60" i="11"/>
  <c r="BJ58" i="11"/>
  <c r="BF58" i="11"/>
  <c r="BD58" i="11"/>
  <c r="AW58" i="11"/>
  <c r="AP58" i="11"/>
  <c r="AX58" i="11" s="1"/>
  <c r="AO58" i="11"/>
  <c r="H58" i="11" s="1"/>
  <c r="H57" i="11" s="1"/>
  <c r="AL58" i="11"/>
  <c r="AU57" i="11" s="1"/>
  <c r="AK58" i="11"/>
  <c r="AJ58" i="11"/>
  <c r="AH58" i="11"/>
  <c r="AG58" i="11"/>
  <c r="AF58" i="11"/>
  <c r="AE58" i="11"/>
  <c r="AD58" i="11"/>
  <c r="Z58" i="11"/>
  <c r="J58" i="11"/>
  <c r="I58" i="11"/>
  <c r="I57" i="11" s="1"/>
  <c r="AT57" i="11"/>
  <c r="AS57" i="11"/>
  <c r="J57" i="11"/>
  <c r="BJ56" i="11"/>
  <c r="BF56" i="11"/>
  <c r="BD56" i="11"/>
  <c r="AX56" i="11"/>
  <c r="AP56" i="11"/>
  <c r="I56" i="11" s="1"/>
  <c r="AO56" i="11"/>
  <c r="AW56" i="11" s="1"/>
  <c r="BC56" i="11" s="1"/>
  <c r="AL56" i="11"/>
  <c r="AU54" i="11" s="1"/>
  <c r="AK56" i="11"/>
  <c r="AJ56" i="11"/>
  <c r="AS54" i="11" s="1"/>
  <c r="AH56" i="11"/>
  <c r="AG56" i="11"/>
  <c r="AF56" i="11"/>
  <c r="AE56" i="11"/>
  <c r="AD56" i="11"/>
  <c r="Z56" i="11"/>
  <c r="J56" i="11"/>
  <c r="H56" i="11"/>
  <c r="BJ55" i="11"/>
  <c r="BH55" i="11"/>
  <c r="AB55" i="11" s="1"/>
  <c r="BF55" i="11"/>
  <c r="BD55" i="11"/>
  <c r="AW55" i="11"/>
  <c r="AP55" i="11"/>
  <c r="AX55" i="11" s="1"/>
  <c r="AO55" i="11"/>
  <c r="H55" i="11" s="1"/>
  <c r="AL55" i="11"/>
  <c r="AK55" i="11"/>
  <c r="AJ55" i="11"/>
  <c r="AH55" i="11"/>
  <c r="AG55" i="11"/>
  <c r="AF55" i="11"/>
  <c r="AE55" i="11"/>
  <c r="AD55" i="11"/>
  <c r="Z55" i="11"/>
  <c r="J55" i="11"/>
  <c r="I55" i="11"/>
  <c r="I54" i="11" s="1"/>
  <c r="AT54" i="11"/>
  <c r="J54" i="11"/>
  <c r="BJ53" i="11"/>
  <c r="BH53" i="11"/>
  <c r="AB53" i="11" s="1"/>
  <c r="BF53" i="11"/>
  <c r="BD53" i="11"/>
  <c r="AX53" i="11"/>
  <c r="AP53" i="11"/>
  <c r="I53" i="11" s="1"/>
  <c r="AO53" i="11"/>
  <c r="AW53" i="11" s="1"/>
  <c r="BC53" i="11" s="1"/>
  <c r="AL53" i="11"/>
  <c r="AU52" i="11" s="1"/>
  <c r="AK53" i="11"/>
  <c r="AT52" i="11" s="1"/>
  <c r="AJ53" i="11"/>
  <c r="AS52" i="11" s="1"/>
  <c r="AH53" i="11"/>
  <c r="AG53" i="11"/>
  <c r="AF53" i="11"/>
  <c r="AE53" i="11"/>
  <c r="AD53" i="11"/>
  <c r="Z53" i="11"/>
  <c r="J53" i="11"/>
  <c r="J52" i="11"/>
  <c r="I52" i="11"/>
  <c r="BJ51" i="11"/>
  <c r="BF51" i="11"/>
  <c r="BD51" i="11"/>
  <c r="AX51" i="11"/>
  <c r="AW51" i="11"/>
  <c r="AV51" i="11" s="1"/>
  <c r="AP51" i="11"/>
  <c r="BI51" i="11" s="1"/>
  <c r="AC51" i="11" s="1"/>
  <c r="AO51" i="11"/>
  <c r="H51" i="11" s="1"/>
  <c r="H50" i="11" s="1"/>
  <c r="AL51" i="11"/>
  <c r="AK51" i="11"/>
  <c r="AT50" i="11" s="1"/>
  <c r="AJ51" i="11"/>
  <c r="AH51" i="11"/>
  <c r="AG51" i="11"/>
  <c r="AF51" i="11"/>
  <c r="AE51" i="11"/>
  <c r="AD51" i="11"/>
  <c r="Z51" i="11"/>
  <c r="J51" i="11"/>
  <c r="I51" i="11"/>
  <c r="I50" i="11" s="1"/>
  <c r="AU50" i="11"/>
  <c r="AS50" i="11"/>
  <c r="J50" i="11"/>
  <c r="BR48" i="11"/>
  <c r="BJ48" i="11"/>
  <c r="BF48" i="11"/>
  <c r="BD48" i="11"/>
  <c r="AP48" i="11"/>
  <c r="I48" i="11" s="1"/>
  <c r="I47" i="11" s="1"/>
  <c r="AO48" i="11"/>
  <c r="AW48" i="11" s="1"/>
  <c r="AL48" i="11"/>
  <c r="AU47" i="11" s="1"/>
  <c r="AK48" i="11"/>
  <c r="AJ48" i="11"/>
  <c r="AH48" i="11"/>
  <c r="AG48" i="11"/>
  <c r="AF48" i="11"/>
  <c r="AE48" i="11"/>
  <c r="AD48" i="11"/>
  <c r="AC48" i="11"/>
  <c r="AB48" i="11"/>
  <c r="Z48" i="11"/>
  <c r="J48" i="11"/>
  <c r="AT47" i="11"/>
  <c r="AS47" i="11"/>
  <c r="J47" i="11"/>
  <c r="BO46" i="11"/>
  <c r="BJ46" i="11"/>
  <c r="BH46" i="11"/>
  <c r="BF46" i="11"/>
  <c r="BD46" i="11"/>
  <c r="AX46" i="11"/>
  <c r="AV46" i="11" s="1"/>
  <c r="AP46" i="11"/>
  <c r="I46" i="11" s="1"/>
  <c r="I45" i="11" s="1"/>
  <c r="AO46" i="11"/>
  <c r="AW46" i="11" s="1"/>
  <c r="AK46" i="11"/>
  <c r="AJ46" i="11"/>
  <c r="AH46" i="11"/>
  <c r="AG46" i="11"/>
  <c r="AF46" i="11"/>
  <c r="AE46" i="11"/>
  <c r="AD46" i="11"/>
  <c r="AC46" i="11"/>
  <c r="AB46" i="11"/>
  <c r="Z46" i="11"/>
  <c r="J46" i="11"/>
  <c r="AL46" i="11" s="1"/>
  <c r="AU45" i="11" s="1"/>
  <c r="H46" i="11"/>
  <c r="H45" i="11" s="1"/>
  <c r="AT45" i="11"/>
  <c r="AS45" i="11"/>
  <c r="BM44" i="11"/>
  <c r="BJ44" i="11"/>
  <c r="BF44" i="11"/>
  <c r="BD44" i="11"/>
  <c r="AP44" i="11"/>
  <c r="AX44" i="11" s="1"/>
  <c r="AO44" i="11"/>
  <c r="AW44" i="11" s="1"/>
  <c r="AL44" i="11"/>
  <c r="AK44" i="11"/>
  <c r="AJ44" i="11"/>
  <c r="AH44" i="11"/>
  <c r="AG44" i="11"/>
  <c r="AF44" i="11"/>
  <c r="AE44" i="11"/>
  <c r="AD44" i="11"/>
  <c r="AC44" i="11"/>
  <c r="AB44" i="11"/>
  <c r="Z44" i="11"/>
  <c r="J44" i="11"/>
  <c r="AU43" i="11"/>
  <c r="AT43" i="11"/>
  <c r="AS43" i="11"/>
  <c r="J43" i="11"/>
  <c r="BJ41" i="11"/>
  <c r="AH41" i="11" s="1"/>
  <c r="BF41" i="11"/>
  <c r="BD41" i="11"/>
  <c r="AP41" i="11"/>
  <c r="BI41" i="11" s="1"/>
  <c r="AO41" i="11"/>
  <c r="AW41" i="11" s="1"/>
  <c r="AK41" i="11"/>
  <c r="AJ41" i="11"/>
  <c r="AG41" i="11"/>
  <c r="AF41" i="11"/>
  <c r="AE41" i="11"/>
  <c r="AD41" i="11"/>
  <c r="AC41" i="11"/>
  <c r="AB41" i="11"/>
  <c r="Z41" i="11"/>
  <c r="J41" i="11"/>
  <c r="AL41" i="11" s="1"/>
  <c r="BJ40" i="11"/>
  <c r="AH40" i="11" s="1"/>
  <c r="BI40" i="11"/>
  <c r="BF40" i="11"/>
  <c r="BD40" i="11"/>
  <c r="AW40" i="11"/>
  <c r="AP40" i="11"/>
  <c r="AX40" i="11" s="1"/>
  <c r="BC40" i="11" s="1"/>
  <c r="AO40" i="11"/>
  <c r="BH40" i="11" s="1"/>
  <c r="AL40" i="11"/>
  <c r="AK40" i="11"/>
  <c r="AJ40" i="11"/>
  <c r="AG40" i="11"/>
  <c r="AF40" i="11"/>
  <c r="AE40" i="11"/>
  <c r="AD40" i="11"/>
  <c r="AC40" i="11"/>
  <c r="AB40" i="11"/>
  <c r="Z40" i="11"/>
  <c r="J40" i="11"/>
  <c r="H40" i="11"/>
  <c r="BJ39" i="11"/>
  <c r="AH39" i="11" s="1"/>
  <c r="BF39" i="11"/>
  <c r="BD39" i="11"/>
  <c r="AX39" i="11"/>
  <c r="AP39" i="11"/>
  <c r="BI39" i="11" s="1"/>
  <c r="AO39" i="11"/>
  <c r="AW39" i="11" s="1"/>
  <c r="AL39" i="11"/>
  <c r="AK39" i="11"/>
  <c r="AJ39" i="11"/>
  <c r="AG39" i="11"/>
  <c r="AF39" i="11"/>
  <c r="AE39" i="11"/>
  <c r="AD39" i="11"/>
  <c r="AC39" i="11"/>
  <c r="AB39" i="11"/>
  <c r="Z39" i="11"/>
  <c r="J39" i="11"/>
  <c r="I39" i="11"/>
  <c r="BJ38" i="11"/>
  <c r="AH38" i="11" s="1"/>
  <c r="BF38" i="11"/>
  <c r="BD38" i="11"/>
  <c r="AP38" i="11"/>
  <c r="BI38" i="11" s="1"/>
  <c r="AO38" i="11"/>
  <c r="AW38" i="11" s="1"/>
  <c r="AL38" i="11"/>
  <c r="AK38" i="11"/>
  <c r="AJ38" i="11"/>
  <c r="AG38" i="11"/>
  <c r="AF38" i="11"/>
  <c r="AE38" i="11"/>
  <c r="AD38" i="11"/>
  <c r="AC38" i="11"/>
  <c r="AB38" i="11"/>
  <c r="Z38" i="11"/>
  <c r="J38" i="11"/>
  <c r="H38" i="11"/>
  <c r="BJ37" i="11"/>
  <c r="AH37" i="11" s="1"/>
  <c r="BF37" i="11"/>
  <c r="BD37" i="11"/>
  <c r="AW37" i="11"/>
  <c r="BC37" i="11" s="1"/>
  <c r="AP37" i="11"/>
  <c r="AX37" i="11" s="1"/>
  <c r="AV37" i="11" s="1"/>
  <c r="AO37" i="11"/>
  <c r="BH37" i="11" s="1"/>
  <c r="AL37" i="11"/>
  <c r="AK37" i="11"/>
  <c r="AJ37" i="11"/>
  <c r="AG37" i="11"/>
  <c r="AF37" i="11"/>
  <c r="AE37" i="11"/>
  <c r="AD37" i="11"/>
  <c r="AC37" i="11"/>
  <c r="AB37" i="11"/>
  <c r="Z37" i="11"/>
  <c r="J37" i="11"/>
  <c r="I37" i="11"/>
  <c r="H37" i="11"/>
  <c r="BJ36" i="11"/>
  <c r="BF36" i="11"/>
  <c r="BD36" i="11"/>
  <c r="AX36" i="11"/>
  <c r="AW36" i="11"/>
  <c r="BC36" i="11" s="1"/>
  <c r="AP36" i="11"/>
  <c r="BI36" i="11" s="1"/>
  <c r="AO36" i="11"/>
  <c r="BH36" i="11" s="1"/>
  <c r="AK36" i="11"/>
  <c r="AJ36" i="11"/>
  <c r="AS35" i="11" s="1"/>
  <c r="AH36" i="11"/>
  <c r="AG36" i="11"/>
  <c r="AF36" i="11"/>
  <c r="AE36" i="11"/>
  <c r="AD36" i="11"/>
  <c r="AC36" i="11"/>
  <c r="AB36" i="11"/>
  <c r="Z36" i="11"/>
  <c r="J36" i="11"/>
  <c r="AL36" i="11" s="1"/>
  <c r="AU35" i="11" s="1"/>
  <c r="I36" i="11"/>
  <c r="H36" i="11"/>
  <c r="AT35" i="11"/>
  <c r="BJ34" i="11"/>
  <c r="Z34" i="11" s="1"/>
  <c r="BF34" i="11"/>
  <c r="BD34" i="11"/>
  <c r="AW34" i="11"/>
  <c r="BC34" i="11" s="1"/>
  <c r="AP34" i="11"/>
  <c r="AX34" i="11" s="1"/>
  <c r="AV34" i="11" s="1"/>
  <c r="AO34" i="11"/>
  <c r="BH34" i="11" s="1"/>
  <c r="AL34" i="11"/>
  <c r="AK34" i="11"/>
  <c r="AJ34" i="11"/>
  <c r="AH34" i="11"/>
  <c r="AG34" i="11"/>
  <c r="AF34" i="11"/>
  <c r="AE34" i="11"/>
  <c r="AD34" i="11"/>
  <c r="AC34" i="11"/>
  <c r="AB34" i="11"/>
  <c r="J34" i="11"/>
  <c r="J33" i="11" s="1"/>
  <c r="I34" i="11"/>
  <c r="I33" i="11" s="1"/>
  <c r="H34" i="11"/>
  <c r="H33" i="11" s="1"/>
  <c r="AU33" i="11"/>
  <c r="AT33" i="11"/>
  <c r="AS33" i="11"/>
  <c r="BJ32" i="11"/>
  <c r="BF32" i="11"/>
  <c r="BD32" i="11"/>
  <c r="AP32" i="11"/>
  <c r="BI32" i="11" s="1"/>
  <c r="AC32" i="11" s="1"/>
  <c r="AO32" i="11"/>
  <c r="AW32" i="11" s="1"/>
  <c r="AL32" i="11"/>
  <c r="AK32" i="11"/>
  <c r="AJ32" i="11"/>
  <c r="AH32" i="11"/>
  <c r="AG32" i="11"/>
  <c r="AF32" i="11"/>
  <c r="AE32" i="11"/>
  <c r="AD32" i="11"/>
  <c r="Z32" i="11"/>
  <c r="J32" i="11"/>
  <c r="H32" i="11"/>
  <c r="H31" i="11" s="1"/>
  <c r="AU31" i="11"/>
  <c r="AT31" i="11"/>
  <c r="AS31" i="11"/>
  <c r="J31" i="11"/>
  <c r="BJ30" i="11"/>
  <c r="BF30" i="11"/>
  <c r="BD30" i="11"/>
  <c r="AP30" i="11"/>
  <c r="AX30" i="11" s="1"/>
  <c r="AO30" i="11"/>
  <c r="AW30" i="11" s="1"/>
  <c r="AL30" i="11"/>
  <c r="AK30" i="11"/>
  <c r="AJ30" i="11"/>
  <c r="AH30" i="11"/>
  <c r="AG30" i="11"/>
  <c r="AF30" i="11"/>
  <c r="AE30" i="11"/>
  <c r="AD30" i="11"/>
  <c r="Z30" i="11"/>
  <c r="J30" i="11"/>
  <c r="AU29" i="11"/>
  <c r="AT29" i="11"/>
  <c r="AS29" i="11"/>
  <c r="J29" i="11"/>
  <c r="BJ28" i="11"/>
  <c r="BF28" i="11"/>
  <c r="BD28" i="11"/>
  <c r="AX28" i="11"/>
  <c r="AP28" i="11"/>
  <c r="I28" i="11" s="1"/>
  <c r="AO28" i="11"/>
  <c r="BH28" i="11" s="1"/>
  <c r="AB28" i="11" s="1"/>
  <c r="AL28" i="11"/>
  <c r="AK28" i="11"/>
  <c r="AJ28" i="11"/>
  <c r="AH28" i="11"/>
  <c r="AG28" i="11"/>
  <c r="AF28" i="11"/>
  <c r="AE28" i="11"/>
  <c r="AD28" i="11"/>
  <c r="Z28" i="11"/>
  <c r="J28" i="11"/>
  <c r="BJ27" i="11"/>
  <c r="BF27" i="11"/>
  <c r="BD27" i="11"/>
  <c r="AP27" i="11"/>
  <c r="AX27" i="11" s="1"/>
  <c r="AO27" i="11"/>
  <c r="BH27" i="11" s="1"/>
  <c r="AB27" i="11" s="1"/>
  <c r="AL27" i="11"/>
  <c r="AK27" i="11"/>
  <c r="AJ27" i="11"/>
  <c r="AH27" i="11"/>
  <c r="AG27" i="11"/>
  <c r="AF27" i="11"/>
  <c r="AE27" i="11"/>
  <c r="AD27" i="11"/>
  <c r="Z27" i="11"/>
  <c r="J27" i="11"/>
  <c r="BJ26" i="11"/>
  <c r="BF26" i="11"/>
  <c r="BD26" i="11"/>
  <c r="AP26" i="11"/>
  <c r="AX26" i="11" s="1"/>
  <c r="AO26" i="11"/>
  <c r="AW26" i="11" s="1"/>
  <c r="AL26" i="11"/>
  <c r="AK26" i="11"/>
  <c r="AJ26" i="11"/>
  <c r="AH26" i="11"/>
  <c r="AG26" i="11"/>
  <c r="AF26" i="11"/>
  <c r="AE26" i="11"/>
  <c r="AD26" i="11"/>
  <c r="Z26" i="11"/>
  <c r="J26" i="11"/>
  <c r="H26" i="11"/>
  <c r="BJ25" i="11"/>
  <c r="BF25" i="11"/>
  <c r="BD25" i="11"/>
  <c r="AW25" i="11"/>
  <c r="AP25" i="11"/>
  <c r="AX25" i="11" s="1"/>
  <c r="AV25" i="11" s="1"/>
  <c r="AO25" i="11"/>
  <c r="BH25" i="11" s="1"/>
  <c r="AB25" i="11" s="1"/>
  <c r="AL25" i="11"/>
  <c r="AK25" i="11"/>
  <c r="AJ25" i="11"/>
  <c r="AH25" i="11"/>
  <c r="AG25" i="11"/>
  <c r="AF25" i="11"/>
  <c r="AE25" i="11"/>
  <c r="AD25" i="11"/>
  <c r="Z25" i="11"/>
  <c r="J25" i="11"/>
  <c r="I25" i="11"/>
  <c r="H25" i="11"/>
  <c r="BJ24" i="11"/>
  <c r="BF24" i="11"/>
  <c r="BD24" i="11"/>
  <c r="AX24" i="11"/>
  <c r="AW24" i="11"/>
  <c r="BC24" i="11" s="1"/>
  <c r="AP24" i="11"/>
  <c r="BI24" i="11" s="1"/>
  <c r="AC24" i="11" s="1"/>
  <c r="AO24" i="11"/>
  <c r="BH24" i="11" s="1"/>
  <c r="AB24" i="11" s="1"/>
  <c r="AK24" i="11"/>
  <c r="AJ24" i="11"/>
  <c r="AH24" i="11"/>
  <c r="AG24" i="11"/>
  <c r="AF24" i="11"/>
  <c r="AE24" i="11"/>
  <c r="AD24" i="11"/>
  <c r="Z24" i="11"/>
  <c r="J24" i="11"/>
  <c r="AL24" i="11" s="1"/>
  <c r="I24" i="11"/>
  <c r="H24" i="11"/>
  <c r="BJ23" i="11"/>
  <c r="BF23" i="11"/>
  <c r="BD23" i="11"/>
  <c r="AX23" i="11"/>
  <c r="BC23" i="11" s="1"/>
  <c r="AW23" i="11"/>
  <c r="AV23" i="11" s="1"/>
  <c r="AP23" i="11"/>
  <c r="BI23" i="11" s="1"/>
  <c r="AC23" i="11" s="1"/>
  <c r="AO23" i="11"/>
  <c r="BH23" i="11" s="1"/>
  <c r="AB23" i="11" s="1"/>
  <c r="AK23" i="11"/>
  <c r="AT22" i="11" s="1"/>
  <c r="AJ23" i="11"/>
  <c r="AS22" i="11" s="1"/>
  <c r="AH23" i="11"/>
  <c r="AG23" i="11"/>
  <c r="AF23" i="11"/>
  <c r="AE23" i="11"/>
  <c r="AD23" i="11"/>
  <c r="Z23" i="11"/>
  <c r="J23" i="11"/>
  <c r="AL23" i="11" s="1"/>
  <c r="AU22" i="11" s="1"/>
  <c r="I23" i="11"/>
  <c r="H23" i="11"/>
  <c r="BJ21" i="11"/>
  <c r="BF21" i="11"/>
  <c r="BD21" i="11"/>
  <c r="AX21" i="11"/>
  <c r="AW21" i="11"/>
  <c r="BC21" i="11" s="1"/>
  <c r="AP21" i="11"/>
  <c r="BI21" i="11" s="1"/>
  <c r="AC21" i="11" s="1"/>
  <c r="AO21" i="11"/>
  <c r="BH21" i="11" s="1"/>
  <c r="AB21" i="11" s="1"/>
  <c r="AK21" i="11"/>
  <c r="AJ21" i="11"/>
  <c r="AS20" i="11" s="1"/>
  <c r="AH21" i="11"/>
  <c r="AG21" i="11"/>
  <c r="AF21" i="11"/>
  <c r="AE21" i="11"/>
  <c r="AD21" i="11"/>
  <c r="Z21" i="11"/>
  <c r="J21" i="11"/>
  <c r="AL21" i="11" s="1"/>
  <c r="AU20" i="11" s="1"/>
  <c r="I21" i="11"/>
  <c r="I20" i="11" s="1"/>
  <c r="H21" i="11"/>
  <c r="AT20" i="11"/>
  <c r="H20" i="11"/>
  <c r="BJ19" i="11"/>
  <c r="BF19" i="11"/>
  <c r="BD19" i="11"/>
  <c r="AW19" i="11"/>
  <c r="BC19" i="11" s="1"/>
  <c r="AP19" i="11"/>
  <c r="AX19" i="11" s="1"/>
  <c r="AV19" i="11" s="1"/>
  <c r="AO19" i="11"/>
  <c r="BH19" i="11" s="1"/>
  <c r="AB19" i="11" s="1"/>
  <c r="AL19" i="11"/>
  <c r="AK19" i="11"/>
  <c r="AJ19" i="11"/>
  <c r="AH19" i="11"/>
  <c r="AG19" i="11"/>
  <c r="AF19" i="11"/>
  <c r="AE19" i="11"/>
  <c r="AD19" i="11"/>
  <c r="Z19" i="11"/>
  <c r="J19" i="11"/>
  <c r="I19" i="11"/>
  <c r="H19" i="11"/>
  <c r="H17" i="11" s="1"/>
  <c r="BJ18" i="11"/>
  <c r="BF18" i="11"/>
  <c r="BD18" i="11"/>
  <c r="AX18" i="11"/>
  <c r="AW18" i="11"/>
  <c r="BC18" i="11" s="1"/>
  <c r="AP18" i="11"/>
  <c r="BI18" i="11" s="1"/>
  <c r="AC18" i="11" s="1"/>
  <c r="AO18" i="11"/>
  <c r="BH18" i="11" s="1"/>
  <c r="AB18" i="11" s="1"/>
  <c r="AK18" i="11"/>
  <c r="AJ18" i="11"/>
  <c r="AS17" i="11" s="1"/>
  <c r="AH18" i="11"/>
  <c r="AG18" i="11"/>
  <c r="AF18" i="11"/>
  <c r="AE18" i="11"/>
  <c r="AD18" i="11"/>
  <c r="Z18" i="11"/>
  <c r="J18" i="11"/>
  <c r="AL18" i="11" s="1"/>
  <c r="AU17" i="11" s="1"/>
  <c r="I18" i="11"/>
  <c r="I17" i="11" s="1"/>
  <c r="H18" i="11"/>
  <c r="AT17" i="11"/>
  <c r="BJ16" i="11"/>
  <c r="BF16" i="11"/>
  <c r="BD16" i="11"/>
  <c r="AW16" i="11"/>
  <c r="AP16" i="11"/>
  <c r="AX16" i="11" s="1"/>
  <c r="AV16" i="11" s="1"/>
  <c r="AO16" i="11"/>
  <c r="BH16" i="11" s="1"/>
  <c r="AB16" i="11" s="1"/>
  <c r="AL16" i="11"/>
  <c r="AK16" i="11"/>
  <c r="AJ16" i="11"/>
  <c r="AH16" i="11"/>
  <c r="AG16" i="11"/>
  <c r="AF16" i="11"/>
  <c r="AE16" i="11"/>
  <c r="AD16" i="11"/>
  <c r="Z16" i="11"/>
  <c r="J16" i="11"/>
  <c r="J15" i="11" s="1"/>
  <c r="I16" i="11"/>
  <c r="I15" i="11" s="1"/>
  <c r="H16" i="11"/>
  <c r="H15" i="11" s="1"/>
  <c r="AU15" i="11"/>
  <c r="AT15" i="11"/>
  <c r="AS15" i="11"/>
  <c r="BJ14" i="11"/>
  <c r="BF14" i="11"/>
  <c r="BD14" i="11"/>
  <c r="AP14" i="11"/>
  <c r="AX14" i="11" s="1"/>
  <c r="AO14" i="11"/>
  <c r="AW14" i="11" s="1"/>
  <c r="AK14" i="11"/>
  <c r="AT13" i="11" s="1"/>
  <c r="AJ14" i="11"/>
  <c r="AS13" i="11" s="1"/>
  <c r="AH14" i="11"/>
  <c r="AG14" i="11"/>
  <c r="AF14" i="11"/>
  <c r="AE14" i="11"/>
  <c r="C17" i="13" s="1"/>
  <c r="AD14" i="11"/>
  <c r="Z14" i="11"/>
  <c r="J14" i="11"/>
  <c r="AL14" i="11" s="1"/>
  <c r="AU13" i="11" s="1"/>
  <c r="H14" i="11"/>
  <c r="H13" i="11" s="1"/>
  <c r="AU1" i="11"/>
  <c r="AT1" i="11"/>
  <c r="AS1" i="11"/>
  <c r="I19" i="10"/>
  <c r="I18" i="10"/>
  <c r="I17" i="10"/>
  <c r="I16" i="10"/>
  <c r="F16" i="10"/>
  <c r="I15" i="10"/>
  <c r="F15" i="10"/>
  <c r="I14" i="10"/>
  <c r="F14" i="10"/>
  <c r="F22" i="10" s="1"/>
  <c r="I10" i="10"/>
  <c r="F10" i="10"/>
  <c r="C10" i="10"/>
  <c r="F8" i="10"/>
  <c r="C8" i="10"/>
  <c r="F6" i="10"/>
  <c r="C6" i="10"/>
  <c r="F4" i="10"/>
  <c r="C4" i="10"/>
  <c r="F2" i="10"/>
  <c r="C2" i="10"/>
  <c r="F8" i="9"/>
  <c r="C8" i="9"/>
  <c r="F6" i="9"/>
  <c r="C6" i="9"/>
  <c r="F4" i="9"/>
  <c r="C4" i="9"/>
  <c r="F2" i="9"/>
  <c r="C2" i="9"/>
  <c r="BR124" i="8"/>
  <c r="BJ124" i="8"/>
  <c r="BF124" i="8"/>
  <c r="BD124" i="8"/>
  <c r="AW124" i="8"/>
  <c r="AP124" i="8"/>
  <c r="BI124" i="8" s="1"/>
  <c r="AO124" i="8"/>
  <c r="BH124" i="8" s="1"/>
  <c r="AK124" i="8"/>
  <c r="AT123" i="8" s="1"/>
  <c r="AJ124" i="8"/>
  <c r="AS123" i="8" s="1"/>
  <c r="AH124" i="8"/>
  <c r="AG124" i="8"/>
  <c r="AF124" i="8"/>
  <c r="AE124" i="8"/>
  <c r="AD124" i="8"/>
  <c r="AC124" i="8"/>
  <c r="AB124" i="8"/>
  <c r="Z124" i="8"/>
  <c r="J124" i="8"/>
  <c r="AL124" i="8" s="1"/>
  <c r="AU123" i="8" s="1"/>
  <c r="I124" i="8"/>
  <c r="H124" i="8"/>
  <c r="H123" i="8" s="1"/>
  <c r="J123" i="8"/>
  <c r="I123" i="8"/>
  <c r="BO122" i="8"/>
  <c r="BJ122" i="8"/>
  <c r="BF122" i="8"/>
  <c r="BD122" i="8"/>
  <c r="AP122" i="8"/>
  <c r="BI122" i="8" s="1"/>
  <c r="AO122" i="8"/>
  <c r="AW122" i="8" s="1"/>
  <c r="AK122" i="8"/>
  <c r="AT121" i="8" s="1"/>
  <c r="AJ122" i="8"/>
  <c r="AS121" i="8" s="1"/>
  <c r="AH122" i="8"/>
  <c r="AG122" i="8"/>
  <c r="AF122" i="8"/>
  <c r="AE122" i="8"/>
  <c r="AD122" i="8"/>
  <c r="AC122" i="8"/>
  <c r="AB122" i="8"/>
  <c r="Z122" i="8"/>
  <c r="J122" i="8"/>
  <c r="AL122" i="8" s="1"/>
  <c r="AU121" i="8" s="1"/>
  <c r="I122" i="8"/>
  <c r="H122" i="8"/>
  <c r="H121" i="8" s="1"/>
  <c r="J121" i="8"/>
  <c r="I121" i="8"/>
  <c r="BM120" i="8"/>
  <c r="BJ120" i="8"/>
  <c r="BF120" i="8"/>
  <c r="BD120" i="8"/>
  <c r="AP120" i="8"/>
  <c r="I120" i="8" s="1"/>
  <c r="AO120" i="8"/>
  <c r="AW120" i="8" s="1"/>
  <c r="AK120" i="8"/>
  <c r="AT119" i="8" s="1"/>
  <c r="AJ120" i="8"/>
  <c r="AS119" i="8" s="1"/>
  <c r="AH120" i="8"/>
  <c r="AG120" i="8"/>
  <c r="AF120" i="8"/>
  <c r="AE120" i="8"/>
  <c r="AD120" i="8"/>
  <c r="AC120" i="8"/>
  <c r="AB120" i="8"/>
  <c r="Z120" i="8"/>
  <c r="J120" i="8"/>
  <c r="AL120" i="8" s="1"/>
  <c r="AU119" i="8" s="1"/>
  <c r="H120" i="8"/>
  <c r="H119" i="8" s="1"/>
  <c r="J119" i="8"/>
  <c r="J118" i="8" s="1"/>
  <c r="I119" i="8"/>
  <c r="I118" i="8" s="1"/>
  <c r="BJ117" i="8"/>
  <c r="BF117" i="8"/>
  <c r="BD117" i="8"/>
  <c r="AX117" i="8"/>
  <c r="AP117" i="8"/>
  <c r="BI117" i="8" s="1"/>
  <c r="AO117" i="8"/>
  <c r="AW117" i="8" s="1"/>
  <c r="AL117" i="8"/>
  <c r="AK117" i="8"/>
  <c r="AJ117" i="8"/>
  <c r="AH117" i="8"/>
  <c r="AG117" i="8"/>
  <c r="AF117" i="8"/>
  <c r="AE117" i="8"/>
  <c r="AD117" i="8"/>
  <c r="AC117" i="8"/>
  <c r="AB117" i="8"/>
  <c r="Z117" i="8"/>
  <c r="J117" i="8"/>
  <c r="I117" i="8"/>
  <c r="BJ116" i="8"/>
  <c r="BF116" i="8"/>
  <c r="BD116" i="8"/>
  <c r="AP116" i="8"/>
  <c r="AX116" i="8" s="1"/>
  <c r="AO116" i="8"/>
  <c r="BH116" i="8" s="1"/>
  <c r="AK116" i="8"/>
  <c r="AJ116" i="8"/>
  <c r="AH116" i="8"/>
  <c r="AG116" i="8"/>
  <c r="AF116" i="8"/>
  <c r="AE116" i="8"/>
  <c r="AD116" i="8"/>
  <c r="AC116" i="8"/>
  <c r="AB116" i="8"/>
  <c r="Z116" i="8"/>
  <c r="J116" i="8"/>
  <c r="AL116" i="8" s="1"/>
  <c r="BJ115" i="8"/>
  <c r="AH115" i="8" s="1"/>
  <c r="BF115" i="8"/>
  <c r="BD115" i="8"/>
  <c r="AP115" i="8"/>
  <c r="BI115" i="8" s="1"/>
  <c r="AO115" i="8"/>
  <c r="AW115" i="8" s="1"/>
  <c r="AK115" i="8"/>
  <c r="AJ115" i="8"/>
  <c r="AG115" i="8"/>
  <c r="AF115" i="8"/>
  <c r="AE115" i="8"/>
  <c r="AD115" i="8"/>
  <c r="AC115" i="8"/>
  <c r="AB115" i="8"/>
  <c r="Z115" i="8"/>
  <c r="J115" i="8"/>
  <c r="AL115" i="8" s="1"/>
  <c r="H115" i="8"/>
  <c r="BJ114" i="8"/>
  <c r="AH114" i="8" s="1"/>
  <c r="BF114" i="8"/>
  <c r="BD114" i="8"/>
  <c r="AW114" i="8"/>
  <c r="BC114" i="8" s="1"/>
  <c r="AV114" i="8"/>
  <c r="AP114" i="8"/>
  <c r="AX114" i="8" s="1"/>
  <c r="AO114" i="8"/>
  <c r="BH114" i="8" s="1"/>
  <c r="AL114" i="8"/>
  <c r="AK114" i="8"/>
  <c r="AJ114" i="8"/>
  <c r="AG114" i="8"/>
  <c r="AF114" i="8"/>
  <c r="AE114" i="8"/>
  <c r="AD114" i="8"/>
  <c r="AC114" i="8"/>
  <c r="AB114" i="8"/>
  <c r="Z114" i="8"/>
  <c r="J114" i="8"/>
  <c r="I114" i="8"/>
  <c r="H114" i="8"/>
  <c r="BJ113" i="8"/>
  <c r="BF113" i="8"/>
  <c r="BD113" i="8"/>
  <c r="AX113" i="8"/>
  <c r="AW113" i="8"/>
  <c r="AP113" i="8"/>
  <c r="BI113" i="8" s="1"/>
  <c r="AO113" i="8"/>
  <c r="BH113" i="8" s="1"/>
  <c r="AK113" i="8"/>
  <c r="AJ113" i="8"/>
  <c r="AH113" i="8"/>
  <c r="AG113" i="8"/>
  <c r="AF113" i="8"/>
  <c r="AE113" i="8"/>
  <c r="AD113" i="8"/>
  <c r="AC113" i="8"/>
  <c r="AB113" i="8"/>
  <c r="Z113" i="8"/>
  <c r="J113" i="8"/>
  <c r="AL113" i="8" s="1"/>
  <c r="I113" i="8"/>
  <c r="BJ112" i="8"/>
  <c r="BF112" i="8"/>
  <c r="BD112" i="8"/>
  <c r="AX112" i="8"/>
  <c r="AP112" i="8"/>
  <c r="BI112" i="8" s="1"/>
  <c r="AO112" i="8"/>
  <c r="H112" i="8" s="1"/>
  <c r="AK112" i="8"/>
  <c r="AJ112" i="8"/>
  <c r="AH112" i="8"/>
  <c r="AG112" i="8"/>
  <c r="AF112" i="8"/>
  <c r="AE112" i="8"/>
  <c r="AD112" i="8"/>
  <c r="AC112" i="8"/>
  <c r="AB112" i="8"/>
  <c r="Z112" i="8"/>
  <c r="J112" i="8"/>
  <c r="AL112" i="8" s="1"/>
  <c r="BJ111" i="8"/>
  <c r="AH111" i="8" s="1"/>
  <c r="BF111" i="8"/>
  <c r="BD111" i="8"/>
  <c r="AP111" i="8"/>
  <c r="I111" i="8" s="1"/>
  <c r="AO111" i="8"/>
  <c r="AW111" i="8" s="1"/>
  <c r="AK111" i="8"/>
  <c r="AJ111" i="8"/>
  <c r="AG111" i="8"/>
  <c r="AF111" i="8"/>
  <c r="AE111" i="8"/>
  <c r="AD111" i="8"/>
  <c r="AC111" i="8"/>
  <c r="AB111" i="8"/>
  <c r="Z111" i="8"/>
  <c r="J111" i="8"/>
  <c r="AL111" i="8" s="1"/>
  <c r="H111" i="8"/>
  <c r="BJ110" i="8"/>
  <c r="AH110" i="8" s="1"/>
  <c r="BF110" i="8"/>
  <c r="BD110" i="8"/>
  <c r="AW110" i="8"/>
  <c r="AV110" i="8" s="1"/>
  <c r="AP110" i="8"/>
  <c r="AX110" i="8" s="1"/>
  <c r="AO110" i="8"/>
  <c r="BH110" i="8" s="1"/>
  <c r="AL110" i="8"/>
  <c r="AK110" i="8"/>
  <c r="AJ110" i="8"/>
  <c r="AG110" i="8"/>
  <c r="AF110" i="8"/>
  <c r="AE110" i="8"/>
  <c r="AD110" i="8"/>
  <c r="AC110" i="8"/>
  <c r="AB110" i="8"/>
  <c r="Z110" i="8"/>
  <c r="J110" i="8"/>
  <c r="I110" i="8"/>
  <c r="H110" i="8"/>
  <c r="BJ109" i="8"/>
  <c r="BF109" i="8"/>
  <c r="BD109" i="8"/>
  <c r="AX109" i="8"/>
  <c r="AP109" i="8"/>
  <c r="BI109" i="8" s="1"/>
  <c r="AO109" i="8"/>
  <c r="AW109" i="8" s="1"/>
  <c r="AL109" i="8"/>
  <c r="AK109" i="8"/>
  <c r="AJ109" i="8"/>
  <c r="AH109" i="8"/>
  <c r="AG109" i="8"/>
  <c r="AF109" i="8"/>
  <c r="AE109" i="8"/>
  <c r="AD109" i="8"/>
  <c r="AC109" i="8"/>
  <c r="AB109" i="8"/>
  <c r="Z109" i="8"/>
  <c r="J109" i="8"/>
  <c r="I109" i="8"/>
  <c r="BJ108" i="8"/>
  <c r="BF108" i="8"/>
  <c r="BD108" i="8"/>
  <c r="AP108" i="8"/>
  <c r="AX108" i="8" s="1"/>
  <c r="AO108" i="8"/>
  <c r="BH108" i="8" s="1"/>
  <c r="AK108" i="8"/>
  <c r="AJ108" i="8"/>
  <c r="AH108" i="8"/>
  <c r="AG108" i="8"/>
  <c r="AF108" i="8"/>
  <c r="AE108" i="8"/>
  <c r="AD108" i="8"/>
  <c r="AC108" i="8"/>
  <c r="AB108" i="8"/>
  <c r="Z108" i="8"/>
  <c r="J108" i="8"/>
  <c r="AL108" i="8" s="1"/>
  <c r="BJ107" i="8"/>
  <c r="AH107" i="8" s="1"/>
  <c r="BF107" i="8"/>
  <c r="BD107" i="8"/>
  <c r="AP107" i="8"/>
  <c r="AO107" i="8"/>
  <c r="AW107" i="8" s="1"/>
  <c r="AK107" i="8"/>
  <c r="AJ107" i="8"/>
  <c r="AG107" i="8"/>
  <c r="AF107" i="8"/>
  <c r="AE107" i="8"/>
  <c r="AD107" i="8"/>
  <c r="AC107" i="8"/>
  <c r="AB107" i="8"/>
  <c r="Z107" i="8"/>
  <c r="J107" i="8"/>
  <c r="AL107" i="8" s="1"/>
  <c r="H107" i="8"/>
  <c r="BJ106" i="8"/>
  <c r="AH106" i="8" s="1"/>
  <c r="BF106" i="8"/>
  <c r="BD106" i="8"/>
  <c r="AW106" i="8"/>
  <c r="BC106" i="8" s="1"/>
  <c r="AP106" i="8"/>
  <c r="AX106" i="8" s="1"/>
  <c r="AV106" i="8" s="1"/>
  <c r="AO106" i="8"/>
  <c r="BH106" i="8" s="1"/>
  <c r="AL106" i="8"/>
  <c r="AK106" i="8"/>
  <c r="AJ106" i="8"/>
  <c r="AG106" i="8"/>
  <c r="AF106" i="8"/>
  <c r="AE106" i="8"/>
  <c r="AD106" i="8"/>
  <c r="AC106" i="8"/>
  <c r="AB106" i="8"/>
  <c r="Z106" i="8"/>
  <c r="J106" i="8"/>
  <c r="I106" i="8"/>
  <c r="H106" i="8"/>
  <c r="BJ105" i="8"/>
  <c r="BF105" i="8"/>
  <c r="BD105" i="8"/>
  <c r="AX105" i="8"/>
  <c r="AW105" i="8"/>
  <c r="AP105" i="8"/>
  <c r="BI105" i="8" s="1"/>
  <c r="AO105" i="8"/>
  <c r="BH105" i="8" s="1"/>
  <c r="AL105" i="8"/>
  <c r="AK105" i="8"/>
  <c r="AJ105" i="8"/>
  <c r="AH105" i="8"/>
  <c r="AG105" i="8"/>
  <c r="AF105" i="8"/>
  <c r="AE105" i="8"/>
  <c r="AD105" i="8"/>
  <c r="AC105" i="8"/>
  <c r="AB105" i="8"/>
  <c r="Z105" i="8"/>
  <c r="J105" i="8"/>
  <c r="I105" i="8"/>
  <c r="BJ104" i="8"/>
  <c r="BF104" i="8"/>
  <c r="BD104" i="8"/>
  <c r="AX104" i="8"/>
  <c r="AP104" i="8"/>
  <c r="BI104" i="8" s="1"/>
  <c r="AO104" i="8"/>
  <c r="H104" i="8" s="1"/>
  <c r="AK104" i="8"/>
  <c r="AJ104" i="8"/>
  <c r="AH104" i="8"/>
  <c r="AG104" i="8"/>
  <c r="AF104" i="8"/>
  <c r="AE104" i="8"/>
  <c r="AD104" i="8"/>
  <c r="AC104" i="8"/>
  <c r="AB104" i="8"/>
  <c r="Z104" i="8"/>
  <c r="J104" i="8"/>
  <c r="AL104" i="8" s="1"/>
  <c r="BJ103" i="8"/>
  <c r="AH103" i="8" s="1"/>
  <c r="BF103" i="8"/>
  <c r="BD103" i="8"/>
  <c r="AP103" i="8"/>
  <c r="I103" i="8" s="1"/>
  <c r="AO103" i="8"/>
  <c r="AW103" i="8" s="1"/>
  <c r="AK103" i="8"/>
  <c r="AJ103" i="8"/>
  <c r="AG103" i="8"/>
  <c r="AF103" i="8"/>
  <c r="AE103" i="8"/>
  <c r="AD103" i="8"/>
  <c r="AC103" i="8"/>
  <c r="AB103" i="8"/>
  <c r="Z103" i="8"/>
  <c r="J103" i="8"/>
  <c r="AL103" i="8" s="1"/>
  <c r="H103" i="8"/>
  <c r="BJ102" i="8"/>
  <c r="AH102" i="8" s="1"/>
  <c r="BF102" i="8"/>
  <c r="BD102" i="8"/>
  <c r="AW102" i="8"/>
  <c r="AP102" i="8"/>
  <c r="AX102" i="8" s="1"/>
  <c r="AV102" i="8" s="1"/>
  <c r="AO102" i="8"/>
  <c r="BH102" i="8" s="1"/>
  <c r="AL102" i="8"/>
  <c r="AK102" i="8"/>
  <c r="AJ102" i="8"/>
  <c r="AG102" i="8"/>
  <c r="AF102" i="8"/>
  <c r="AE102" i="8"/>
  <c r="AD102" i="8"/>
  <c r="AC102" i="8"/>
  <c r="AB102" i="8"/>
  <c r="Z102" i="8"/>
  <c r="J102" i="8"/>
  <c r="I102" i="8"/>
  <c r="H102" i="8"/>
  <c r="BJ101" i="8"/>
  <c r="BF101" i="8"/>
  <c r="BD101" i="8"/>
  <c r="AX101" i="8"/>
  <c r="AW101" i="8"/>
  <c r="BC101" i="8" s="1"/>
  <c r="AP101" i="8"/>
  <c r="BI101" i="8" s="1"/>
  <c r="AO101" i="8"/>
  <c r="H101" i="8" s="1"/>
  <c r="AL101" i="8"/>
  <c r="AK101" i="8"/>
  <c r="AJ101" i="8"/>
  <c r="AH101" i="8"/>
  <c r="AG101" i="8"/>
  <c r="AF101" i="8"/>
  <c r="AE101" i="8"/>
  <c r="AD101" i="8"/>
  <c r="AC101" i="8"/>
  <c r="AB101" i="8"/>
  <c r="Z101" i="8"/>
  <c r="J101" i="8"/>
  <c r="I101" i="8"/>
  <c r="BJ100" i="8"/>
  <c r="BH100" i="8"/>
  <c r="BF100" i="8"/>
  <c r="BD100" i="8"/>
  <c r="AX100" i="8"/>
  <c r="AP100" i="8"/>
  <c r="I100" i="8" s="1"/>
  <c r="AO100" i="8"/>
  <c r="AK100" i="8"/>
  <c r="AJ100" i="8"/>
  <c r="AH100" i="8"/>
  <c r="AG100" i="8"/>
  <c r="AF100" i="8"/>
  <c r="AE100" i="8"/>
  <c r="AD100" i="8"/>
  <c r="AC100" i="8"/>
  <c r="AB100" i="8"/>
  <c r="Z100" i="8"/>
  <c r="J100" i="8"/>
  <c r="AL100" i="8" s="1"/>
  <c r="BJ99" i="8"/>
  <c r="AH99" i="8" s="1"/>
  <c r="BF99" i="8"/>
  <c r="BD99" i="8"/>
  <c r="AP99" i="8"/>
  <c r="AO99" i="8"/>
  <c r="AW99" i="8" s="1"/>
  <c r="AK99" i="8"/>
  <c r="AJ99" i="8"/>
  <c r="AG99" i="8"/>
  <c r="AF99" i="8"/>
  <c r="AE99" i="8"/>
  <c r="AD99" i="8"/>
  <c r="AC99" i="8"/>
  <c r="AB99" i="8"/>
  <c r="Z99" i="8"/>
  <c r="J99" i="8"/>
  <c r="AL99" i="8" s="1"/>
  <c r="H99" i="8"/>
  <c r="BJ98" i="8"/>
  <c r="AH98" i="8" s="1"/>
  <c r="BF98" i="8"/>
  <c r="BD98" i="8"/>
  <c r="AW98" i="8"/>
  <c r="AP98" i="8"/>
  <c r="AX98" i="8" s="1"/>
  <c r="AV98" i="8" s="1"/>
  <c r="AO98" i="8"/>
  <c r="BH98" i="8" s="1"/>
  <c r="AL98" i="8"/>
  <c r="AK98" i="8"/>
  <c r="AJ98" i="8"/>
  <c r="AG98" i="8"/>
  <c r="AF98" i="8"/>
  <c r="AE98" i="8"/>
  <c r="AD98" i="8"/>
  <c r="AC98" i="8"/>
  <c r="AB98" i="8"/>
  <c r="Z98" i="8"/>
  <c r="J98" i="8"/>
  <c r="I98" i="8"/>
  <c r="H98" i="8"/>
  <c r="BJ97" i="8"/>
  <c r="BF97" i="8"/>
  <c r="BD97" i="8"/>
  <c r="AX97" i="8"/>
  <c r="AW97" i="8"/>
  <c r="AP97" i="8"/>
  <c r="BI97" i="8" s="1"/>
  <c r="AO97" i="8"/>
  <c r="BH97" i="8" s="1"/>
  <c r="AL97" i="8"/>
  <c r="AK97" i="8"/>
  <c r="AJ97" i="8"/>
  <c r="AH97" i="8"/>
  <c r="AG97" i="8"/>
  <c r="AF97" i="8"/>
  <c r="AE97" i="8"/>
  <c r="AD97" i="8"/>
  <c r="AC97" i="8"/>
  <c r="AB97" i="8"/>
  <c r="Z97" i="8"/>
  <c r="J97" i="8"/>
  <c r="I97" i="8"/>
  <c r="BJ96" i="8"/>
  <c r="BF96" i="8"/>
  <c r="BD96" i="8"/>
  <c r="AX96" i="8"/>
  <c r="AP96" i="8"/>
  <c r="BI96" i="8" s="1"/>
  <c r="AO96" i="8"/>
  <c r="H96" i="8" s="1"/>
  <c r="AK96" i="8"/>
  <c r="AJ96" i="8"/>
  <c r="AH96" i="8"/>
  <c r="AG96" i="8"/>
  <c r="AF96" i="8"/>
  <c r="AE96" i="8"/>
  <c r="AD96" i="8"/>
  <c r="AC96" i="8"/>
  <c r="AB96" i="8"/>
  <c r="Z96" i="8"/>
  <c r="J96" i="8"/>
  <c r="BJ95" i="8"/>
  <c r="AH95" i="8" s="1"/>
  <c r="BF95" i="8"/>
  <c r="BD95" i="8"/>
  <c r="AP95" i="8"/>
  <c r="I95" i="8" s="1"/>
  <c r="AO95" i="8"/>
  <c r="AW95" i="8" s="1"/>
  <c r="AK95" i="8"/>
  <c r="AJ95" i="8"/>
  <c r="AG95" i="8"/>
  <c r="AF95" i="8"/>
  <c r="AE95" i="8"/>
  <c r="AD95" i="8"/>
  <c r="AC95" i="8"/>
  <c r="AB95" i="8"/>
  <c r="Z95" i="8"/>
  <c r="J95" i="8"/>
  <c r="AL95" i="8" s="1"/>
  <c r="H95" i="8"/>
  <c r="BJ93" i="8"/>
  <c r="BF93" i="8"/>
  <c r="BD93" i="8"/>
  <c r="AX93" i="8"/>
  <c r="AP93" i="8"/>
  <c r="BI93" i="8" s="1"/>
  <c r="AO93" i="8"/>
  <c r="H93" i="8" s="1"/>
  <c r="AK93" i="8"/>
  <c r="AJ93" i="8"/>
  <c r="AH93" i="8"/>
  <c r="AG93" i="8"/>
  <c r="AF93" i="8"/>
  <c r="AE93" i="8"/>
  <c r="AD93" i="8"/>
  <c r="AC93" i="8"/>
  <c r="AB93" i="8"/>
  <c r="Z93" i="8"/>
  <c r="J93" i="8"/>
  <c r="AL93" i="8" s="1"/>
  <c r="BJ92" i="8"/>
  <c r="BF92" i="8"/>
  <c r="BD92" i="8"/>
  <c r="AP92" i="8"/>
  <c r="I92" i="8" s="1"/>
  <c r="AO92" i="8"/>
  <c r="AW92" i="8" s="1"/>
  <c r="AK92" i="8"/>
  <c r="AJ92" i="8"/>
  <c r="AH92" i="8"/>
  <c r="AG92" i="8"/>
  <c r="AF92" i="8"/>
  <c r="AE92" i="8"/>
  <c r="AD92" i="8"/>
  <c r="AC92" i="8"/>
  <c r="AB92" i="8"/>
  <c r="Z92" i="8"/>
  <c r="J92" i="8"/>
  <c r="AL92" i="8" s="1"/>
  <c r="H92" i="8"/>
  <c r="BJ91" i="8"/>
  <c r="Z91" i="8" s="1"/>
  <c r="BF91" i="8"/>
  <c r="BD91" i="8"/>
  <c r="AW91" i="8"/>
  <c r="AP91" i="8"/>
  <c r="AX91" i="8" s="1"/>
  <c r="AV91" i="8" s="1"/>
  <c r="AO91" i="8"/>
  <c r="BH91" i="8" s="1"/>
  <c r="AL91" i="8"/>
  <c r="AK91" i="8"/>
  <c r="AJ91" i="8"/>
  <c r="AH91" i="8"/>
  <c r="AG91" i="8"/>
  <c r="AF91" i="8"/>
  <c r="AE91" i="8"/>
  <c r="AD91" i="8"/>
  <c r="AC91" i="8"/>
  <c r="AB91" i="8"/>
  <c r="J91" i="8"/>
  <c r="I91" i="8"/>
  <c r="H91" i="8"/>
  <c r="BJ90" i="8"/>
  <c r="BF90" i="8"/>
  <c r="BD90" i="8"/>
  <c r="AX90" i="8"/>
  <c r="AW90" i="8"/>
  <c r="BC90" i="8" s="1"/>
  <c r="AP90" i="8"/>
  <c r="BI90" i="8" s="1"/>
  <c r="AO90" i="8"/>
  <c r="H90" i="8" s="1"/>
  <c r="AL90" i="8"/>
  <c r="AK90" i="8"/>
  <c r="AJ90" i="8"/>
  <c r="AH90" i="8"/>
  <c r="AG90" i="8"/>
  <c r="AF90" i="8"/>
  <c r="AE90" i="8"/>
  <c r="AD90" i="8"/>
  <c r="AC90" i="8"/>
  <c r="AB90" i="8"/>
  <c r="Z90" i="8"/>
  <c r="J90" i="8"/>
  <c r="I90" i="8"/>
  <c r="BJ89" i="8"/>
  <c r="BH89" i="8"/>
  <c r="BF89" i="8"/>
  <c r="BD89" i="8"/>
  <c r="AX89" i="8"/>
  <c r="AP89" i="8"/>
  <c r="I89" i="8" s="1"/>
  <c r="AO89" i="8"/>
  <c r="AK89" i="8"/>
  <c r="AJ89" i="8"/>
  <c r="AH89" i="8"/>
  <c r="AG89" i="8"/>
  <c r="AF89" i="8"/>
  <c r="AE89" i="8"/>
  <c r="AD89" i="8"/>
  <c r="AC89" i="8"/>
  <c r="AB89" i="8"/>
  <c r="Z89" i="8"/>
  <c r="J89" i="8"/>
  <c r="J87" i="8" s="1"/>
  <c r="BJ88" i="8"/>
  <c r="BF88" i="8"/>
  <c r="BD88" i="8"/>
  <c r="AP88" i="8"/>
  <c r="AO88" i="8"/>
  <c r="AW88" i="8" s="1"/>
  <c r="AK88" i="8"/>
  <c r="AT87" i="8" s="1"/>
  <c r="AJ88" i="8"/>
  <c r="AS87" i="8" s="1"/>
  <c r="AH88" i="8"/>
  <c r="AG88" i="8"/>
  <c r="AF88" i="8"/>
  <c r="AE88" i="8"/>
  <c r="AD88" i="8"/>
  <c r="AC88" i="8"/>
  <c r="AB88" i="8"/>
  <c r="Z88" i="8"/>
  <c r="J88" i="8"/>
  <c r="AL88" i="8" s="1"/>
  <c r="H88" i="8"/>
  <c r="BJ86" i="8"/>
  <c r="BH86" i="8"/>
  <c r="BF86" i="8"/>
  <c r="BD86" i="8"/>
  <c r="AX86" i="8"/>
  <c r="AP86" i="8"/>
  <c r="I86" i="8" s="1"/>
  <c r="I85" i="8" s="1"/>
  <c r="AO86" i="8"/>
  <c r="AK86" i="8"/>
  <c r="AJ86" i="8"/>
  <c r="AS85" i="8" s="1"/>
  <c r="AH86" i="8"/>
  <c r="AG86" i="8"/>
  <c r="AF86" i="8"/>
  <c r="AE86" i="8"/>
  <c r="AD86" i="8"/>
  <c r="AC86" i="8"/>
  <c r="AB86" i="8"/>
  <c r="Z86" i="8"/>
  <c r="J86" i="8"/>
  <c r="J85" i="8" s="1"/>
  <c r="AT85" i="8"/>
  <c r="BJ84" i="8"/>
  <c r="BF84" i="8"/>
  <c r="BD84" i="8"/>
  <c r="AX84" i="8"/>
  <c r="AW84" i="8"/>
  <c r="BC84" i="8" s="1"/>
  <c r="AP84" i="8"/>
  <c r="BI84" i="8" s="1"/>
  <c r="AO84" i="8"/>
  <c r="H84" i="8" s="1"/>
  <c r="H83" i="8" s="1"/>
  <c r="AL84" i="8"/>
  <c r="AU83" i="8" s="1"/>
  <c r="AK84" i="8"/>
  <c r="AJ84" i="8"/>
  <c r="AH84" i="8"/>
  <c r="AG84" i="8"/>
  <c r="AF84" i="8"/>
  <c r="AE84" i="8"/>
  <c r="AD84" i="8"/>
  <c r="AC84" i="8"/>
  <c r="Z84" i="8"/>
  <c r="J84" i="8"/>
  <c r="J83" i="8" s="1"/>
  <c r="I84" i="8"/>
  <c r="I83" i="8" s="1"/>
  <c r="AT83" i="8"/>
  <c r="AS83" i="8"/>
  <c r="BJ82" i="8"/>
  <c r="BF82" i="8"/>
  <c r="BD82" i="8"/>
  <c r="AX82" i="8"/>
  <c r="AW82" i="8"/>
  <c r="BC82" i="8" s="1"/>
  <c r="AV82" i="8"/>
  <c r="AP82" i="8"/>
  <c r="BI82" i="8" s="1"/>
  <c r="AC82" i="8" s="1"/>
  <c r="AO82" i="8"/>
  <c r="BH82" i="8" s="1"/>
  <c r="AL82" i="8"/>
  <c r="AU81" i="8" s="1"/>
  <c r="AK82" i="8"/>
  <c r="AT81" i="8" s="1"/>
  <c r="AJ82" i="8"/>
  <c r="AH82" i="8"/>
  <c r="AG82" i="8"/>
  <c r="AF82" i="8"/>
  <c r="AE82" i="8"/>
  <c r="AD82" i="8"/>
  <c r="AB82" i="8"/>
  <c r="Z82" i="8"/>
  <c r="J82" i="8"/>
  <c r="I82" i="8"/>
  <c r="I81" i="8" s="1"/>
  <c r="H82" i="8"/>
  <c r="H81" i="8" s="1"/>
  <c r="AS81" i="8"/>
  <c r="J81" i="8"/>
  <c r="BJ80" i="8"/>
  <c r="BF80" i="8"/>
  <c r="BD80" i="8"/>
  <c r="AP80" i="8"/>
  <c r="I80" i="8" s="1"/>
  <c r="AO80" i="8"/>
  <c r="AW80" i="8" s="1"/>
  <c r="AK80" i="8"/>
  <c r="AJ80" i="8"/>
  <c r="AH80" i="8"/>
  <c r="AG80" i="8"/>
  <c r="AF80" i="8"/>
  <c r="AE80" i="8"/>
  <c r="AD80" i="8"/>
  <c r="Z80" i="8"/>
  <c r="J80" i="8"/>
  <c r="AL80" i="8" s="1"/>
  <c r="H80" i="8"/>
  <c r="BJ79" i="8"/>
  <c r="BF79" i="8"/>
  <c r="BD79" i="8"/>
  <c r="AW79" i="8"/>
  <c r="AP79" i="8"/>
  <c r="AX79" i="8" s="1"/>
  <c r="AV79" i="8" s="1"/>
  <c r="AO79" i="8"/>
  <c r="BH79" i="8" s="1"/>
  <c r="AL79" i="8"/>
  <c r="AK79" i="8"/>
  <c r="AJ79" i="8"/>
  <c r="AH79" i="8"/>
  <c r="AG79" i="8"/>
  <c r="AF79" i="8"/>
  <c r="AE79" i="8"/>
  <c r="AD79" i="8"/>
  <c r="AB79" i="8"/>
  <c r="Z79" i="8"/>
  <c r="J79" i="8"/>
  <c r="I79" i="8"/>
  <c r="H79" i="8"/>
  <c r="BJ78" i="8"/>
  <c r="BF78" i="8"/>
  <c r="BD78" i="8"/>
  <c r="AX78" i="8"/>
  <c r="AW78" i="8"/>
  <c r="AP78" i="8"/>
  <c r="BI78" i="8" s="1"/>
  <c r="AO78" i="8"/>
  <c r="H78" i="8" s="1"/>
  <c r="AL78" i="8"/>
  <c r="AK78" i="8"/>
  <c r="AJ78" i="8"/>
  <c r="AH78" i="8"/>
  <c r="AG78" i="8"/>
  <c r="AF78" i="8"/>
  <c r="AE78" i="8"/>
  <c r="AD78" i="8"/>
  <c r="AC78" i="8"/>
  <c r="Z78" i="8"/>
  <c r="J78" i="8"/>
  <c r="I78" i="8"/>
  <c r="BJ77" i="8"/>
  <c r="BF77" i="8"/>
  <c r="BD77" i="8"/>
  <c r="AX77" i="8"/>
  <c r="AP77" i="8"/>
  <c r="I77" i="8" s="1"/>
  <c r="AO77" i="8"/>
  <c r="BH77" i="8" s="1"/>
  <c r="AB77" i="8" s="1"/>
  <c r="AK77" i="8"/>
  <c r="AJ77" i="8"/>
  <c r="AH77" i="8"/>
  <c r="AG77" i="8"/>
  <c r="AF77" i="8"/>
  <c r="AE77" i="8"/>
  <c r="AD77" i="8"/>
  <c r="Z77" i="8"/>
  <c r="J77" i="8"/>
  <c r="AL77" i="8" s="1"/>
  <c r="BJ76" i="8"/>
  <c r="BF76" i="8"/>
  <c r="BD76" i="8"/>
  <c r="AP76" i="8"/>
  <c r="BI76" i="8" s="1"/>
  <c r="AC76" i="8" s="1"/>
  <c r="AO76" i="8"/>
  <c r="AW76" i="8" s="1"/>
  <c r="AK76" i="8"/>
  <c r="AJ76" i="8"/>
  <c r="AH76" i="8"/>
  <c r="AG76" i="8"/>
  <c r="AF76" i="8"/>
  <c r="AE76" i="8"/>
  <c r="AD76" i="8"/>
  <c r="Z76" i="8"/>
  <c r="J76" i="8"/>
  <c r="AL76" i="8" s="1"/>
  <c r="H76" i="8"/>
  <c r="BJ75" i="8"/>
  <c r="BF75" i="8"/>
  <c r="BD75" i="8"/>
  <c r="AW75" i="8"/>
  <c r="AP75" i="8"/>
  <c r="AX75" i="8" s="1"/>
  <c r="AV75" i="8" s="1"/>
  <c r="AO75" i="8"/>
  <c r="BH75" i="8" s="1"/>
  <c r="AL75" i="8"/>
  <c r="AK75" i="8"/>
  <c r="AJ75" i="8"/>
  <c r="AH75" i="8"/>
  <c r="AG75" i="8"/>
  <c r="AF75" i="8"/>
  <c r="AE75" i="8"/>
  <c r="AD75" i="8"/>
  <c r="AB75" i="8"/>
  <c r="Z75" i="8"/>
  <c r="J75" i="8"/>
  <c r="I75" i="8"/>
  <c r="H75" i="8"/>
  <c r="BJ74" i="8"/>
  <c r="BF74" i="8"/>
  <c r="BD74" i="8"/>
  <c r="AX74" i="8"/>
  <c r="AW74" i="8"/>
  <c r="AP74" i="8"/>
  <c r="BI74" i="8" s="1"/>
  <c r="AO74" i="8"/>
  <c r="BH74" i="8" s="1"/>
  <c r="AB74" i="8" s="1"/>
  <c r="AL74" i="8"/>
  <c r="AK74" i="8"/>
  <c r="AJ74" i="8"/>
  <c r="AH74" i="8"/>
  <c r="AG74" i="8"/>
  <c r="AF74" i="8"/>
  <c r="AE74" i="8"/>
  <c r="AD74" i="8"/>
  <c r="AC74" i="8"/>
  <c r="Z74" i="8"/>
  <c r="J74" i="8"/>
  <c r="I74" i="8"/>
  <c r="BJ73" i="8"/>
  <c r="BF73" i="8"/>
  <c r="BD73" i="8"/>
  <c r="AX73" i="8"/>
  <c r="AP73" i="8"/>
  <c r="BI73" i="8" s="1"/>
  <c r="AC73" i="8" s="1"/>
  <c r="AO73" i="8"/>
  <c r="BH73" i="8" s="1"/>
  <c r="AB73" i="8" s="1"/>
  <c r="AK73" i="8"/>
  <c r="AJ73" i="8"/>
  <c r="AS72" i="8" s="1"/>
  <c r="AH73" i="8"/>
  <c r="AG73" i="8"/>
  <c r="AF73" i="8"/>
  <c r="AE73" i="8"/>
  <c r="AD73" i="8"/>
  <c r="Z73" i="8"/>
  <c r="J73" i="8"/>
  <c r="AT72" i="8"/>
  <c r="BJ71" i="8"/>
  <c r="BF71" i="8"/>
  <c r="BD71" i="8"/>
  <c r="AX71" i="8"/>
  <c r="AW71" i="8"/>
  <c r="AP71" i="8"/>
  <c r="BI71" i="8" s="1"/>
  <c r="AC71" i="8" s="1"/>
  <c r="AO71" i="8"/>
  <c r="BH71" i="8" s="1"/>
  <c r="AB71" i="8" s="1"/>
  <c r="AL71" i="8"/>
  <c r="AK71" i="8"/>
  <c r="AJ71" i="8"/>
  <c r="AH71" i="8"/>
  <c r="AG71" i="8"/>
  <c r="AF71" i="8"/>
  <c r="AE71" i="8"/>
  <c r="AD71" i="8"/>
  <c r="Z71" i="8"/>
  <c r="J71" i="8"/>
  <c r="I71" i="8"/>
  <c r="BJ70" i="8"/>
  <c r="BH70" i="8"/>
  <c r="AB70" i="8" s="1"/>
  <c r="BF70" i="8"/>
  <c r="BD70" i="8"/>
  <c r="AX70" i="8"/>
  <c r="AP70" i="8"/>
  <c r="BI70" i="8" s="1"/>
  <c r="AC70" i="8" s="1"/>
  <c r="AO70" i="8"/>
  <c r="AK70" i="8"/>
  <c r="AJ70" i="8"/>
  <c r="AH70" i="8"/>
  <c r="AG70" i="8"/>
  <c r="AF70" i="8"/>
  <c r="AE70" i="8"/>
  <c r="AD70" i="8"/>
  <c r="Z70" i="8"/>
  <c r="J70" i="8"/>
  <c r="AL70" i="8" s="1"/>
  <c r="BJ69" i="8"/>
  <c r="BI69" i="8"/>
  <c r="AC69" i="8" s="1"/>
  <c r="BF69" i="8"/>
  <c r="BD69" i="8"/>
  <c r="AP69" i="8"/>
  <c r="AO69" i="8"/>
  <c r="AW69" i="8" s="1"/>
  <c r="AK69" i="8"/>
  <c r="AJ69" i="8"/>
  <c r="AS67" i="8" s="1"/>
  <c r="AH69" i="8"/>
  <c r="AG69" i="8"/>
  <c r="AF69" i="8"/>
  <c r="AE69" i="8"/>
  <c r="AD69" i="8"/>
  <c r="Z69" i="8"/>
  <c r="J69" i="8"/>
  <c r="AL69" i="8" s="1"/>
  <c r="H69" i="8"/>
  <c r="BJ68" i="8"/>
  <c r="BF68" i="8"/>
  <c r="BD68" i="8"/>
  <c r="AW68" i="8"/>
  <c r="AP68" i="8"/>
  <c r="AX68" i="8" s="1"/>
  <c r="AV68" i="8" s="1"/>
  <c r="AO68" i="8"/>
  <c r="BH68" i="8" s="1"/>
  <c r="AL68" i="8"/>
  <c r="AU67" i="8" s="1"/>
  <c r="AK68" i="8"/>
  <c r="AT67" i="8" s="1"/>
  <c r="AJ68" i="8"/>
  <c r="AH68" i="8"/>
  <c r="AG68" i="8"/>
  <c r="AF68" i="8"/>
  <c r="AE68" i="8"/>
  <c r="AD68" i="8"/>
  <c r="AB68" i="8"/>
  <c r="Z68" i="8"/>
  <c r="J68" i="8"/>
  <c r="I68" i="8"/>
  <c r="H68" i="8"/>
  <c r="BJ66" i="8"/>
  <c r="BF66" i="8"/>
  <c r="BD66" i="8"/>
  <c r="AP66" i="8"/>
  <c r="BI66" i="8" s="1"/>
  <c r="AC66" i="8" s="1"/>
  <c r="AO66" i="8"/>
  <c r="AW66" i="8" s="1"/>
  <c r="AK66" i="8"/>
  <c r="AJ66" i="8"/>
  <c r="AS64" i="8" s="1"/>
  <c r="AH66" i="8"/>
  <c r="AG66" i="8"/>
  <c r="AF66" i="8"/>
  <c r="AE66" i="8"/>
  <c r="AD66" i="8"/>
  <c r="Z66" i="8"/>
  <c r="J66" i="8"/>
  <c r="AL66" i="8" s="1"/>
  <c r="H66" i="8"/>
  <c r="BJ65" i="8"/>
  <c r="BF65" i="8"/>
  <c r="BD65" i="8"/>
  <c r="AW65" i="8"/>
  <c r="BC65" i="8" s="1"/>
  <c r="AV65" i="8"/>
  <c r="AP65" i="8"/>
  <c r="AX65" i="8" s="1"/>
  <c r="AO65" i="8"/>
  <c r="BH65" i="8" s="1"/>
  <c r="AL65" i="8"/>
  <c r="AU64" i="8" s="1"/>
  <c r="AK65" i="8"/>
  <c r="AT64" i="8" s="1"/>
  <c r="AJ65" i="8"/>
  <c r="AH65" i="8"/>
  <c r="AG65" i="8"/>
  <c r="AF65" i="8"/>
  <c r="AE65" i="8"/>
  <c r="AD65" i="8"/>
  <c r="AB65" i="8"/>
  <c r="Z65" i="8"/>
  <c r="J65" i="8"/>
  <c r="I65" i="8"/>
  <c r="H65" i="8"/>
  <c r="H64" i="8" s="1"/>
  <c r="J64" i="8"/>
  <c r="BJ63" i="8"/>
  <c r="BF63" i="8"/>
  <c r="BD63" i="8"/>
  <c r="AP63" i="8"/>
  <c r="BI63" i="8" s="1"/>
  <c r="AC63" i="8" s="1"/>
  <c r="AO63" i="8"/>
  <c r="AW63" i="8" s="1"/>
  <c r="AL63" i="8"/>
  <c r="AK63" i="8"/>
  <c r="AJ63" i="8"/>
  <c r="AH63" i="8"/>
  <c r="AG63" i="8"/>
  <c r="AF63" i="8"/>
  <c r="AE63" i="8"/>
  <c r="AD63" i="8"/>
  <c r="Z63" i="8"/>
  <c r="J63" i="8"/>
  <c r="H63" i="8"/>
  <c r="BJ62" i="8"/>
  <c r="BF62" i="8"/>
  <c r="BD62" i="8"/>
  <c r="AW62" i="8"/>
  <c r="BC62" i="8" s="1"/>
  <c r="AP62" i="8"/>
  <c r="AX62" i="8" s="1"/>
  <c r="AV62" i="8" s="1"/>
  <c r="AO62" i="8"/>
  <c r="BH62" i="8" s="1"/>
  <c r="AB62" i="8" s="1"/>
  <c r="AL62" i="8"/>
  <c r="AK62" i="8"/>
  <c r="AT60" i="8" s="1"/>
  <c r="AJ62" i="8"/>
  <c r="AH62" i="8"/>
  <c r="AG62" i="8"/>
  <c r="AF62" i="8"/>
  <c r="AE62" i="8"/>
  <c r="AD62" i="8"/>
  <c r="Z62" i="8"/>
  <c r="J62" i="8"/>
  <c r="I62" i="8"/>
  <c r="H62" i="8"/>
  <c r="BJ61" i="8"/>
  <c r="BF61" i="8"/>
  <c r="BD61" i="8"/>
  <c r="AX61" i="8"/>
  <c r="AW61" i="8"/>
  <c r="AP61" i="8"/>
  <c r="BI61" i="8" s="1"/>
  <c r="AO61" i="8"/>
  <c r="H61" i="8" s="1"/>
  <c r="AL61" i="8"/>
  <c r="AU60" i="8" s="1"/>
  <c r="AK61" i="8"/>
  <c r="AJ61" i="8"/>
  <c r="AH61" i="8"/>
  <c r="AG61" i="8"/>
  <c r="AF61" i="8"/>
  <c r="AE61" i="8"/>
  <c r="AD61" i="8"/>
  <c r="AC61" i="8"/>
  <c r="Z61" i="8"/>
  <c r="J61" i="8"/>
  <c r="J60" i="8" s="1"/>
  <c r="I61" i="8"/>
  <c r="AS60" i="8"/>
  <c r="BJ59" i="8"/>
  <c r="BF59" i="8"/>
  <c r="BD59" i="8"/>
  <c r="AW59" i="8"/>
  <c r="BC59" i="8" s="1"/>
  <c r="AV59" i="8"/>
  <c r="AP59" i="8"/>
  <c r="AX59" i="8" s="1"/>
  <c r="AO59" i="8"/>
  <c r="BH59" i="8" s="1"/>
  <c r="AL59" i="8"/>
  <c r="AK59" i="8"/>
  <c r="AJ59" i="8"/>
  <c r="AH59" i="8"/>
  <c r="AG59" i="8"/>
  <c r="AF59" i="8"/>
  <c r="AE59" i="8"/>
  <c r="AD59" i="8"/>
  <c r="AB59" i="8"/>
  <c r="Z59" i="8"/>
  <c r="J59" i="8"/>
  <c r="I59" i="8"/>
  <c r="H59" i="8"/>
  <c r="BJ58" i="8"/>
  <c r="BF58" i="8"/>
  <c r="BD58" i="8"/>
  <c r="AX58" i="8"/>
  <c r="AW58" i="8"/>
  <c r="AP58" i="8"/>
  <c r="BI58" i="8" s="1"/>
  <c r="AC58" i="8" s="1"/>
  <c r="AO58" i="8"/>
  <c r="H58" i="8" s="1"/>
  <c r="AK58" i="8"/>
  <c r="AJ58" i="8"/>
  <c r="AH58" i="8"/>
  <c r="AG58" i="8"/>
  <c r="AF58" i="8"/>
  <c r="AE58" i="8"/>
  <c r="AD58" i="8"/>
  <c r="Z58" i="8"/>
  <c r="J58" i="8"/>
  <c r="AL58" i="8" s="1"/>
  <c r="I58" i="8"/>
  <c r="BJ57" i="8"/>
  <c r="BI57" i="8"/>
  <c r="AC57" i="8" s="1"/>
  <c r="BF57" i="8"/>
  <c r="BD57" i="8"/>
  <c r="AP57" i="8"/>
  <c r="I57" i="8" s="1"/>
  <c r="AO57" i="8"/>
  <c r="AW57" i="8" s="1"/>
  <c r="AL57" i="8"/>
  <c r="AK57" i="8"/>
  <c r="AJ57" i="8"/>
  <c r="AH57" i="8"/>
  <c r="AG57" i="8"/>
  <c r="AF57" i="8"/>
  <c r="AE57" i="8"/>
  <c r="AD57" i="8"/>
  <c r="Z57" i="8"/>
  <c r="J57" i="8"/>
  <c r="BJ56" i="8"/>
  <c r="BI56" i="8"/>
  <c r="BH56" i="8"/>
  <c r="BF56" i="8"/>
  <c r="BD56" i="8"/>
  <c r="AP56" i="8"/>
  <c r="AX56" i="8" s="1"/>
  <c r="AO56" i="8"/>
  <c r="AW56" i="8" s="1"/>
  <c r="AK56" i="8"/>
  <c r="AJ56" i="8"/>
  <c r="AH56" i="8"/>
  <c r="AG56" i="8"/>
  <c r="AF56" i="8"/>
  <c r="AE56" i="8"/>
  <c r="AD56" i="8"/>
  <c r="AC56" i="8"/>
  <c r="AB56" i="8"/>
  <c r="Z56" i="8"/>
  <c r="J56" i="8"/>
  <c r="AL56" i="8" s="1"/>
  <c r="BJ55" i="8"/>
  <c r="BF55" i="8"/>
  <c r="BD55" i="8"/>
  <c r="AP55" i="8"/>
  <c r="AX55" i="8" s="1"/>
  <c r="AO55" i="8"/>
  <c r="BH55" i="8" s="1"/>
  <c r="AB55" i="8" s="1"/>
  <c r="AL55" i="8"/>
  <c r="AK55" i="8"/>
  <c r="AJ55" i="8"/>
  <c r="AH55" i="8"/>
  <c r="AG55" i="8"/>
  <c r="AF55" i="8"/>
  <c r="AE55" i="8"/>
  <c r="AD55" i="8"/>
  <c r="Z55" i="8"/>
  <c r="J55" i="8"/>
  <c r="BJ54" i="8"/>
  <c r="BF54" i="8"/>
  <c r="BD54" i="8"/>
  <c r="AP54" i="8"/>
  <c r="BI54" i="8" s="1"/>
  <c r="AC54" i="8" s="1"/>
  <c r="AO54" i="8"/>
  <c r="BH54" i="8" s="1"/>
  <c r="AB54" i="8" s="1"/>
  <c r="AL54" i="8"/>
  <c r="AK54" i="8"/>
  <c r="AJ54" i="8"/>
  <c r="AH54" i="8"/>
  <c r="AG54" i="8"/>
  <c r="AF54" i="8"/>
  <c r="AE54" i="8"/>
  <c r="AD54" i="8"/>
  <c r="Z54" i="8"/>
  <c r="J54" i="8"/>
  <c r="BJ53" i="8"/>
  <c r="BF53" i="8"/>
  <c r="BD53" i="8"/>
  <c r="AP53" i="8"/>
  <c r="BI53" i="8" s="1"/>
  <c r="AC53" i="8" s="1"/>
  <c r="AO53" i="8"/>
  <c r="BH53" i="8" s="1"/>
  <c r="AB53" i="8" s="1"/>
  <c r="AL53" i="8"/>
  <c r="AK53" i="8"/>
  <c r="AJ53" i="8"/>
  <c r="AH53" i="8"/>
  <c r="AG53" i="8"/>
  <c r="AF53" i="8"/>
  <c r="AE53" i="8"/>
  <c r="AD53" i="8"/>
  <c r="Z53" i="8"/>
  <c r="J53" i="8"/>
  <c r="H53" i="8"/>
  <c r="BJ52" i="8"/>
  <c r="BF52" i="8"/>
  <c r="BD52" i="8"/>
  <c r="AP52" i="8"/>
  <c r="BI52" i="8" s="1"/>
  <c r="AC52" i="8" s="1"/>
  <c r="AO52" i="8"/>
  <c r="AW52" i="8" s="1"/>
  <c r="AK52" i="8"/>
  <c r="AJ52" i="8"/>
  <c r="AH52" i="8"/>
  <c r="AG52" i="8"/>
  <c r="AF52" i="8"/>
  <c r="AE52" i="8"/>
  <c r="AD52" i="8"/>
  <c r="Z52" i="8"/>
  <c r="J52" i="8"/>
  <c r="AL52" i="8" s="1"/>
  <c r="I52" i="8"/>
  <c r="H52" i="8"/>
  <c r="BJ51" i="8"/>
  <c r="BF51" i="8"/>
  <c r="BD51" i="8"/>
  <c r="AW51" i="8"/>
  <c r="AV51" i="8" s="1"/>
  <c r="AP51" i="8"/>
  <c r="AX51" i="8" s="1"/>
  <c r="AO51" i="8"/>
  <c r="BH51" i="8" s="1"/>
  <c r="AB51" i="8" s="1"/>
  <c r="AK51" i="8"/>
  <c r="AJ51" i="8"/>
  <c r="AH51" i="8"/>
  <c r="AG51" i="8"/>
  <c r="AF51" i="8"/>
  <c r="AE51" i="8"/>
  <c r="AD51" i="8"/>
  <c r="Z51" i="8"/>
  <c r="J51" i="8"/>
  <c r="AL51" i="8" s="1"/>
  <c r="I51" i="8"/>
  <c r="H51" i="8"/>
  <c r="BJ50" i="8"/>
  <c r="BF50" i="8"/>
  <c r="BD50" i="8"/>
  <c r="AX50" i="8"/>
  <c r="BC50" i="8" s="1"/>
  <c r="AW50" i="8"/>
  <c r="AP50" i="8"/>
  <c r="BI50" i="8" s="1"/>
  <c r="AC50" i="8" s="1"/>
  <c r="AO50" i="8"/>
  <c r="BH50" i="8" s="1"/>
  <c r="AB50" i="8" s="1"/>
  <c r="AK50" i="8"/>
  <c r="AT49" i="8" s="1"/>
  <c r="AJ50" i="8"/>
  <c r="AS49" i="8" s="1"/>
  <c r="AH50" i="8"/>
  <c r="AG50" i="8"/>
  <c r="AF50" i="8"/>
  <c r="AE50" i="8"/>
  <c r="AD50" i="8"/>
  <c r="Z50" i="8"/>
  <c r="J50" i="8"/>
  <c r="AL50" i="8" s="1"/>
  <c r="I50" i="8"/>
  <c r="H50" i="8"/>
  <c r="BJ48" i="8"/>
  <c r="BF48" i="8"/>
  <c r="BD48" i="8"/>
  <c r="AW48" i="8"/>
  <c r="AP48" i="8"/>
  <c r="AX48" i="8" s="1"/>
  <c r="AO48" i="8"/>
  <c r="BH48" i="8" s="1"/>
  <c r="AB48" i="8" s="1"/>
  <c r="AK48" i="8"/>
  <c r="AT47" i="8" s="1"/>
  <c r="AJ48" i="8"/>
  <c r="AS47" i="8" s="1"/>
  <c r="AH48" i="8"/>
  <c r="AG48" i="8"/>
  <c r="AF48" i="8"/>
  <c r="AE48" i="8"/>
  <c r="AD48" i="8"/>
  <c r="Z48" i="8"/>
  <c r="J48" i="8"/>
  <c r="AL48" i="8" s="1"/>
  <c r="AU47" i="8" s="1"/>
  <c r="I48" i="8"/>
  <c r="I47" i="8" s="1"/>
  <c r="H48" i="8"/>
  <c r="H47" i="8"/>
  <c r="BJ46" i="8"/>
  <c r="BF46" i="8"/>
  <c r="BD46" i="8"/>
  <c r="AX46" i="8"/>
  <c r="AP46" i="8"/>
  <c r="BI46" i="8" s="1"/>
  <c r="AC46" i="8" s="1"/>
  <c r="AO46" i="8"/>
  <c r="AW46" i="8" s="1"/>
  <c r="AK46" i="8"/>
  <c r="AJ46" i="8"/>
  <c r="AH46" i="8"/>
  <c r="AG46" i="8"/>
  <c r="AF46" i="8"/>
  <c r="AE46" i="8"/>
  <c r="AD46" i="8"/>
  <c r="Z46" i="8"/>
  <c r="J46" i="8"/>
  <c r="AL46" i="8" s="1"/>
  <c r="I46" i="8"/>
  <c r="H46" i="8"/>
  <c r="BJ45" i="8"/>
  <c r="BF45" i="8"/>
  <c r="BD45" i="8"/>
  <c r="AW45" i="8"/>
  <c r="AV45" i="8" s="1"/>
  <c r="AP45" i="8"/>
  <c r="AX45" i="8" s="1"/>
  <c r="AO45" i="8"/>
  <c r="BH45" i="8" s="1"/>
  <c r="AB45" i="8" s="1"/>
  <c r="AK45" i="8"/>
  <c r="AJ45" i="8"/>
  <c r="AH45" i="8"/>
  <c r="AG45" i="8"/>
  <c r="AF45" i="8"/>
  <c r="AE45" i="8"/>
  <c r="AD45" i="8"/>
  <c r="Z45" i="8"/>
  <c r="J45" i="8"/>
  <c r="AL45" i="8" s="1"/>
  <c r="I45" i="8"/>
  <c r="H45" i="8"/>
  <c r="BJ44" i="8"/>
  <c r="BF44" i="8"/>
  <c r="BD44" i="8"/>
  <c r="AX44" i="8"/>
  <c r="BC44" i="8" s="1"/>
  <c r="AW44" i="8"/>
  <c r="AP44" i="8"/>
  <c r="BI44" i="8" s="1"/>
  <c r="AC44" i="8" s="1"/>
  <c r="AO44" i="8"/>
  <c r="BH44" i="8" s="1"/>
  <c r="AB44" i="8" s="1"/>
  <c r="AK44" i="8"/>
  <c r="AJ44" i="8"/>
  <c r="AH44" i="8"/>
  <c r="AG44" i="8"/>
  <c r="AF44" i="8"/>
  <c r="AE44" i="8"/>
  <c r="AD44" i="8"/>
  <c r="Z44" i="8"/>
  <c r="J44" i="8"/>
  <c r="AL44" i="8" s="1"/>
  <c r="I44" i="8"/>
  <c r="H44" i="8"/>
  <c r="BJ43" i="8"/>
  <c r="BF43" i="8"/>
  <c r="BD43" i="8"/>
  <c r="BC43" i="8"/>
  <c r="AX43" i="8"/>
  <c r="AW43" i="8"/>
  <c r="AV43" i="8" s="1"/>
  <c r="AP43" i="8"/>
  <c r="BI43" i="8" s="1"/>
  <c r="AC43" i="8" s="1"/>
  <c r="AO43" i="8"/>
  <c r="H43" i="8" s="1"/>
  <c r="AL43" i="8"/>
  <c r="AK43" i="8"/>
  <c r="AJ43" i="8"/>
  <c r="AH43" i="8"/>
  <c r="AG43" i="8"/>
  <c r="AF43" i="8"/>
  <c r="AE43" i="8"/>
  <c r="AD43" i="8"/>
  <c r="Z43" i="8"/>
  <c r="J43" i="8"/>
  <c r="I43" i="8"/>
  <c r="BJ42" i="8"/>
  <c r="BF42" i="8"/>
  <c r="BD42" i="8"/>
  <c r="AX42" i="8"/>
  <c r="AP42" i="8"/>
  <c r="I42" i="8" s="1"/>
  <c r="AO42" i="8"/>
  <c r="AW42" i="8" s="1"/>
  <c r="AK42" i="8"/>
  <c r="AT40" i="8" s="1"/>
  <c r="AJ42" i="8"/>
  <c r="AH42" i="8"/>
  <c r="AG42" i="8"/>
  <c r="AF42" i="8"/>
  <c r="AE42" i="8"/>
  <c r="AD42" i="8"/>
  <c r="Z42" i="8"/>
  <c r="J42" i="8"/>
  <c r="AL42" i="8" s="1"/>
  <c r="BJ41" i="8"/>
  <c r="BF41" i="8"/>
  <c r="BD41" i="8"/>
  <c r="AP41" i="8"/>
  <c r="AX41" i="8" s="1"/>
  <c r="AO41" i="8"/>
  <c r="BH41" i="8" s="1"/>
  <c r="AB41" i="8" s="1"/>
  <c r="AL41" i="8"/>
  <c r="AK41" i="8"/>
  <c r="AJ41" i="8"/>
  <c r="AH41" i="8"/>
  <c r="AG41" i="8"/>
  <c r="AF41" i="8"/>
  <c r="AE41" i="8"/>
  <c r="AD41" i="8"/>
  <c r="Z41" i="8"/>
  <c r="J41" i="8"/>
  <c r="AS40" i="8"/>
  <c r="BJ39" i="8"/>
  <c r="BF39" i="8"/>
  <c r="BD39" i="8"/>
  <c r="AX39" i="8"/>
  <c r="AP39" i="8"/>
  <c r="I39" i="8" s="1"/>
  <c r="AO39" i="8"/>
  <c r="AW39" i="8" s="1"/>
  <c r="AK39" i="8"/>
  <c r="AJ39" i="8"/>
  <c r="AH39" i="8"/>
  <c r="AG39" i="8"/>
  <c r="AF39" i="8"/>
  <c r="AE39" i="8"/>
  <c r="AD39" i="8"/>
  <c r="Z39" i="8"/>
  <c r="J39" i="8"/>
  <c r="AL39" i="8" s="1"/>
  <c r="AU35" i="8" s="1"/>
  <c r="BJ38" i="8"/>
  <c r="BF38" i="8"/>
  <c r="BD38" i="8"/>
  <c r="AP38" i="8"/>
  <c r="AX38" i="8" s="1"/>
  <c r="AO38" i="8"/>
  <c r="BH38" i="8" s="1"/>
  <c r="AB38" i="8" s="1"/>
  <c r="AL38" i="8"/>
  <c r="AK38" i="8"/>
  <c r="AJ38" i="8"/>
  <c r="AH38" i="8"/>
  <c r="AG38" i="8"/>
  <c r="AF38" i="8"/>
  <c r="AE38" i="8"/>
  <c r="AD38" i="8"/>
  <c r="Z38" i="8"/>
  <c r="J38" i="8"/>
  <c r="BJ37" i="8"/>
  <c r="BF37" i="8"/>
  <c r="BD37" i="8"/>
  <c r="AP37" i="8"/>
  <c r="BI37" i="8" s="1"/>
  <c r="AC37" i="8" s="1"/>
  <c r="AO37" i="8"/>
  <c r="BH37" i="8" s="1"/>
  <c r="AB37" i="8" s="1"/>
  <c r="AL37" i="8"/>
  <c r="AK37" i="8"/>
  <c r="AT35" i="8" s="1"/>
  <c r="AJ37" i="8"/>
  <c r="AH37" i="8"/>
  <c r="AG37" i="8"/>
  <c r="AF37" i="8"/>
  <c r="AE37" i="8"/>
  <c r="AD37" i="8"/>
  <c r="Z37" i="8"/>
  <c r="J37" i="8"/>
  <c r="BJ36" i="8"/>
  <c r="BF36" i="8"/>
  <c r="BD36" i="8"/>
  <c r="AP36" i="8"/>
  <c r="BI36" i="8" s="1"/>
  <c r="AC36" i="8" s="1"/>
  <c r="AO36" i="8"/>
  <c r="BH36" i="8" s="1"/>
  <c r="AB36" i="8" s="1"/>
  <c r="AL36" i="8"/>
  <c r="AK36" i="8"/>
  <c r="AJ36" i="8"/>
  <c r="AH36" i="8"/>
  <c r="AG36" i="8"/>
  <c r="AF36" i="8"/>
  <c r="AE36" i="8"/>
  <c r="AD36" i="8"/>
  <c r="Z36" i="8"/>
  <c r="J36" i="8"/>
  <c r="J35" i="8" s="1"/>
  <c r="H36" i="8"/>
  <c r="AS35" i="8"/>
  <c r="BJ34" i="8"/>
  <c r="BF34" i="8"/>
  <c r="BD34" i="8"/>
  <c r="AP34" i="8"/>
  <c r="BI34" i="8" s="1"/>
  <c r="AC34" i="8" s="1"/>
  <c r="AO34" i="8"/>
  <c r="BH34" i="8" s="1"/>
  <c r="AB34" i="8" s="1"/>
  <c r="AK34" i="8"/>
  <c r="AJ34" i="8"/>
  <c r="AH34" i="8"/>
  <c r="AG34" i="8"/>
  <c r="AF34" i="8"/>
  <c r="AE34" i="8"/>
  <c r="AD34" i="8"/>
  <c r="Z34" i="8"/>
  <c r="J34" i="8"/>
  <c r="AL34" i="8" s="1"/>
  <c r="I34" i="8"/>
  <c r="BJ33" i="8"/>
  <c r="BF33" i="8"/>
  <c r="BD33" i="8"/>
  <c r="AP33" i="8"/>
  <c r="BI33" i="8" s="1"/>
  <c r="AC33" i="8" s="1"/>
  <c r="AO33" i="8"/>
  <c r="BH33" i="8" s="1"/>
  <c r="AB33" i="8" s="1"/>
  <c r="AL33" i="8"/>
  <c r="AK33" i="8"/>
  <c r="AJ33" i="8"/>
  <c r="AH33" i="8"/>
  <c r="AG33" i="8"/>
  <c r="AF33" i="8"/>
  <c r="AE33" i="8"/>
  <c r="AD33" i="8"/>
  <c r="Z33" i="8"/>
  <c r="J33" i="8"/>
  <c r="H33" i="8"/>
  <c r="BJ32" i="8"/>
  <c r="BF32" i="8"/>
  <c r="BD32" i="8"/>
  <c r="AP32" i="8"/>
  <c r="BI32" i="8" s="1"/>
  <c r="AC32" i="8" s="1"/>
  <c r="AO32" i="8"/>
  <c r="AW32" i="8" s="1"/>
  <c r="AK32" i="8"/>
  <c r="AJ32" i="8"/>
  <c r="AS31" i="8" s="1"/>
  <c r="AH32" i="8"/>
  <c r="AG32" i="8"/>
  <c r="AF32" i="8"/>
  <c r="AE32" i="8"/>
  <c r="AD32" i="8"/>
  <c r="Z32" i="8"/>
  <c r="J32" i="8"/>
  <c r="AL32" i="8" s="1"/>
  <c r="I32" i="8"/>
  <c r="H32" i="8"/>
  <c r="AT31" i="8"/>
  <c r="J31" i="8"/>
  <c r="BJ30" i="8"/>
  <c r="BF30" i="8"/>
  <c r="BD30" i="8"/>
  <c r="AP30" i="8"/>
  <c r="BI30" i="8" s="1"/>
  <c r="AC30" i="8" s="1"/>
  <c r="AO30" i="8"/>
  <c r="BH30" i="8" s="1"/>
  <c r="AB30" i="8" s="1"/>
  <c r="AL30" i="8"/>
  <c r="AK30" i="8"/>
  <c r="AJ30" i="8"/>
  <c r="AH30" i="8"/>
  <c r="AG30" i="8"/>
  <c r="AF30" i="8"/>
  <c r="AE30" i="8"/>
  <c r="AD30" i="8"/>
  <c r="Z30" i="8"/>
  <c r="J30" i="8"/>
  <c r="H30" i="8"/>
  <c r="BJ29" i="8"/>
  <c r="BF29" i="8"/>
  <c r="BD29" i="8"/>
  <c r="AP29" i="8"/>
  <c r="BI29" i="8" s="1"/>
  <c r="AC29" i="8" s="1"/>
  <c r="AO29" i="8"/>
  <c r="AW29" i="8" s="1"/>
  <c r="AK29" i="8"/>
  <c r="AJ29" i="8"/>
  <c r="AH29" i="8"/>
  <c r="AG29" i="8"/>
  <c r="AF29" i="8"/>
  <c r="AE29" i="8"/>
  <c r="AD29" i="8"/>
  <c r="Z29" i="8"/>
  <c r="J29" i="8"/>
  <c r="AL29" i="8" s="1"/>
  <c r="I29" i="8"/>
  <c r="H29" i="8"/>
  <c r="BJ28" i="8"/>
  <c r="BF28" i="8"/>
  <c r="BD28" i="8"/>
  <c r="AW28" i="8"/>
  <c r="AP28" i="8"/>
  <c r="AX28" i="8" s="1"/>
  <c r="AO28" i="8"/>
  <c r="BH28" i="8" s="1"/>
  <c r="AB28" i="8" s="1"/>
  <c r="AL28" i="8"/>
  <c r="AK28" i="8"/>
  <c r="AJ28" i="8"/>
  <c r="AH28" i="8"/>
  <c r="AG28" i="8"/>
  <c r="AF28" i="8"/>
  <c r="AE28" i="8"/>
  <c r="AD28" i="8"/>
  <c r="Z28" i="8"/>
  <c r="J28" i="8"/>
  <c r="I28" i="8"/>
  <c r="H28" i="8"/>
  <c r="BJ27" i="8"/>
  <c r="BF27" i="8"/>
  <c r="BD27" i="8"/>
  <c r="AX27" i="8"/>
  <c r="AP27" i="8"/>
  <c r="BI27" i="8" s="1"/>
  <c r="AC27" i="8" s="1"/>
  <c r="AO27" i="8"/>
  <c r="AW27" i="8" s="1"/>
  <c r="AK27" i="8"/>
  <c r="AJ27" i="8"/>
  <c r="AH27" i="8"/>
  <c r="AG27" i="8"/>
  <c r="AF27" i="8"/>
  <c r="AE27" i="8"/>
  <c r="AD27" i="8"/>
  <c r="Z27" i="8"/>
  <c r="J27" i="8"/>
  <c r="AL27" i="8" s="1"/>
  <c r="I27" i="8"/>
  <c r="H27" i="8"/>
  <c r="BJ26" i="8"/>
  <c r="BF26" i="8"/>
  <c r="BD26" i="8"/>
  <c r="AW26" i="8"/>
  <c r="AP26" i="8"/>
  <c r="AX26" i="8" s="1"/>
  <c r="BC26" i="8" s="1"/>
  <c r="AO26" i="8"/>
  <c r="H26" i="8" s="1"/>
  <c r="AK26" i="8"/>
  <c r="AJ26" i="8"/>
  <c r="AH26" i="8"/>
  <c r="AG26" i="8"/>
  <c r="AF26" i="8"/>
  <c r="AE26" i="8"/>
  <c r="AD26" i="8"/>
  <c r="Z26" i="8"/>
  <c r="J26" i="8"/>
  <c r="AL26" i="8" s="1"/>
  <c r="I26" i="8"/>
  <c r="BJ25" i="8"/>
  <c r="BF25" i="8"/>
  <c r="BD25" i="8"/>
  <c r="AX25" i="8"/>
  <c r="AP25" i="8"/>
  <c r="I25" i="8" s="1"/>
  <c r="AO25" i="8"/>
  <c r="AW25" i="8" s="1"/>
  <c r="AK25" i="8"/>
  <c r="AT23" i="8" s="1"/>
  <c r="AJ25" i="8"/>
  <c r="AH25" i="8"/>
  <c r="AG25" i="8"/>
  <c r="AF25" i="8"/>
  <c r="AE25" i="8"/>
  <c r="AD25" i="8"/>
  <c r="Z25" i="8"/>
  <c r="J25" i="8"/>
  <c r="AL25" i="8" s="1"/>
  <c r="H25" i="8"/>
  <c r="BJ24" i="8"/>
  <c r="BF24" i="8"/>
  <c r="BD24" i="8"/>
  <c r="AW24" i="8"/>
  <c r="AP24" i="8"/>
  <c r="AX24" i="8" s="1"/>
  <c r="BC24" i="8" s="1"/>
  <c r="AO24" i="8"/>
  <c r="BH24" i="8" s="1"/>
  <c r="AB24" i="8" s="1"/>
  <c r="AL24" i="8"/>
  <c r="AK24" i="8"/>
  <c r="AJ24" i="8"/>
  <c r="AH24" i="8"/>
  <c r="AG24" i="8"/>
  <c r="AF24" i="8"/>
  <c r="AE24" i="8"/>
  <c r="AD24" i="8"/>
  <c r="Z24" i="8"/>
  <c r="J24" i="8"/>
  <c r="I24" i="8"/>
  <c r="H24" i="8"/>
  <c r="H23" i="8" s="1"/>
  <c r="AS23" i="8"/>
  <c r="BJ22" i="8"/>
  <c r="BF22" i="8"/>
  <c r="BD22" i="8"/>
  <c r="AX22" i="8"/>
  <c r="AP22" i="8"/>
  <c r="I22" i="8" s="1"/>
  <c r="I21" i="8" s="1"/>
  <c r="AO22" i="8"/>
  <c r="AW22" i="8" s="1"/>
  <c r="AK22" i="8"/>
  <c r="AT21" i="8" s="1"/>
  <c r="AJ22" i="8"/>
  <c r="AH22" i="8"/>
  <c r="AG22" i="8"/>
  <c r="AF22" i="8"/>
  <c r="AE22" i="8"/>
  <c r="AD22" i="8"/>
  <c r="Z22" i="8"/>
  <c r="J22" i="8"/>
  <c r="AL22" i="8" s="1"/>
  <c r="AU21" i="8" s="1"/>
  <c r="H22" i="8"/>
  <c r="AS21" i="8"/>
  <c r="J21" i="8"/>
  <c r="H21" i="8"/>
  <c r="BJ20" i="8"/>
  <c r="BF20" i="8"/>
  <c r="BD20" i="8"/>
  <c r="AW20" i="8"/>
  <c r="AP20" i="8"/>
  <c r="AX20" i="8" s="1"/>
  <c r="BC20" i="8" s="1"/>
  <c r="AO20" i="8"/>
  <c r="H20" i="8" s="1"/>
  <c r="AK20" i="8"/>
  <c r="AJ20" i="8"/>
  <c r="AH20" i="8"/>
  <c r="AG20" i="8"/>
  <c r="AF20" i="8"/>
  <c r="AE20" i="8"/>
  <c r="AD20" i="8"/>
  <c r="Z20" i="8"/>
  <c r="J20" i="8"/>
  <c r="AL20" i="8" s="1"/>
  <c r="I20" i="8"/>
  <c r="BJ19" i="8"/>
  <c r="BF19" i="8"/>
  <c r="BD19" i="8"/>
  <c r="AX19" i="8"/>
  <c r="AP19" i="8"/>
  <c r="I19" i="8" s="1"/>
  <c r="I17" i="8" s="1"/>
  <c r="AO19" i="8"/>
  <c r="AW19" i="8" s="1"/>
  <c r="AK19" i="8"/>
  <c r="AT17" i="8" s="1"/>
  <c r="AJ19" i="8"/>
  <c r="AH19" i="8"/>
  <c r="AG19" i="8"/>
  <c r="AF19" i="8"/>
  <c r="AE19" i="8"/>
  <c r="AD19" i="8"/>
  <c r="Z19" i="8"/>
  <c r="J19" i="8"/>
  <c r="AL19" i="8" s="1"/>
  <c r="H19" i="8"/>
  <c r="BJ18" i="8"/>
  <c r="BF18" i="8"/>
  <c r="BD18" i="8"/>
  <c r="AW18" i="8"/>
  <c r="AP18" i="8"/>
  <c r="AX18" i="8" s="1"/>
  <c r="BC18" i="8" s="1"/>
  <c r="AO18" i="8"/>
  <c r="BH18" i="8" s="1"/>
  <c r="AB18" i="8" s="1"/>
  <c r="AL18" i="8"/>
  <c r="AU17" i="8" s="1"/>
  <c r="AK18" i="8"/>
  <c r="AJ18" i="8"/>
  <c r="AH18" i="8"/>
  <c r="AG18" i="8"/>
  <c r="AF18" i="8"/>
  <c r="AE18" i="8"/>
  <c r="AD18" i="8"/>
  <c r="Z18" i="8"/>
  <c r="J18" i="8"/>
  <c r="I18" i="8"/>
  <c r="H18" i="8"/>
  <c r="H17" i="8" s="1"/>
  <c r="AS17" i="8"/>
  <c r="BJ16" i="8"/>
  <c r="BF16" i="8"/>
  <c r="BD16" i="8"/>
  <c r="AX16" i="8"/>
  <c r="AP16" i="8"/>
  <c r="I16" i="8" s="1"/>
  <c r="AO16" i="8"/>
  <c r="AW16" i="8" s="1"/>
  <c r="AK16" i="8"/>
  <c r="AJ16" i="8"/>
  <c r="AH16" i="8"/>
  <c r="AG16" i="8"/>
  <c r="AF16" i="8"/>
  <c r="AE16" i="8"/>
  <c r="AD16" i="8"/>
  <c r="Z16" i="8"/>
  <c r="J16" i="8"/>
  <c r="AL16" i="8" s="1"/>
  <c r="H16" i="8"/>
  <c r="BJ15" i="8"/>
  <c r="BF15" i="8"/>
  <c r="BD15" i="8"/>
  <c r="AW15" i="8"/>
  <c r="AV15" i="8" s="1"/>
  <c r="AP15" i="8"/>
  <c r="AX15" i="8" s="1"/>
  <c r="BC15" i="8" s="1"/>
  <c r="AO15" i="8"/>
  <c r="BH15" i="8" s="1"/>
  <c r="AB15" i="8" s="1"/>
  <c r="AL15" i="8"/>
  <c r="AK15" i="8"/>
  <c r="AJ15" i="8"/>
  <c r="AH15" i="8"/>
  <c r="AG15" i="8"/>
  <c r="AF15" i="8"/>
  <c r="AE15" i="8"/>
  <c r="AD15" i="8"/>
  <c r="Z15" i="8"/>
  <c r="J15" i="8"/>
  <c r="I15" i="8"/>
  <c r="H15" i="8"/>
  <c r="BJ14" i="8"/>
  <c r="BF14" i="8"/>
  <c r="BD14" i="8"/>
  <c r="AX14" i="8"/>
  <c r="AP14" i="8"/>
  <c r="BI14" i="8" s="1"/>
  <c r="AC14" i="8" s="1"/>
  <c r="AO14" i="8"/>
  <c r="BH14" i="8" s="1"/>
  <c r="AB14" i="8" s="1"/>
  <c r="AK14" i="8"/>
  <c r="AJ14" i="8"/>
  <c r="AH14" i="8"/>
  <c r="AG14" i="8"/>
  <c r="AF14" i="8"/>
  <c r="AE14" i="8"/>
  <c r="AD14" i="8"/>
  <c r="Z14" i="8"/>
  <c r="J14" i="8"/>
  <c r="AL14" i="8" s="1"/>
  <c r="I14" i="8"/>
  <c r="BJ13" i="8"/>
  <c r="BF13" i="8"/>
  <c r="BD13" i="8"/>
  <c r="AP13" i="8"/>
  <c r="BI13" i="8" s="1"/>
  <c r="AC13" i="8" s="1"/>
  <c r="AO13" i="8"/>
  <c r="BH13" i="8" s="1"/>
  <c r="AB13" i="8" s="1"/>
  <c r="AK13" i="8"/>
  <c r="AJ13" i="8"/>
  <c r="C27" i="10" s="1"/>
  <c r="AH13" i="8"/>
  <c r="C20" i="10" s="1"/>
  <c r="AG13" i="8"/>
  <c r="C19" i="10" s="1"/>
  <c r="AF13" i="8"/>
  <c r="C18" i="10" s="1"/>
  <c r="AE13" i="8"/>
  <c r="C17" i="10" s="1"/>
  <c r="AD13" i="8"/>
  <c r="Z13" i="8"/>
  <c r="C21" i="10" s="1"/>
  <c r="J13" i="8"/>
  <c r="AL13" i="8" s="1"/>
  <c r="AS12" i="8"/>
  <c r="AU1" i="8"/>
  <c r="AT1" i="8"/>
  <c r="AS1" i="8"/>
  <c r="I19" i="7"/>
  <c r="I18" i="7"/>
  <c r="I17" i="7"/>
  <c r="I16" i="7"/>
  <c r="F16" i="7"/>
  <c r="I15" i="7"/>
  <c r="F15" i="7"/>
  <c r="I14" i="7"/>
  <c r="F14" i="7"/>
  <c r="I10" i="7"/>
  <c r="F10" i="7"/>
  <c r="C10" i="7"/>
  <c r="F8" i="7"/>
  <c r="C8" i="7"/>
  <c r="F6" i="7"/>
  <c r="C6" i="7"/>
  <c r="F4" i="7"/>
  <c r="F2" i="7"/>
  <c r="C2" i="7"/>
  <c r="F8" i="6"/>
  <c r="C8" i="6"/>
  <c r="F6" i="6"/>
  <c r="C6" i="6"/>
  <c r="F4" i="6"/>
  <c r="C4" i="6"/>
  <c r="F2" i="6"/>
  <c r="C2" i="6"/>
  <c r="BR115" i="5"/>
  <c r="BJ115" i="5"/>
  <c r="BF115" i="5"/>
  <c r="BD115" i="5"/>
  <c r="AX115" i="5"/>
  <c r="AP115" i="5"/>
  <c r="I115" i="5" s="1"/>
  <c r="I114" i="5" s="1"/>
  <c r="AO115" i="5"/>
  <c r="AW115" i="5" s="1"/>
  <c r="AK115" i="5"/>
  <c r="AT114" i="5" s="1"/>
  <c r="AJ115" i="5"/>
  <c r="AH115" i="5"/>
  <c r="AG115" i="5"/>
  <c r="AF115" i="5"/>
  <c r="AE115" i="5"/>
  <c r="AD115" i="5"/>
  <c r="AC115" i="5"/>
  <c r="AB115" i="5"/>
  <c r="Z115" i="5"/>
  <c r="J115" i="5"/>
  <c r="AS114" i="5"/>
  <c r="BO113" i="5"/>
  <c r="BJ113" i="5"/>
  <c r="BF113" i="5"/>
  <c r="BD113" i="5"/>
  <c r="AX113" i="5"/>
  <c r="AP113" i="5"/>
  <c r="I113" i="5" s="1"/>
  <c r="I112" i="5" s="1"/>
  <c r="AO113" i="5"/>
  <c r="AW113" i="5" s="1"/>
  <c r="AK113" i="5"/>
  <c r="AT112" i="5" s="1"/>
  <c r="AJ113" i="5"/>
  <c r="AH113" i="5"/>
  <c r="AG113" i="5"/>
  <c r="AF113" i="5"/>
  <c r="AE113" i="5"/>
  <c r="AD113" i="5"/>
  <c r="AC113" i="5"/>
  <c r="AB113" i="5"/>
  <c r="Z113" i="5"/>
  <c r="J113" i="5"/>
  <c r="AS112" i="5"/>
  <c r="BM111" i="5"/>
  <c r="BJ111" i="5"/>
  <c r="BF111" i="5"/>
  <c r="BD111" i="5"/>
  <c r="AP111" i="5"/>
  <c r="I111" i="5" s="1"/>
  <c r="I110" i="5" s="1"/>
  <c r="I109" i="5" s="1"/>
  <c r="AO111" i="5"/>
  <c r="AW111" i="5" s="1"/>
  <c r="AK111" i="5"/>
  <c r="AT110" i="5" s="1"/>
  <c r="AJ111" i="5"/>
  <c r="AS110" i="5" s="1"/>
  <c r="AH111" i="5"/>
  <c r="AG111" i="5"/>
  <c r="AF111" i="5"/>
  <c r="AE111" i="5"/>
  <c r="AD111" i="5"/>
  <c r="AC111" i="5"/>
  <c r="AB111" i="5"/>
  <c r="Z111" i="5"/>
  <c r="J111" i="5"/>
  <c r="BJ108" i="5"/>
  <c r="AH108" i="5" s="1"/>
  <c r="BF108" i="5"/>
  <c r="BD108" i="5"/>
  <c r="AP108" i="5"/>
  <c r="AX108" i="5" s="1"/>
  <c r="AO108" i="5"/>
  <c r="AW108" i="5" s="1"/>
  <c r="AL108" i="5"/>
  <c r="AK108" i="5"/>
  <c r="AJ108" i="5"/>
  <c r="AG108" i="5"/>
  <c r="AF108" i="5"/>
  <c r="AE108" i="5"/>
  <c r="AD108" i="5"/>
  <c r="AC108" i="5"/>
  <c r="AB108" i="5"/>
  <c r="Z108" i="5"/>
  <c r="J108" i="5"/>
  <c r="BJ107" i="5"/>
  <c r="AH107" i="5" s="1"/>
  <c r="BF107" i="5"/>
  <c r="BD107" i="5"/>
  <c r="AX107" i="5"/>
  <c r="AP107" i="5"/>
  <c r="I107" i="5" s="1"/>
  <c r="AO107" i="5"/>
  <c r="AW107" i="5" s="1"/>
  <c r="AL107" i="5"/>
  <c r="AK107" i="5"/>
  <c r="AJ107" i="5"/>
  <c r="AG107" i="5"/>
  <c r="AF107" i="5"/>
  <c r="AE107" i="5"/>
  <c r="AD107" i="5"/>
  <c r="AC107" i="5"/>
  <c r="AB107" i="5"/>
  <c r="Z107" i="5"/>
  <c r="J107" i="5"/>
  <c r="H107" i="5"/>
  <c r="BJ106" i="5"/>
  <c r="AH106" i="5" s="1"/>
  <c r="BF106" i="5"/>
  <c r="BD106" i="5"/>
  <c r="AP106" i="5"/>
  <c r="AX106" i="5" s="1"/>
  <c r="AO106" i="5"/>
  <c r="AK106" i="5"/>
  <c r="AJ106" i="5"/>
  <c r="AG106" i="5"/>
  <c r="AF106" i="5"/>
  <c r="AE106" i="5"/>
  <c r="AD106" i="5"/>
  <c r="AC106" i="5"/>
  <c r="AB106" i="5"/>
  <c r="Z106" i="5"/>
  <c r="J106" i="5"/>
  <c r="AL106" i="5" s="1"/>
  <c r="I106" i="5"/>
  <c r="BJ105" i="5"/>
  <c r="BF105" i="5"/>
  <c r="BD105" i="5"/>
  <c r="AW105" i="5"/>
  <c r="AP105" i="5"/>
  <c r="I105" i="5" s="1"/>
  <c r="AO105" i="5"/>
  <c r="BH105" i="5" s="1"/>
  <c r="AK105" i="5"/>
  <c r="AJ105" i="5"/>
  <c r="AH105" i="5"/>
  <c r="AG105" i="5"/>
  <c r="AF105" i="5"/>
  <c r="AE105" i="5"/>
  <c r="AD105" i="5"/>
  <c r="AC105" i="5"/>
  <c r="AB105" i="5"/>
  <c r="Z105" i="5"/>
  <c r="J105" i="5"/>
  <c r="AL105" i="5" s="1"/>
  <c r="H105" i="5"/>
  <c r="BJ104" i="5"/>
  <c r="AH104" i="5" s="1"/>
  <c r="BF104" i="5"/>
  <c r="BD104" i="5"/>
  <c r="BC104" i="5"/>
  <c r="AX104" i="5"/>
  <c r="AW104" i="5"/>
  <c r="AV104" i="5"/>
  <c r="AP104" i="5"/>
  <c r="BI104" i="5" s="1"/>
  <c r="AO104" i="5"/>
  <c r="BH104" i="5" s="1"/>
  <c r="AL104" i="5"/>
  <c r="AK104" i="5"/>
  <c r="AJ104" i="5"/>
  <c r="AG104" i="5"/>
  <c r="AF104" i="5"/>
  <c r="AE104" i="5"/>
  <c r="AD104" i="5"/>
  <c r="AC104" i="5"/>
  <c r="AB104" i="5"/>
  <c r="Z104" i="5"/>
  <c r="J104" i="5"/>
  <c r="I104" i="5"/>
  <c r="H104" i="5"/>
  <c r="BJ103" i="5"/>
  <c r="BF103" i="5"/>
  <c r="BD103" i="5"/>
  <c r="AX103" i="5"/>
  <c r="AW103" i="5"/>
  <c r="AP103" i="5"/>
  <c r="BI103" i="5" s="1"/>
  <c r="AO103" i="5"/>
  <c r="H103" i="5" s="1"/>
  <c r="AK103" i="5"/>
  <c r="AJ103" i="5"/>
  <c r="AH103" i="5"/>
  <c r="AG103" i="5"/>
  <c r="AF103" i="5"/>
  <c r="AE103" i="5"/>
  <c r="AD103" i="5"/>
  <c r="AC103" i="5"/>
  <c r="AB103" i="5"/>
  <c r="Z103" i="5"/>
  <c r="J103" i="5"/>
  <c r="AL103" i="5" s="1"/>
  <c r="I103" i="5"/>
  <c r="BJ102" i="5"/>
  <c r="BF102" i="5"/>
  <c r="BD102" i="5"/>
  <c r="AX102" i="5"/>
  <c r="AP102" i="5"/>
  <c r="I102" i="5" s="1"/>
  <c r="AO102" i="5"/>
  <c r="AW102" i="5" s="1"/>
  <c r="AK102" i="5"/>
  <c r="AJ102" i="5"/>
  <c r="AH102" i="5"/>
  <c r="AG102" i="5"/>
  <c r="AF102" i="5"/>
  <c r="AE102" i="5"/>
  <c r="AD102" i="5"/>
  <c r="AC102" i="5"/>
  <c r="AB102" i="5"/>
  <c r="Z102" i="5"/>
  <c r="J102" i="5"/>
  <c r="AL102" i="5" s="1"/>
  <c r="BJ101" i="5"/>
  <c r="AH101" i="5" s="1"/>
  <c r="BF101" i="5"/>
  <c r="BD101" i="5"/>
  <c r="AP101" i="5"/>
  <c r="AX101" i="5" s="1"/>
  <c r="AO101" i="5"/>
  <c r="AL101" i="5"/>
  <c r="AK101" i="5"/>
  <c r="AJ101" i="5"/>
  <c r="AG101" i="5"/>
  <c r="AF101" i="5"/>
  <c r="AE101" i="5"/>
  <c r="AD101" i="5"/>
  <c r="AC101" i="5"/>
  <c r="AB101" i="5"/>
  <c r="Z101" i="5"/>
  <c r="J101" i="5"/>
  <c r="BJ100" i="5"/>
  <c r="AH100" i="5" s="1"/>
  <c r="BF100" i="5"/>
  <c r="BD100" i="5"/>
  <c r="AW100" i="5"/>
  <c r="AP100" i="5"/>
  <c r="AO100" i="5"/>
  <c r="H100" i="5" s="1"/>
  <c r="AL100" i="5"/>
  <c r="AK100" i="5"/>
  <c r="AJ100" i="5"/>
  <c r="AG100" i="5"/>
  <c r="AF100" i="5"/>
  <c r="AE100" i="5"/>
  <c r="AD100" i="5"/>
  <c r="AC100" i="5"/>
  <c r="AB100" i="5"/>
  <c r="Z100" i="5"/>
  <c r="J100" i="5"/>
  <c r="BJ99" i="5"/>
  <c r="AH99" i="5" s="1"/>
  <c r="BF99" i="5"/>
  <c r="BD99" i="5"/>
  <c r="AX99" i="5"/>
  <c r="AP99" i="5"/>
  <c r="I99" i="5" s="1"/>
  <c r="AO99" i="5"/>
  <c r="AW99" i="5" s="1"/>
  <c r="BC99" i="5" s="1"/>
  <c r="AL99" i="5"/>
  <c r="AK99" i="5"/>
  <c r="AJ99" i="5"/>
  <c r="AG99" i="5"/>
  <c r="AF99" i="5"/>
  <c r="AE99" i="5"/>
  <c r="AD99" i="5"/>
  <c r="AC99" i="5"/>
  <c r="AB99" i="5"/>
  <c r="Z99" i="5"/>
  <c r="J99" i="5"/>
  <c r="H99" i="5"/>
  <c r="BJ98" i="5"/>
  <c r="AH98" i="5" s="1"/>
  <c r="BF98" i="5"/>
  <c r="BD98" i="5"/>
  <c r="AW98" i="5"/>
  <c r="AP98" i="5"/>
  <c r="AX98" i="5" s="1"/>
  <c r="AO98" i="5"/>
  <c r="H98" i="5" s="1"/>
  <c r="AK98" i="5"/>
  <c r="AJ98" i="5"/>
  <c r="AG98" i="5"/>
  <c r="AF98" i="5"/>
  <c r="AE98" i="5"/>
  <c r="AD98" i="5"/>
  <c r="AC98" i="5"/>
  <c r="AB98" i="5"/>
  <c r="Z98" i="5"/>
  <c r="J98" i="5"/>
  <c r="AL98" i="5" s="1"/>
  <c r="I98" i="5"/>
  <c r="BJ97" i="5"/>
  <c r="BF97" i="5"/>
  <c r="BD97" i="5"/>
  <c r="AW97" i="5"/>
  <c r="AP97" i="5"/>
  <c r="I97" i="5" s="1"/>
  <c r="AO97" i="5"/>
  <c r="BH97" i="5" s="1"/>
  <c r="AK97" i="5"/>
  <c r="AJ97" i="5"/>
  <c r="AH97" i="5"/>
  <c r="AG97" i="5"/>
  <c r="AF97" i="5"/>
  <c r="AE97" i="5"/>
  <c r="AD97" i="5"/>
  <c r="AC97" i="5"/>
  <c r="AB97" i="5"/>
  <c r="Z97" i="5"/>
  <c r="J97" i="5"/>
  <c r="AL97" i="5" s="1"/>
  <c r="H97" i="5"/>
  <c r="BJ96" i="5"/>
  <c r="AH96" i="5" s="1"/>
  <c r="BF96" i="5"/>
  <c r="BD96" i="5"/>
  <c r="BC96" i="5"/>
  <c r="AX96" i="5"/>
  <c r="AW96" i="5"/>
  <c r="AV96" i="5"/>
  <c r="AP96" i="5"/>
  <c r="BI96" i="5" s="1"/>
  <c r="AO96" i="5"/>
  <c r="BH96" i="5" s="1"/>
  <c r="AL96" i="5"/>
  <c r="AK96" i="5"/>
  <c r="AJ96" i="5"/>
  <c r="AG96" i="5"/>
  <c r="AF96" i="5"/>
  <c r="AE96" i="5"/>
  <c r="AD96" i="5"/>
  <c r="AC96" i="5"/>
  <c r="AB96" i="5"/>
  <c r="Z96" i="5"/>
  <c r="J96" i="5"/>
  <c r="I96" i="5"/>
  <c r="H96" i="5"/>
  <c r="BJ95" i="5"/>
  <c r="BF95" i="5"/>
  <c r="BD95" i="5"/>
  <c r="AX95" i="5"/>
  <c r="AW95" i="5"/>
  <c r="AP95" i="5"/>
  <c r="BI95" i="5" s="1"/>
  <c r="AO95" i="5"/>
  <c r="H95" i="5" s="1"/>
  <c r="AK95" i="5"/>
  <c r="AJ95" i="5"/>
  <c r="AH95" i="5"/>
  <c r="AG95" i="5"/>
  <c r="AF95" i="5"/>
  <c r="AE95" i="5"/>
  <c r="AD95" i="5"/>
  <c r="AC95" i="5"/>
  <c r="AB95" i="5"/>
  <c r="Z95" i="5"/>
  <c r="J95" i="5"/>
  <c r="AL95" i="5" s="1"/>
  <c r="I95" i="5"/>
  <c r="BJ94" i="5"/>
  <c r="BF94" i="5"/>
  <c r="BD94" i="5"/>
  <c r="AX94" i="5"/>
  <c r="AP94" i="5"/>
  <c r="I94" i="5" s="1"/>
  <c r="AO94" i="5"/>
  <c r="AW94" i="5" s="1"/>
  <c r="AK94" i="5"/>
  <c r="AJ94" i="5"/>
  <c r="AH94" i="5"/>
  <c r="AG94" i="5"/>
  <c r="AF94" i="5"/>
  <c r="AE94" i="5"/>
  <c r="AD94" i="5"/>
  <c r="AC94" i="5"/>
  <c r="AB94" i="5"/>
  <c r="Z94" i="5"/>
  <c r="J94" i="5"/>
  <c r="AL94" i="5" s="1"/>
  <c r="BJ93" i="5"/>
  <c r="AH93" i="5" s="1"/>
  <c r="BF93" i="5"/>
  <c r="BD93" i="5"/>
  <c r="AP93" i="5"/>
  <c r="AX93" i="5" s="1"/>
  <c r="AO93" i="5"/>
  <c r="AL93" i="5"/>
  <c r="AK93" i="5"/>
  <c r="AJ93" i="5"/>
  <c r="AG93" i="5"/>
  <c r="AF93" i="5"/>
  <c r="AE93" i="5"/>
  <c r="AD93" i="5"/>
  <c r="AC93" i="5"/>
  <c r="AB93" i="5"/>
  <c r="Z93" i="5"/>
  <c r="J93" i="5"/>
  <c r="BJ92" i="5"/>
  <c r="AH92" i="5" s="1"/>
  <c r="BF92" i="5"/>
  <c r="BD92" i="5"/>
  <c r="AW92" i="5"/>
  <c r="AP92" i="5"/>
  <c r="AO92" i="5"/>
  <c r="H92" i="5" s="1"/>
  <c r="AL92" i="5"/>
  <c r="AK92" i="5"/>
  <c r="AJ92" i="5"/>
  <c r="AG92" i="5"/>
  <c r="AF92" i="5"/>
  <c r="AE92" i="5"/>
  <c r="AD92" i="5"/>
  <c r="AC92" i="5"/>
  <c r="AB92" i="5"/>
  <c r="Z92" i="5"/>
  <c r="J92" i="5"/>
  <c r="BJ91" i="5"/>
  <c r="AH91" i="5" s="1"/>
  <c r="BF91" i="5"/>
  <c r="BD91" i="5"/>
  <c r="AX91" i="5"/>
  <c r="AP91" i="5"/>
  <c r="I91" i="5" s="1"/>
  <c r="AO91" i="5"/>
  <c r="AW91" i="5" s="1"/>
  <c r="BC91" i="5" s="1"/>
  <c r="AL91" i="5"/>
  <c r="AK91" i="5"/>
  <c r="AJ91" i="5"/>
  <c r="AG91" i="5"/>
  <c r="AF91" i="5"/>
  <c r="AE91" i="5"/>
  <c r="AD91" i="5"/>
  <c r="AC91" i="5"/>
  <c r="AB91" i="5"/>
  <c r="Z91" i="5"/>
  <c r="J91" i="5"/>
  <c r="H91" i="5"/>
  <c r="BJ90" i="5"/>
  <c r="AH90" i="5" s="1"/>
  <c r="BF90" i="5"/>
  <c r="BD90" i="5"/>
  <c r="AW90" i="5"/>
  <c r="AP90" i="5"/>
  <c r="AX90" i="5" s="1"/>
  <c r="AO90" i="5"/>
  <c r="H90" i="5" s="1"/>
  <c r="AK90" i="5"/>
  <c r="AJ90" i="5"/>
  <c r="AG90" i="5"/>
  <c r="AF90" i="5"/>
  <c r="AE90" i="5"/>
  <c r="AD90" i="5"/>
  <c r="AC90" i="5"/>
  <c r="AB90" i="5"/>
  <c r="Z90" i="5"/>
  <c r="J90" i="5"/>
  <c r="AL90" i="5" s="1"/>
  <c r="I90" i="5"/>
  <c r="BJ89" i="5"/>
  <c r="BF89" i="5"/>
  <c r="BD89" i="5"/>
  <c r="AW89" i="5"/>
  <c r="AP89" i="5"/>
  <c r="I89" i="5" s="1"/>
  <c r="AO89" i="5"/>
  <c r="BH89" i="5" s="1"/>
  <c r="AK89" i="5"/>
  <c r="AJ89" i="5"/>
  <c r="AH89" i="5"/>
  <c r="AG89" i="5"/>
  <c r="AF89" i="5"/>
  <c r="AE89" i="5"/>
  <c r="AD89" i="5"/>
  <c r="AC89" i="5"/>
  <c r="AB89" i="5"/>
  <c r="Z89" i="5"/>
  <c r="J89" i="5"/>
  <c r="AL89" i="5" s="1"/>
  <c r="H89" i="5"/>
  <c r="BJ88" i="5"/>
  <c r="AH88" i="5" s="1"/>
  <c r="BF88" i="5"/>
  <c r="BD88" i="5"/>
  <c r="BC88" i="5"/>
  <c r="AX88" i="5"/>
  <c r="AW88" i="5"/>
  <c r="AV88" i="5"/>
  <c r="AP88" i="5"/>
  <c r="BI88" i="5" s="1"/>
  <c r="AO88" i="5"/>
  <c r="BH88" i="5" s="1"/>
  <c r="AL88" i="5"/>
  <c r="AK88" i="5"/>
  <c r="AJ88" i="5"/>
  <c r="AG88" i="5"/>
  <c r="AF88" i="5"/>
  <c r="AE88" i="5"/>
  <c r="AD88" i="5"/>
  <c r="AC88" i="5"/>
  <c r="AB88" i="5"/>
  <c r="Z88" i="5"/>
  <c r="J88" i="5"/>
  <c r="I88" i="5"/>
  <c r="H88" i="5"/>
  <c r="BJ87" i="5"/>
  <c r="BF87" i="5"/>
  <c r="BD87" i="5"/>
  <c r="AX87" i="5"/>
  <c r="AW87" i="5"/>
  <c r="AP87" i="5"/>
  <c r="BI87" i="5" s="1"/>
  <c r="AO87" i="5"/>
  <c r="H87" i="5" s="1"/>
  <c r="AK87" i="5"/>
  <c r="AJ87" i="5"/>
  <c r="AH87" i="5"/>
  <c r="AG87" i="5"/>
  <c r="AF87" i="5"/>
  <c r="AE87" i="5"/>
  <c r="AD87" i="5"/>
  <c r="AC87" i="5"/>
  <c r="AB87" i="5"/>
  <c r="Z87" i="5"/>
  <c r="J87" i="5"/>
  <c r="AL87" i="5" s="1"/>
  <c r="I87" i="5"/>
  <c r="BJ86" i="5"/>
  <c r="BF86" i="5"/>
  <c r="BD86" i="5"/>
  <c r="AX86" i="5"/>
  <c r="AP86" i="5"/>
  <c r="I86" i="5" s="1"/>
  <c r="AO86" i="5"/>
  <c r="AW86" i="5" s="1"/>
  <c r="AK86" i="5"/>
  <c r="AJ86" i="5"/>
  <c r="AH86" i="5"/>
  <c r="AG86" i="5"/>
  <c r="AF86" i="5"/>
  <c r="AE86" i="5"/>
  <c r="AD86" i="5"/>
  <c r="AC86" i="5"/>
  <c r="AB86" i="5"/>
  <c r="Z86" i="5"/>
  <c r="J86" i="5"/>
  <c r="BJ85" i="5"/>
  <c r="AH85" i="5" s="1"/>
  <c r="C20" i="7" s="1"/>
  <c r="BF85" i="5"/>
  <c r="BD85" i="5"/>
  <c r="AP85" i="5"/>
  <c r="AX85" i="5" s="1"/>
  <c r="AO85" i="5"/>
  <c r="AL85" i="5"/>
  <c r="AK85" i="5"/>
  <c r="AJ85" i="5"/>
  <c r="AS84" i="5" s="1"/>
  <c r="AG85" i="5"/>
  <c r="C19" i="7" s="1"/>
  <c r="AF85" i="5"/>
  <c r="AE85" i="5"/>
  <c r="AD85" i="5"/>
  <c r="AC85" i="5"/>
  <c r="AB85" i="5"/>
  <c r="C14" i="7" s="1"/>
  <c r="Z85" i="5"/>
  <c r="J85" i="5"/>
  <c r="BJ83" i="5"/>
  <c r="BF83" i="5"/>
  <c r="BD83" i="5"/>
  <c r="AX83" i="5"/>
  <c r="AP83" i="5"/>
  <c r="I83" i="5" s="1"/>
  <c r="AO83" i="5"/>
  <c r="AW83" i="5" s="1"/>
  <c r="AK83" i="5"/>
  <c r="AJ83" i="5"/>
  <c r="AH83" i="5"/>
  <c r="AG83" i="5"/>
  <c r="AF83" i="5"/>
  <c r="AE83" i="5"/>
  <c r="AD83" i="5"/>
  <c r="AC83" i="5"/>
  <c r="AB83" i="5"/>
  <c r="Z83" i="5"/>
  <c r="J83" i="5"/>
  <c r="AL83" i="5" s="1"/>
  <c r="AU80" i="5" s="1"/>
  <c r="BJ82" i="5"/>
  <c r="BH82" i="5"/>
  <c r="BF82" i="5"/>
  <c r="BD82" i="5"/>
  <c r="AP82" i="5"/>
  <c r="AX82" i="5" s="1"/>
  <c r="AO82" i="5"/>
  <c r="AL82" i="5"/>
  <c r="AK82" i="5"/>
  <c r="AJ82" i="5"/>
  <c r="AS80" i="5" s="1"/>
  <c r="AH82" i="5"/>
  <c r="AG82" i="5"/>
  <c r="AF82" i="5"/>
  <c r="AE82" i="5"/>
  <c r="AD82" i="5"/>
  <c r="AC82" i="5"/>
  <c r="AB82" i="5"/>
  <c r="Z82" i="5"/>
  <c r="J82" i="5"/>
  <c r="BJ81" i="5"/>
  <c r="BF81" i="5"/>
  <c r="BD81" i="5"/>
  <c r="AW81" i="5"/>
  <c r="AP81" i="5"/>
  <c r="AO81" i="5"/>
  <c r="H81" i="5" s="1"/>
  <c r="AL81" i="5"/>
  <c r="AK81" i="5"/>
  <c r="AT80" i="5" s="1"/>
  <c r="AJ81" i="5"/>
  <c r="AH81" i="5"/>
  <c r="AG81" i="5"/>
  <c r="AF81" i="5"/>
  <c r="AE81" i="5"/>
  <c r="AD81" i="5"/>
  <c r="AC81" i="5"/>
  <c r="AB81" i="5"/>
  <c r="Z81" i="5"/>
  <c r="J81" i="5"/>
  <c r="J80" i="5"/>
  <c r="BJ79" i="5"/>
  <c r="BH79" i="5"/>
  <c r="BF79" i="5"/>
  <c r="BD79" i="5"/>
  <c r="AP79" i="5"/>
  <c r="AX79" i="5" s="1"/>
  <c r="AO79" i="5"/>
  <c r="AL79" i="5"/>
  <c r="AU78" i="5" s="1"/>
  <c r="AK79" i="5"/>
  <c r="AJ79" i="5"/>
  <c r="AS78" i="5" s="1"/>
  <c r="AH79" i="5"/>
  <c r="AG79" i="5"/>
  <c r="AF79" i="5"/>
  <c r="AE79" i="5"/>
  <c r="AD79" i="5"/>
  <c r="AC79" i="5"/>
  <c r="AB79" i="5"/>
  <c r="Z79" i="5"/>
  <c r="J79" i="5"/>
  <c r="AT78" i="5"/>
  <c r="J78" i="5"/>
  <c r="BJ77" i="5"/>
  <c r="BF77" i="5"/>
  <c r="BD77" i="5"/>
  <c r="AX77" i="5"/>
  <c r="AP77" i="5"/>
  <c r="I77" i="5" s="1"/>
  <c r="AO77" i="5"/>
  <c r="AW77" i="5" s="1"/>
  <c r="AK77" i="5"/>
  <c r="AJ77" i="5"/>
  <c r="AH77" i="5"/>
  <c r="AG77" i="5"/>
  <c r="AF77" i="5"/>
  <c r="AE77" i="5"/>
  <c r="AD77" i="5"/>
  <c r="Z77" i="5"/>
  <c r="J77" i="5"/>
  <c r="J75" i="5" s="1"/>
  <c r="BJ76" i="5"/>
  <c r="BF76" i="5"/>
  <c r="BD76" i="5"/>
  <c r="AP76" i="5"/>
  <c r="AX76" i="5" s="1"/>
  <c r="AO76" i="5"/>
  <c r="BH76" i="5" s="1"/>
  <c r="AB76" i="5" s="1"/>
  <c r="AL76" i="5"/>
  <c r="AK76" i="5"/>
  <c r="AJ76" i="5"/>
  <c r="AS75" i="5" s="1"/>
  <c r="AH76" i="5"/>
  <c r="AG76" i="5"/>
  <c r="AF76" i="5"/>
  <c r="AE76" i="5"/>
  <c r="AD76" i="5"/>
  <c r="Z76" i="5"/>
  <c r="J76" i="5"/>
  <c r="AT75" i="5"/>
  <c r="BJ74" i="5"/>
  <c r="BF74" i="5"/>
  <c r="BD74" i="5"/>
  <c r="AX74" i="5"/>
  <c r="AP74" i="5"/>
  <c r="I74" i="5" s="1"/>
  <c r="I73" i="5" s="1"/>
  <c r="AO74" i="5"/>
  <c r="AW74" i="5" s="1"/>
  <c r="AL74" i="5"/>
  <c r="AU73" i="5" s="1"/>
  <c r="AK74" i="5"/>
  <c r="AT73" i="5" s="1"/>
  <c r="AJ74" i="5"/>
  <c r="AH74" i="5"/>
  <c r="AG74" i="5"/>
  <c r="AF74" i="5"/>
  <c r="AE74" i="5"/>
  <c r="AD74" i="5"/>
  <c r="Z74" i="5"/>
  <c r="J74" i="5"/>
  <c r="J73" i="5" s="1"/>
  <c r="AS73" i="5"/>
  <c r="BJ72" i="5"/>
  <c r="BF72" i="5"/>
  <c r="BD72" i="5"/>
  <c r="AX72" i="5"/>
  <c r="AW72" i="5"/>
  <c r="AP72" i="5"/>
  <c r="BI72" i="5" s="1"/>
  <c r="AC72" i="5" s="1"/>
  <c r="AO72" i="5"/>
  <c r="H72" i="5" s="1"/>
  <c r="AK72" i="5"/>
  <c r="AJ72" i="5"/>
  <c r="AH72" i="5"/>
  <c r="AG72" i="5"/>
  <c r="AF72" i="5"/>
  <c r="AE72" i="5"/>
  <c r="AD72" i="5"/>
  <c r="Z72" i="5"/>
  <c r="J72" i="5"/>
  <c r="AL72" i="5" s="1"/>
  <c r="I72" i="5"/>
  <c r="BJ71" i="5"/>
  <c r="BF71" i="5"/>
  <c r="BD71" i="5"/>
  <c r="AX71" i="5"/>
  <c r="AP71" i="5"/>
  <c r="I71" i="5" s="1"/>
  <c r="AO71" i="5"/>
  <c r="AW71" i="5" s="1"/>
  <c r="AL71" i="5"/>
  <c r="AK71" i="5"/>
  <c r="AJ71" i="5"/>
  <c r="AH71" i="5"/>
  <c r="AG71" i="5"/>
  <c r="AF71" i="5"/>
  <c r="AE71" i="5"/>
  <c r="AD71" i="5"/>
  <c r="Z71" i="5"/>
  <c r="J71" i="5"/>
  <c r="BJ70" i="5"/>
  <c r="BH70" i="5"/>
  <c r="AB70" i="5" s="1"/>
  <c r="BF70" i="5"/>
  <c r="BD70" i="5"/>
  <c r="AP70" i="5"/>
  <c r="AX70" i="5" s="1"/>
  <c r="AO70" i="5"/>
  <c r="AL70" i="5"/>
  <c r="AK70" i="5"/>
  <c r="AJ70" i="5"/>
  <c r="AH70" i="5"/>
  <c r="AG70" i="5"/>
  <c r="AF70" i="5"/>
  <c r="AE70" i="5"/>
  <c r="AD70" i="5"/>
  <c r="Z70" i="5"/>
  <c r="J70" i="5"/>
  <c r="BJ69" i="5"/>
  <c r="BF69" i="5"/>
  <c r="BD69" i="5"/>
  <c r="AW69" i="5"/>
  <c r="AP69" i="5"/>
  <c r="AO69" i="5"/>
  <c r="H69" i="5" s="1"/>
  <c r="AL69" i="5"/>
  <c r="AK69" i="5"/>
  <c r="AJ69" i="5"/>
  <c r="AH69" i="5"/>
  <c r="AG69" i="5"/>
  <c r="AF69" i="5"/>
  <c r="AE69" i="5"/>
  <c r="AD69" i="5"/>
  <c r="Z69" i="5"/>
  <c r="J69" i="5"/>
  <c r="BJ68" i="5"/>
  <c r="BF68" i="5"/>
  <c r="BD68" i="5"/>
  <c r="AX68" i="5"/>
  <c r="AP68" i="5"/>
  <c r="I68" i="5" s="1"/>
  <c r="AO68" i="5"/>
  <c r="AW68" i="5" s="1"/>
  <c r="BC68" i="5" s="1"/>
  <c r="AL68" i="5"/>
  <c r="AK68" i="5"/>
  <c r="AJ68" i="5"/>
  <c r="AH68" i="5"/>
  <c r="AG68" i="5"/>
  <c r="AF68" i="5"/>
  <c r="AE68" i="5"/>
  <c r="AD68" i="5"/>
  <c r="Z68" i="5"/>
  <c r="J68" i="5"/>
  <c r="H68" i="5"/>
  <c r="BJ67" i="5"/>
  <c r="BH67" i="5"/>
  <c r="AB67" i="5" s="1"/>
  <c r="BF67" i="5"/>
  <c r="BD67" i="5"/>
  <c r="AP67" i="5"/>
  <c r="AX67" i="5" s="1"/>
  <c r="AO67" i="5"/>
  <c r="H67" i="5" s="1"/>
  <c r="AK67" i="5"/>
  <c r="AJ67" i="5"/>
  <c r="AH67" i="5"/>
  <c r="AG67" i="5"/>
  <c r="AF67" i="5"/>
  <c r="AE67" i="5"/>
  <c r="AD67" i="5"/>
  <c r="Z67" i="5"/>
  <c r="J67" i="5"/>
  <c r="AL67" i="5" s="1"/>
  <c r="I67" i="5"/>
  <c r="BJ66" i="5"/>
  <c r="BF66" i="5"/>
  <c r="BD66" i="5"/>
  <c r="AW66" i="5"/>
  <c r="AP66" i="5"/>
  <c r="I66" i="5" s="1"/>
  <c r="AO66" i="5"/>
  <c r="BH66" i="5" s="1"/>
  <c r="AB66" i="5" s="1"/>
  <c r="AK66" i="5"/>
  <c r="AJ66" i="5"/>
  <c r="AH66" i="5"/>
  <c r="AG66" i="5"/>
  <c r="AF66" i="5"/>
  <c r="AE66" i="5"/>
  <c r="AD66" i="5"/>
  <c r="Z66" i="5"/>
  <c r="J66" i="5"/>
  <c r="AL66" i="5" s="1"/>
  <c r="H66" i="5"/>
  <c r="BJ65" i="5"/>
  <c r="BF65" i="5"/>
  <c r="BD65" i="5"/>
  <c r="BC65" i="5"/>
  <c r="AX65" i="5"/>
  <c r="AW65" i="5"/>
  <c r="AV65" i="5"/>
  <c r="AP65" i="5"/>
  <c r="BI65" i="5" s="1"/>
  <c r="AC65" i="5" s="1"/>
  <c r="AO65" i="5"/>
  <c r="BH65" i="5" s="1"/>
  <c r="AB65" i="5" s="1"/>
  <c r="AL65" i="5"/>
  <c r="AK65" i="5"/>
  <c r="AJ65" i="5"/>
  <c r="AH65" i="5"/>
  <c r="AG65" i="5"/>
  <c r="AF65" i="5"/>
  <c r="AE65" i="5"/>
  <c r="AD65" i="5"/>
  <c r="Z65" i="5"/>
  <c r="J65" i="5"/>
  <c r="I65" i="5"/>
  <c r="H65" i="5"/>
  <c r="BJ64" i="5"/>
  <c r="BF64" i="5"/>
  <c r="BD64" i="5"/>
  <c r="AX64" i="5"/>
  <c r="AW64" i="5"/>
  <c r="AP64" i="5"/>
  <c r="BI64" i="5" s="1"/>
  <c r="AC64" i="5" s="1"/>
  <c r="AO64" i="5"/>
  <c r="H64" i="5" s="1"/>
  <c r="AK64" i="5"/>
  <c r="AT63" i="5" s="1"/>
  <c r="AJ64" i="5"/>
  <c r="AH64" i="5"/>
  <c r="AG64" i="5"/>
  <c r="AF64" i="5"/>
  <c r="AE64" i="5"/>
  <c r="AD64" i="5"/>
  <c r="Z64" i="5"/>
  <c r="J64" i="5"/>
  <c r="AL64" i="5" s="1"/>
  <c r="I64" i="5"/>
  <c r="J63" i="5"/>
  <c r="BJ62" i="5"/>
  <c r="BF62" i="5"/>
  <c r="BD62" i="5"/>
  <c r="BC62" i="5"/>
  <c r="AX62" i="5"/>
  <c r="AW62" i="5"/>
  <c r="AV62" i="5"/>
  <c r="AP62" i="5"/>
  <c r="BI62" i="5" s="1"/>
  <c r="AC62" i="5" s="1"/>
  <c r="AO62" i="5"/>
  <c r="BH62" i="5" s="1"/>
  <c r="AB62" i="5" s="1"/>
  <c r="AL62" i="5"/>
  <c r="AK62" i="5"/>
  <c r="AJ62" i="5"/>
  <c r="AH62" i="5"/>
  <c r="AG62" i="5"/>
  <c r="AF62" i="5"/>
  <c r="AE62" i="5"/>
  <c r="AD62" i="5"/>
  <c r="Z62" i="5"/>
  <c r="J62" i="5"/>
  <c r="I62" i="5"/>
  <c r="H62" i="5"/>
  <c r="BJ61" i="5"/>
  <c r="BF61" i="5"/>
  <c r="BD61" i="5"/>
  <c r="AX61" i="5"/>
  <c r="AW61" i="5"/>
  <c r="AP61" i="5"/>
  <c r="BI61" i="5" s="1"/>
  <c r="AC61" i="5" s="1"/>
  <c r="AO61" i="5"/>
  <c r="H61" i="5" s="1"/>
  <c r="AK61" i="5"/>
  <c r="AT60" i="5" s="1"/>
  <c r="AJ61" i="5"/>
  <c r="AS60" i="5" s="1"/>
  <c r="AH61" i="5"/>
  <c r="AG61" i="5"/>
  <c r="AF61" i="5"/>
  <c r="AE61" i="5"/>
  <c r="AD61" i="5"/>
  <c r="Z61" i="5"/>
  <c r="J61" i="5"/>
  <c r="AL61" i="5" s="1"/>
  <c r="AU60" i="5" s="1"/>
  <c r="I61" i="5"/>
  <c r="I60" i="5" s="1"/>
  <c r="J60" i="5"/>
  <c r="BJ59" i="5"/>
  <c r="BF59" i="5"/>
  <c r="BD59" i="5"/>
  <c r="BC59" i="5"/>
  <c r="AX59" i="5"/>
  <c r="AW59" i="5"/>
  <c r="AV59" i="5"/>
  <c r="AP59" i="5"/>
  <c r="BI59" i="5" s="1"/>
  <c r="AE59" i="5" s="1"/>
  <c r="AO59" i="5"/>
  <c r="BH59" i="5" s="1"/>
  <c r="AD59" i="5" s="1"/>
  <c r="AL59" i="5"/>
  <c r="AU58" i="5" s="1"/>
  <c r="AK59" i="5"/>
  <c r="AT58" i="5" s="1"/>
  <c r="AJ59" i="5"/>
  <c r="AS58" i="5" s="1"/>
  <c r="AH59" i="5"/>
  <c r="AG59" i="5"/>
  <c r="AF59" i="5"/>
  <c r="AC59" i="5"/>
  <c r="AB59" i="5"/>
  <c r="Z59" i="5"/>
  <c r="J59" i="5"/>
  <c r="J58" i="5" s="1"/>
  <c r="I59" i="5"/>
  <c r="H59" i="5"/>
  <c r="H58" i="5" s="1"/>
  <c r="I58" i="5"/>
  <c r="BJ57" i="5"/>
  <c r="BF57" i="5"/>
  <c r="BD57" i="5"/>
  <c r="AW57" i="5"/>
  <c r="AP57" i="5"/>
  <c r="I57" i="5" s="1"/>
  <c r="I55" i="5" s="1"/>
  <c r="AO57" i="5"/>
  <c r="BH57" i="5" s="1"/>
  <c r="AK57" i="5"/>
  <c r="AJ57" i="5"/>
  <c r="AH57" i="5"/>
  <c r="AG57" i="5"/>
  <c r="AF57" i="5"/>
  <c r="AE57" i="5"/>
  <c r="AD57" i="5"/>
  <c r="AB57" i="5"/>
  <c r="Z57" i="5"/>
  <c r="J57" i="5"/>
  <c r="AL57" i="5" s="1"/>
  <c r="H57" i="5"/>
  <c r="BJ56" i="5"/>
  <c r="BF56" i="5"/>
  <c r="BD56" i="5"/>
  <c r="BC56" i="5"/>
  <c r="AX56" i="5"/>
  <c r="AW56" i="5"/>
  <c r="AV56" i="5"/>
  <c r="AP56" i="5"/>
  <c r="BI56" i="5" s="1"/>
  <c r="AC56" i="5" s="1"/>
  <c r="AO56" i="5"/>
  <c r="BH56" i="5" s="1"/>
  <c r="AB56" i="5" s="1"/>
  <c r="AL56" i="5"/>
  <c r="AK56" i="5"/>
  <c r="AT55" i="5" s="1"/>
  <c r="AJ56" i="5"/>
  <c r="AS55" i="5" s="1"/>
  <c r="AH56" i="5"/>
  <c r="AG56" i="5"/>
  <c r="AF56" i="5"/>
  <c r="AE56" i="5"/>
  <c r="AD56" i="5"/>
  <c r="Z56" i="5"/>
  <c r="J56" i="5"/>
  <c r="J55" i="5" s="1"/>
  <c r="I56" i="5"/>
  <c r="H56" i="5"/>
  <c r="H55" i="5" s="1"/>
  <c r="BJ54" i="5"/>
  <c r="BI54" i="5"/>
  <c r="AC54" i="5" s="1"/>
  <c r="BF54" i="5"/>
  <c r="BD54" i="5"/>
  <c r="AX54" i="5"/>
  <c r="AW54" i="5"/>
  <c r="BC54" i="5" s="1"/>
  <c r="AV54" i="5"/>
  <c r="AP54" i="5"/>
  <c r="AO54" i="5"/>
  <c r="BH54" i="5" s="1"/>
  <c r="AK54" i="5"/>
  <c r="AJ54" i="5"/>
  <c r="AH54" i="5"/>
  <c r="AG54" i="5"/>
  <c r="AF54" i="5"/>
  <c r="AE54" i="5"/>
  <c r="AD54" i="5"/>
  <c r="AB54" i="5"/>
  <c r="Z54" i="5"/>
  <c r="J54" i="5"/>
  <c r="AL54" i="5" s="1"/>
  <c r="I54" i="5"/>
  <c r="H54" i="5"/>
  <c r="BJ53" i="5"/>
  <c r="BF53" i="5"/>
  <c r="BD53" i="5"/>
  <c r="AX53" i="5"/>
  <c r="AW53" i="5"/>
  <c r="BC53" i="5" s="1"/>
  <c r="AP53" i="5"/>
  <c r="BI53" i="5" s="1"/>
  <c r="AO53" i="5"/>
  <c r="BH53" i="5" s="1"/>
  <c r="AB53" i="5" s="1"/>
  <c r="AL53" i="5"/>
  <c r="AK53" i="5"/>
  <c r="AJ53" i="5"/>
  <c r="AH53" i="5"/>
  <c r="AG53" i="5"/>
  <c r="AF53" i="5"/>
  <c r="AE53" i="5"/>
  <c r="AD53" i="5"/>
  <c r="AC53" i="5"/>
  <c r="Z53" i="5"/>
  <c r="J53" i="5"/>
  <c r="I53" i="5"/>
  <c r="H53" i="5"/>
  <c r="BJ52" i="5"/>
  <c r="BF52" i="5"/>
  <c r="BD52" i="5"/>
  <c r="AX52" i="5"/>
  <c r="AP52" i="5"/>
  <c r="BI52" i="5" s="1"/>
  <c r="AC52" i="5" s="1"/>
  <c r="AO52" i="5"/>
  <c r="H52" i="5" s="1"/>
  <c r="AK52" i="5"/>
  <c r="AJ52" i="5"/>
  <c r="AH52" i="5"/>
  <c r="AG52" i="5"/>
  <c r="AF52" i="5"/>
  <c r="AE52" i="5"/>
  <c r="AD52" i="5"/>
  <c r="Z52" i="5"/>
  <c r="J52" i="5"/>
  <c r="AL52" i="5" s="1"/>
  <c r="I52" i="5"/>
  <c r="BJ51" i="5"/>
  <c r="BI51" i="5"/>
  <c r="BH51" i="5"/>
  <c r="BF51" i="5"/>
  <c r="BD51" i="5"/>
  <c r="AX51" i="5"/>
  <c r="AP51" i="5"/>
  <c r="I51" i="5" s="1"/>
  <c r="AO51" i="5"/>
  <c r="AK51" i="5"/>
  <c r="AJ51" i="5"/>
  <c r="AS48" i="5" s="1"/>
  <c r="AH51" i="5"/>
  <c r="AG51" i="5"/>
  <c r="AF51" i="5"/>
  <c r="AE51" i="5"/>
  <c r="AD51" i="5"/>
  <c r="AC51" i="5"/>
  <c r="AB51" i="5"/>
  <c r="Z51" i="5"/>
  <c r="J51" i="5"/>
  <c r="AL51" i="5" s="1"/>
  <c r="BJ50" i="5"/>
  <c r="BI50" i="5"/>
  <c r="BF50" i="5"/>
  <c r="BD50" i="5"/>
  <c r="AP50" i="5"/>
  <c r="AO50" i="5"/>
  <c r="AW50" i="5" s="1"/>
  <c r="AL50" i="5"/>
  <c r="AU48" i="5" s="1"/>
  <c r="AK50" i="5"/>
  <c r="AJ50" i="5"/>
  <c r="AH50" i="5"/>
  <c r="AG50" i="5"/>
  <c r="AF50" i="5"/>
  <c r="AE50" i="5"/>
  <c r="AD50" i="5"/>
  <c r="AC50" i="5"/>
  <c r="Z50" i="5"/>
  <c r="J50" i="5"/>
  <c r="H50" i="5"/>
  <c r="BJ49" i="5"/>
  <c r="BH49" i="5"/>
  <c r="BF49" i="5"/>
  <c r="BD49" i="5"/>
  <c r="AP49" i="5"/>
  <c r="AX49" i="5" s="1"/>
  <c r="AO49" i="5"/>
  <c r="AW49" i="5" s="1"/>
  <c r="AL49" i="5"/>
  <c r="AK49" i="5"/>
  <c r="AT48" i="5" s="1"/>
  <c r="AJ49" i="5"/>
  <c r="AH49" i="5"/>
  <c r="AG49" i="5"/>
  <c r="AF49" i="5"/>
  <c r="AE49" i="5"/>
  <c r="AD49" i="5"/>
  <c r="AB49" i="5"/>
  <c r="Z49" i="5"/>
  <c r="J49" i="5"/>
  <c r="H49" i="5"/>
  <c r="BJ47" i="5"/>
  <c r="BF47" i="5"/>
  <c r="BD47" i="5"/>
  <c r="AP47" i="5"/>
  <c r="AX47" i="5" s="1"/>
  <c r="AO47" i="5"/>
  <c r="AW47" i="5" s="1"/>
  <c r="AL47" i="5"/>
  <c r="AK47" i="5"/>
  <c r="AJ47" i="5"/>
  <c r="AS46" i="5" s="1"/>
  <c r="AH47" i="5"/>
  <c r="AG47" i="5"/>
  <c r="AF47" i="5"/>
  <c r="AE47" i="5"/>
  <c r="AD47" i="5"/>
  <c r="Z47" i="5"/>
  <c r="J47" i="5"/>
  <c r="AU46" i="5"/>
  <c r="AT46" i="5"/>
  <c r="J46" i="5"/>
  <c r="BJ45" i="5"/>
  <c r="BF45" i="5"/>
  <c r="BD45" i="5"/>
  <c r="AX45" i="5"/>
  <c r="AP45" i="5"/>
  <c r="I45" i="5" s="1"/>
  <c r="AO45" i="5"/>
  <c r="AW45" i="5" s="1"/>
  <c r="AK45" i="5"/>
  <c r="AJ45" i="5"/>
  <c r="AH45" i="5"/>
  <c r="AG45" i="5"/>
  <c r="AF45" i="5"/>
  <c r="AE45" i="5"/>
  <c r="AD45" i="5"/>
  <c r="Z45" i="5"/>
  <c r="J45" i="5"/>
  <c r="AL45" i="5" s="1"/>
  <c r="BJ44" i="5"/>
  <c r="BF44" i="5"/>
  <c r="BD44" i="5"/>
  <c r="AP44" i="5"/>
  <c r="AX44" i="5" s="1"/>
  <c r="AO44" i="5"/>
  <c r="AW44" i="5" s="1"/>
  <c r="AL44" i="5"/>
  <c r="AK44" i="5"/>
  <c r="AJ44" i="5"/>
  <c r="AH44" i="5"/>
  <c r="AG44" i="5"/>
  <c r="AF44" i="5"/>
  <c r="AE44" i="5"/>
  <c r="AD44" i="5"/>
  <c r="Z44" i="5"/>
  <c r="J44" i="5"/>
  <c r="BJ43" i="5"/>
  <c r="BF43" i="5"/>
  <c r="BD43" i="5"/>
  <c r="AP43" i="5"/>
  <c r="AX43" i="5" s="1"/>
  <c r="AO43" i="5"/>
  <c r="AW43" i="5" s="1"/>
  <c r="AL43" i="5"/>
  <c r="AK43" i="5"/>
  <c r="AJ43" i="5"/>
  <c r="AH43" i="5"/>
  <c r="AG43" i="5"/>
  <c r="AF43" i="5"/>
  <c r="AE43" i="5"/>
  <c r="AD43" i="5"/>
  <c r="Z43" i="5"/>
  <c r="J43" i="5"/>
  <c r="H43" i="5"/>
  <c r="BJ42" i="5"/>
  <c r="BF42" i="5"/>
  <c r="BD42" i="5"/>
  <c r="AW42" i="5"/>
  <c r="AP42" i="5"/>
  <c r="AX42" i="5" s="1"/>
  <c r="AO42" i="5"/>
  <c r="BH42" i="5" s="1"/>
  <c r="AB42" i="5" s="1"/>
  <c r="AL42" i="5"/>
  <c r="AK42" i="5"/>
  <c r="AJ42" i="5"/>
  <c r="AH42" i="5"/>
  <c r="AG42" i="5"/>
  <c r="AF42" i="5"/>
  <c r="AE42" i="5"/>
  <c r="AD42" i="5"/>
  <c r="Z42" i="5"/>
  <c r="J42" i="5"/>
  <c r="I42" i="5"/>
  <c r="H42" i="5"/>
  <c r="BJ41" i="5"/>
  <c r="BF41" i="5"/>
  <c r="BD41" i="5"/>
  <c r="AX41" i="5"/>
  <c r="AP41" i="5"/>
  <c r="BI41" i="5" s="1"/>
  <c r="AC41" i="5" s="1"/>
  <c r="AO41" i="5"/>
  <c r="AW41" i="5" s="1"/>
  <c r="AK41" i="5"/>
  <c r="AJ41" i="5"/>
  <c r="AH41" i="5"/>
  <c r="AG41" i="5"/>
  <c r="AF41" i="5"/>
  <c r="AE41" i="5"/>
  <c r="AD41" i="5"/>
  <c r="Z41" i="5"/>
  <c r="J41" i="5"/>
  <c r="AL41" i="5" s="1"/>
  <c r="I41" i="5"/>
  <c r="BJ40" i="5"/>
  <c r="BF40" i="5"/>
  <c r="BD40" i="5"/>
  <c r="AW40" i="5"/>
  <c r="AP40" i="5"/>
  <c r="AX40" i="5" s="1"/>
  <c r="AO40" i="5"/>
  <c r="BH40" i="5" s="1"/>
  <c r="AB40" i="5" s="1"/>
  <c r="AK40" i="5"/>
  <c r="AJ40" i="5"/>
  <c r="AH40" i="5"/>
  <c r="AG40" i="5"/>
  <c r="AF40" i="5"/>
  <c r="AE40" i="5"/>
  <c r="AD40" i="5"/>
  <c r="Z40" i="5"/>
  <c r="J40" i="5"/>
  <c r="AL40" i="5" s="1"/>
  <c r="H40" i="5"/>
  <c r="BJ39" i="5"/>
  <c r="BF39" i="5"/>
  <c r="BD39" i="5"/>
  <c r="BC39" i="5"/>
  <c r="AX39" i="5"/>
  <c r="AW39" i="5"/>
  <c r="AV39" i="5"/>
  <c r="AP39" i="5"/>
  <c r="BI39" i="5" s="1"/>
  <c r="AC39" i="5" s="1"/>
  <c r="AO39" i="5"/>
  <c r="BH39" i="5" s="1"/>
  <c r="AB39" i="5" s="1"/>
  <c r="AK39" i="5"/>
  <c r="AT38" i="5" s="1"/>
  <c r="AJ39" i="5"/>
  <c r="AS38" i="5" s="1"/>
  <c r="AH39" i="5"/>
  <c r="AG39" i="5"/>
  <c r="AF39" i="5"/>
  <c r="AE39" i="5"/>
  <c r="AD39" i="5"/>
  <c r="Z39" i="5"/>
  <c r="J39" i="5"/>
  <c r="AL39" i="5" s="1"/>
  <c r="I39" i="5"/>
  <c r="H39" i="5"/>
  <c r="J38" i="5"/>
  <c r="BJ37" i="5"/>
  <c r="BF37" i="5"/>
  <c r="BD37" i="5"/>
  <c r="AW37" i="5"/>
  <c r="AP37" i="5"/>
  <c r="AX37" i="5" s="1"/>
  <c r="AO37" i="5"/>
  <c r="BH37" i="5" s="1"/>
  <c r="AB37" i="5" s="1"/>
  <c r="AK37" i="5"/>
  <c r="AJ37" i="5"/>
  <c r="AS33" i="5" s="1"/>
  <c r="AH37" i="5"/>
  <c r="AG37" i="5"/>
  <c r="AF37" i="5"/>
  <c r="AE37" i="5"/>
  <c r="AD37" i="5"/>
  <c r="Z37" i="5"/>
  <c r="J37" i="5"/>
  <c r="AL37" i="5" s="1"/>
  <c r="H37" i="5"/>
  <c r="BJ36" i="5"/>
  <c r="BF36" i="5"/>
  <c r="BD36" i="5"/>
  <c r="BC36" i="5"/>
  <c r="AX36" i="5"/>
  <c r="AW36" i="5"/>
  <c r="AV36" i="5"/>
  <c r="AP36" i="5"/>
  <c r="BI36" i="5" s="1"/>
  <c r="AC36" i="5" s="1"/>
  <c r="AO36" i="5"/>
  <c r="BH36" i="5" s="1"/>
  <c r="AB36" i="5" s="1"/>
  <c r="AK36" i="5"/>
  <c r="AJ36" i="5"/>
  <c r="AH36" i="5"/>
  <c r="AG36" i="5"/>
  <c r="AF36" i="5"/>
  <c r="AE36" i="5"/>
  <c r="AD36" i="5"/>
  <c r="Z36" i="5"/>
  <c r="J36" i="5"/>
  <c r="AL36" i="5" s="1"/>
  <c r="I36" i="5"/>
  <c r="H36" i="5"/>
  <c r="BJ35" i="5"/>
  <c r="BF35" i="5"/>
  <c r="BD35" i="5"/>
  <c r="AX35" i="5"/>
  <c r="AW35" i="5"/>
  <c r="AV35" i="5" s="1"/>
  <c r="AP35" i="5"/>
  <c r="BI35" i="5" s="1"/>
  <c r="AC35" i="5" s="1"/>
  <c r="AO35" i="5"/>
  <c r="H35" i="5" s="1"/>
  <c r="AL35" i="5"/>
  <c r="AK35" i="5"/>
  <c r="AJ35" i="5"/>
  <c r="AH35" i="5"/>
  <c r="AG35" i="5"/>
  <c r="AF35" i="5"/>
  <c r="AE35" i="5"/>
  <c r="AD35" i="5"/>
  <c r="Z35" i="5"/>
  <c r="J35" i="5"/>
  <c r="I35" i="5"/>
  <c r="BJ34" i="5"/>
  <c r="BF34" i="5"/>
  <c r="BD34" i="5"/>
  <c r="AX34" i="5"/>
  <c r="AP34" i="5"/>
  <c r="I34" i="5" s="1"/>
  <c r="AO34" i="5"/>
  <c r="AW34" i="5" s="1"/>
  <c r="AK34" i="5"/>
  <c r="AJ34" i="5"/>
  <c r="AH34" i="5"/>
  <c r="AG34" i="5"/>
  <c r="AF34" i="5"/>
  <c r="AE34" i="5"/>
  <c r="AD34" i="5"/>
  <c r="Z34" i="5"/>
  <c r="J34" i="5"/>
  <c r="AL34" i="5" s="1"/>
  <c r="AT33" i="5"/>
  <c r="BJ32" i="5"/>
  <c r="BF32" i="5"/>
  <c r="BD32" i="5"/>
  <c r="AX32" i="5"/>
  <c r="AW32" i="5"/>
  <c r="AV32" i="5" s="1"/>
  <c r="AP32" i="5"/>
  <c r="BI32" i="5" s="1"/>
  <c r="AC32" i="5" s="1"/>
  <c r="AO32" i="5"/>
  <c r="H32" i="5" s="1"/>
  <c r="AL32" i="5"/>
  <c r="AK32" i="5"/>
  <c r="AJ32" i="5"/>
  <c r="AH32" i="5"/>
  <c r="AG32" i="5"/>
  <c r="AF32" i="5"/>
  <c r="AE32" i="5"/>
  <c r="AD32" i="5"/>
  <c r="Z32" i="5"/>
  <c r="J32" i="5"/>
  <c r="I32" i="5"/>
  <c r="BJ31" i="5"/>
  <c r="BF31" i="5"/>
  <c r="BD31" i="5"/>
  <c r="AX31" i="5"/>
  <c r="AP31" i="5"/>
  <c r="I31" i="5" s="1"/>
  <c r="AO31" i="5"/>
  <c r="AW31" i="5" s="1"/>
  <c r="AK31" i="5"/>
  <c r="AJ31" i="5"/>
  <c r="AH31" i="5"/>
  <c r="AG31" i="5"/>
  <c r="AF31" i="5"/>
  <c r="AE31" i="5"/>
  <c r="AD31" i="5"/>
  <c r="Z31" i="5"/>
  <c r="J31" i="5"/>
  <c r="AL31" i="5" s="1"/>
  <c r="AU29" i="5" s="1"/>
  <c r="BJ30" i="5"/>
  <c r="BF30" i="5"/>
  <c r="BD30" i="5"/>
  <c r="AP30" i="5"/>
  <c r="AX30" i="5" s="1"/>
  <c r="AO30" i="5"/>
  <c r="AW30" i="5" s="1"/>
  <c r="AL30" i="5"/>
  <c r="AK30" i="5"/>
  <c r="AJ30" i="5"/>
  <c r="AS29" i="5" s="1"/>
  <c r="AH30" i="5"/>
  <c r="AG30" i="5"/>
  <c r="AF30" i="5"/>
  <c r="AE30" i="5"/>
  <c r="AD30" i="5"/>
  <c r="Z30" i="5"/>
  <c r="J30" i="5"/>
  <c r="AT29" i="5"/>
  <c r="BJ28" i="5"/>
  <c r="BF28" i="5"/>
  <c r="BD28" i="5"/>
  <c r="AX28" i="5"/>
  <c r="AP28" i="5"/>
  <c r="I28" i="5" s="1"/>
  <c r="AO28" i="5"/>
  <c r="AW28" i="5" s="1"/>
  <c r="AK28" i="5"/>
  <c r="AJ28" i="5"/>
  <c r="AH28" i="5"/>
  <c r="AG28" i="5"/>
  <c r="AF28" i="5"/>
  <c r="AE28" i="5"/>
  <c r="AD28" i="5"/>
  <c r="Z28" i="5"/>
  <c r="J28" i="5"/>
  <c r="AL28" i="5" s="1"/>
  <c r="BJ27" i="5"/>
  <c r="BF27" i="5"/>
  <c r="BD27" i="5"/>
  <c r="AP27" i="5"/>
  <c r="AX27" i="5" s="1"/>
  <c r="AO27" i="5"/>
  <c r="AW27" i="5" s="1"/>
  <c r="AL27" i="5"/>
  <c r="AK27" i="5"/>
  <c r="AJ27" i="5"/>
  <c r="AH27" i="5"/>
  <c r="AG27" i="5"/>
  <c r="AF27" i="5"/>
  <c r="AE27" i="5"/>
  <c r="AD27" i="5"/>
  <c r="Z27" i="5"/>
  <c r="J27" i="5"/>
  <c r="BJ26" i="5"/>
  <c r="BF26" i="5"/>
  <c r="BD26" i="5"/>
  <c r="AP26" i="5"/>
  <c r="AX26" i="5" s="1"/>
  <c r="AO26" i="5"/>
  <c r="AW26" i="5" s="1"/>
  <c r="AL26" i="5"/>
  <c r="AK26" i="5"/>
  <c r="AJ26" i="5"/>
  <c r="AH26" i="5"/>
  <c r="AG26" i="5"/>
  <c r="AF26" i="5"/>
  <c r="AE26" i="5"/>
  <c r="AD26" i="5"/>
  <c r="Z26" i="5"/>
  <c r="J26" i="5"/>
  <c r="H26" i="5"/>
  <c r="BJ25" i="5"/>
  <c r="BF25" i="5"/>
  <c r="BD25" i="5"/>
  <c r="AW25" i="5"/>
  <c r="AP25" i="5"/>
  <c r="AX25" i="5" s="1"/>
  <c r="AO25" i="5"/>
  <c r="BH25" i="5" s="1"/>
  <c r="AB25" i="5" s="1"/>
  <c r="AL25" i="5"/>
  <c r="AK25" i="5"/>
  <c r="AJ25" i="5"/>
  <c r="AH25" i="5"/>
  <c r="AG25" i="5"/>
  <c r="AF25" i="5"/>
  <c r="AE25" i="5"/>
  <c r="AD25" i="5"/>
  <c r="Z25" i="5"/>
  <c r="J25" i="5"/>
  <c r="I25" i="5"/>
  <c r="H25" i="5"/>
  <c r="BJ24" i="5"/>
  <c r="BF24" i="5"/>
  <c r="BD24" i="5"/>
  <c r="AX24" i="5"/>
  <c r="AP24" i="5"/>
  <c r="BI24" i="5" s="1"/>
  <c r="AC24" i="5" s="1"/>
  <c r="AO24" i="5"/>
  <c r="AW24" i="5" s="1"/>
  <c r="AK24" i="5"/>
  <c r="AJ24" i="5"/>
  <c r="AH24" i="5"/>
  <c r="AG24" i="5"/>
  <c r="AF24" i="5"/>
  <c r="AE24" i="5"/>
  <c r="AD24" i="5"/>
  <c r="Z24" i="5"/>
  <c r="J24" i="5"/>
  <c r="AL24" i="5" s="1"/>
  <c r="I24" i="5"/>
  <c r="BJ23" i="5"/>
  <c r="BF23" i="5"/>
  <c r="BD23" i="5"/>
  <c r="AW23" i="5"/>
  <c r="AP23" i="5"/>
  <c r="AX23" i="5" s="1"/>
  <c r="AO23" i="5"/>
  <c r="BH23" i="5" s="1"/>
  <c r="AB23" i="5" s="1"/>
  <c r="AK23" i="5"/>
  <c r="AJ23" i="5"/>
  <c r="AH23" i="5"/>
  <c r="AG23" i="5"/>
  <c r="AF23" i="5"/>
  <c r="AE23" i="5"/>
  <c r="AD23" i="5"/>
  <c r="Z23" i="5"/>
  <c r="J23" i="5"/>
  <c r="AL23" i="5" s="1"/>
  <c r="H23" i="5"/>
  <c r="BJ22" i="5"/>
  <c r="BF22" i="5"/>
  <c r="BD22" i="5"/>
  <c r="BC22" i="5"/>
  <c r="AX22" i="5"/>
  <c r="AW22" i="5"/>
  <c r="AV22" i="5"/>
  <c r="AP22" i="5"/>
  <c r="BI22" i="5" s="1"/>
  <c r="AC22" i="5" s="1"/>
  <c r="AO22" i="5"/>
  <c r="BH22" i="5" s="1"/>
  <c r="AB22" i="5" s="1"/>
  <c r="AK22" i="5"/>
  <c r="AT21" i="5" s="1"/>
  <c r="AJ22" i="5"/>
  <c r="AS21" i="5" s="1"/>
  <c r="AH22" i="5"/>
  <c r="AG22" i="5"/>
  <c r="AF22" i="5"/>
  <c r="AE22" i="5"/>
  <c r="AD22" i="5"/>
  <c r="Z22" i="5"/>
  <c r="J22" i="5"/>
  <c r="AL22" i="5" s="1"/>
  <c r="AU21" i="5" s="1"/>
  <c r="I22" i="5"/>
  <c r="H22" i="5"/>
  <c r="J21" i="5"/>
  <c r="BJ20" i="5"/>
  <c r="BF20" i="5"/>
  <c r="BD20" i="5"/>
  <c r="AW20" i="5"/>
  <c r="AP20" i="5"/>
  <c r="AX20" i="5" s="1"/>
  <c r="AO20" i="5"/>
  <c r="BH20" i="5" s="1"/>
  <c r="AB20" i="5" s="1"/>
  <c r="AK20" i="5"/>
  <c r="AT19" i="5" s="1"/>
  <c r="AJ20" i="5"/>
  <c r="AS19" i="5" s="1"/>
  <c r="AH20" i="5"/>
  <c r="AG20" i="5"/>
  <c r="AF20" i="5"/>
  <c r="AE20" i="5"/>
  <c r="AD20" i="5"/>
  <c r="Z20" i="5"/>
  <c r="J20" i="5"/>
  <c r="AL20" i="5" s="1"/>
  <c r="AU19" i="5" s="1"/>
  <c r="H20" i="5"/>
  <c r="H19" i="5"/>
  <c r="BJ18" i="5"/>
  <c r="BF18" i="5"/>
  <c r="BD18" i="5"/>
  <c r="AX18" i="5"/>
  <c r="AP18" i="5"/>
  <c r="BI18" i="5" s="1"/>
  <c r="AC18" i="5" s="1"/>
  <c r="AO18" i="5"/>
  <c r="AW18" i="5" s="1"/>
  <c r="AK18" i="5"/>
  <c r="AJ18" i="5"/>
  <c r="AH18" i="5"/>
  <c r="AG18" i="5"/>
  <c r="AF18" i="5"/>
  <c r="AE18" i="5"/>
  <c r="AD18" i="5"/>
  <c r="Z18" i="5"/>
  <c r="J18" i="5"/>
  <c r="AL18" i="5" s="1"/>
  <c r="I18" i="5"/>
  <c r="BJ17" i="5"/>
  <c r="BF17" i="5"/>
  <c r="BD17" i="5"/>
  <c r="AW17" i="5"/>
  <c r="AP17" i="5"/>
  <c r="AX17" i="5" s="1"/>
  <c r="AO17" i="5"/>
  <c r="BH17" i="5" s="1"/>
  <c r="AB17" i="5" s="1"/>
  <c r="AK17" i="5"/>
  <c r="AJ17" i="5"/>
  <c r="AH17" i="5"/>
  <c r="AG17" i="5"/>
  <c r="AF17" i="5"/>
  <c r="AE17" i="5"/>
  <c r="AD17" i="5"/>
  <c r="Z17" i="5"/>
  <c r="J17" i="5"/>
  <c r="AL17" i="5" s="1"/>
  <c r="H17" i="5"/>
  <c r="BJ16" i="5"/>
  <c r="BF16" i="5"/>
  <c r="BD16" i="5"/>
  <c r="BC16" i="5"/>
  <c r="AX16" i="5"/>
  <c r="AW16" i="5"/>
  <c r="AV16" i="5"/>
  <c r="AP16" i="5"/>
  <c r="BI16" i="5" s="1"/>
  <c r="AC16" i="5" s="1"/>
  <c r="AO16" i="5"/>
  <c r="BH16" i="5" s="1"/>
  <c r="AB16" i="5" s="1"/>
  <c r="AK16" i="5"/>
  <c r="AT15" i="5" s="1"/>
  <c r="AJ16" i="5"/>
  <c r="AS15" i="5" s="1"/>
  <c r="AH16" i="5"/>
  <c r="AG16" i="5"/>
  <c r="AF16" i="5"/>
  <c r="AE16" i="5"/>
  <c r="AD16" i="5"/>
  <c r="Z16" i="5"/>
  <c r="J16" i="5"/>
  <c r="AL16" i="5" s="1"/>
  <c r="AU15" i="5" s="1"/>
  <c r="I16" i="5"/>
  <c r="H16" i="5"/>
  <c r="J15" i="5"/>
  <c r="BJ14" i="5"/>
  <c r="BF14" i="5"/>
  <c r="BD14" i="5"/>
  <c r="AW14" i="5"/>
  <c r="AP14" i="5"/>
  <c r="AX14" i="5" s="1"/>
  <c r="AO14" i="5"/>
  <c r="BH14" i="5" s="1"/>
  <c r="AB14" i="5" s="1"/>
  <c r="AK14" i="5"/>
  <c r="AJ14" i="5"/>
  <c r="AH14" i="5"/>
  <c r="AG14" i="5"/>
  <c r="AF14" i="5"/>
  <c r="AE14" i="5"/>
  <c r="AD14" i="5"/>
  <c r="Z14" i="5"/>
  <c r="J14" i="5"/>
  <c r="AL14" i="5" s="1"/>
  <c r="H14" i="5"/>
  <c r="BJ13" i="5"/>
  <c r="BF13" i="5"/>
  <c r="BD13" i="5"/>
  <c r="AP13" i="5"/>
  <c r="BI13" i="5" s="1"/>
  <c r="AC13" i="5" s="1"/>
  <c r="AO13" i="5"/>
  <c r="BH13" i="5" s="1"/>
  <c r="AB13" i="5" s="1"/>
  <c r="AK13" i="5"/>
  <c r="AT12" i="5" s="1"/>
  <c r="AJ13" i="5"/>
  <c r="AS12" i="5" s="1"/>
  <c r="AH13" i="5"/>
  <c r="AG13" i="5"/>
  <c r="AF13" i="5"/>
  <c r="AE13" i="5"/>
  <c r="AD13" i="5"/>
  <c r="Z13" i="5"/>
  <c r="J13" i="5"/>
  <c r="AL13" i="5" s="1"/>
  <c r="AU1" i="5"/>
  <c r="AT1" i="5"/>
  <c r="AS1" i="5"/>
  <c r="F44" i="4"/>
  <c r="I44" i="4" s="1"/>
  <c r="F43" i="4"/>
  <c r="I43" i="4" s="1"/>
  <c r="F42" i="4"/>
  <c r="I42" i="4" s="1"/>
  <c r="F41" i="4"/>
  <c r="I41" i="4" s="1"/>
  <c r="F39" i="4"/>
  <c r="I39" i="4" s="1"/>
  <c r="F38" i="4"/>
  <c r="I38" i="4" s="1"/>
  <c r="F36" i="4"/>
  <c r="I36" i="4" s="1"/>
  <c r="I26" i="4"/>
  <c r="I25" i="4"/>
  <c r="I18" i="3" s="1"/>
  <c r="I24" i="4"/>
  <c r="I23" i="4"/>
  <c r="I16" i="3" s="1"/>
  <c r="I22" i="4"/>
  <c r="I21" i="4"/>
  <c r="I14" i="3" s="1"/>
  <c r="I22" i="3" s="1"/>
  <c r="I17" i="4"/>
  <c r="I16" i="4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7" i="3"/>
  <c r="F16" i="3"/>
  <c r="I15" i="3"/>
  <c r="F15" i="3"/>
  <c r="F14" i="3"/>
  <c r="F22" i="3" s="1"/>
  <c r="I10" i="3"/>
  <c r="F10" i="3"/>
  <c r="C10" i="3"/>
  <c r="F8" i="3"/>
  <c r="C8" i="3"/>
  <c r="F6" i="3"/>
  <c r="C6" i="3"/>
  <c r="F4" i="3"/>
  <c r="C4" i="3"/>
  <c r="F2" i="3"/>
  <c r="C2" i="3"/>
  <c r="F8" i="2"/>
  <c r="C8" i="2"/>
  <c r="F6" i="2"/>
  <c r="C6" i="2"/>
  <c r="F4" i="2"/>
  <c r="C4" i="2"/>
  <c r="F2" i="2"/>
  <c r="C2" i="2"/>
  <c r="BR138" i="1"/>
  <c r="F40" i="4" s="1"/>
  <c r="I40" i="4" s="1"/>
  <c r="BJ138" i="1"/>
  <c r="BF138" i="1"/>
  <c r="BD138" i="1"/>
  <c r="AW138" i="1"/>
  <c r="AP138" i="1"/>
  <c r="AX138" i="1" s="1"/>
  <c r="AO138" i="1"/>
  <c r="H138" i="1" s="1"/>
  <c r="H137" i="1" s="1"/>
  <c r="AL138" i="1"/>
  <c r="AK138" i="1"/>
  <c r="AT137" i="1" s="1"/>
  <c r="AJ138" i="1"/>
  <c r="AH138" i="1"/>
  <c r="AG138" i="1"/>
  <c r="AF138" i="1"/>
  <c r="AE138" i="1"/>
  <c r="AD138" i="1"/>
  <c r="AC138" i="1"/>
  <c r="AB138" i="1"/>
  <c r="Z138" i="1"/>
  <c r="J138" i="1"/>
  <c r="I138" i="1"/>
  <c r="I137" i="1" s="1"/>
  <c r="AU137" i="1"/>
  <c r="AS137" i="1"/>
  <c r="J137" i="1"/>
  <c r="BO136" i="1"/>
  <c r="F37" i="4" s="1"/>
  <c r="I37" i="4" s="1"/>
  <c r="BJ136" i="1"/>
  <c r="BF136" i="1"/>
  <c r="BD136" i="1"/>
  <c r="AW136" i="1"/>
  <c r="BC136" i="1" s="1"/>
  <c r="AP136" i="1"/>
  <c r="AX136" i="1" s="1"/>
  <c r="AO136" i="1"/>
  <c r="H136" i="1" s="1"/>
  <c r="H135" i="1" s="1"/>
  <c r="AL136" i="1"/>
  <c r="AU135" i="1" s="1"/>
  <c r="AK136" i="1"/>
  <c r="AT135" i="1" s="1"/>
  <c r="AJ136" i="1"/>
  <c r="AH136" i="1"/>
  <c r="AG136" i="1"/>
  <c r="AF136" i="1"/>
  <c r="AE136" i="1"/>
  <c r="AD136" i="1"/>
  <c r="AC136" i="1"/>
  <c r="AB136" i="1"/>
  <c r="Z136" i="1"/>
  <c r="J136" i="1"/>
  <c r="I136" i="1"/>
  <c r="I135" i="1" s="1"/>
  <c r="AS135" i="1"/>
  <c r="J135" i="1"/>
  <c r="BM134" i="1"/>
  <c r="F35" i="4" s="1"/>
  <c r="I35" i="4" s="1"/>
  <c r="BJ134" i="1"/>
  <c r="BF134" i="1"/>
  <c r="BD134" i="1"/>
  <c r="AW134" i="1"/>
  <c r="AP134" i="1"/>
  <c r="AX134" i="1" s="1"/>
  <c r="AO134" i="1"/>
  <c r="H134" i="1" s="1"/>
  <c r="H133" i="1" s="1"/>
  <c r="H132" i="1" s="1"/>
  <c r="AK134" i="1"/>
  <c r="AT133" i="1" s="1"/>
  <c r="AJ134" i="1"/>
  <c r="AH134" i="1"/>
  <c r="AG134" i="1"/>
  <c r="AF134" i="1"/>
  <c r="AE134" i="1"/>
  <c r="AD134" i="1"/>
  <c r="AC134" i="1"/>
  <c r="AB134" i="1"/>
  <c r="Z134" i="1"/>
  <c r="J134" i="1"/>
  <c r="AL134" i="1" s="1"/>
  <c r="AU133" i="1" s="1"/>
  <c r="AS133" i="1"/>
  <c r="BJ131" i="1"/>
  <c r="AH131" i="1" s="1"/>
  <c r="BF131" i="1"/>
  <c r="BD131" i="1"/>
  <c r="AP131" i="1"/>
  <c r="BI131" i="1" s="1"/>
  <c r="AO131" i="1"/>
  <c r="AL131" i="1"/>
  <c r="AK131" i="1"/>
  <c r="AJ131" i="1"/>
  <c r="AG131" i="1"/>
  <c r="AF131" i="1"/>
  <c r="AE131" i="1"/>
  <c r="AD131" i="1"/>
  <c r="AC131" i="1"/>
  <c r="AB131" i="1"/>
  <c r="Z131" i="1"/>
  <c r="J131" i="1"/>
  <c r="BJ130" i="1"/>
  <c r="AH130" i="1" s="1"/>
  <c r="BF130" i="1"/>
  <c r="BD130" i="1"/>
  <c r="AP130" i="1"/>
  <c r="AO130" i="1"/>
  <c r="BH130" i="1" s="1"/>
  <c r="AK130" i="1"/>
  <c r="AJ130" i="1"/>
  <c r="AG130" i="1"/>
  <c r="AF130" i="1"/>
  <c r="AE130" i="1"/>
  <c r="AD130" i="1"/>
  <c r="AC130" i="1"/>
  <c r="AB130" i="1"/>
  <c r="Z130" i="1"/>
  <c r="J130" i="1"/>
  <c r="AL130" i="1" s="1"/>
  <c r="H130" i="1"/>
  <c r="BJ129" i="1"/>
  <c r="AH129" i="1" s="1"/>
  <c r="BF129" i="1"/>
  <c r="BD129" i="1"/>
  <c r="AW129" i="1"/>
  <c r="AP129" i="1"/>
  <c r="BI129" i="1" s="1"/>
  <c r="AO129" i="1"/>
  <c r="BH129" i="1" s="1"/>
  <c r="AL129" i="1"/>
  <c r="AK129" i="1"/>
  <c r="AJ129" i="1"/>
  <c r="AG129" i="1"/>
  <c r="AF129" i="1"/>
  <c r="AE129" i="1"/>
  <c r="AD129" i="1"/>
  <c r="AC129" i="1"/>
  <c r="AB129" i="1"/>
  <c r="Z129" i="1"/>
  <c r="J129" i="1"/>
  <c r="I129" i="1"/>
  <c r="H129" i="1"/>
  <c r="BJ128" i="1"/>
  <c r="BF128" i="1"/>
  <c r="BD128" i="1"/>
  <c r="AX128" i="1"/>
  <c r="AW128" i="1"/>
  <c r="AP128" i="1"/>
  <c r="BI128" i="1" s="1"/>
  <c r="AO128" i="1"/>
  <c r="H128" i="1" s="1"/>
  <c r="AK128" i="1"/>
  <c r="AJ128" i="1"/>
  <c r="AH128" i="1"/>
  <c r="AG128" i="1"/>
  <c r="AF128" i="1"/>
  <c r="AE128" i="1"/>
  <c r="AD128" i="1"/>
  <c r="AC128" i="1"/>
  <c r="AB128" i="1"/>
  <c r="Z128" i="1"/>
  <c r="J128" i="1"/>
  <c r="AL128" i="1" s="1"/>
  <c r="I128" i="1"/>
  <c r="BJ127" i="1"/>
  <c r="BF127" i="1"/>
  <c r="BD127" i="1"/>
  <c r="AX127" i="1"/>
  <c r="BC127" i="1" s="1"/>
  <c r="AW127" i="1"/>
  <c r="AV127" i="1" s="1"/>
  <c r="AP127" i="1"/>
  <c r="I127" i="1" s="1"/>
  <c r="AO127" i="1"/>
  <c r="BH127" i="1" s="1"/>
  <c r="AK127" i="1"/>
  <c r="AJ127" i="1"/>
  <c r="AH127" i="1"/>
  <c r="AG127" i="1"/>
  <c r="AF127" i="1"/>
  <c r="AE127" i="1"/>
  <c r="AD127" i="1"/>
  <c r="AC127" i="1"/>
  <c r="AB127" i="1"/>
  <c r="Z127" i="1"/>
  <c r="J127" i="1"/>
  <c r="AL127" i="1" s="1"/>
  <c r="H127" i="1"/>
  <c r="BJ126" i="1"/>
  <c r="AH126" i="1" s="1"/>
  <c r="BF126" i="1"/>
  <c r="BD126" i="1"/>
  <c r="AX126" i="1"/>
  <c r="AP126" i="1"/>
  <c r="BI126" i="1" s="1"/>
  <c r="AO126" i="1"/>
  <c r="AW126" i="1" s="1"/>
  <c r="AV126" i="1" s="1"/>
  <c r="AK126" i="1"/>
  <c r="AJ126" i="1"/>
  <c r="AG126" i="1"/>
  <c r="AF126" i="1"/>
  <c r="AE126" i="1"/>
  <c r="AD126" i="1"/>
  <c r="AC126" i="1"/>
  <c r="AB126" i="1"/>
  <c r="Z126" i="1"/>
  <c r="J126" i="1"/>
  <c r="AL126" i="1" s="1"/>
  <c r="I126" i="1"/>
  <c r="H126" i="1"/>
  <c r="BJ125" i="1"/>
  <c r="BF125" i="1"/>
  <c r="BD125" i="1"/>
  <c r="AW125" i="1"/>
  <c r="BC125" i="1" s="1"/>
  <c r="AP125" i="1"/>
  <c r="AX125" i="1" s="1"/>
  <c r="AO125" i="1"/>
  <c r="BH125" i="1" s="1"/>
  <c r="AL125" i="1"/>
  <c r="AK125" i="1"/>
  <c r="AJ125" i="1"/>
  <c r="AH125" i="1"/>
  <c r="AG125" i="1"/>
  <c r="AF125" i="1"/>
  <c r="AE125" i="1"/>
  <c r="AD125" i="1"/>
  <c r="AC125" i="1"/>
  <c r="AB125" i="1"/>
  <c r="Z125" i="1"/>
  <c r="J125" i="1"/>
  <c r="I125" i="1"/>
  <c r="H125" i="1"/>
  <c r="BJ124" i="1"/>
  <c r="BF124" i="1"/>
  <c r="BD124" i="1"/>
  <c r="AX124" i="1"/>
  <c r="AP124" i="1"/>
  <c r="BI124" i="1" s="1"/>
  <c r="AO124" i="1"/>
  <c r="BH124" i="1" s="1"/>
  <c r="AL124" i="1"/>
  <c r="AK124" i="1"/>
  <c r="AJ124" i="1"/>
  <c r="AH124" i="1"/>
  <c r="AG124" i="1"/>
  <c r="AF124" i="1"/>
  <c r="AE124" i="1"/>
  <c r="AD124" i="1"/>
  <c r="AC124" i="1"/>
  <c r="AB124" i="1"/>
  <c r="Z124" i="1"/>
  <c r="J124" i="1"/>
  <c r="I124" i="1"/>
  <c r="BJ123" i="1"/>
  <c r="BH123" i="1"/>
  <c r="BF123" i="1"/>
  <c r="BD123" i="1"/>
  <c r="AP123" i="1"/>
  <c r="BI123" i="1" s="1"/>
  <c r="AO123" i="1"/>
  <c r="AL123" i="1"/>
  <c r="AK123" i="1"/>
  <c r="AJ123" i="1"/>
  <c r="AH123" i="1"/>
  <c r="AG123" i="1"/>
  <c r="AF123" i="1"/>
  <c r="AE123" i="1"/>
  <c r="AD123" i="1"/>
  <c r="AC123" i="1"/>
  <c r="AB123" i="1"/>
  <c r="Z123" i="1"/>
  <c r="J123" i="1"/>
  <c r="BJ122" i="1"/>
  <c r="AH122" i="1" s="1"/>
  <c r="BF122" i="1"/>
  <c r="BD122" i="1"/>
  <c r="AP122" i="1"/>
  <c r="AO122" i="1"/>
  <c r="BH122" i="1" s="1"/>
  <c r="AK122" i="1"/>
  <c r="AJ122" i="1"/>
  <c r="AG122" i="1"/>
  <c r="AF122" i="1"/>
  <c r="AE122" i="1"/>
  <c r="AD122" i="1"/>
  <c r="AC122" i="1"/>
  <c r="AB122" i="1"/>
  <c r="Z122" i="1"/>
  <c r="J122" i="1"/>
  <c r="AL122" i="1" s="1"/>
  <c r="H122" i="1"/>
  <c r="BJ121" i="1"/>
  <c r="AH121" i="1" s="1"/>
  <c r="BF121" i="1"/>
  <c r="BD121" i="1"/>
  <c r="AW121" i="1"/>
  <c r="AP121" i="1"/>
  <c r="BI121" i="1" s="1"/>
  <c r="AO121" i="1"/>
  <c r="BH121" i="1" s="1"/>
  <c r="AL121" i="1"/>
  <c r="AK121" i="1"/>
  <c r="AJ121" i="1"/>
  <c r="AG121" i="1"/>
  <c r="AF121" i="1"/>
  <c r="AE121" i="1"/>
  <c r="AD121" i="1"/>
  <c r="AC121" i="1"/>
  <c r="AB121" i="1"/>
  <c r="Z121" i="1"/>
  <c r="J121" i="1"/>
  <c r="I121" i="1"/>
  <c r="H121" i="1"/>
  <c r="BJ120" i="1"/>
  <c r="BF120" i="1"/>
  <c r="BD120" i="1"/>
  <c r="AX120" i="1"/>
  <c r="AW120" i="1"/>
  <c r="AP120" i="1"/>
  <c r="BI120" i="1" s="1"/>
  <c r="AO120" i="1"/>
  <c r="BH120" i="1" s="1"/>
  <c r="AK120" i="1"/>
  <c r="AJ120" i="1"/>
  <c r="AH120" i="1"/>
  <c r="AG120" i="1"/>
  <c r="AF120" i="1"/>
  <c r="AE120" i="1"/>
  <c r="AD120" i="1"/>
  <c r="AC120" i="1"/>
  <c r="AB120" i="1"/>
  <c r="Z120" i="1"/>
  <c r="J120" i="1"/>
  <c r="AL120" i="1" s="1"/>
  <c r="I120" i="1"/>
  <c r="H120" i="1"/>
  <c r="BJ119" i="1"/>
  <c r="BF119" i="1"/>
  <c r="BD119" i="1"/>
  <c r="AX119" i="1"/>
  <c r="AW119" i="1"/>
  <c r="BC119" i="1" s="1"/>
  <c r="AP119" i="1"/>
  <c r="BI119" i="1" s="1"/>
  <c r="AO119" i="1"/>
  <c r="BH119" i="1" s="1"/>
  <c r="AK119" i="1"/>
  <c r="AJ119" i="1"/>
  <c r="AH119" i="1"/>
  <c r="AG119" i="1"/>
  <c r="AF119" i="1"/>
  <c r="AE119" i="1"/>
  <c r="AD119" i="1"/>
  <c r="AC119" i="1"/>
  <c r="AB119" i="1"/>
  <c r="Z119" i="1"/>
  <c r="J119" i="1"/>
  <c r="AL119" i="1" s="1"/>
  <c r="I119" i="1"/>
  <c r="H119" i="1"/>
  <c r="BJ118" i="1"/>
  <c r="BF118" i="1"/>
  <c r="BD118" i="1"/>
  <c r="BC118" i="1"/>
  <c r="AX118" i="1"/>
  <c r="AP118" i="1"/>
  <c r="BI118" i="1" s="1"/>
  <c r="AO118" i="1"/>
  <c r="AW118" i="1" s="1"/>
  <c r="AV118" i="1" s="1"/>
  <c r="AK118" i="1"/>
  <c r="AJ118" i="1"/>
  <c r="AH118" i="1"/>
  <c r="AG118" i="1"/>
  <c r="AF118" i="1"/>
  <c r="AE118" i="1"/>
  <c r="AD118" i="1"/>
  <c r="AC118" i="1"/>
  <c r="AB118" i="1"/>
  <c r="Z118" i="1"/>
  <c r="J118" i="1"/>
  <c r="AL118" i="1" s="1"/>
  <c r="I118" i="1"/>
  <c r="H118" i="1"/>
  <c r="BJ117" i="1"/>
  <c r="BF117" i="1"/>
  <c r="BD117" i="1"/>
  <c r="AW117" i="1"/>
  <c r="AP117" i="1"/>
  <c r="AX117" i="1" s="1"/>
  <c r="BC117" i="1" s="1"/>
  <c r="AO117" i="1"/>
  <c r="BH117" i="1" s="1"/>
  <c r="AL117" i="1"/>
  <c r="AK117" i="1"/>
  <c r="AJ117" i="1"/>
  <c r="AH117" i="1"/>
  <c r="AG117" i="1"/>
  <c r="AF117" i="1"/>
  <c r="AE117" i="1"/>
  <c r="AD117" i="1"/>
  <c r="AC117" i="1"/>
  <c r="AB117" i="1"/>
  <c r="Z117" i="1"/>
  <c r="J117" i="1"/>
  <c r="I117" i="1"/>
  <c r="H117" i="1"/>
  <c r="BJ116" i="1"/>
  <c r="BF116" i="1"/>
  <c r="BD116" i="1"/>
  <c r="AX116" i="1"/>
  <c r="AP116" i="1"/>
  <c r="BI116" i="1" s="1"/>
  <c r="AO116" i="1"/>
  <c r="BH116" i="1" s="1"/>
  <c r="AL116" i="1"/>
  <c r="AK116" i="1"/>
  <c r="AJ116" i="1"/>
  <c r="AH116" i="1"/>
  <c r="AG116" i="1"/>
  <c r="AF116" i="1"/>
  <c r="AE116" i="1"/>
  <c r="AD116" i="1"/>
  <c r="AC116" i="1"/>
  <c r="AB116" i="1"/>
  <c r="Z116" i="1"/>
  <c r="J116" i="1"/>
  <c r="I116" i="1"/>
  <c r="BJ115" i="1"/>
  <c r="BF115" i="1"/>
  <c r="BD115" i="1"/>
  <c r="AP115" i="1"/>
  <c r="BI115" i="1" s="1"/>
  <c r="AO115" i="1"/>
  <c r="AL115" i="1"/>
  <c r="AK115" i="1"/>
  <c r="AJ115" i="1"/>
  <c r="AH115" i="1"/>
  <c r="AG115" i="1"/>
  <c r="AF115" i="1"/>
  <c r="AE115" i="1"/>
  <c r="AD115" i="1"/>
  <c r="AC115" i="1"/>
  <c r="AB115" i="1"/>
  <c r="Z115" i="1"/>
  <c r="J115" i="1"/>
  <c r="BJ114" i="1"/>
  <c r="AH114" i="1" s="1"/>
  <c r="BI114" i="1"/>
  <c r="BF114" i="1"/>
  <c r="BD114" i="1"/>
  <c r="AP114" i="1"/>
  <c r="AO114" i="1"/>
  <c r="H114" i="1" s="1"/>
  <c r="AK114" i="1"/>
  <c r="AJ114" i="1"/>
  <c r="AG114" i="1"/>
  <c r="AF114" i="1"/>
  <c r="AE114" i="1"/>
  <c r="AD114" i="1"/>
  <c r="AC114" i="1"/>
  <c r="AB114" i="1"/>
  <c r="Z114" i="1"/>
  <c r="J114" i="1"/>
  <c r="AL114" i="1" s="1"/>
  <c r="BJ113" i="1"/>
  <c r="AH113" i="1" s="1"/>
  <c r="BF113" i="1"/>
  <c r="BD113" i="1"/>
  <c r="AW113" i="1"/>
  <c r="AP113" i="1"/>
  <c r="I113" i="1" s="1"/>
  <c r="AO113" i="1"/>
  <c r="BH113" i="1" s="1"/>
  <c r="AL113" i="1"/>
  <c r="AK113" i="1"/>
  <c r="AJ113" i="1"/>
  <c r="AG113" i="1"/>
  <c r="AF113" i="1"/>
  <c r="AE113" i="1"/>
  <c r="AD113" i="1"/>
  <c r="AC113" i="1"/>
  <c r="AB113" i="1"/>
  <c r="Z113" i="1"/>
  <c r="J113" i="1"/>
  <c r="H113" i="1"/>
  <c r="BJ112" i="1"/>
  <c r="AH112" i="1" s="1"/>
  <c r="BF112" i="1"/>
  <c r="BD112" i="1"/>
  <c r="AX112" i="1"/>
  <c r="AW112" i="1"/>
  <c r="AP112" i="1"/>
  <c r="BI112" i="1" s="1"/>
  <c r="AO112" i="1"/>
  <c r="BH112" i="1" s="1"/>
  <c r="AK112" i="1"/>
  <c r="AJ112" i="1"/>
  <c r="AG112" i="1"/>
  <c r="AF112" i="1"/>
  <c r="AE112" i="1"/>
  <c r="AD112" i="1"/>
  <c r="AC112" i="1"/>
  <c r="AB112" i="1"/>
  <c r="Z112" i="1"/>
  <c r="J112" i="1"/>
  <c r="AL112" i="1" s="1"/>
  <c r="I112" i="1"/>
  <c r="H112" i="1"/>
  <c r="BJ111" i="1"/>
  <c r="BF111" i="1"/>
  <c r="BD111" i="1"/>
  <c r="AX111" i="1"/>
  <c r="AW111" i="1"/>
  <c r="BC111" i="1" s="1"/>
  <c r="AP111" i="1"/>
  <c r="BI111" i="1" s="1"/>
  <c r="AO111" i="1"/>
  <c r="BH111" i="1" s="1"/>
  <c r="AK111" i="1"/>
  <c r="AJ111" i="1"/>
  <c r="AH111" i="1"/>
  <c r="AG111" i="1"/>
  <c r="AF111" i="1"/>
  <c r="AE111" i="1"/>
  <c r="AD111" i="1"/>
  <c r="AC111" i="1"/>
  <c r="AB111" i="1"/>
  <c r="Z111" i="1"/>
  <c r="J111" i="1"/>
  <c r="AL111" i="1" s="1"/>
  <c r="I111" i="1"/>
  <c r="H111" i="1"/>
  <c r="BJ110" i="1"/>
  <c r="BF110" i="1"/>
  <c r="BD110" i="1"/>
  <c r="AX110" i="1"/>
  <c r="AP110" i="1"/>
  <c r="BI110" i="1" s="1"/>
  <c r="AO110" i="1"/>
  <c r="AW110" i="1" s="1"/>
  <c r="AV110" i="1" s="1"/>
  <c r="AK110" i="1"/>
  <c r="AJ110" i="1"/>
  <c r="AH110" i="1"/>
  <c r="AG110" i="1"/>
  <c r="AF110" i="1"/>
  <c r="AE110" i="1"/>
  <c r="AD110" i="1"/>
  <c r="AC110" i="1"/>
  <c r="AB110" i="1"/>
  <c r="Z110" i="1"/>
  <c r="J110" i="1"/>
  <c r="AL110" i="1" s="1"/>
  <c r="I110" i="1"/>
  <c r="H110" i="1"/>
  <c r="BJ109" i="1"/>
  <c r="BF109" i="1"/>
  <c r="BD109" i="1"/>
  <c r="AP109" i="1"/>
  <c r="AX109" i="1" s="1"/>
  <c r="AO109" i="1"/>
  <c r="BH109" i="1" s="1"/>
  <c r="AK109" i="1"/>
  <c r="AJ109" i="1"/>
  <c r="AS108" i="1" s="1"/>
  <c r="AH109" i="1"/>
  <c r="AG109" i="1"/>
  <c r="AF109" i="1"/>
  <c r="AE109" i="1"/>
  <c r="AD109" i="1"/>
  <c r="AC109" i="1"/>
  <c r="AB109" i="1"/>
  <c r="Z109" i="1"/>
  <c r="J109" i="1"/>
  <c r="J108" i="1" s="1"/>
  <c r="I109" i="1"/>
  <c r="BJ107" i="1"/>
  <c r="BF107" i="1"/>
  <c r="BD107" i="1"/>
  <c r="BC107" i="1"/>
  <c r="AX107" i="1"/>
  <c r="AP107" i="1"/>
  <c r="BI107" i="1" s="1"/>
  <c r="AO107" i="1"/>
  <c r="AW107" i="1" s="1"/>
  <c r="AV107" i="1" s="1"/>
  <c r="AK107" i="1"/>
  <c r="AJ107" i="1"/>
  <c r="AS104" i="1" s="1"/>
  <c r="AH107" i="1"/>
  <c r="AG107" i="1"/>
  <c r="AF107" i="1"/>
  <c r="AE107" i="1"/>
  <c r="AD107" i="1"/>
  <c r="AC107" i="1"/>
  <c r="AB107" i="1"/>
  <c r="Z107" i="1"/>
  <c r="J107" i="1"/>
  <c r="AL107" i="1" s="1"/>
  <c r="I107" i="1"/>
  <c r="H107" i="1"/>
  <c r="BJ106" i="1"/>
  <c r="BF106" i="1"/>
  <c r="BD106" i="1"/>
  <c r="AW106" i="1"/>
  <c r="AP106" i="1"/>
  <c r="AX106" i="1" s="1"/>
  <c r="BC106" i="1" s="1"/>
  <c r="AO106" i="1"/>
  <c r="BH106" i="1" s="1"/>
  <c r="AL106" i="1"/>
  <c r="AK106" i="1"/>
  <c r="AJ106" i="1"/>
  <c r="AH106" i="1"/>
  <c r="AG106" i="1"/>
  <c r="AF106" i="1"/>
  <c r="AE106" i="1"/>
  <c r="AD106" i="1"/>
  <c r="AC106" i="1"/>
  <c r="AB106" i="1"/>
  <c r="Z106" i="1"/>
  <c r="J106" i="1"/>
  <c r="I106" i="1"/>
  <c r="H106" i="1"/>
  <c r="BJ105" i="1"/>
  <c r="Z105" i="1" s="1"/>
  <c r="BF105" i="1"/>
  <c r="BD105" i="1"/>
  <c r="AX105" i="1"/>
  <c r="AP105" i="1"/>
  <c r="BI105" i="1" s="1"/>
  <c r="AO105" i="1"/>
  <c r="BH105" i="1" s="1"/>
  <c r="AL105" i="1"/>
  <c r="AU104" i="1" s="1"/>
  <c r="AK105" i="1"/>
  <c r="AJ105" i="1"/>
  <c r="AH105" i="1"/>
  <c r="AG105" i="1"/>
  <c r="AF105" i="1"/>
  <c r="AE105" i="1"/>
  <c r="AD105" i="1"/>
  <c r="AC105" i="1"/>
  <c r="AB105" i="1"/>
  <c r="J105" i="1"/>
  <c r="I105" i="1"/>
  <c r="I104" i="1" s="1"/>
  <c r="J104" i="1"/>
  <c r="BJ103" i="1"/>
  <c r="BF103" i="1"/>
  <c r="BD103" i="1"/>
  <c r="AW103" i="1"/>
  <c r="AP103" i="1"/>
  <c r="AX103" i="1" s="1"/>
  <c r="BC103" i="1" s="1"/>
  <c r="AO103" i="1"/>
  <c r="BH103" i="1" s="1"/>
  <c r="AL103" i="1"/>
  <c r="AU102" i="1" s="1"/>
  <c r="AK103" i="1"/>
  <c r="AT102" i="1" s="1"/>
  <c r="AJ103" i="1"/>
  <c r="AS102" i="1" s="1"/>
  <c r="AH103" i="1"/>
  <c r="AG103" i="1"/>
  <c r="AF103" i="1"/>
  <c r="AE103" i="1"/>
  <c r="AD103" i="1"/>
  <c r="AC103" i="1"/>
  <c r="AB103" i="1"/>
  <c r="Z103" i="1"/>
  <c r="J103" i="1"/>
  <c r="I103" i="1"/>
  <c r="H103" i="1"/>
  <c r="H102" i="1" s="1"/>
  <c r="J102" i="1"/>
  <c r="I102" i="1"/>
  <c r="BJ101" i="1"/>
  <c r="BF101" i="1"/>
  <c r="BD101" i="1"/>
  <c r="AX101" i="1"/>
  <c r="AP101" i="1"/>
  <c r="BI101" i="1" s="1"/>
  <c r="AC101" i="1" s="1"/>
  <c r="AO101" i="1"/>
  <c r="AW101" i="1" s="1"/>
  <c r="AV101" i="1" s="1"/>
  <c r="AK101" i="1"/>
  <c r="AJ101" i="1"/>
  <c r="AS97" i="1" s="1"/>
  <c r="AH101" i="1"/>
  <c r="AG101" i="1"/>
  <c r="AF101" i="1"/>
  <c r="AE101" i="1"/>
  <c r="AD101" i="1"/>
  <c r="Z101" i="1"/>
  <c r="J101" i="1"/>
  <c r="AL101" i="1" s="1"/>
  <c r="I101" i="1"/>
  <c r="H101" i="1"/>
  <c r="BJ100" i="1"/>
  <c r="BF100" i="1"/>
  <c r="BD100" i="1"/>
  <c r="AW100" i="1"/>
  <c r="AP100" i="1"/>
  <c r="AX100" i="1" s="1"/>
  <c r="BC100" i="1" s="1"/>
  <c r="AO100" i="1"/>
  <c r="BH100" i="1" s="1"/>
  <c r="AB100" i="1" s="1"/>
  <c r="AL100" i="1"/>
  <c r="AK100" i="1"/>
  <c r="AT97" i="1" s="1"/>
  <c r="AJ100" i="1"/>
  <c r="AH100" i="1"/>
  <c r="AG100" i="1"/>
  <c r="AF100" i="1"/>
  <c r="AE100" i="1"/>
  <c r="AD100" i="1"/>
  <c r="Z100" i="1"/>
  <c r="J100" i="1"/>
  <c r="I100" i="1"/>
  <c r="H100" i="1"/>
  <c r="BJ99" i="1"/>
  <c r="BF99" i="1"/>
  <c r="BD99" i="1"/>
  <c r="AX99" i="1"/>
  <c r="AP99" i="1"/>
  <c r="BI99" i="1" s="1"/>
  <c r="AO99" i="1"/>
  <c r="BH99" i="1" s="1"/>
  <c r="AB99" i="1" s="1"/>
  <c r="AL99" i="1"/>
  <c r="AK99" i="1"/>
  <c r="AJ99" i="1"/>
  <c r="AH99" i="1"/>
  <c r="AG99" i="1"/>
  <c r="AF99" i="1"/>
  <c r="AE99" i="1"/>
  <c r="AD99" i="1"/>
  <c r="AC99" i="1"/>
  <c r="Z99" i="1"/>
  <c r="J99" i="1"/>
  <c r="J97" i="1" s="1"/>
  <c r="I99" i="1"/>
  <c r="BJ98" i="1"/>
  <c r="BF98" i="1"/>
  <c r="BD98" i="1"/>
  <c r="AP98" i="1"/>
  <c r="BI98" i="1" s="1"/>
  <c r="AC98" i="1" s="1"/>
  <c r="AO98" i="1"/>
  <c r="BH98" i="1" s="1"/>
  <c r="AB98" i="1" s="1"/>
  <c r="AL98" i="1"/>
  <c r="AK98" i="1"/>
  <c r="AJ98" i="1"/>
  <c r="AH98" i="1"/>
  <c r="AG98" i="1"/>
  <c r="AF98" i="1"/>
  <c r="AE98" i="1"/>
  <c r="AD98" i="1"/>
  <c r="Z98" i="1"/>
  <c r="J98" i="1"/>
  <c r="BJ96" i="1"/>
  <c r="BF96" i="1"/>
  <c r="BD96" i="1"/>
  <c r="AX96" i="1"/>
  <c r="AP96" i="1"/>
  <c r="BI96" i="1" s="1"/>
  <c r="AO96" i="1"/>
  <c r="BH96" i="1" s="1"/>
  <c r="AB96" i="1" s="1"/>
  <c r="AL96" i="1"/>
  <c r="AU95" i="1" s="1"/>
  <c r="AK96" i="1"/>
  <c r="AT95" i="1" s="1"/>
  <c r="AJ96" i="1"/>
  <c r="AH96" i="1"/>
  <c r="AG96" i="1"/>
  <c r="AF96" i="1"/>
  <c r="AE96" i="1"/>
  <c r="AD96" i="1"/>
  <c r="AC96" i="1"/>
  <c r="Z96" i="1"/>
  <c r="J96" i="1"/>
  <c r="I96" i="1"/>
  <c r="AS95" i="1"/>
  <c r="J95" i="1"/>
  <c r="I95" i="1"/>
  <c r="BJ94" i="1"/>
  <c r="BF94" i="1"/>
  <c r="BD94" i="1"/>
  <c r="AW94" i="1"/>
  <c r="AP94" i="1"/>
  <c r="AX94" i="1" s="1"/>
  <c r="BC94" i="1" s="1"/>
  <c r="AO94" i="1"/>
  <c r="BH94" i="1" s="1"/>
  <c r="AL94" i="1"/>
  <c r="AK94" i="1"/>
  <c r="AJ94" i="1"/>
  <c r="AH94" i="1"/>
  <c r="AG94" i="1"/>
  <c r="AF94" i="1"/>
  <c r="AE94" i="1"/>
  <c r="AD94" i="1"/>
  <c r="AB94" i="1"/>
  <c r="Z94" i="1"/>
  <c r="J94" i="1"/>
  <c r="I94" i="1"/>
  <c r="H94" i="1"/>
  <c r="BJ93" i="1"/>
  <c r="BF93" i="1"/>
  <c r="BD93" i="1"/>
  <c r="AX93" i="1"/>
  <c r="AP93" i="1"/>
  <c r="BI93" i="1" s="1"/>
  <c r="AO93" i="1"/>
  <c r="BH93" i="1" s="1"/>
  <c r="AB93" i="1" s="1"/>
  <c r="AL93" i="1"/>
  <c r="AK93" i="1"/>
  <c r="AJ93" i="1"/>
  <c r="AH93" i="1"/>
  <c r="AG93" i="1"/>
  <c r="AF93" i="1"/>
  <c r="AE93" i="1"/>
  <c r="AD93" i="1"/>
  <c r="AC93" i="1"/>
  <c r="Z93" i="1"/>
  <c r="J93" i="1"/>
  <c r="I93" i="1"/>
  <c r="BJ92" i="1"/>
  <c r="BH92" i="1"/>
  <c r="AB92" i="1" s="1"/>
  <c r="BF92" i="1"/>
  <c r="BD92" i="1"/>
  <c r="AP92" i="1"/>
  <c r="BI92" i="1" s="1"/>
  <c r="AC92" i="1" s="1"/>
  <c r="AO92" i="1"/>
  <c r="AL92" i="1"/>
  <c r="AK92" i="1"/>
  <c r="AJ92" i="1"/>
  <c r="AH92" i="1"/>
  <c r="AG92" i="1"/>
  <c r="AF92" i="1"/>
  <c r="AE92" i="1"/>
  <c r="AD92" i="1"/>
  <c r="Z92" i="1"/>
  <c r="J92" i="1"/>
  <c r="BJ91" i="1"/>
  <c r="BF91" i="1"/>
  <c r="BD91" i="1"/>
  <c r="AP91" i="1"/>
  <c r="AO91" i="1"/>
  <c r="H91" i="1" s="1"/>
  <c r="AK91" i="1"/>
  <c r="AJ91" i="1"/>
  <c r="AH91" i="1"/>
  <c r="AG91" i="1"/>
  <c r="AF91" i="1"/>
  <c r="AE91" i="1"/>
  <c r="AD91" i="1"/>
  <c r="Z91" i="1"/>
  <c r="J91" i="1"/>
  <c r="AL91" i="1" s="1"/>
  <c r="BJ90" i="1"/>
  <c r="BF90" i="1"/>
  <c r="BD90" i="1"/>
  <c r="AW90" i="1"/>
  <c r="AP90" i="1"/>
  <c r="I90" i="1" s="1"/>
  <c r="AO90" i="1"/>
  <c r="BH90" i="1" s="1"/>
  <c r="AB90" i="1" s="1"/>
  <c r="AL90" i="1"/>
  <c r="AK90" i="1"/>
  <c r="AJ90" i="1"/>
  <c r="AH90" i="1"/>
  <c r="AG90" i="1"/>
  <c r="AF90" i="1"/>
  <c r="AE90" i="1"/>
  <c r="AD90" i="1"/>
  <c r="Z90" i="1"/>
  <c r="J90" i="1"/>
  <c r="H90" i="1"/>
  <c r="BJ89" i="1"/>
  <c r="BF89" i="1"/>
  <c r="BD89" i="1"/>
  <c r="AX89" i="1"/>
  <c r="AW89" i="1"/>
  <c r="AP89" i="1"/>
  <c r="BI89" i="1" s="1"/>
  <c r="AC89" i="1" s="1"/>
  <c r="AO89" i="1"/>
  <c r="BH89" i="1" s="1"/>
  <c r="AB89" i="1" s="1"/>
  <c r="AK89" i="1"/>
  <c r="AJ89" i="1"/>
  <c r="AH89" i="1"/>
  <c r="AG89" i="1"/>
  <c r="AF89" i="1"/>
  <c r="AE89" i="1"/>
  <c r="AD89" i="1"/>
  <c r="Z89" i="1"/>
  <c r="J89" i="1"/>
  <c r="AL89" i="1" s="1"/>
  <c r="I89" i="1"/>
  <c r="H89" i="1"/>
  <c r="BJ88" i="1"/>
  <c r="BF88" i="1"/>
  <c r="BD88" i="1"/>
  <c r="AX88" i="1"/>
  <c r="AW88" i="1"/>
  <c r="BC88" i="1" s="1"/>
  <c r="AP88" i="1"/>
  <c r="BI88" i="1" s="1"/>
  <c r="AC88" i="1" s="1"/>
  <c r="AO88" i="1"/>
  <c r="BH88" i="1" s="1"/>
  <c r="AB88" i="1" s="1"/>
  <c r="AK88" i="1"/>
  <c r="AJ88" i="1"/>
  <c r="AH88" i="1"/>
  <c r="AG88" i="1"/>
  <c r="AF88" i="1"/>
  <c r="AE88" i="1"/>
  <c r="AD88" i="1"/>
  <c r="Z88" i="1"/>
  <c r="J88" i="1"/>
  <c r="AL88" i="1" s="1"/>
  <c r="I88" i="1"/>
  <c r="H88" i="1"/>
  <c r="BJ87" i="1"/>
  <c r="BF87" i="1"/>
  <c r="BD87" i="1"/>
  <c r="AX87" i="1"/>
  <c r="AP87" i="1"/>
  <c r="BI87" i="1" s="1"/>
  <c r="AC87" i="1" s="1"/>
  <c r="AO87" i="1"/>
  <c r="AW87" i="1" s="1"/>
  <c r="AV87" i="1" s="1"/>
  <c r="AK87" i="1"/>
  <c r="AJ87" i="1"/>
  <c r="AH87" i="1"/>
  <c r="AG87" i="1"/>
  <c r="AF87" i="1"/>
  <c r="AE87" i="1"/>
  <c r="AD87" i="1"/>
  <c r="Z87" i="1"/>
  <c r="J87" i="1"/>
  <c r="AL87" i="1" s="1"/>
  <c r="I87" i="1"/>
  <c r="H87" i="1"/>
  <c r="BJ86" i="1"/>
  <c r="BF86" i="1"/>
  <c r="BD86" i="1"/>
  <c r="AW86" i="1"/>
  <c r="AP86" i="1"/>
  <c r="AX86" i="1" s="1"/>
  <c r="BC86" i="1" s="1"/>
  <c r="AO86" i="1"/>
  <c r="BH86" i="1" s="1"/>
  <c r="AL86" i="1"/>
  <c r="AK86" i="1"/>
  <c r="AJ86" i="1"/>
  <c r="AH86" i="1"/>
  <c r="AG86" i="1"/>
  <c r="AF86" i="1"/>
  <c r="AE86" i="1"/>
  <c r="AD86" i="1"/>
  <c r="AB86" i="1"/>
  <c r="Z86" i="1"/>
  <c r="J86" i="1"/>
  <c r="I86" i="1"/>
  <c r="H86" i="1"/>
  <c r="BJ85" i="1"/>
  <c r="BF85" i="1"/>
  <c r="BD85" i="1"/>
  <c r="AX85" i="1"/>
  <c r="AP85" i="1"/>
  <c r="BI85" i="1" s="1"/>
  <c r="AC85" i="1" s="1"/>
  <c r="AO85" i="1"/>
  <c r="BH85" i="1" s="1"/>
  <c r="AB85" i="1" s="1"/>
  <c r="AL85" i="1"/>
  <c r="AK85" i="1"/>
  <c r="AT84" i="1" s="1"/>
  <c r="AJ85" i="1"/>
  <c r="AH85" i="1"/>
  <c r="AG85" i="1"/>
  <c r="AF85" i="1"/>
  <c r="AE85" i="1"/>
  <c r="AD85" i="1"/>
  <c r="Z85" i="1"/>
  <c r="J85" i="1"/>
  <c r="I85" i="1"/>
  <c r="AS84" i="1"/>
  <c r="BJ83" i="1"/>
  <c r="BF83" i="1"/>
  <c r="BD83" i="1"/>
  <c r="BC83" i="1"/>
  <c r="AW83" i="1"/>
  <c r="AV83" i="1" s="1"/>
  <c r="AP83" i="1"/>
  <c r="AX83" i="1" s="1"/>
  <c r="AO83" i="1"/>
  <c r="BH83" i="1" s="1"/>
  <c r="AB83" i="1" s="1"/>
  <c r="AL83" i="1"/>
  <c r="AK83" i="1"/>
  <c r="AJ83" i="1"/>
  <c r="AH83" i="1"/>
  <c r="AG83" i="1"/>
  <c r="AF83" i="1"/>
  <c r="AE83" i="1"/>
  <c r="AD83" i="1"/>
  <c r="Z83" i="1"/>
  <c r="J83" i="1"/>
  <c r="I83" i="1"/>
  <c r="H83" i="1"/>
  <c r="BJ82" i="1"/>
  <c r="BH82" i="1"/>
  <c r="AB82" i="1" s="1"/>
  <c r="BF82" i="1"/>
  <c r="BD82" i="1"/>
  <c r="AX82" i="1"/>
  <c r="AP82" i="1"/>
  <c r="BI82" i="1" s="1"/>
  <c r="AO82" i="1"/>
  <c r="AL82" i="1"/>
  <c r="AK82" i="1"/>
  <c r="AJ82" i="1"/>
  <c r="AH82" i="1"/>
  <c r="AG82" i="1"/>
  <c r="AF82" i="1"/>
  <c r="AE82" i="1"/>
  <c r="AD82" i="1"/>
  <c r="AC82" i="1"/>
  <c r="Z82" i="1"/>
  <c r="J82" i="1"/>
  <c r="J79" i="1" s="1"/>
  <c r="I82" i="1"/>
  <c r="BJ81" i="1"/>
  <c r="BF81" i="1"/>
  <c r="BD81" i="1"/>
  <c r="AP81" i="1"/>
  <c r="BI81" i="1" s="1"/>
  <c r="AC81" i="1" s="1"/>
  <c r="AO81" i="1"/>
  <c r="BH81" i="1" s="1"/>
  <c r="AB81" i="1" s="1"/>
  <c r="AL81" i="1"/>
  <c r="AU79" i="1" s="1"/>
  <c r="AK81" i="1"/>
  <c r="AJ81" i="1"/>
  <c r="AH81" i="1"/>
  <c r="AG81" i="1"/>
  <c r="AF81" i="1"/>
  <c r="AE81" i="1"/>
  <c r="AD81" i="1"/>
  <c r="Z81" i="1"/>
  <c r="J81" i="1"/>
  <c r="BJ80" i="1"/>
  <c r="BH80" i="1"/>
  <c r="AB80" i="1" s="1"/>
  <c r="BF80" i="1"/>
  <c r="BD80" i="1"/>
  <c r="AP80" i="1"/>
  <c r="AO80" i="1"/>
  <c r="AW80" i="1" s="1"/>
  <c r="AL80" i="1"/>
  <c r="AK80" i="1"/>
  <c r="AJ80" i="1"/>
  <c r="AH80" i="1"/>
  <c r="AG80" i="1"/>
  <c r="AF80" i="1"/>
  <c r="AE80" i="1"/>
  <c r="AD80" i="1"/>
  <c r="Z80" i="1"/>
  <c r="J80" i="1"/>
  <c r="H80" i="1"/>
  <c r="AT79" i="1"/>
  <c r="BJ78" i="1"/>
  <c r="BF78" i="1"/>
  <c r="BD78" i="1"/>
  <c r="AP78" i="1"/>
  <c r="BI78" i="1" s="1"/>
  <c r="AE78" i="1" s="1"/>
  <c r="AO78" i="1"/>
  <c r="AL78" i="1"/>
  <c r="AK78" i="1"/>
  <c r="AJ78" i="1"/>
  <c r="AH78" i="1"/>
  <c r="AG78" i="1"/>
  <c r="AF78" i="1"/>
  <c r="AC78" i="1"/>
  <c r="AB78" i="1"/>
  <c r="Z78" i="1"/>
  <c r="J78" i="1"/>
  <c r="AU77" i="1"/>
  <c r="AT77" i="1"/>
  <c r="AS77" i="1"/>
  <c r="J77" i="1"/>
  <c r="BJ76" i="1"/>
  <c r="BF76" i="1"/>
  <c r="BD76" i="1"/>
  <c r="AX76" i="1"/>
  <c r="AP76" i="1"/>
  <c r="BI76" i="1" s="1"/>
  <c r="AE76" i="1" s="1"/>
  <c r="AO76" i="1"/>
  <c r="AL76" i="1"/>
  <c r="AU75" i="1" s="1"/>
  <c r="AK76" i="1"/>
  <c r="AT75" i="1" s="1"/>
  <c r="AJ76" i="1"/>
  <c r="AH76" i="1"/>
  <c r="AG76" i="1"/>
  <c r="AF76" i="1"/>
  <c r="AC76" i="1"/>
  <c r="AB76" i="1"/>
  <c r="Z76" i="1"/>
  <c r="J76" i="1"/>
  <c r="I76" i="1"/>
  <c r="AS75" i="1"/>
  <c r="J75" i="1"/>
  <c r="I75" i="1"/>
  <c r="BJ74" i="1"/>
  <c r="BF74" i="1"/>
  <c r="BD74" i="1"/>
  <c r="AX74" i="1"/>
  <c r="AW74" i="1"/>
  <c r="AV74" i="1" s="1"/>
  <c r="AP74" i="1"/>
  <c r="BI74" i="1" s="1"/>
  <c r="AO74" i="1"/>
  <c r="BH74" i="1" s="1"/>
  <c r="AB74" i="1" s="1"/>
  <c r="AL74" i="1"/>
  <c r="AK74" i="1"/>
  <c r="AJ74" i="1"/>
  <c r="AS72" i="1" s="1"/>
  <c r="AH74" i="1"/>
  <c r="AG74" i="1"/>
  <c r="AF74" i="1"/>
  <c r="AE74" i="1"/>
  <c r="AD74" i="1"/>
  <c r="AC74" i="1"/>
  <c r="Z74" i="1"/>
  <c r="J74" i="1"/>
  <c r="I74" i="1"/>
  <c r="H74" i="1"/>
  <c r="BJ73" i="1"/>
  <c r="BF73" i="1"/>
  <c r="BD73" i="1"/>
  <c r="AX73" i="1"/>
  <c r="AP73" i="1"/>
  <c r="BI73" i="1" s="1"/>
  <c r="AO73" i="1"/>
  <c r="BH73" i="1" s="1"/>
  <c r="AB73" i="1" s="1"/>
  <c r="AL73" i="1"/>
  <c r="AU72" i="1" s="1"/>
  <c r="AK73" i="1"/>
  <c r="AJ73" i="1"/>
  <c r="AH73" i="1"/>
  <c r="AG73" i="1"/>
  <c r="AF73" i="1"/>
  <c r="AE73" i="1"/>
  <c r="AD73" i="1"/>
  <c r="AC73" i="1"/>
  <c r="Z73" i="1"/>
  <c r="J73" i="1"/>
  <c r="I73" i="1"/>
  <c r="AT72" i="1"/>
  <c r="J72" i="1"/>
  <c r="I72" i="1"/>
  <c r="BJ71" i="1"/>
  <c r="BF71" i="1"/>
  <c r="BD71" i="1"/>
  <c r="BC71" i="1"/>
  <c r="AX71" i="1"/>
  <c r="AW71" i="1"/>
  <c r="AV71" i="1" s="1"/>
  <c r="AP71" i="1"/>
  <c r="BI71" i="1" s="1"/>
  <c r="AC71" i="1" s="1"/>
  <c r="AO71" i="1"/>
  <c r="BH71" i="1" s="1"/>
  <c r="AK71" i="1"/>
  <c r="AJ71" i="1"/>
  <c r="AH71" i="1"/>
  <c r="AG71" i="1"/>
  <c r="AF71" i="1"/>
  <c r="AE71" i="1"/>
  <c r="AD71" i="1"/>
  <c r="AB71" i="1"/>
  <c r="Z71" i="1"/>
  <c r="J71" i="1"/>
  <c r="AL71" i="1" s="1"/>
  <c r="I71" i="1"/>
  <c r="H71" i="1"/>
  <c r="BJ70" i="1"/>
  <c r="BF70" i="1"/>
  <c r="BD70" i="1"/>
  <c r="AW70" i="1"/>
  <c r="AP70" i="1"/>
  <c r="AX70" i="1" s="1"/>
  <c r="AO70" i="1"/>
  <c r="BH70" i="1" s="1"/>
  <c r="AB70" i="1" s="1"/>
  <c r="AL70" i="1"/>
  <c r="AK70" i="1"/>
  <c r="AJ70" i="1"/>
  <c r="AH70" i="1"/>
  <c r="AG70" i="1"/>
  <c r="AF70" i="1"/>
  <c r="AE70" i="1"/>
  <c r="AD70" i="1"/>
  <c r="Z70" i="1"/>
  <c r="J70" i="1"/>
  <c r="I70" i="1"/>
  <c r="H70" i="1"/>
  <c r="BJ69" i="1"/>
  <c r="BF69" i="1"/>
  <c r="BD69" i="1"/>
  <c r="AX69" i="1"/>
  <c r="AW69" i="1"/>
  <c r="BC69" i="1" s="1"/>
  <c r="AP69" i="1"/>
  <c r="BI69" i="1" s="1"/>
  <c r="AC69" i="1" s="1"/>
  <c r="AO69" i="1"/>
  <c r="H69" i="1" s="1"/>
  <c r="AK69" i="1"/>
  <c r="AJ69" i="1"/>
  <c r="AH69" i="1"/>
  <c r="AG69" i="1"/>
  <c r="AF69" i="1"/>
  <c r="AE69" i="1"/>
  <c r="AD69" i="1"/>
  <c r="Z69" i="1"/>
  <c r="J69" i="1"/>
  <c r="AL69" i="1" s="1"/>
  <c r="I69" i="1"/>
  <c r="BJ68" i="1"/>
  <c r="BF68" i="1"/>
  <c r="BD68" i="1"/>
  <c r="AX68" i="1"/>
  <c r="BC68" i="1" s="1"/>
  <c r="AW68" i="1"/>
  <c r="AV68" i="1" s="1"/>
  <c r="AP68" i="1"/>
  <c r="I68" i="1" s="1"/>
  <c r="I66" i="1" s="1"/>
  <c r="AO68" i="1"/>
  <c r="BH68" i="1" s="1"/>
  <c r="AB68" i="1" s="1"/>
  <c r="AK68" i="1"/>
  <c r="AJ68" i="1"/>
  <c r="AH68" i="1"/>
  <c r="AG68" i="1"/>
  <c r="AF68" i="1"/>
  <c r="AE68" i="1"/>
  <c r="AD68" i="1"/>
  <c r="Z68" i="1"/>
  <c r="J68" i="1"/>
  <c r="AL68" i="1" s="1"/>
  <c r="H68" i="1"/>
  <c r="BJ67" i="1"/>
  <c r="BF67" i="1"/>
  <c r="BD67" i="1"/>
  <c r="AX67" i="1"/>
  <c r="AP67" i="1"/>
  <c r="BI67" i="1" s="1"/>
  <c r="AC67" i="1" s="1"/>
  <c r="AO67" i="1"/>
  <c r="BH67" i="1" s="1"/>
  <c r="AB67" i="1" s="1"/>
  <c r="AK67" i="1"/>
  <c r="AJ67" i="1"/>
  <c r="AS66" i="1" s="1"/>
  <c r="AH67" i="1"/>
  <c r="AG67" i="1"/>
  <c r="AF67" i="1"/>
  <c r="AE67" i="1"/>
  <c r="AD67" i="1"/>
  <c r="Z67" i="1"/>
  <c r="J67" i="1"/>
  <c r="AL67" i="1" s="1"/>
  <c r="I67" i="1"/>
  <c r="AT66" i="1"/>
  <c r="BJ65" i="1"/>
  <c r="BF65" i="1"/>
  <c r="BD65" i="1"/>
  <c r="AX65" i="1"/>
  <c r="BC65" i="1" s="1"/>
  <c r="AW65" i="1"/>
  <c r="AV65" i="1" s="1"/>
  <c r="AP65" i="1"/>
  <c r="I65" i="1" s="1"/>
  <c r="I63" i="1" s="1"/>
  <c r="AO65" i="1"/>
  <c r="BH65" i="1" s="1"/>
  <c r="AB65" i="1" s="1"/>
  <c r="AK65" i="1"/>
  <c r="AJ65" i="1"/>
  <c r="AH65" i="1"/>
  <c r="AG65" i="1"/>
  <c r="AF65" i="1"/>
  <c r="AE65" i="1"/>
  <c r="AD65" i="1"/>
  <c r="Z65" i="1"/>
  <c r="J65" i="1"/>
  <c r="AL65" i="1" s="1"/>
  <c r="H65" i="1"/>
  <c r="BJ64" i="1"/>
  <c r="BF64" i="1"/>
  <c r="BD64" i="1"/>
  <c r="AX64" i="1"/>
  <c r="AP64" i="1"/>
  <c r="BI64" i="1" s="1"/>
  <c r="AC64" i="1" s="1"/>
  <c r="AO64" i="1"/>
  <c r="BH64" i="1" s="1"/>
  <c r="AB64" i="1" s="1"/>
  <c r="AL64" i="1"/>
  <c r="AU63" i="1" s="1"/>
  <c r="AK64" i="1"/>
  <c r="AJ64" i="1"/>
  <c r="AS63" i="1" s="1"/>
  <c r="AH64" i="1"/>
  <c r="AG64" i="1"/>
  <c r="AF64" i="1"/>
  <c r="AE64" i="1"/>
  <c r="AD64" i="1"/>
  <c r="Z64" i="1"/>
  <c r="J64" i="1"/>
  <c r="I64" i="1"/>
  <c r="AT63" i="1"/>
  <c r="BJ62" i="1"/>
  <c r="BF62" i="1"/>
  <c r="BD62" i="1"/>
  <c r="AX62" i="1"/>
  <c r="BC62" i="1" s="1"/>
  <c r="AW62" i="1"/>
  <c r="AV62" i="1" s="1"/>
  <c r="AP62" i="1"/>
  <c r="I62" i="1" s="1"/>
  <c r="AO62" i="1"/>
  <c r="BH62" i="1" s="1"/>
  <c r="AB62" i="1" s="1"/>
  <c r="AK62" i="1"/>
  <c r="AJ62" i="1"/>
  <c r="AH62" i="1"/>
  <c r="AG62" i="1"/>
  <c r="AF62" i="1"/>
  <c r="AE62" i="1"/>
  <c r="AD62" i="1"/>
  <c r="Z62" i="1"/>
  <c r="J62" i="1"/>
  <c r="AL62" i="1" s="1"/>
  <c r="H62" i="1"/>
  <c r="BJ61" i="1"/>
  <c r="BF61" i="1"/>
  <c r="BD61" i="1"/>
  <c r="AX61" i="1"/>
  <c r="AP61" i="1"/>
  <c r="BI61" i="1" s="1"/>
  <c r="AC61" i="1" s="1"/>
  <c r="AO61" i="1"/>
  <c r="BH61" i="1" s="1"/>
  <c r="AB61" i="1" s="1"/>
  <c r="AL61" i="1"/>
  <c r="AK61" i="1"/>
  <c r="AJ61" i="1"/>
  <c r="AH61" i="1"/>
  <c r="AG61" i="1"/>
  <c r="AF61" i="1"/>
  <c r="AE61" i="1"/>
  <c r="AD61" i="1"/>
  <c r="Z61" i="1"/>
  <c r="J61" i="1"/>
  <c r="I61" i="1"/>
  <c r="BJ60" i="1"/>
  <c r="BF60" i="1"/>
  <c r="BD60" i="1"/>
  <c r="AP60" i="1"/>
  <c r="BI60" i="1" s="1"/>
  <c r="AC60" i="1" s="1"/>
  <c r="AO60" i="1"/>
  <c r="H60" i="1" s="1"/>
  <c r="AL60" i="1"/>
  <c r="AK60" i="1"/>
  <c r="AJ60" i="1"/>
  <c r="AH60" i="1"/>
  <c r="AG60" i="1"/>
  <c r="AF60" i="1"/>
  <c r="AE60" i="1"/>
  <c r="AD60" i="1"/>
  <c r="Z60" i="1"/>
  <c r="J60" i="1"/>
  <c r="BJ59" i="1"/>
  <c r="BF59" i="1"/>
  <c r="BD59" i="1"/>
  <c r="AP59" i="1"/>
  <c r="I59" i="1" s="1"/>
  <c r="AO59" i="1"/>
  <c r="AW59" i="1" s="1"/>
  <c r="AL59" i="1"/>
  <c r="AK59" i="1"/>
  <c r="AJ59" i="1"/>
  <c r="AH59" i="1"/>
  <c r="AG59" i="1"/>
  <c r="AF59" i="1"/>
  <c r="AE59" i="1"/>
  <c r="AD59" i="1"/>
  <c r="Z59" i="1"/>
  <c r="J59" i="1"/>
  <c r="H59" i="1"/>
  <c r="BJ58" i="1"/>
  <c r="BF58" i="1"/>
  <c r="BD58" i="1"/>
  <c r="AP58" i="1"/>
  <c r="AX58" i="1" s="1"/>
  <c r="AO58" i="1"/>
  <c r="AW58" i="1" s="1"/>
  <c r="AL58" i="1"/>
  <c r="AK58" i="1"/>
  <c r="AJ58" i="1"/>
  <c r="AH58" i="1"/>
  <c r="AG58" i="1"/>
  <c r="AF58" i="1"/>
  <c r="AE58" i="1"/>
  <c r="AD58" i="1"/>
  <c r="Z58" i="1"/>
  <c r="J58" i="1"/>
  <c r="I58" i="1"/>
  <c r="BJ57" i="1"/>
  <c r="BF57" i="1"/>
  <c r="BD57" i="1"/>
  <c r="AW57" i="1"/>
  <c r="BC57" i="1" s="1"/>
  <c r="AP57" i="1"/>
  <c r="AX57" i="1" s="1"/>
  <c r="AV57" i="1" s="1"/>
  <c r="AO57" i="1"/>
  <c r="BH57" i="1" s="1"/>
  <c r="AB57" i="1" s="1"/>
  <c r="AK57" i="1"/>
  <c r="AJ57" i="1"/>
  <c r="AH57" i="1"/>
  <c r="AG57" i="1"/>
  <c r="AF57" i="1"/>
  <c r="AE57" i="1"/>
  <c r="AD57" i="1"/>
  <c r="Z57" i="1"/>
  <c r="J57" i="1"/>
  <c r="AL57" i="1" s="1"/>
  <c r="H57" i="1"/>
  <c r="BJ56" i="1"/>
  <c r="BF56" i="1"/>
  <c r="BD56" i="1"/>
  <c r="AX56" i="1"/>
  <c r="AW56" i="1"/>
  <c r="BC56" i="1" s="1"/>
  <c r="AV56" i="1"/>
  <c r="AP56" i="1"/>
  <c r="BI56" i="1" s="1"/>
  <c r="AC56" i="1" s="1"/>
  <c r="AO56" i="1"/>
  <c r="BH56" i="1" s="1"/>
  <c r="AB56" i="1" s="1"/>
  <c r="AK56" i="1"/>
  <c r="AJ56" i="1"/>
  <c r="AH56" i="1"/>
  <c r="AG56" i="1"/>
  <c r="AF56" i="1"/>
  <c r="AE56" i="1"/>
  <c r="AD56" i="1"/>
  <c r="Z56" i="1"/>
  <c r="J56" i="1"/>
  <c r="AL56" i="1" s="1"/>
  <c r="I56" i="1"/>
  <c r="H56" i="1"/>
  <c r="BJ55" i="1"/>
  <c r="BF55" i="1"/>
  <c r="BD55" i="1"/>
  <c r="AX55" i="1"/>
  <c r="AW55" i="1"/>
  <c r="BC55" i="1" s="1"/>
  <c r="AP55" i="1"/>
  <c r="BI55" i="1" s="1"/>
  <c r="AC55" i="1" s="1"/>
  <c r="AO55" i="1"/>
  <c r="H55" i="1" s="1"/>
  <c r="AK55" i="1"/>
  <c r="AJ55" i="1"/>
  <c r="AH55" i="1"/>
  <c r="AG55" i="1"/>
  <c r="AF55" i="1"/>
  <c r="AE55" i="1"/>
  <c r="AD55" i="1"/>
  <c r="Z55" i="1"/>
  <c r="J55" i="1"/>
  <c r="AL55" i="1" s="1"/>
  <c r="I55" i="1"/>
  <c r="BJ54" i="1"/>
  <c r="BF54" i="1"/>
  <c r="BD54" i="1"/>
  <c r="AX54" i="1"/>
  <c r="BC54" i="1" s="1"/>
  <c r="AW54" i="1"/>
  <c r="AV54" i="1" s="1"/>
  <c r="AP54" i="1"/>
  <c r="I54" i="1" s="1"/>
  <c r="AO54" i="1"/>
  <c r="BH54" i="1" s="1"/>
  <c r="AB54" i="1" s="1"/>
  <c r="AK54" i="1"/>
  <c r="AJ54" i="1"/>
  <c r="AH54" i="1"/>
  <c r="AG54" i="1"/>
  <c r="AF54" i="1"/>
  <c r="AE54" i="1"/>
  <c r="AD54" i="1"/>
  <c r="Z54" i="1"/>
  <c r="J54" i="1"/>
  <c r="AL54" i="1" s="1"/>
  <c r="H54" i="1"/>
  <c r="BJ53" i="1"/>
  <c r="BF53" i="1"/>
  <c r="BD53" i="1"/>
  <c r="AX53" i="1"/>
  <c r="AP53" i="1"/>
  <c r="BI53" i="1" s="1"/>
  <c r="AC53" i="1" s="1"/>
  <c r="AO53" i="1"/>
  <c r="BH53" i="1" s="1"/>
  <c r="AB53" i="1" s="1"/>
  <c r="AL53" i="1"/>
  <c r="AK53" i="1"/>
  <c r="AT52" i="1" s="1"/>
  <c r="AJ53" i="1"/>
  <c r="AS52" i="1" s="1"/>
  <c r="AH53" i="1"/>
  <c r="AG53" i="1"/>
  <c r="AF53" i="1"/>
  <c r="AE53" i="1"/>
  <c r="AD53" i="1"/>
  <c r="Z53" i="1"/>
  <c r="J53" i="1"/>
  <c r="I53" i="1"/>
  <c r="J52" i="1"/>
  <c r="BJ51" i="1"/>
  <c r="BF51" i="1"/>
  <c r="BD51" i="1"/>
  <c r="BC51" i="1"/>
  <c r="AX51" i="1"/>
  <c r="AW51" i="1"/>
  <c r="AV51" i="1" s="1"/>
  <c r="AP51" i="1"/>
  <c r="I51" i="1" s="1"/>
  <c r="I49" i="1" s="1"/>
  <c r="AO51" i="1"/>
  <c r="BH51" i="1" s="1"/>
  <c r="AB51" i="1" s="1"/>
  <c r="AK51" i="1"/>
  <c r="AJ51" i="1"/>
  <c r="AH51" i="1"/>
  <c r="AG51" i="1"/>
  <c r="AF51" i="1"/>
  <c r="AE51" i="1"/>
  <c r="AD51" i="1"/>
  <c r="Z51" i="1"/>
  <c r="J51" i="1"/>
  <c r="AL51" i="1" s="1"/>
  <c r="H51" i="1"/>
  <c r="BJ50" i="1"/>
  <c r="BF50" i="1"/>
  <c r="BD50" i="1"/>
  <c r="AX50" i="1"/>
  <c r="AP50" i="1"/>
  <c r="BI50" i="1" s="1"/>
  <c r="AC50" i="1" s="1"/>
  <c r="AO50" i="1"/>
  <c r="BH50" i="1" s="1"/>
  <c r="AB50" i="1" s="1"/>
  <c r="AL50" i="1"/>
  <c r="AU49" i="1" s="1"/>
  <c r="AK50" i="1"/>
  <c r="AT49" i="1" s="1"/>
  <c r="AJ50" i="1"/>
  <c r="AS49" i="1" s="1"/>
  <c r="AH50" i="1"/>
  <c r="AG50" i="1"/>
  <c r="AF50" i="1"/>
  <c r="AE50" i="1"/>
  <c r="AD50" i="1"/>
  <c r="Z50" i="1"/>
  <c r="J50" i="1"/>
  <c r="I50" i="1"/>
  <c r="J49" i="1"/>
  <c r="BJ48" i="1"/>
  <c r="BF48" i="1"/>
  <c r="BD48" i="1"/>
  <c r="BC48" i="1"/>
  <c r="AX48" i="1"/>
  <c r="AW48" i="1"/>
  <c r="AV48" i="1" s="1"/>
  <c r="AP48" i="1"/>
  <c r="BI48" i="1" s="1"/>
  <c r="AC48" i="1" s="1"/>
  <c r="AO48" i="1"/>
  <c r="BH48" i="1" s="1"/>
  <c r="AB48" i="1" s="1"/>
  <c r="AK48" i="1"/>
  <c r="AJ48" i="1"/>
  <c r="AH48" i="1"/>
  <c r="AG48" i="1"/>
  <c r="AF48" i="1"/>
  <c r="AE48" i="1"/>
  <c r="AD48" i="1"/>
  <c r="Z48" i="1"/>
  <c r="J48" i="1"/>
  <c r="AL48" i="1" s="1"/>
  <c r="AU43" i="1" s="1"/>
  <c r="I48" i="1"/>
  <c r="H48" i="1"/>
  <c r="BJ47" i="1"/>
  <c r="BF47" i="1"/>
  <c r="BD47" i="1"/>
  <c r="AX47" i="1"/>
  <c r="AP47" i="1"/>
  <c r="BI47" i="1" s="1"/>
  <c r="AC47" i="1" s="1"/>
  <c r="AO47" i="1"/>
  <c r="BH47" i="1" s="1"/>
  <c r="AB47" i="1" s="1"/>
  <c r="AL47" i="1"/>
  <c r="AK47" i="1"/>
  <c r="AJ47" i="1"/>
  <c r="AS43" i="1" s="1"/>
  <c r="AH47" i="1"/>
  <c r="AG47" i="1"/>
  <c r="AF47" i="1"/>
  <c r="AE47" i="1"/>
  <c r="AD47" i="1"/>
  <c r="Z47" i="1"/>
  <c r="J47" i="1"/>
  <c r="I47" i="1"/>
  <c r="BJ46" i="1"/>
  <c r="BF46" i="1"/>
  <c r="BD46" i="1"/>
  <c r="AP46" i="1"/>
  <c r="BI46" i="1" s="1"/>
  <c r="AC46" i="1" s="1"/>
  <c r="AO46" i="1"/>
  <c r="H46" i="1" s="1"/>
  <c r="AL46" i="1"/>
  <c r="AK46" i="1"/>
  <c r="AJ46" i="1"/>
  <c r="AH46" i="1"/>
  <c r="AG46" i="1"/>
  <c r="AF46" i="1"/>
  <c r="AE46" i="1"/>
  <c r="AD46" i="1"/>
  <c r="Z46" i="1"/>
  <c r="J46" i="1"/>
  <c r="BJ45" i="1"/>
  <c r="BF45" i="1"/>
  <c r="BD45" i="1"/>
  <c r="AP45" i="1"/>
  <c r="I45" i="1" s="1"/>
  <c r="AO45" i="1"/>
  <c r="AW45" i="1" s="1"/>
  <c r="AL45" i="1"/>
  <c r="AK45" i="1"/>
  <c r="AJ45" i="1"/>
  <c r="AH45" i="1"/>
  <c r="AG45" i="1"/>
  <c r="AF45" i="1"/>
  <c r="AE45" i="1"/>
  <c r="AD45" i="1"/>
  <c r="Z45" i="1"/>
  <c r="J45" i="1"/>
  <c r="J43" i="1" s="1"/>
  <c r="BJ44" i="1"/>
  <c r="BF44" i="1"/>
  <c r="BD44" i="1"/>
  <c r="AP44" i="1"/>
  <c r="AX44" i="1" s="1"/>
  <c r="AO44" i="1"/>
  <c r="AW44" i="1" s="1"/>
  <c r="AL44" i="1"/>
  <c r="AK44" i="1"/>
  <c r="AJ44" i="1"/>
  <c r="AH44" i="1"/>
  <c r="AG44" i="1"/>
  <c r="AF44" i="1"/>
  <c r="AE44" i="1"/>
  <c r="AD44" i="1"/>
  <c r="Z44" i="1"/>
  <c r="J44" i="1"/>
  <c r="AT43" i="1"/>
  <c r="BJ42" i="1"/>
  <c r="BF42" i="1"/>
  <c r="BD42" i="1"/>
  <c r="AP42" i="1"/>
  <c r="I42" i="1" s="1"/>
  <c r="AO42" i="1"/>
  <c r="AW42" i="1" s="1"/>
  <c r="AL42" i="1"/>
  <c r="AK42" i="1"/>
  <c r="AJ42" i="1"/>
  <c r="AH42" i="1"/>
  <c r="AG42" i="1"/>
  <c r="AF42" i="1"/>
  <c r="AE42" i="1"/>
  <c r="AD42" i="1"/>
  <c r="Z42" i="1"/>
  <c r="J42" i="1"/>
  <c r="BJ41" i="1"/>
  <c r="BF41" i="1"/>
  <c r="BD41" i="1"/>
  <c r="AP41" i="1"/>
  <c r="AX41" i="1" s="1"/>
  <c r="AO41" i="1"/>
  <c r="AW41" i="1" s="1"/>
  <c r="AL41" i="1"/>
  <c r="AK41" i="1"/>
  <c r="AJ41" i="1"/>
  <c r="AH41" i="1"/>
  <c r="AG41" i="1"/>
  <c r="AF41" i="1"/>
  <c r="AE41" i="1"/>
  <c r="AD41" i="1"/>
  <c r="Z41" i="1"/>
  <c r="J41" i="1"/>
  <c r="BJ40" i="1"/>
  <c r="BF40" i="1"/>
  <c r="BD40" i="1"/>
  <c r="AW40" i="1"/>
  <c r="AP40" i="1"/>
  <c r="AX40" i="1" s="1"/>
  <c r="AV40" i="1" s="1"/>
  <c r="AO40" i="1"/>
  <c r="BH40" i="1" s="1"/>
  <c r="AB40" i="1" s="1"/>
  <c r="AK40" i="1"/>
  <c r="AT38" i="1" s="1"/>
  <c r="AJ40" i="1"/>
  <c r="AH40" i="1"/>
  <c r="AG40" i="1"/>
  <c r="AF40" i="1"/>
  <c r="AE40" i="1"/>
  <c r="AD40" i="1"/>
  <c r="Z40" i="1"/>
  <c r="J40" i="1"/>
  <c r="AL40" i="1" s="1"/>
  <c r="H40" i="1"/>
  <c r="BJ39" i="1"/>
  <c r="BF39" i="1"/>
  <c r="BD39" i="1"/>
  <c r="AX39" i="1"/>
  <c r="AW39" i="1"/>
  <c r="BC39" i="1" s="1"/>
  <c r="AP39" i="1"/>
  <c r="BI39" i="1" s="1"/>
  <c r="AC39" i="1" s="1"/>
  <c r="AO39" i="1"/>
  <c r="BH39" i="1" s="1"/>
  <c r="AB39" i="1" s="1"/>
  <c r="AK39" i="1"/>
  <c r="AJ39" i="1"/>
  <c r="AS38" i="1" s="1"/>
  <c r="AH39" i="1"/>
  <c r="AG39" i="1"/>
  <c r="AF39" i="1"/>
  <c r="AE39" i="1"/>
  <c r="AD39" i="1"/>
  <c r="Z39" i="1"/>
  <c r="J39" i="1"/>
  <c r="J38" i="1" s="1"/>
  <c r="I39" i="1"/>
  <c r="H39" i="1"/>
  <c r="BJ37" i="1"/>
  <c r="BF37" i="1"/>
  <c r="BD37" i="1"/>
  <c r="AW37" i="1"/>
  <c r="BC37" i="1" s="1"/>
  <c r="AP37" i="1"/>
  <c r="AX37" i="1" s="1"/>
  <c r="AV37" i="1" s="1"/>
  <c r="AO37" i="1"/>
  <c r="BH37" i="1" s="1"/>
  <c r="AB37" i="1" s="1"/>
  <c r="AK37" i="1"/>
  <c r="AJ37" i="1"/>
  <c r="AH37" i="1"/>
  <c r="AG37" i="1"/>
  <c r="AF37" i="1"/>
  <c r="AE37" i="1"/>
  <c r="AD37" i="1"/>
  <c r="Z37" i="1"/>
  <c r="J37" i="1"/>
  <c r="AL37" i="1" s="1"/>
  <c r="H37" i="1"/>
  <c r="BJ36" i="1"/>
  <c r="BF36" i="1"/>
  <c r="BD36" i="1"/>
  <c r="AX36" i="1"/>
  <c r="AW36" i="1"/>
  <c r="BC36" i="1" s="1"/>
  <c r="AP36" i="1"/>
  <c r="BI36" i="1" s="1"/>
  <c r="AC36" i="1" s="1"/>
  <c r="AO36" i="1"/>
  <c r="BH36" i="1" s="1"/>
  <c r="AB36" i="1" s="1"/>
  <c r="AK36" i="1"/>
  <c r="AJ36" i="1"/>
  <c r="AH36" i="1"/>
  <c r="AG36" i="1"/>
  <c r="AF36" i="1"/>
  <c r="AE36" i="1"/>
  <c r="AD36" i="1"/>
  <c r="Z36" i="1"/>
  <c r="J36" i="1"/>
  <c r="AL36" i="1" s="1"/>
  <c r="I36" i="1"/>
  <c r="H36" i="1"/>
  <c r="BJ35" i="1"/>
  <c r="BF35" i="1"/>
  <c r="BD35" i="1"/>
  <c r="AX35" i="1"/>
  <c r="AW35" i="1"/>
  <c r="BC35" i="1" s="1"/>
  <c r="AP35" i="1"/>
  <c r="BI35" i="1" s="1"/>
  <c r="AC35" i="1" s="1"/>
  <c r="AO35" i="1"/>
  <c r="BH35" i="1" s="1"/>
  <c r="AB35" i="1" s="1"/>
  <c r="AK35" i="1"/>
  <c r="AT34" i="1" s="1"/>
  <c r="AJ35" i="1"/>
  <c r="AS34" i="1" s="1"/>
  <c r="AH35" i="1"/>
  <c r="AG35" i="1"/>
  <c r="AF35" i="1"/>
  <c r="AE35" i="1"/>
  <c r="AD35" i="1"/>
  <c r="Z35" i="1"/>
  <c r="J35" i="1"/>
  <c r="AL35" i="1" s="1"/>
  <c r="AU34" i="1" s="1"/>
  <c r="I35" i="1"/>
  <c r="H35" i="1"/>
  <c r="H34" i="1"/>
  <c r="BJ33" i="1"/>
  <c r="BF33" i="1"/>
  <c r="BD33" i="1"/>
  <c r="AX33" i="1"/>
  <c r="AW33" i="1"/>
  <c r="BC33" i="1" s="1"/>
  <c r="AP33" i="1"/>
  <c r="BI33" i="1" s="1"/>
  <c r="AC33" i="1" s="1"/>
  <c r="AO33" i="1"/>
  <c r="BH33" i="1" s="1"/>
  <c r="AB33" i="1" s="1"/>
  <c r="AK33" i="1"/>
  <c r="AJ33" i="1"/>
  <c r="AH33" i="1"/>
  <c r="AG33" i="1"/>
  <c r="AF33" i="1"/>
  <c r="AE33" i="1"/>
  <c r="AD33" i="1"/>
  <c r="Z33" i="1"/>
  <c r="J33" i="1"/>
  <c r="AL33" i="1" s="1"/>
  <c r="I33" i="1"/>
  <c r="H33" i="1"/>
  <c r="BJ32" i="1"/>
  <c r="BF32" i="1"/>
  <c r="BD32" i="1"/>
  <c r="AX32" i="1"/>
  <c r="AW32" i="1"/>
  <c r="BC32" i="1" s="1"/>
  <c r="AP32" i="1"/>
  <c r="BI32" i="1" s="1"/>
  <c r="AC32" i="1" s="1"/>
  <c r="AO32" i="1"/>
  <c r="BH32" i="1" s="1"/>
  <c r="AB32" i="1" s="1"/>
  <c r="AK32" i="1"/>
  <c r="AJ32" i="1"/>
  <c r="AH32" i="1"/>
  <c r="AG32" i="1"/>
  <c r="AF32" i="1"/>
  <c r="AE32" i="1"/>
  <c r="AD32" i="1"/>
  <c r="Z32" i="1"/>
  <c r="J32" i="1"/>
  <c r="AL32" i="1" s="1"/>
  <c r="I32" i="1"/>
  <c r="H32" i="1"/>
  <c r="BJ31" i="1"/>
  <c r="BF31" i="1"/>
  <c r="BD31" i="1"/>
  <c r="BC31" i="1"/>
  <c r="AX31" i="1"/>
  <c r="AW31" i="1"/>
  <c r="AV31" i="1" s="1"/>
  <c r="AP31" i="1"/>
  <c r="BI31" i="1" s="1"/>
  <c r="AC31" i="1" s="1"/>
  <c r="AO31" i="1"/>
  <c r="BH31" i="1" s="1"/>
  <c r="AB31" i="1" s="1"/>
  <c r="AK31" i="1"/>
  <c r="AJ31" i="1"/>
  <c r="AH31" i="1"/>
  <c r="AG31" i="1"/>
  <c r="AF31" i="1"/>
  <c r="AE31" i="1"/>
  <c r="AD31" i="1"/>
  <c r="Z31" i="1"/>
  <c r="J31" i="1"/>
  <c r="AL31" i="1" s="1"/>
  <c r="I31" i="1"/>
  <c r="H31" i="1"/>
  <c r="BJ30" i="1"/>
  <c r="BF30" i="1"/>
  <c r="BD30" i="1"/>
  <c r="AX30" i="1"/>
  <c r="AP30" i="1"/>
  <c r="BI30" i="1" s="1"/>
  <c r="AC30" i="1" s="1"/>
  <c r="AO30" i="1"/>
  <c r="BH30" i="1" s="1"/>
  <c r="AL30" i="1"/>
  <c r="AK30" i="1"/>
  <c r="AT26" i="1" s="1"/>
  <c r="AJ30" i="1"/>
  <c r="AH30" i="1"/>
  <c r="AG30" i="1"/>
  <c r="AF30" i="1"/>
  <c r="AE30" i="1"/>
  <c r="AD30" i="1"/>
  <c r="AB30" i="1"/>
  <c r="Z30" i="1"/>
  <c r="J30" i="1"/>
  <c r="I30" i="1"/>
  <c r="BJ29" i="1"/>
  <c r="BF29" i="1"/>
  <c r="BD29" i="1"/>
  <c r="AP29" i="1"/>
  <c r="BI29" i="1" s="1"/>
  <c r="AO29" i="1"/>
  <c r="H29" i="1" s="1"/>
  <c r="AL29" i="1"/>
  <c r="AU26" i="1" s="1"/>
  <c r="AK29" i="1"/>
  <c r="AJ29" i="1"/>
  <c r="AH29" i="1"/>
  <c r="AG29" i="1"/>
  <c r="AF29" i="1"/>
  <c r="AE29" i="1"/>
  <c r="AD29" i="1"/>
  <c r="AC29" i="1"/>
  <c r="Z29" i="1"/>
  <c r="J29" i="1"/>
  <c r="BJ28" i="1"/>
  <c r="BI28" i="1"/>
  <c r="AC28" i="1" s="1"/>
  <c r="BH28" i="1"/>
  <c r="AB28" i="1" s="1"/>
  <c r="BF28" i="1"/>
  <c r="BD28" i="1"/>
  <c r="AP28" i="1"/>
  <c r="AO28" i="1"/>
  <c r="AW28" i="1" s="1"/>
  <c r="AL28" i="1"/>
  <c r="AK28" i="1"/>
  <c r="AJ28" i="1"/>
  <c r="AH28" i="1"/>
  <c r="AG28" i="1"/>
  <c r="AF28" i="1"/>
  <c r="AE28" i="1"/>
  <c r="AD28" i="1"/>
  <c r="Z28" i="1"/>
  <c r="J28" i="1"/>
  <c r="J26" i="1" s="1"/>
  <c r="H28" i="1"/>
  <c r="BJ27" i="1"/>
  <c r="BF27" i="1"/>
  <c r="BD27" i="1"/>
  <c r="AP27" i="1"/>
  <c r="AX27" i="1" s="1"/>
  <c r="AO27" i="1"/>
  <c r="BH27" i="1" s="1"/>
  <c r="AB27" i="1" s="1"/>
  <c r="AL27" i="1"/>
  <c r="AK27" i="1"/>
  <c r="AJ27" i="1"/>
  <c r="AH27" i="1"/>
  <c r="AG27" i="1"/>
  <c r="AF27" i="1"/>
  <c r="AE27" i="1"/>
  <c r="AD27" i="1"/>
  <c r="Z27" i="1"/>
  <c r="J27" i="1"/>
  <c r="BJ25" i="1"/>
  <c r="BI25" i="1"/>
  <c r="AC25" i="1" s="1"/>
  <c r="BF25" i="1"/>
  <c r="BD25" i="1"/>
  <c r="AP25" i="1"/>
  <c r="AO25" i="1"/>
  <c r="AW25" i="1" s="1"/>
  <c r="AL25" i="1"/>
  <c r="AU24" i="1" s="1"/>
  <c r="AK25" i="1"/>
  <c r="AJ25" i="1"/>
  <c r="AH25" i="1"/>
  <c r="AG25" i="1"/>
  <c r="AF25" i="1"/>
  <c r="AE25" i="1"/>
  <c r="AD25" i="1"/>
  <c r="Z25" i="1"/>
  <c r="J25" i="1"/>
  <c r="AT24" i="1"/>
  <c r="AS24" i="1"/>
  <c r="J24" i="1"/>
  <c r="BJ23" i="1"/>
  <c r="BI23" i="1"/>
  <c r="AC23" i="1" s="1"/>
  <c r="BF23" i="1"/>
  <c r="BD23" i="1"/>
  <c r="AP23" i="1"/>
  <c r="AO23" i="1"/>
  <c r="AL23" i="1"/>
  <c r="AK23" i="1"/>
  <c r="AJ23" i="1"/>
  <c r="AH23" i="1"/>
  <c r="AG23" i="1"/>
  <c r="AF23" i="1"/>
  <c r="AE23" i="1"/>
  <c r="AD23" i="1"/>
  <c r="Z23" i="1"/>
  <c r="J23" i="1"/>
  <c r="BJ22" i="1"/>
  <c r="BF22" i="1"/>
  <c r="BD22" i="1"/>
  <c r="AP22" i="1"/>
  <c r="AO22" i="1"/>
  <c r="AW22" i="1" s="1"/>
  <c r="AL22" i="1"/>
  <c r="AK22" i="1"/>
  <c r="AJ22" i="1"/>
  <c r="AH22" i="1"/>
  <c r="AG22" i="1"/>
  <c r="AF22" i="1"/>
  <c r="AE22" i="1"/>
  <c r="AD22" i="1"/>
  <c r="Z22" i="1"/>
  <c r="J22" i="1"/>
  <c r="H22" i="1"/>
  <c r="BJ21" i="1"/>
  <c r="BI21" i="1"/>
  <c r="BH21" i="1"/>
  <c r="AB21" i="1" s="1"/>
  <c r="BF21" i="1"/>
  <c r="BD21" i="1"/>
  <c r="AP21" i="1"/>
  <c r="AX21" i="1" s="1"/>
  <c r="AO21" i="1"/>
  <c r="AW21" i="1" s="1"/>
  <c r="AL21" i="1"/>
  <c r="AK21" i="1"/>
  <c r="AJ21" i="1"/>
  <c r="AH21" i="1"/>
  <c r="AG21" i="1"/>
  <c r="AF21" i="1"/>
  <c r="AE21" i="1"/>
  <c r="AD21" i="1"/>
  <c r="AC21" i="1"/>
  <c r="Z21" i="1"/>
  <c r="J21" i="1"/>
  <c r="BJ20" i="1"/>
  <c r="BI20" i="1"/>
  <c r="AC20" i="1" s="1"/>
  <c r="BF20" i="1"/>
  <c r="BD20" i="1"/>
  <c r="AX20" i="1"/>
  <c r="AP20" i="1"/>
  <c r="AO20" i="1"/>
  <c r="H20" i="1" s="1"/>
  <c r="AK20" i="1"/>
  <c r="AJ20" i="1"/>
  <c r="AH20" i="1"/>
  <c r="AG20" i="1"/>
  <c r="AF20" i="1"/>
  <c r="AE20" i="1"/>
  <c r="AD20" i="1"/>
  <c r="Z20" i="1"/>
  <c r="J20" i="1"/>
  <c r="AL20" i="1" s="1"/>
  <c r="I20" i="1"/>
  <c r="BJ19" i="1"/>
  <c r="BF19" i="1"/>
  <c r="BD19" i="1"/>
  <c r="AX19" i="1"/>
  <c r="AW19" i="1"/>
  <c r="AV19" i="1" s="1"/>
  <c r="AP19" i="1"/>
  <c r="BI19" i="1" s="1"/>
  <c r="AC19" i="1" s="1"/>
  <c r="AO19" i="1"/>
  <c r="BH19" i="1" s="1"/>
  <c r="AB19" i="1" s="1"/>
  <c r="AK19" i="1"/>
  <c r="AJ19" i="1"/>
  <c r="AH19" i="1"/>
  <c r="AG19" i="1"/>
  <c r="AF19" i="1"/>
  <c r="AE19" i="1"/>
  <c r="AD19" i="1"/>
  <c r="Z19" i="1"/>
  <c r="J19" i="1"/>
  <c r="AL19" i="1" s="1"/>
  <c r="I19" i="1"/>
  <c r="H19" i="1"/>
  <c r="BJ18" i="1"/>
  <c r="BF18" i="1"/>
  <c r="BD18" i="1"/>
  <c r="AX18" i="1"/>
  <c r="AW18" i="1"/>
  <c r="BC18" i="1" s="1"/>
  <c r="AV18" i="1"/>
  <c r="AP18" i="1"/>
  <c r="BI18" i="1" s="1"/>
  <c r="AC18" i="1" s="1"/>
  <c r="AO18" i="1"/>
  <c r="BH18" i="1" s="1"/>
  <c r="AB18" i="1" s="1"/>
  <c r="AK18" i="1"/>
  <c r="AJ18" i="1"/>
  <c r="AH18" i="1"/>
  <c r="AG18" i="1"/>
  <c r="AF18" i="1"/>
  <c r="AE18" i="1"/>
  <c r="AD18" i="1"/>
  <c r="Z18" i="1"/>
  <c r="J18" i="1"/>
  <c r="AL18" i="1" s="1"/>
  <c r="I18" i="1"/>
  <c r="H18" i="1"/>
  <c r="AT17" i="1"/>
  <c r="J17" i="1"/>
  <c r="BJ16" i="1"/>
  <c r="BF16" i="1"/>
  <c r="BD16" i="1"/>
  <c r="BC16" i="1"/>
  <c r="AX16" i="1"/>
  <c r="AV16" i="1" s="1"/>
  <c r="AW16" i="1"/>
  <c r="AP16" i="1"/>
  <c r="BI16" i="1" s="1"/>
  <c r="AC16" i="1" s="1"/>
  <c r="AO16" i="1"/>
  <c r="BH16" i="1" s="1"/>
  <c r="AB16" i="1" s="1"/>
  <c r="AK16" i="1"/>
  <c r="AJ16" i="1"/>
  <c r="AH16" i="1"/>
  <c r="AG16" i="1"/>
  <c r="AF16" i="1"/>
  <c r="AE16" i="1"/>
  <c r="AD16" i="1"/>
  <c r="Z16" i="1"/>
  <c r="J16" i="1"/>
  <c r="AL16" i="1" s="1"/>
  <c r="I16" i="1"/>
  <c r="H16" i="1"/>
  <c r="BJ15" i="1"/>
  <c r="BF15" i="1"/>
  <c r="BD15" i="1"/>
  <c r="AX15" i="1"/>
  <c r="AW15" i="1"/>
  <c r="AV15" i="1" s="1"/>
  <c r="AP15" i="1"/>
  <c r="BI15" i="1" s="1"/>
  <c r="AC15" i="1" s="1"/>
  <c r="AO15" i="1"/>
  <c r="BH15" i="1" s="1"/>
  <c r="AB15" i="1" s="1"/>
  <c r="AK15" i="1"/>
  <c r="AJ15" i="1"/>
  <c r="AH15" i="1"/>
  <c r="AG15" i="1"/>
  <c r="AF15" i="1"/>
  <c r="AE15" i="1"/>
  <c r="AD15" i="1"/>
  <c r="Z15" i="1"/>
  <c r="J15" i="1"/>
  <c r="AL15" i="1" s="1"/>
  <c r="I15" i="1"/>
  <c r="H15" i="1"/>
  <c r="BJ14" i="1"/>
  <c r="BF14" i="1"/>
  <c r="BD14" i="1"/>
  <c r="AW14" i="1"/>
  <c r="AP14" i="1"/>
  <c r="BI14" i="1" s="1"/>
  <c r="AC14" i="1" s="1"/>
  <c r="AO14" i="1"/>
  <c r="BH14" i="1" s="1"/>
  <c r="AB14" i="1" s="1"/>
  <c r="AK14" i="1"/>
  <c r="AJ14" i="1"/>
  <c r="AH14" i="1"/>
  <c r="AG14" i="1"/>
  <c r="AF14" i="1"/>
  <c r="AE14" i="1"/>
  <c r="AD14" i="1"/>
  <c r="Z14" i="1"/>
  <c r="J14" i="1"/>
  <c r="AL14" i="1" s="1"/>
  <c r="H14" i="1"/>
  <c r="BJ13" i="1"/>
  <c r="BF13" i="1"/>
  <c r="BD13" i="1"/>
  <c r="AP13" i="1"/>
  <c r="BI13" i="1" s="1"/>
  <c r="AC13" i="1" s="1"/>
  <c r="AO13" i="1"/>
  <c r="AW13" i="1" s="1"/>
  <c r="AK13" i="1"/>
  <c r="AJ13" i="1"/>
  <c r="AH13" i="1"/>
  <c r="AG13" i="1"/>
  <c r="AF13" i="1"/>
  <c r="AE13" i="1"/>
  <c r="C17" i="3" s="1"/>
  <c r="AD13" i="1"/>
  <c r="Z13" i="1"/>
  <c r="C21" i="3" s="1"/>
  <c r="J13" i="1"/>
  <c r="AL13" i="1" s="1"/>
  <c r="AU1" i="1"/>
  <c r="AT1" i="1"/>
  <c r="AS1" i="1"/>
  <c r="C21" i="7" l="1"/>
  <c r="J133" i="1"/>
  <c r="J132" i="1" s="1"/>
  <c r="I134" i="1"/>
  <c r="I133" i="1" s="1"/>
  <c r="I132" i="1" s="1"/>
  <c r="C18" i="7"/>
  <c r="C17" i="7"/>
  <c r="C16" i="7"/>
  <c r="AX111" i="5"/>
  <c r="AV111" i="5" s="1"/>
  <c r="C15" i="7"/>
  <c r="AT84" i="5"/>
  <c r="J84" i="5"/>
  <c r="AL109" i="1"/>
  <c r="C28" i="3"/>
  <c r="F28" i="3" s="1"/>
  <c r="C29" i="3"/>
  <c r="H109" i="1"/>
  <c r="AW109" i="1"/>
  <c r="BC109" i="1" s="1"/>
  <c r="F22" i="7"/>
  <c r="I22" i="7"/>
  <c r="I22" i="19"/>
  <c r="I22" i="16"/>
  <c r="F22" i="16"/>
  <c r="I13" i="5"/>
  <c r="J13" i="14"/>
  <c r="J13" i="11"/>
  <c r="J12" i="11" s="1"/>
  <c r="C27" i="7"/>
  <c r="C28" i="7"/>
  <c r="F28" i="7" s="1"/>
  <c r="AT12" i="8"/>
  <c r="H13" i="8"/>
  <c r="J13" i="17"/>
  <c r="AT13" i="17"/>
  <c r="AU13" i="14"/>
  <c r="I13" i="14"/>
  <c r="AW13" i="5"/>
  <c r="J12" i="5"/>
  <c r="AX13" i="5"/>
  <c r="H13" i="5"/>
  <c r="H12" i="5" s="1"/>
  <c r="AT12" i="1"/>
  <c r="BC37" i="17"/>
  <c r="AV37" i="17"/>
  <c r="AV69" i="17"/>
  <c r="BC69" i="17"/>
  <c r="BC22" i="17"/>
  <c r="BC36" i="17"/>
  <c r="BC63" i="17"/>
  <c r="BC64" i="17"/>
  <c r="AV64" i="17"/>
  <c r="BC38" i="17"/>
  <c r="AV38" i="17"/>
  <c r="BC49" i="17"/>
  <c r="AV49" i="17"/>
  <c r="BC58" i="17"/>
  <c r="AV58" i="17"/>
  <c r="BC65" i="17"/>
  <c r="AV65" i="17"/>
  <c r="BC27" i="17"/>
  <c r="AV27" i="17"/>
  <c r="BC66" i="17"/>
  <c r="AV66" i="17"/>
  <c r="AU13" i="17"/>
  <c r="C29" i="19"/>
  <c r="F29" i="19" s="1"/>
  <c r="AV75" i="17"/>
  <c r="BC75" i="17"/>
  <c r="C21" i="19"/>
  <c r="AV18" i="17"/>
  <c r="AV26" i="17"/>
  <c r="AV40" i="17"/>
  <c r="AV73" i="17"/>
  <c r="BC73" i="17"/>
  <c r="AV16" i="17"/>
  <c r="AU32" i="17"/>
  <c r="BC55" i="17"/>
  <c r="BC56" i="17"/>
  <c r="AV56" i="17"/>
  <c r="AV59" i="17"/>
  <c r="AV60" i="17"/>
  <c r="BC60" i="17"/>
  <c r="AV33" i="17"/>
  <c r="BC48" i="17"/>
  <c r="AV48" i="17"/>
  <c r="BC52" i="17"/>
  <c r="BC57" i="17"/>
  <c r="AV57" i="17"/>
  <c r="AV71" i="17"/>
  <c r="BC71" i="17"/>
  <c r="I14" i="17"/>
  <c r="I13" i="17" s="1"/>
  <c r="AW14" i="17"/>
  <c r="AX16" i="17"/>
  <c r="BC16" i="17" s="1"/>
  <c r="BC18" i="17"/>
  <c r="J19" i="17"/>
  <c r="BC21" i="17"/>
  <c r="AX22" i="17"/>
  <c r="AV22" i="17" s="1"/>
  <c r="I23" i="17"/>
  <c r="I19" i="17" s="1"/>
  <c r="AW23" i="17"/>
  <c r="H24" i="17"/>
  <c r="H19" i="17" s="1"/>
  <c r="BC29" i="17"/>
  <c r="AX30" i="17"/>
  <c r="BC30" i="17" s="1"/>
  <c r="I31" i="17"/>
  <c r="AW31" i="17"/>
  <c r="AX33" i="17"/>
  <c r="BC33" i="17" s="1"/>
  <c r="I34" i="17"/>
  <c r="I32" i="17" s="1"/>
  <c r="AW34" i="17"/>
  <c r="H35" i="17"/>
  <c r="H32" i="17" s="1"/>
  <c r="BI36" i="17"/>
  <c r="AG36" i="17" s="1"/>
  <c r="BH37" i="17"/>
  <c r="AF37" i="17" s="1"/>
  <c r="BC40" i="17"/>
  <c r="AX41" i="17"/>
  <c r="AV41" i="17" s="1"/>
  <c r="I42" i="17"/>
  <c r="AW42" i="17"/>
  <c r="H43" i="17"/>
  <c r="H46" i="17"/>
  <c r="BI47" i="17"/>
  <c r="BH48" i="17"/>
  <c r="BC51" i="17"/>
  <c r="AX52" i="17"/>
  <c r="AV52" i="17" s="1"/>
  <c r="I53" i="17"/>
  <c r="I45" i="17" s="1"/>
  <c r="AW53" i="17"/>
  <c r="H54" i="17"/>
  <c r="BI55" i="17"/>
  <c r="BH56" i="17"/>
  <c r="BC59" i="17"/>
  <c r="BI63" i="17"/>
  <c r="BH64" i="17"/>
  <c r="AX14" i="17"/>
  <c r="AX23" i="17"/>
  <c r="AW24" i="17"/>
  <c r="AV25" i="17"/>
  <c r="BI26" i="17"/>
  <c r="AG26" i="17" s="1"/>
  <c r="BH27" i="17"/>
  <c r="AF27" i="17" s="1"/>
  <c r="AX31" i="17"/>
  <c r="AX34" i="17"/>
  <c r="AW35" i="17"/>
  <c r="AV36" i="17"/>
  <c r="BI37" i="17"/>
  <c r="AG37" i="17" s="1"/>
  <c r="BH38" i="17"/>
  <c r="AF38" i="17" s="1"/>
  <c r="AX42" i="17"/>
  <c r="AW43" i="17"/>
  <c r="AV44" i="17"/>
  <c r="AW46" i="17"/>
  <c r="AV47" i="17"/>
  <c r="BI48" i="17"/>
  <c r="BH49" i="17"/>
  <c r="AX53" i="17"/>
  <c r="AW54" i="17"/>
  <c r="AV55" i="17"/>
  <c r="BI56" i="17"/>
  <c r="BH57" i="17"/>
  <c r="AX61" i="17"/>
  <c r="AV61" i="17" s="1"/>
  <c r="AW62" i="17"/>
  <c r="AV63" i="17"/>
  <c r="BI64" i="17"/>
  <c r="BH65" i="17"/>
  <c r="C27" i="19"/>
  <c r="BH20" i="17"/>
  <c r="AF20" i="17" s="1"/>
  <c r="C18" i="19" s="1"/>
  <c r="BI27" i="17"/>
  <c r="AG27" i="17" s="1"/>
  <c r="BH28" i="17"/>
  <c r="AF28" i="17" s="1"/>
  <c r="BI49" i="17"/>
  <c r="BH50" i="17"/>
  <c r="BI57" i="17"/>
  <c r="BH58" i="17"/>
  <c r="BC61" i="17"/>
  <c r="BI65" i="17"/>
  <c r="BH66" i="17"/>
  <c r="J72" i="17"/>
  <c r="J67" i="17" s="1"/>
  <c r="J74" i="17"/>
  <c r="H65" i="17"/>
  <c r="BI66" i="17"/>
  <c r="BH16" i="17"/>
  <c r="AB16" i="17" s="1"/>
  <c r="BI18" i="17"/>
  <c r="AV20" i="17"/>
  <c r="BI21" i="17"/>
  <c r="AG21" i="17" s="1"/>
  <c r="C19" i="19" s="1"/>
  <c r="BH22" i="17"/>
  <c r="AF22" i="17" s="1"/>
  <c r="AV28" i="17"/>
  <c r="BI29" i="17"/>
  <c r="AG29" i="17" s="1"/>
  <c r="BH30" i="17"/>
  <c r="AF30" i="17" s="1"/>
  <c r="BH33" i="17"/>
  <c r="AF33" i="17" s="1"/>
  <c r="AV39" i="17"/>
  <c r="BI40" i="17"/>
  <c r="AG40" i="17" s="1"/>
  <c r="BH41" i="17"/>
  <c r="AF41" i="17" s="1"/>
  <c r="AV50" i="17"/>
  <c r="BI51" i="17"/>
  <c r="BH52" i="17"/>
  <c r="I57" i="17"/>
  <c r="H58" i="17"/>
  <c r="BI59" i="17"/>
  <c r="BH60" i="17"/>
  <c r="I65" i="17"/>
  <c r="H66" i="17"/>
  <c r="BH69" i="17"/>
  <c r="BH71" i="17"/>
  <c r="BH73" i="17"/>
  <c r="BH75" i="17"/>
  <c r="BH14" i="17"/>
  <c r="AB14" i="17" s="1"/>
  <c r="BI16" i="17"/>
  <c r="AC16" i="17" s="1"/>
  <c r="C15" i="19" s="1"/>
  <c r="BI22" i="17"/>
  <c r="AG22" i="17" s="1"/>
  <c r="BH23" i="17"/>
  <c r="AF23" i="17" s="1"/>
  <c r="BI30" i="17"/>
  <c r="AG30" i="17" s="1"/>
  <c r="BH31" i="17"/>
  <c r="AF31" i="17" s="1"/>
  <c r="BI33" i="17"/>
  <c r="AG33" i="17" s="1"/>
  <c r="BH34" i="17"/>
  <c r="AF34" i="17" s="1"/>
  <c r="BI41" i="17"/>
  <c r="AG41" i="17" s="1"/>
  <c r="BH42" i="17"/>
  <c r="AF42" i="17" s="1"/>
  <c r="BI52" i="17"/>
  <c r="BH53" i="17"/>
  <c r="BI60" i="17"/>
  <c r="BH61" i="17"/>
  <c r="BC15" i="14"/>
  <c r="AV15" i="14"/>
  <c r="AU16" i="14"/>
  <c r="BC18" i="14"/>
  <c r="AV18" i="14"/>
  <c r="BC17" i="14"/>
  <c r="AV17" i="14"/>
  <c r="BC21" i="14"/>
  <c r="AV21" i="14"/>
  <c r="BH17" i="14"/>
  <c r="AB17" i="14" s="1"/>
  <c r="BC19" i="14"/>
  <c r="BC22" i="14"/>
  <c r="BI24" i="14"/>
  <c r="AC24" i="14" s="1"/>
  <c r="BC26" i="14"/>
  <c r="BI27" i="14"/>
  <c r="AC27" i="14" s="1"/>
  <c r="BH30" i="14"/>
  <c r="AB30" i="14" s="1"/>
  <c r="AV55" i="14"/>
  <c r="BC55" i="14"/>
  <c r="AL72" i="14"/>
  <c r="AU71" i="14" s="1"/>
  <c r="J71" i="14"/>
  <c r="AV75" i="14"/>
  <c r="AT56" i="14"/>
  <c r="BI14" i="14"/>
  <c r="AC14" i="14" s="1"/>
  <c r="BH15" i="14"/>
  <c r="AB15" i="14" s="1"/>
  <c r="C14" i="16" s="1"/>
  <c r="BI17" i="14"/>
  <c r="AC17" i="14" s="1"/>
  <c r="BH18" i="14"/>
  <c r="AB18" i="14" s="1"/>
  <c r="BH21" i="14"/>
  <c r="AB21" i="14" s="1"/>
  <c r="AW24" i="14"/>
  <c r="AT25" i="14"/>
  <c r="AW27" i="14"/>
  <c r="H28" i="14"/>
  <c r="H25" i="14" s="1"/>
  <c r="AW28" i="14"/>
  <c r="AV58" i="14"/>
  <c r="BC58" i="14"/>
  <c r="AV79" i="14"/>
  <c r="BC41" i="14"/>
  <c r="AV41" i="14"/>
  <c r="BC54" i="14"/>
  <c r="AV54" i="14"/>
  <c r="H14" i="14"/>
  <c r="H13" i="14" s="1"/>
  <c r="C18" i="16"/>
  <c r="BI15" i="14"/>
  <c r="AC15" i="14" s="1"/>
  <c r="H17" i="14"/>
  <c r="BI18" i="14"/>
  <c r="AC18" i="14" s="1"/>
  <c r="BH19" i="14"/>
  <c r="AB19" i="14" s="1"/>
  <c r="BI21" i="14"/>
  <c r="AC21" i="14" s="1"/>
  <c r="BH22" i="14"/>
  <c r="AB22" i="14" s="1"/>
  <c r="BI23" i="14"/>
  <c r="AC23" i="14" s="1"/>
  <c r="AX24" i="14"/>
  <c r="AL26" i="14"/>
  <c r="AU25" i="14" s="1"/>
  <c r="AX27" i="14"/>
  <c r="J29" i="14"/>
  <c r="AW30" i="14"/>
  <c r="BC32" i="14"/>
  <c r="AV33" i="14"/>
  <c r="BC33" i="14"/>
  <c r="AW37" i="14"/>
  <c r="H37" i="14"/>
  <c r="H36" i="14" s="1"/>
  <c r="H44" i="14"/>
  <c r="BC57" i="14"/>
  <c r="AV57" i="14"/>
  <c r="AV61" i="14"/>
  <c r="BC61" i="14"/>
  <c r="AV72" i="14"/>
  <c r="BC86" i="14"/>
  <c r="AV86" i="14"/>
  <c r="C19" i="16"/>
  <c r="AW14" i="14"/>
  <c r="H15" i="14"/>
  <c r="I17" i="14"/>
  <c r="I16" i="14" s="1"/>
  <c r="H18" i="14"/>
  <c r="H21" i="14"/>
  <c r="H20" i="14" s="1"/>
  <c r="I44" i="14"/>
  <c r="BC59" i="14"/>
  <c r="AV42" i="14"/>
  <c r="BC42" i="14"/>
  <c r="C20" i="16"/>
  <c r="AV32" i="14"/>
  <c r="BC43" i="14"/>
  <c r="AL75" i="14"/>
  <c r="AU74" i="14" s="1"/>
  <c r="J74" i="14"/>
  <c r="AU78" i="14"/>
  <c r="AL66" i="14"/>
  <c r="AU65" i="14" s="1"/>
  <c r="J65" i="14"/>
  <c r="J51" i="14" s="1"/>
  <c r="C21" i="16"/>
  <c r="C27" i="16"/>
  <c r="BC35" i="14"/>
  <c r="AV35" i="14"/>
  <c r="AX39" i="14"/>
  <c r="BC39" i="14" s="1"/>
  <c r="I39" i="14"/>
  <c r="I38" i="14" s="1"/>
  <c r="AS78" i="14"/>
  <c r="AX84" i="14"/>
  <c r="BC84" i="14" s="1"/>
  <c r="I84" i="14"/>
  <c r="C28" i="16"/>
  <c r="F28" i="16" s="1"/>
  <c r="AW40" i="14"/>
  <c r="H40" i="14"/>
  <c r="AW53" i="14"/>
  <c r="H53" i="14"/>
  <c r="I71" i="14"/>
  <c r="AW85" i="14"/>
  <c r="H85" i="14"/>
  <c r="BH39" i="14"/>
  <c r="BI68" i="14"/>
  <c r="AC68" i="14" s="1"/>
  <c r="BC79" i="14"/>
  <c r="BI83" i="14"/>
  <c r="BH84" i="14"/>
  <c r="BH26" i="14"/>
  <c r="AB26" i="14" s="1"/>
  <c r="BH32" i="14"/>
  <c r="AB32" i="14" s="1"/>
  <c r="BH35" i="14"/>
  <c r="AB35" i="14" s="1"/>
  <c r="BI37" i="14"/>
  <c r="H39" i="14"/>
  <c r="BI40" i="14"/>
  <c r="BH41" i="14"/>
  <c r="AX46" i="14"/>
  <c r="BC46" i="14" s="1"/>
  <c r="AX48" i="14"/>
  <c r="BC48" i="14" s="1"/>
  <c r="AX50" i="14"/>
  <c r="AV50" i="14" s="1"/>
  <c r="BI53" i="14"/>
  <c r="AC53" i="14" s="1"/>
  <c r="BH54" i="14"/>
  <c r="AB54" i="14" s="1"/>
  <c r="BH57" i="14"/>
  <c r="AB57" i="14" s="1"/>
  <c r="BC63" i="14"/>
  <c r="AX64" i="14"/>
  <c r="BC64" i="14" s="1"/>
  <c r="BC66" i="14"/>
  <c r="AX67" i="14"/>
  <c r="BC67" i="14" s="1"/>
  <c r="I68" i="14"/>
  <c r="I65" i="14" s="1"/>
  <c r="AW68" i="14"/>
  <c r="AX70" i="14"/>
  <c r="BC70" i="14" s="1"/>
  <c r="BC72" i="14"/>
  <c r="AX73" i="14"/>
  <c r="BC73" i="14" s="1"/>
  <c r="BC75" i="14"/>
  <c r="J76" i="14"/>
  <c r="BC81" i="14"/>
  <c r="AX82" i="14"/>
  <c r="BC82" i="14" s="1"/>
  <c r="I83" i="14"/>
  <c r="I78" i="14" s="1"/>
  <c r="AW83" i="14"/>
  <c r="H84" i="14"/>
  <c r="H78" i="14" s="1"/>
  <c r="BI85" i="14"/>
  <c r="BH86" i="14"/>
  <c r="J88" i="14"/>
  <c r="J90" i="14"/>
  <c r="J92" i="14"/>
  <c r="BI32" i="14"/>
  <c r="AC32" i="14" s="1"/>
  <c r="BH33" i="14"/>
  <c r="AB33" i="14" s="1"/>
  <c r="BI35" i="14"/>
  <c r="AC35" i="14" s="1"/>
  <c r="BI41" i="14"/>
  <c r="BH42" i="14"/>
  <c r="BI54" i="14"/>
  <c r="AC54" i="14" s="1"/>
  <c r="BH55" i="14"/>
  <c r="AB55" i="14" s="1"/>
  <c r="BI57" i="14"/>
  <c r="AC57" i="14" s="1"/>
  <c r="BH58" i="14"/>
  <c r="AB58" i="14" s="1"/>
  <c r="BH61" i="14"/>
  <c r="AB61" i="14" s="1"/>
  <c r="BH79" i="14"/>
  <c r="BI33" i="14"/>
  <c r="AC33" i="14" s="1"/>
  <c r="BI42" i="14"/>
  <c r="BH43" i="14"/>
  <c r="BI55" i="14"/>
  <c r="AC55" i="14" s="1"/>
  <c r="BI58" i="14"/>
  <c r="AC58" i="14" s="1"/>
  <c r="BH59" i="14"/>
  <c r="AB59" i="14" s="1"/>
  <c r="BI61" i="14"/>
  <c r="AC61" i="14" s="1"/>
  <c r="BH62" i="14"/>
  <c r="AB62" i="14" s="1"/>
  <c r="BH77" i="14"/>
  <c r="BI79" i="14"/>
  <c r="BH80" i="14"/>
  <c r="I32" i="14"/>
  <c r="I31" i="14" s="1"/>
  <c r="H33" i="14"/>
  <c r="H31" i="14" s="1"/>
  <c r="I35" i="14"/>
  <c r="I34" i="14" s="1"/>
  <c r="I41" i="14"/>
  <c r="H42" i="14"/>
  <c r="I54" i="14"/>
  <c r="H55" i="14"/>
  <c r="I57" i="14"/>
  <c r="H58" i="14"/>
  <c r="H56" i="14" s="1"/>
  <c r="H61" i="14"/>
  <c r="H60" i="14" s="1"/>
  <c r="I33" i="14"/>
  <c r="J38" i="14"/>
  <c r="I42" i="14"/>
  <c r="H43" i="14"/>
  <c r="I55" i="14"/>
  <c r="I52" i="14" s="1"/>
  <c r="I58" i="14"/>
  <c r="H59" i="14"/>
  <c r="I61" i="14"/>
  <c r="I60" i="14" s="1"/>
  <c r="H62" i="14"/>
  <c r="BC16" i="11"/>
  <c r="BC30" i="11"/>
  <c r="AV30" i="11"/>
  <c r="AV40" i="11"/>
  <c r="BC26" i="11"/>
  <c r="AV26" i="11"/>
  <c r="BC14" i="11"/>
  <c r="AV14" i="11"/>
  <c r="AV48" i="11"/>
  <c r="BC25" i="11"/>
  <c r="BC32" i="11"/>
  <c r="AV32" i="11"/>
  <c r="BC39" i="11"/>
  <c r="AV39" i="11"/>
  <c r="J42" i="11"/>
  <c r="AV44" i="11"/>
  <c r="BH30" i="11"/>
  <c r="AB30" i="11" s="1"/>
  <c r="BH39" i="11"/>
  <c r="BC61" i="11"/>
  <c r="AV61" i="11"/>
  <c r="BC73" i="11"/>
  <c r="AV73" i="11"/>
  <c r="AV165" i="11"/>
  <c r="BC165" i="11"/>
  <c r="C18" i="13"/>
  <c r="AX84" i="11"/>
  <c r="I84" i="11"/>
  <c r="I83" i="11" s="1"/>
  <c r="BC92" i="11"/>
  <c r="AV92" i="11"/>
  <c r="C16" i="13"/>
  <c r="BH14" i="11"/>
  <c r="AB14" i="11" s="1"/>
  <c r="BI16" i="11"/>
  <c r="AC16" i="11" s="1"/>
  <c r="AV18" i="11"/>
  <c r="BI19" i="11"/>
  <c r="AC19" i="11" s="1"/>
  <c r="AV21" i="11"/>
  <c r="AV24" i="11"/>
  <c r="BI25" i="11"/>
  <c r="AC25" i="11" s="1"/>
  <c r="BH26" i="11"/>
  <c r="AB26" i="11" s="1"/>
  <c r="BH32" i="11"/>
  <c r="AB32" i="11" s="1"/>
  <c r="BI34" i="11"/>
  <c r="AV36" i="11"/>
  <c r="BI37" i="11"/>
  <c r="BH38" i="11"/>
  <c r="BH41" i="11"/>
  <c r="BI44" i="11"/>
  <c r="BI48" i="11"/>
  <c r="AW76" i="11"/>
  <c r="H76" i="11"/>
  <c r="AV77" i="11"/>
  <c r="BC77" i="11"/>
  <c r="AX80" i="11"/>
  <c r="I80" i="11"/>
  <c r="I79" i="11" s="1"/>
  <c r="I78" i="11" s="1"/>
  <c r="AT95" i="11"/>
  <c r="AW135" i="11"/>
  <c r="H135" i="11"/>
  <c r="H136" i="11"/>
  <c r="BI26" i="11"/>
  <c r="AC26" i="11" s="1"/>
  <c r="AX135" i="11"/>
  <c r="I135" i="11"/>
  <c r="BI135" i="11"/>
  <c r="AC135" i="11" s="1"/>
  <c r="AW142" i="11"/>
  <c r="H142" i="11"/>
  <c r="BH142" i="11"/>
  <c r="AB142" i="11" s="1"/>
  <c r="BI27" i="11"/>
  <c r="AC27" i="11" s="1"/>
  <c r="BC58" i="11"/>
  <c r="AV58" i="11"/>
  <c r="I14" i="11"/>
  <c r="I13" i="11" s="1"/>
  <c r="C19" i="13"/>
  <c r="J22" i="11"/>
  <c r="I26" i="11"/>
  <c r="I22" i="11" s="1"/>
  <c r="H27" i="11"/>
  <c r="H22" i="11" s="1"/>
  <c r="H12" i="11" s="1"/>
  <c r="BI28" i="11"/>
  <c r="AC28" i="11" s="1"/>
  <c r="H30" i="11"/>
  <c r="H29" i="11" s="1"/>
  <c r="I32" i="11"/>
  <c r="I31" i="11" s="1"/>
  <c r="I38" i="11"/>
  <c r="I35" i="11" s="1"/>
  <c r="H39" i="11"/>
  <c r="H35" i="11" s="1"/>
  <c r="H41" i="11"/>
  <c r="H44" i="11"/>
  <c r="H43" i="11" s="1"/>
  <c r="H42" i="11" s="1"/>
  <c r="BC51" i="11"/>
  <c r="AV56" i="11"/>
  <c r="AW60" i="11"/>
  <c r="H60" i="11"/>
  <c r="I72" i="11"/>
  <c r="J78" i="11"/>
  <c r="AL91" i="11"/>
  <c r="AU90" i="11" s="1"/>
  <c r="J90" i="11"/>
  <c r="J85" i="11" s="1"/>
  <c r="AL94" i="11"/>
  <c r="AU93" i="11" s="1"/>
  <c r="J93" i="11"/>
  <c r="AV96" i="11"/>
  <c r="BC96" i="11"/>
  <c r="AX99" i="11"/>
  <c r="I99" i="11"/>
  <c r="BI99" i="11"/>
  <c r="AC99" i="11" s="1"/>
  <c r="AW103" i="11"/>
  <c r="H103" i="11"/>
  <c r="H102" i="11" s="1"/>
  <c r="BH103" i="11"/>
  <c r="AB103" i="11" s="1"/>
  <c r="AV182" i="11"/>
  <c r="BC182" i="11"/>
  <c r="BI14" i="11"/>
  <c r="AC14" i="11" s="1"/>
  <c r="BC44" i="11"/>
  <c r="AX82" i="11"/>
  <c r="I82" i="11"/>
  <c r="I81" i="11" s="1"/>
  <c r="AX141" i="11"/>
  <c r="I141" i="11"/>
  <c r="BC164" i="11"/>
  <c r="AV164" i="11"/>
  <c r="AL116" i="11"/>
  <c r="AU115" i="11" s="1"/>
  <c r="J115" i="11"/>
  <c r="AX147" i="11"/>
  <c r="I147" i="11"/>
  <c r="C20" i="13"/>
  <c r="J17" i="11"/>
  <c r="J20" i="11"/>
  <c r="J433" i="11" s="1"/>
  <c r="I27" i="11"/>
  <c r="AW27" i="11"/>
  <c r="H28" i="11"/>
  <c r="I30" i="11"/>
  <c r="I29" i="11" s="1"/>
  <c r="AX32" i="11"/>
  <c r="J35" i="11"/>
  <c r="AX38" i="11"/>
  <c r="AV38" i="11" s="1"/>
  <c r="I40" i="11"/>
  <c r="I41" i="11"/>
  <c r="AX41" i="11"/>
  <c r="AV41" i="11" s="1"/>
  <c r="I44" i="11"/>
  <c r="I43" i="11" s="1"/>
  <c r="I42" i="11" s="1"/>
  <c r="J45" i="11"/>
  <c r="BI46" i="11"/>
  <c r="H48" i="11"/>
  <c r="H47" i="11" s="1"/>
  <c r="AX48" i="11"/>
  <c r="BC48" i="11" s="1"/>
  <c r="AV53" i="11"/>
  <c r="I59" i="11"/>
  <c r="I49" i="11" s="1"/>
  <c r="BH61" i="11"/>
  <c r="AB61" i="11" s="1"/>
  <c r="AV71" i="11"/>
  <c r="BH73" i="11"/>
  <c r="AV74" i="11"/>
  <c r="AV87" i="11"/>
  <c r="AW91" i="11"/>
  <c r="H91" i="11"/>
  <c r="H90" i="11" s="1"/>
  <c r="AW94" i="11"/>
  <c r="H94" i="11"/>
  <c r="H93" i="11" s="1"/>
  <c r="AT108" i="11"/>
  <c r="AW138" i="11"/>
  <c r="H138" i="11"/>
  <c r="BI141" i="11"/>
  <c r="AC141" i="11" s="1"/>
  <c r="H145" i="11"/>
  <c r="AV152" i="11"/>
  <c r="BC152" i="11"/>
  <c r="BC160" i="11"/>
  <c r="AV160" i="11"/>
  <c r="AL179" i="11"/>
  <c r="J177" i="11"/>
  <c r="I126" i="11"/>
  <c r="BI30" i="11"/>
  <c r="AC30" i="11" s="1"/>
  <c r="AL60" i="11"/>
  <c r="AU59" i="11" s="1"/>
  <c r="J59" i="11"/>
  <c r="J49" i="11" s="1"/>
  <c r="C21" i="13"/>
  <c r="C27" i="13"/>
  <c r="AW28" i="11"/>
  <c r="BC46" i="11"/>
  <c r="H53" i="11"/>
  <c r="H52" i="11" s="1"/>
  <c r="H54" i="11"/>
  <c r="BH58" i="11"/>
  <c r="AB58" i="11" s="1"/>
  <c r="AX60" i="11"/>
  <c r="AV62" i="11"/>
  <c r="AX63" i="11"/>
  <c r="BC63" i="11" s="1"/>
  <c r="I63" i="11"/>
  <c r="AV65" i="11"/>
  <c r="BC65" i="11"/>
  <c r="AX69" i="11"/>
  <c r="BC69" i="11" s="1"/>
  <c r="I69" i="11"/>
  <c r="I68" i="11" s="1"/>
  <c r="AX75" i="11"/>
  <c r="BC75" i="11" s="1"/>
  <c r="I75" i="11"/>
  <c r="J72" i="11"/>
  <c r="AL76" i="11"/>
  <c r="C29" i="13" s="1"/>
  <c r="BI80" i="11"/>
  <c r="BH89" i="11"/>
  <c r="AB89" i="11" s="1"/>
  <c r="I90" i="11"/>
  <c r="BH92" i="11"/>
  <c r="AB92" i="11" s="1"/>
  <c r="BI120" i="11"/>
  <c r="AX120" i="11"/>
  <c r="BC120" i="11" s="1"/>
  <c r="AV127" i="11"/>
  <c r="AX138" i="11"/>
  <c r="I138" i="11"/>
  <c r="BI138" i="11"/>
  <c r="AC138" i="11" s="1"/>
  <c r="AX144" i="11"/>
  <c r="I144" i="11"/>
  <c r="I143" i="11" s="1"/>
  <c r="BI147" i="11"/>
  <c r="AC147" i="11" s="1"/>
  <c r="AU148" i="11"/>
  <c r="AV179" i="11"/>
  <c r="BC179" i="11"/>
  <c r="AX206" i="11"/>
  <c r="AV206" i="11" s="1"/>
  <c r="BI206" i="11"/>
  <c r="AC206" i="11" s="1"/>
  <c r="I206" i="11"/>
  <c r="AX110" i="11"/>
  <c r="AV110" i="11" s="1"/>
  <c r="I110" i="11"/>
  <c r="BI110" i="11"/>
  <c r="AW269" i="11"/>
  <c r="H269" i="11"/>
  <c r="H266" i="11" s="1"/>
  <c r="BH269" i="11"/>
  <c r="BC89" i="11"/>
  <c r="AV89" i="11"/>
  <c r="AL182" i="11"/>
  <c r="AU180" i="11" s="1"/>
  <c r="J180" i="11"/>
  <c r="C28" i="13"/>
  <c r="F28" i="13" s="1"/>
  <c r="AW64" i="11"/>
  <c r="H64" i="11"/>
  <c r="AL67" i="11"/>
  <c r="AU66" i="11" s="1"/>
  <c r="J66" i="11"/>
  <c r="AU72" i="11"/>
  <c r="AV75" i="11"/>
  <c r="BH76" i="11"/>
  <c r="BI82" i="11"/>
  <c r="H95" i="11"/>
  <c r="BH133" i="11"/>
  <c r="AB133" i="11" s="1"/>
  <c r="H133" i="11"/>
  <c r="H132" i="11" s="1"/>
  <c r="AW133" i="11"/>
  <c r="BC137" i="11"/>
  <c r="AX150" i="11"/>
  <c r="I150" i="11"/>
  <c r="AW151" i="11"/>
  <c r="H151" i="11"/>
  <c r="H148" i="11" s="1"/>
  <c r="BH151" i="11"/>
  <c r="AB151" i="11" s="1"/>
  <c r="AL160" i="11"/>
  <c r="J158" i="11"/>
  <c r="AU177" i="11"/>
  <c r="AV189" i="11"/>
  <c r="BC189" i="11"/>
  <c r="AX98" i="11"/>
  <c r="AV98" i="11" s="1"/>
  <c r="I98" i="11"/>
  <c r="I95" i="11" s="1"/>
  <c r="AV113" i="11"/>
  <c r="BC113" i="11"/>
  <c r="BH44" i="11"/>
  <c r="BH48" i="11"/>
  <c r="BC55" i="11"/>
  <c r="AV55" i="11"/>
  <c r="AW67" i="11"/>
  <c r="H67" i="11"/>
  <c r="H66" i="11" s="1"/>
  <c r="H72" i="11"/>
  <c r="BI84" i="11"/>
  <c r="BC97" i="11"/>
  <c r="AV97" i="11"/>
  <c r="AS95" i="11"/>
  <c r="AV118" i="11"/>
  <c r="BC118" i="11"/>
  <c r="AX128" i="11"/>
  <c r="AV128" i="11" s="1"/>
  <c r="I128" i="11"/>
  <c r="AV153" i="11"/>
  <c r="BC153" i="11"/>
  <c r="AV159" i="11"/>
  <c r="BC159" i="11"/>
  <c r="BI55" i="11"/>
  <c r="AC55" i="11" s="1"/>
  <c r="BH56" i="11"/>
  <c r="AB56" i="11" s="1"/>
  <c r="BI58" i="11"/>
  <c r="AC58" i="11" s="1"/>
  <c r="BI61" i="11"/>
  <c r="AC61" i="11" s="1"/>
  <c r="BH62" i="11"/>
  <c r="AB62" i="11" s="1"/>
  <c r="BH71" i="11"/>
  <c r="BI73" i="11"/>
  <c r="BH74" i="11"/>
  <c r="AW80" i="11"/>
  <c r="AW82" i="11"/>
  <c r="AW84" i="11"/>
  <c r="BH87" i="11"/>
  <c r="AB87" i="11" s="1"/>
  <c r="BI89" i="11"/>
  <c r="AC89" i="11" s="1"/>
  <c r="BI92" i="11"/>
  <c r="AC92" i="11" s="1"/>
  <c r="AW105" i="11"/>
  <c r="H105" i="11"/>
  <c r="H104" i="11" s="1"/>
  <c r="BC107" i="11"/>
  <c r="AW111" i="11"/>
  <c r="H111" i="11"/>
  <c r="I118" i="11"/>
  <c r="I117" i="11" s="1"/>
  <c r="I114" i="11" s="1"/>
  <c r="AW130" i="11"/>
  <c r="AW139" i="11"/>
  <c r="H139" i="11"/>
  <c r="BH162" i="11"/>
  <c r="BC163" i="11"/>
  <c r="AV166" i="11"/>
  <c r="BC166" i="11"/>
  <c r="AW173" i="11"/>
  <c r="H173" i="11"/>
  <c r="H172" i="11" s="1"/>
  <c r="AV178" i="11"/>
  <c r="AV181" i="11"/>
  <c r="AL185" i="11"/>
  <c r="AU184" i="11" s="1"/>
  <c r="J184" i="11"/>
  <c r="AT196" i="11"/>
  <c r="BC203" i="11"/>
  <c r="AV203" i="11"/>
  <c r="BC216" i="11"/>
  <c r="J224" i="11"/>
  <c r="BH51" i="11"/>
  <c r="AB51" i="11" s="1"/>
  <c r="BI53" i="11"/>
  <c r="AC53" i="11" s="1"/>
  <c r="BI56" i="11"/>
  <c r="AC56" i="11" s="1"/>
  <c r="BI62" i="11"/>
  <c r="AC62" i="11" s="1"/>
  <c r="BH63" i="11"/>
  <c r="AB63" i="11" s="1"/>
  <c r="BH69" i="11"/>
  <c r="AB69" i="11" s="1"/>
  <c r="BI71" i="11"/>
  <c r="BI74" i="11"/>
  <c r="BH75" i="11"/>
  <c r="BI87" i="11"/>
  <c r="AC87" i="11" s="1"/>
  <c r="AW100" i="11"/>
  <c r="H100" i="11"/>
  <c r="AX105" i="11"/>
  <c r="I105" i="11"/>
  <c r="I104" i="11" s="1"/>
  <c r="AX107" i="11"/>
  <c r="AV107" i="11" s="1"/>
  <c r="I107" i="11"/>
  <c r="I106" i="11" s="1"/>
  <c r="H110" i="11"/>
  <c r="AX111" i="11"/>
  <c r="I111" i="11"/>
  <c r="I108" i="11" s="1"/>
  <c r="AL118" i="11"/>
  <c r="AU117" i="11" s="1"/>
  <c r="J117" i="11"/>
  <c r="AX125" i="11"/>
  <c r="AV125" i="11" s="1"/>
  <c r="I125" i="11"/>
  <c r="I124" i="11" s="1"/>
  <c r="H127" i="11"/>
  <c r="H126" i="11" s="1"/>
  <c r="BC161" i="11"/>
  <c r="AV161" i="11"/>
  <c r="AV185" i="11"/>
  <c r="BC185" i="11"/>
  <c r="AT257" i="11"/>
  <c r="BC294" i="11"/>
  <c r="AV294" i="11"/>
  <c r="AV183" i="11"/>
  <c r="BC183" i="11"/>
  <c r="I184" i="11"/>
  <c r="AL188" i="11"/>
  <c r="AU187" i="11" s="1"/>
  <c r="J187" i="11"/>
  <c r="BC193" i="11"/>
  <c r="AV193" i="11"/>
  <c r="BC197" i="11"/>
  <c r="AV197" i="11"/>
  <c r="I217" i="11"/>
  <c r="BI217" i="11"/>
  <c r="AX217" i="11"/>
  <c r="AT215" i="11"/>
  <c r="J284" i="11"/>
  <c r="J95" i="11"/>
  <c r="H109" i="11"/>
  <c r="AL120" i="11"/>
  <c r="AU119" i="11" s="1"/>
  <c r="J119" i="11"/>
  <c r="AX123" i="11"/>
  <c r="BC123" i="11" s="1"/>
  <c r="I123" i="11"/>
  <c r="I122" i="11" s="1"/>
  <c r="BC125" i="11"/>
  <c r="AU126" i="11"/>
  <c r="AX131" i="11"/>
  <c r="AV131" i="11" s="1"/>
  <c r="I131" i="11"/>
  <c r="I129" i="11" s="1"/>
  <c r="AX146" i="11"/>
  <c r="AV146" i="11" s="1"/>
  <c r="I146" i="11"/>
  <c r="I145" i="11" s="1"/>
  <c r="AX149" i="11"/>
  <c r="AV149" i="11" s="1"/>
  <c r="I149" i="11"/>
  <c r="I148" i="11" s="1"/>
  <c r="AT148" i="11"/>
  <c r="AT158" i="11"/>
  <c r="I161" i="11"/>
  <c r="AW171" i="11"/>
  <c r="H171" i="11"/>
  <c r="H170" i="11" s="1"/>
  <c r="AV188" i="11"/>
  <c r="BC188" i="11"/>
  <c r="AV191" i="11"/>
  <c r="BC191" i="11"/>
  <c r="BI205" i="11"/>
  <c r="AC205" i="11" s="1"/>
  <c r="AX205" i="11"/>
  <c r="I205" i="11"/>
  <c r="I204" i="11" s="1"/>
  <c r="H212" i="11"/>
  <c r="BH212" i="11"/>
  <c r="AB212" i="11" s="1"/>
  <c r="AW212" i="11"/>
  <c r="BC256" i="11"/>
  <c r="AW112" i="11"/>
  <c r="H112" i="11"/>
  <c r="AV116" i="11"/>
  <c r="I132" i="11"/>
  <c r="AX134" i="11"/>
  <c r="AV134" i="11" s="1"/>
  <c r="I134" i="11"/>
  <c r="AX137" i="11"/>
  <c r="AV137" i="11" s="1"/>
  <c r="I137" i="11"/>
  <c r="BC155" i="11"/>
  <c r="AV155" i="11"/>
  <c r="AU158" i="11"/>
  <c r="BI161" i="11"/>
  <c r="AV162" i="11"/>
  <c r="AV186" i="11"/>
  <c r="BC186" i="11"/>
  <c r="BC192" i="11"/>
  <c r="BC194" i="11"/>
  <c r="AV194" i="11"/>
  <c r="BC198" i="11"/>
  <c r="AV205" i="11"/>
  <c r="BC244" i="11"/>
  <c r="AV244" i="11"/>
  <c r="AW99" i="11"/>
  <c r="H99" i="11"/>
  <c r="BC110" i="11"/>
  <c r="AU132" i="11"/>
  <c r="AW141" i="11"/>
  <c r="H141" i="11"/>
  <c r="AW144" i="11"/>
  <c r="H144" i="11"/>
  <c r="H143" i="11" s="1"/>
  <c r="BC146" i="11"/>
  <c r="AW147" i="11"/>
  <c r="H147" i="11"/>
  <c r="BC149" i="11"/>
  <c r="AW150" i="11"/>
  <c r="H150" i="11"/>
  <c r="AL157" i="11"/>
  <c r="AU156" i="11" s="1"/>
  <c r="J156" i="11"/>
  <c r="AV167" i="11"/>
  <c r="BC167" i="11"/>
  <c r="AW175" i="11"/>
  <c r="H175" i="11"/>
  <c r="H174" i="11" s="1"/>
  <c r="I199" i="11"/>
  <c r="BI199" i="11"/>
  <c r="AC199" i="11" s="1"/>
  <c r="AX199" i="11"/>
  <c r="BI222" i="11"/>
  <c r="AX222" i="11"/>
  <c r="BC222" i="11" s="1"/>
  <c r="I222" i="11"/>
  <c r="I192" i="11"/>
  <c r="I187" i="11" s="1"/>
  <c r="BH194" i="11"/>
  <c r="AB194" i="11" s="1"/>
  <c r="BI208" i="11"/>
  <c r="AC208" i="11" s="1"/>
  <c r="BI211" i="11"/>
  <c r="AC211" i="11" s="1"/>
  <c r="AV221" i="11"/>
  <c r="AX238" i="11"/>
  <c r="I238" i="11"/>
  <c r="I256" i="11"/>
  <c r="I254" i="11" s="1"/>
  <c r="BI256" i="11"/>
  <c r="AC256" i="11" s="1"/>
  <c r="AX256" i="11"/>
  <c r="AV256" i="11" s="1"/>
  <c r="BC261" i="11"/>
  <c r="AV261" i="11"/>
  <c r="AV268" i="11"/>
  <c r="BC268" i="11"/>
  <c r="AV292" i="11"/>
  <c r="BC292" i="11"/>
  <c r="I308" i="11"/>
  <c r="I306" i="11" s="1"/>
  <c r="AX308" i="11"/>
  <c r="AV308" i="11" s="1"/>
  <c r="BI308" i="11"/>
  <c r="AC308" i="11" s="1"/>
  <c r="BI163" i="11"/>
  <c r="BH164" i="11"/>
  <c r="AX195" i="11"/>
  <c r="I195" i="11"/>
  <c r="BC205" i="11"/>
  <c r="BC206" i="11"/>
  <c r="AW214" i="11"/>
  <c r="H214" i="11"/>
  <c r="H213" i="11" s="1"/>
  <c r="BI239" i="11"/>
  <c r="AC239" i="11" s="1"/>
  <c r="I239" i="11"/>
  <c r="H243" i="11"/>
  <c r="BC275" i="11"/>
  <c r="AV275" i="11"/>
  <c r="AX283" i="11"/>
  <c r="I283" i="11"/>
  <c r="I282" i="11" s="1"/>
  <c r="BI283" i="11"/>
  <c r="AW344" i="11"/>
  <c r="H344" i="11"/>
  <c r="BH344" i="11"/>
  <c r="BI164" i="11"/>
  <c r="BH165" i="11"/>
  <c r="BH178" i="11"/>
  <c r="AB178" i="11" s="1"/>
  <c r="BH181" i="11"/>
  <c r="AB181" i="11" s="1"/>
  <c r="BH192" i="11"/>
  <c r="AB192" i="11" s="1"/>
  <c r="AX198" i="11"/>
  <c r="AV198" i="11" s="1"/>
  <c r="I198" i="11"/>
  <c r="AX201" i="11"/>
  <c r="AV201" i="11" s="1"/>
  <c r="I201" i="11"/>
  <c r="I200" i="11" s="1"/>
  <c r="AW211" i="11"/>
  <c r="H211" i="11"/>
  <c r="AX216" i="11"/>
  <c r="I216" i="11"/>
  <c r="I215" i="11" s="1"/>
  <c r="AV220" i="11"/>
  <c r="AV239" i="11"/>
  <c r="AW246" i="11"/>
  <c r="H246" i="11"/>
  <c r="AW258" i="11"/>
  <c r="BH258" i="11"/>
  <c r="AB258" i="11" s="1"/>
  <c r="H258" i="11"/>
  <c r="H257" i="11" s="1"/>
  <c r="AV272" i="11"/>
  <c r="AL300" i="11"/>
  <c r="AU299" i="11" s="1"/>
  <c r="J299" i="11"/>
  <c r="AW333" i="11"/>
  <c r="H333" i="11"/>
  <c r="H332" i="11" s="1"/>
  <c r="BH333" i="11"/>
  <c r="BI139" i="11"/>
  <c r="AC139" i="11" s="1"/>
  <c r="BI142" i="11"/>
  <c r="AC142" i="11" s="1"/>
  <c r="BI151" i="11"/>
  <c r="AC151" i="11" s="1"/>
  <c r="BH152" i="11"/>
  <c r="AB152" i="11" s="1"/>
  <c r="I163" i="11"/>
  <c r="H164" i="11"/>
  <c r="H158" i="11" s="1"/>
  <c r="BI165" i="11"/>
  <c r="BH166" i="11"/>
  <c r="BI178" i="11"/>
  <c r="AC178" i="11" s="1"/>
  <c r="BH179" i="11"/>
  <c r="AB179" i="11" s="1"/>
  <c r="BI181" i="11"/>
  <c r="AC181" i="11" s="1"/>
  <c r="BH182" i="11"/>
  <c r="AB182" i="11" s="1"/>
  <c r="BH185" i="11"/>
  <c r="AB185" i="11" s="1"/>
  <c r="BH188" i="11"/>
  <c r="AB188" i="11" s="1"/>
  <c r="BI192" i="11"/>
  <c r="AC192" i="11" s="1"/>
  <c r="BC208" i="11"/>
  <c r="I209" i="11"/>
  <c r="BC209" i="11"/>
  <c r="AX214" i="11"/>
  <c r="AV216" i="11"/>
  <c r="AX220" i="11"/>
  <c r="AL233" i="11"/>
  <c r="AU232" i="11" s="1"/>
  <c r="J232" i="11"/>
  <c r="BC236" i="11"/>
  <c r="AX239" i="11"/>
  <c r="BC239" i="11" s="1"/>
  <c r="BC249" i="11"/>
  <c r="I248" i="11"/>
  <c r="H251" i="11"/>
  <c r="H248" i="11" s="1"/>
  <c r="H231" i="11" s="1"/>
  <c r="AW251" i="11"/>
  <c r="BH251" i="11"/>
  <c r="AB251" i="11" s="1"/>
  <c r="AU266" i="11"/>
  <c r="I270" i="11"/>
  <c r="I266" i="11" s="1"/>
  <c r="BI270" i="11"/>
  <c r="AV273" i="11"/>
  <c r="BC279" i="11"/>
  <c r="AV279" i="11"/>
  <c r="BC281" i="11"/>
  <c r="AV281" i="11"/>
  <c r="AX298" i="11"/>
  <c r="AV298" i="11" s="1"/>
  <c r="BI298" i="11"/>
  <c r="AC298" i="11" s="1"/>
  <c r="I298" i="11"/>
  <c r="BI100" i="11"/>
  <c r="AC100" i="11" s="1"/>
  <c r="BH101" i="11"/>
  <c r="AB101" i="11" s="1"/>
  <c r="BI103" i="11"/>
  <c r="AC103" i="11" s="1"/>
  <c r="BI112" i="11"/>
  <c r="BH113" i="11"/>
  <c r="BI152" i="11"/>
  <c r="AC152" i="11" s="1"/>
  <c r="BH153" i="11"/>
  <c r="AB153" i="11" s="1"/>
  <c r="BH159" i="11"/>
  <c r="I164" i="11"/>
  <c r="H165" i="11"/>
  <c r="BI166" i="11"/>
  <c r="BH167" i="11"/>
  <c r="H178" i="11"/>
  <c r="BI179" i="11"/>
  <c r="AC179" i="11" s="1"/>
  <c r="H181" i="11"/>
  <c r="H180" i="11" s="1"/>
  <c r="BI182" i="11"/>
  <c r="AC182" i="11" s="1"/>
  <c r="BH183" i="11"/>
  <c r="AB183" i="11" s="1"/>
  <c r="BI185" i="11"/>
  <c r="AC185" i="11" s="1"/>
  <c r="BH186" i="11"/>
  <c r="AB186" i="11" s="1"/>
  <c r="BI188" i="11"/>
  <c r="AC188" i="11" s="1"/>
  <c r="BH189" i="11"/>
  <c r="AB189" i="11" s="1"/>
  <c r="H194" i="11"/>
  <c r="H198" i="11"/>
  <c r="H201" i="11"/>
  <c r="H200" i="11" s="1"/>
  <c r="I208" i="11"/>
  <c r="AX211" i="11"/>
  <c r="BC220" i="11"/>
  <c r="AW226" i="11"/>
  <c r="H226" i="11"/>
  <c r="H225" i="11" s="1"/>
  <c r="AW228" i="11"/>
  <c r="H228" i="11"/>
  <c r="H227" i="11" s="1"/>
  <c r="AW230" i="11"/>
  <c r="H230" i="11"/>
  <c r="H229" i="11" s="1"/>
  <c r="I243" i="11"/>
  <c r="I247" i="11"/>
  <c r="BI247" i="11"/>
  <c r="AC247" i="11" s="1"/>
  <c r="AX251" i="11"/>
  <c r="I251" i="11"/>
  <c r="AW290" i="11"/>
  <c r="H290" i="11"/>
  <c r="H285" i="11" s="1"/>
  <c r="BH290" i="11"/>
  <c r="AB290" i="11" s="1"/>
  <c r="BC300" i="11"/>
  <c r="AV300" i="11"/>
  <c r="J126" i="11"/>
  <c r="J121" i="11" s="1"/>
  <c r="J129" i="11"/>
  <c r="J132" i="11"/>
  <c r="I139" i="11"/>
  <c r="I142" i="11"/>
  <c r="I151" i="11"/>
  <c r="H152" i="11"/>
  <c r="I165" i="11"/>
  <c r="H166" i="11"/>
  <c r="J170" i="11"/>
  <c r="J172" i="11"/>
  <c r="J174" i="11"/>
  <c r="I178" i="11"/>
  <c r="I177" i="11" s="1"/>
  <c r="H179" i="11"/>
  <c r="I181" i="11"/>
  <c r="I180" i="11" s="1"/>
  <c r="H182" i="11"/>
  <c r="H185" i="11"/>
  <c r="H184" i="11" s="1"/>
  <c r="H188" i="11"/>
  <c r="H193" i="11"/>
  <c r="I194" i="11"/>
  <c r="H197" i="11"/>
  <c r="AL205" i="11"/>
  <c r="AU204" i="11" s="1"/>
  <c r="H216" i="11"/>
  <c r="AL217" i="11"/>
  <c r="AU215" i="11" s="1"/>
  <c r="AW218" i="11"/>
  <c r="BI238" i="11"/>
  <c r="AC238" i="11" s="1"/>
  <c r="AS266" i="11"/>
  <c r="AX270" i="11"/>
  <c r="J278" i="11"/>
  <c r="AL279" i="11"/>
  <c r="AU278" i="11" s="1"/>
  <c r="J280" i="11"/>
  <c r="AL281" i="11"/>
  <c r="AU280" i="11" s="1"/>
  <c r="AX289" i="11"/>
  <c r="AV289" i="11" s="1"/>
  <c r="I289" i="11"/>
  <c r="BI289" i="11"/>
  <c r="AC289" i="11" s="1"/>
  <c r="H293" i="11"/>
  <c r="I193" i="11"/>
  <c r="BH195" i="11"/>
  <c r="AB195" i="11" s="1"/>
  <c r="I197" i="11"/>
  <c r="I196" i="11" s="1"/>
  <c r="AW199" i="11"/>
  <c r="H199" i="11"/>
  <c r="AX210" i="11"/>
  <c r="I210" i="11"/>
  <c r="BH214" i="11"/>
  <c r="AW217" i="11"/>
  <c r="H217" i="11"/>
  <c r="AV223" i="11"/>
  <c r="AV233" i="11"/>
  <c r="AL236" i="11"/>
  <c r="AU235" i="11" s="1"/>
  <c r="J235" i="11"/>
  <c r="I241" i="11"/>
  <c r="I240" i="11" s="1"/>
  <c r="AX241" i="11"/>
  <c r="BH246" i="11"/>
  <c r="AB246" i="11" s="1"/>
  <c r="AX247" i="11"/>
  <c r="AV247" i="11" s="1"/>
  <c r="AL294" i="11"/>
  <c r="AU293" i="11" s="1"/>
  <c r="J293" i="11"/>
  <c r="H321" i="11"/>
  <c r="H319" i="11" s="1"/>
  <c r="BH321" i="11"/>
  <c r="AB321" i="11" s="1"/>
  <c r="AW321" i="11"/>
  <c r="AT237" i="11"/>
  <c r="BC242" i="11"/>
  <c r="AV242" i="11"/>
  <c r="BC247" i="11"/>
  <c r="BC255" i="11"/>
  <c r="AU257" i="11"/>
  <c r="AV260" i="11"/>
  <c r="AV265" i="11"/>
  <c r="BC265" i="11"/>
  <c r="AV276" i="11"/>
  <c r="BC276" i="11"/>
  <c r="H299" i="11"/>
  <c r="AW316" i="11"/>
  <c r="BH316" i="11"/>
  <c r="AB316" i="11" s="1"/>
  <c r="H316" i="11"/>
  <c r="H377" i="11"/>
  <c r="BH377" i="11"/>
  <c r="AB377" i="11" s="1"/>
  <c r="AW377" i="11"/>
  <c r="I405" i="11"/>
  <c r="BI405" i="11"/>
  <c r="AC405" i="11" s="1"/>
  <c r="AX405" i="11"/>
  <c r="BI226" i="11"/>
  <c r="BI228" i="11"/>
  <c r="BI230" i="11"/>
  <c r="H239" i="11"/>
  <c r="H237" i="11" s="1"/>
  <c r="J243" i="11"/>
  <c r="BI250" i="11"/>
  <c r="AC250" i="11" s="1"/>
  <c r="BC253" i="11"/>
  <c r="BC259" i="11"/>
  <c r="AV259" i="11"/>
  <c r="BI268" i="11"/>
  <c r="BI292" i="11"/>
  <c r="AC292" i="11" s="1"/>
  <c r="I299" i="11"/>
  <c r="AV331" i="11"/>
  <c r="BC331" i="11"/>
  <c r="J334" i="11"/>
  <c r="I361" i="11"/>
  <c r="BI361" i="11"/>
  <c r="AC361" i="11" s="1"/>
  <c r="AX361" i="11"/>
  <c r="AT243" i="11"/>
  <c r="J248" i="11"/>
  <c r="BH263" i="11"/>
  <c r="AB263" i="11" s="1"/>
  <c r="AX273" i="11"/>
  <c r="BC273" i="11" s="1"/>
  <c r="BI281" i="11"/>
  <c r="BC286" i="11"/>
  <c r="AV286" i="11"/>
  <c r="I292" i="11"/>
  <c r="I291" i="11" s="1"/>
  <c r="AV295" i="11"/>
  <c r="BC295" i="11"/>
  <c r="AL297" i="11"/>
  <c r="AU296" i="11" s="1"/>
  <c r="J296" i="11"/>
  <c r="AV304" i="11"/>
  <c r="BC304" i="11"/>
  <c r="AU306" i="11"/>
  <c r="AU322" i="11"/>
  <c r="I348" i="11"/>
  <c r="BI348" i="11"/>
  <c r="AX348" i="11"/>
  <c r="AV348" i="11" s="1"/>
  <c r="J240" i="11"/>
  <c r="AL244" i="11"/>
  <c r="AU243" i="11" s="1"/>
  <c r="AW245" i="11"/>
  <c r="BC250" i="11"/>
  <c r="AV253" i="11"/>
  <c r="J257" i="11"/>
  <c r="AV262" i="11"/>
  <c r="BC262" i="11"/>
  <c r="AV267" i="11"/>
  <c r="AT266" i="11"/>
  <c r="AW271" i="11"/>
  <c r="I285" i="11"/>
  <c r="BC297" i="11"/>
  <c r="H313" i="11"/>
  <c r="H312" i="11" s="1"/>
  <c r="AW313" i="11"/>
  <c r="AX318" i="11"/>
  <c r="BI318" i="11"/>
  <c r="AC318" i="11" s="1"/>
  <c r="I318" i="11"/>
  <c r="I317" i="11" s="1"/>
  <c r="AU319" i="11"/>
  <c r="AX335" i="11"/>
  <c r="I335" i="11"/>
  <c r="BI335" i="11"/>
  <c r="AU248" i="11"/>
  <c r="I277" i="11"/>
  <c r="BC288" i="11"/>
  <c r="I296" i="11"/>
  <c r="I323" i="11"/>
  <c r="AX323" i="11"/>
  <c r="AV323" i="11" s="1"/>
  <c r="AW398" i="11"/>
  <c r="H398" i="11"/>
  <c r="H396" i="11" s="1"/>
  <c r="BH398" i="11"/>
  <c r="AB398" i="11" s="1"/>
  <c r="BI271" i="11"/>
  <c r="BH272" i="11"/>
  <c r="BI301" i="11"/>
  <c r="AC301" i="11" s="1"/>
  <c r="BH307" i="11"/>
  <c r="AB307" i="11" s="1"/>
  <c r="BI311" i="11"/>
  <c r="AC311" i="11" s="1"/>
  <c r="AW336" i="11"/>
  <c r="H336" i="11"/>
  <c r="AV346" i="11"/>
  <c r="BC346" i="11"/>
  <c r="AX360" i="11"/>
  <c r="BC360" i="11" s="1"/>
  <c r="I360" i="11"/>
  <c r="BI360" i="11"/>
  <c r="AC360" i="11" s="1"/>
  <c r="BC366" i="11"/>
  <c r="AV366" i="11"/>
  <c r="H368" i="11"/>
  <c r="H367" i="11" s="1"/>
  <c r="BH368" i="11"/>
  <c r="AB368" i="11" s="1"/>
  <c r="AW368" i="11"/>
  <c r="I376" i="11"/>
  <c r="BI376" i="11"/>
  <c r="AC376" i="11" s="1"/>
  <c r="AX397" i="11"/>
  <c r="I397" i="11"/>
  <c r="I396" i="11" s="1"/>
  <c r="BI397" i="11"/>
  <c r="AC397" i="11" s="1"/>
  <c r="AT412" i="11"/>
  <c r="I422" i="11"/>
  <c r="AX422" i="11"/>
  <c r="AV422" i="11" s="1"/>
  <c r="BI246" i="11"/>
  <c r="AC246" i="11" s="1"/>
  <c r="BH247" i="11"/>
  <c r="AB247" i="11" s="1"/>
  <c r="BI249" i="11"/>
  <c r="AC249" i="11" s="1"/>
  <c r="BH250" i="11"/>
  <c r="AB250" i="11" s="1"/>
  <c r="BH253" i="11"/>
  <c r="AB253" i="11" s="1"/>
  <c r="BI255" i="11"/>
  <c r="AC255" i="11" s="1"/>
  <c r="BH256" i="11"/>
  <c r="AB256" i="11" s="1"/>
  <c r="BI258" i="11"/>
  <c r="AC258" i="11" s="1"/>
  <c r="BH259" i="11"/>
  <c r="AB259" i="11" s="1"/>
  <c r="BI272" i="11"/>
  <c r="BH273" i="11"/>
  <c r="BH286" i="11"/>
  <c r="AB286" i="11" s="1"/>
  <c r="BI300" i="11"/>
  <c r="AC300" i="11" s="1"/>
  <c r="H304" i="11"/>
  <c r="BI305" i="11"/>
  <c r="AC305" i="11" s="1"/>
  <c r="BC308" i="11"/>
  <c r="BH318" i="11"/>
  <c r="AB318" i="11" s="1"/>
  <c r="AT322" i="11"/>
  <c r="AV338" i="11"/>
  <c r="BC338" i="11"/>
  <c r="BC342" i="11"/>
  <c r="BC348" i="11"/>
  <c r="BI368" i="11"/>
  <c r="AC368" i="11" s="1"/>
  <c r="I368" i="11"/>
  <c r="I367" i="11" s="1"/>
  <c r="AX376" i="11"/>
  <c r="AU389" i="11"/>
  <c r="AW401" i="11"/>
  <c r="H401" i="11"/>
  <c r="H399" i="11" s="1"/>
  <c r="BH401" i="11"/>
  <c r="AB401" i="11" s="1"/>
  <c r="BC416" i="11"/>
  <c r="AV416" i="11"/>
  <c r="BI286" i="11"/>
  <c r="AC286" i="11" s="1"/>
  <c r="BH287" i="11"/>
  <c r="AB287" i="11" s="1"/>
  <c r="AX326" i="11"/>
  <c r="AV326" i="11" s="1"/>
  <c r="I326" i="11"/>
  <c r="AV329" i="11"/>
  <c r="BC329" i="11"/>
  <c r="BC340" i="11"/>
  <c r="AL365" i="11"/>
  <c r="AU364" i="11" s="1"/>
  <c r="J364" i="11"/>
  <c r="J357" i="11" s="1"/>
  <c r="AX400" i="11"/>
  <c r="AV400" i="11" s="1"/>
  <c r="I400" i="11"/>
  <c r="I399" i="11" s="1"/>
  <c r="BI400" i="11"/>
  <c r="AC400" i="11" s="1"/>
  <c r="AV428" i="11"/>
  <c r="BC428" i="11"/>
  <c r="AV430" i="11"/>
  <c r="BC430" i="11"/>
  <c r="AV432" i="11"/>
  <c r="BC432" i="11"/>
  <c r="BI260" i="11"/>
  <c r="AC260" i="11" s="1"/>
  <c r="BH261" i="11"/>
  <c r="AB261" i="11" s="1"/>
  <c r="BH267" i="11"/>
  <c r="BI274" i="11"/>
  <c r="BH275" i="11"/>
  <c r="BI287" i="11"/>
  <c r="AC287" i="11" s="1"/>
  <c r="BH288" i="11"/>
  <c r="AB288" i="11" s="1"/>
  <c r="BH294" i="11"/>
  <c r="AB294" i="11" s="1"/>
  <c r="BH297" i="11"/>
  <c r="AB297" i="11" s="1"/>
  <c r="AV301" i="11"/>
  <c r="BC315" i="11"/>
  <c r="AV315" i="11"/>
  <c r="AW327" i="11"/>
  <c r="H327" i="11"/>
  <c r="AL337" i="11"/>
  <c r="AU334" i="11" s="1"/>
  <c r="AX340" i="11"/>
  <c r="AV340" i="11" s="1"/>
  <c r="AL359" i="11"/>
  <c r="AU358" i="11" s="1"/>
  <c r="AW383" i="11"/>
  <c r="H383" i="11"/>
  <c r="BH383" i="11"/>
  <c r="AB383" i="11" s="1"/>
  <c r="H412" i="11"/>
  <c r="AX417" i="11"/>
  <c r="I417" i="11"/>
  <c r="BI417" i="11"/>
  <c r="BC424" i="11"/>
  <c r="AV424" i="11"/>
  <c r="BI261" i="11"/>
  <c r="AC261" i="11" s="1"/>
  <c r="BH262" i="11"/>
  <c r="AB262" i="11" s="1"/>
  <c r="BH265" i="11"/>
  <c r="BI267" i="11"/>
  <c r="BH268" i="11"/>
  <c r="BI275" i="11"/>
  <c r="BH276" i="11"/>
  <c r="BI288" i="11"/>
  <c r="AC288" i="11" s="1"/>
  <c r="BH289" i="11"/>
  <c r="AB289" i="11" s="1"/>
  <c r="BH292" i="11"/>
  <c r="AB292" i="11" s="1"/>
  <c r="BI294" i="11"/>
  <c r="AC294" i="11" s="1"/>
  <c r="BH295" i="11"/>
  <c r="AB295" i="11" s="1"/>
  <c r="BI297" i="11"/>
  <c r="AC297" i="11" s="1"/>
  <c r="I301" i="11"/>
  <c r="BC301" i="11"/>
  <c r="AX303" i="11"/>
  <c r="AV303" i="11" s="1"/>
  <c r="AW309" i="11"/>
  <c r="BC311" i="11"/>
  <c r="I319" i="11"/>
  <c r="I321" i="11"/>
  <c r="AW324" i="11"/>
  <c r="AT334" i="11"/>
  <c r="H342" i="11"/>
  <c r="I365" i="11"/>
  <c r="I364" i="11" s="1"/>
  <c r="AX365" i="11"/>
  <c r="AX382" i="11"/>
  <c r="BC382" i="11" s="1"/>
  <c r="I382" i="11"/>
  <c r="I380" i="11" s="1"/>
  <c r="BI382" i="11"/>
  <c r="AC382" i="11" s="1"/>
  <c r="BI422" i="11"/>
  <c r="BH336" i="11"/>
  <c r="AW349" i="11"/>
  <c r="BC352" i="11"/>
  <c r="AV352" i="11"/>
  <c r="I358" i="11"/>
  <c r="AT358" i="11"/>
  <c r="AX379" i="11"/>
  <c r="BC379" i="11" s="1"/>
  <c r="I379" i="11"/>
  <c r="I373" i="11" s="1"/>
  <c r="BI379" i="11"/>
  <c r="AC379" i="11" s="1"/>
  <c r="H406" i="11"/>
  <c r="AW406" i="11"/>
  <c r="AV419" i="11"/>
  <c r="BC419" i="11"/>
  <c r="AX425" i="11"/>
  <c r="BC425" i="11" s="1"/>
  <c r="I425" i="11"/>
  <c r="BI425" i="11"/>
  <c r="AX305" i="11"/>
  <c r="AU312" i="11"/>
  <c r="I315" i="11"/>
  <c r="I312" i="11" s="1"/>
  <c r="BH315" i="11"/>
  <c r="AB315" i="11" s="1"/>
  <c r="AW318" i="11"/>
  <c r="BC320" i="11"/>
  <c r="BC325" i="11"/>
  <c r="AV328" i="11"/>
  <c r="AL331" i="11"/>
  <c r="AU330" i="11" s="1"/>
  <c r="BC335" i="11"/>
  <c r="AV335" i="11"/>
  <c r="BI340" i="11"/>
  <c r="AW341" i="11"/>
  <c r="BH342" i="11"/>
  <c r="AX343" i="11"/>
  <c r="BC343" i="11" s="1"/>
  <c r="I343" i="11"/>
  <c r="BC345" i="11"/>
  <c r="AX352" i="11"/>
  <c r="I352" i="11"/>
  <c r="I351" i="11" s="1"/>
  <c r="AX354" i="11"/>
  <c r="BC354" i="11" s="1"/>
  <c r="I354" i="11"/>
  <c r="I353" i="11" s="1"/>
  <c r="AX356" i="11"/>
  <c r="BC356" i="11" s="1"/>
  <c r="I356" i="11"/>
  <c r="I355" i="11" s="1"/>
  <c r="AW361" i="11"/>
  <c r="BH361" i="11"/>
  <c r="AB361" i="11" s="1"/>
  <c r="H361" i="11"/>
  <c r="I411" i="11"/>
  <c r="I410" i="11" s="1"/>
  <c r="BI411" i="11"/>
  <c r="AX411" i="11"/>
  <c r="AV411" i="11" s="1"/>
  <c r="I414" i="11"/>
  <c r="AX414" i="11"/>
  <c r="AV414" i="11" s="1"/>
  <c r="BI316" i="11"/>
  <c r="AC316" i="11" s="1"/>
  <c r="BI325" i="11"/>
  <c r="AC325" i="11" s="1"/>
  <c r="BH326" i="11"/>
  <c r="AB326" i="11" s="1"/>
  <c r="BH335" i="11"/>
  <c r="BI342" i="11"/>
  <c r="BH343" i="11"/>
  <c r="BH352" i="11"/>
  <c r="BH354" i="11"/>
  <c r="BH356" i="11"/>
  <c r="J367" i="11"/>
  <c r="H373" i="11"/>
  <c r="AV393" i="11"/>
  <c r="BC393" i="11"/>
  <c r="BC400" i="11"/>
  <c r="AS412" i="11"/>
  <c r="BC417" i="11"/>
  <c r="AV417" i="11"/>
  <c r="BH302" i="11"/>
  <c r="AB302" i="11" s="1"/>
  <c r="J312" i="11"/>
  <c r="I316" i="11"/>
  <c r="I325" i="11"/>
  <c r="H326" i="11"/>
  <c r="BI327" i="11"/>
  <c r="AC327" i="11" s="1"/>
  <c r="BH328" i="11"/>
  <c r="AB328" i="11" s="1"/>
  <c r="BH331" i="11"/>
  <c r="AB331" i="11" s="1"/>
  <c r="BI333" i="11"/>
  <c r="BI336" i="11"/>
  <c r="BH337" i="11"/>
  <c r="BI344" i="11"/>
  <c r="BH345" i="11"/>
  <c r="AW365" i="11"/>
  <c r="AV374" i="11"/>
  <c r="BC374" i="11"/>
  <c r="AV390" i="11"/>
  <c r="BC397" i="11"/>
  <c r="AV402" i="11"/>
  <c r="BC402" i="11"/>
  <c r="AW409" i="11"/>
  <c r="AU412" i="11"/>
  <c r="BC414" i="11"/>
  <c r="AW418" i="11"/>
  <c r="H418" i="11"/>
  <c r="AV420" i="11"/>
  <c r="BC420" i="11"/>
  <c r="BC422" i="11"/>
  <c r="F22" i="13"/>
  <c r="BI302" i="11"/>
  <c r="AC302" i="11" s="1"/>
  <c r="BH303" i="11"/>
  <c r="AB303" i="11" s="1"/>
  <c r="BI328" i="11"/>
  <c r="AC328" i="11" s="1"/>
  <c r="BH329" i="11"/>
  <c r="AB329" i="11" s="1"/>
  <c r="BI331" i="11"/>
  <c r="AC331" i="11" s="1"/>
  <c r="BI337" i="11"/>
  <c r="BH338" i="11"/>
  <c r="BI345" i="11"/>
  <c r="BH346" i="11"/>
  <c r="H360" i="11"/>
  <c r="H363" i="11"/>
  <c r="AV371" i="11"/>
  <c r="BC371" i="11"/>
  <c r="AW395" i="11"/>
  <c r="H395" i="11"/>
  <c r="H394" i="11" s="1"/>
  <c r="AL411" i="11"/>
  <c r="AU410" i="11" s="1"/>
  <c r="J410" i="11"/>
  <c r="I22" i="13"/>
  <c r="AV362" i="11"/>
  <c r="BC362" i="11"/>
  <c r="AX385" i="11"/>
  <c r="AV385" i="11" s="1"/>
  <c r="I385" i="11"/>
  <c r="I384" i="11" s="1"/>
  <c r="AW386" i="11"/>
  <c r="H386" i="11"/>
  <c r="H384" i="11" s="1"/>
  <c r="AX388" i="11"/>
  <c r="AV388" i="11" s="1"/>
  <c r="I388" i="11"/>
  <c r="I387" i="11" s="1"/>
  <c r="AX391" i="11"/>
  <c r="I391" i="11"/>
  <c r="I389" i="11" s="1"/>
  <c r="AT399" i="11"/>
  <c r="BC359" i="11"/>
  <c r="H380" i="11"/>
  <c r="BC388" i="11"/>
  <c r="BC391" i="11"/>
  <c r="AW392" i="11"/>
  <c r="H392" i="11"/>
  <c r="H389" i="11" s="1"/>
  <c r="AS399" i="11"/>
  <c r="AV403" i="11"/>
  <c r="BC403" i="11"/>
  <c r="BH409" i="11"/>
  <c r="AB409" i="11" s="1"/>
  <c r="AW415" i="11"/>
  <c r="AW423" i="11"/>
  <c r="BI377" i="11"/>
  <c r="AC377" i="11" s="1"/>
  <c r="BH378" i="11"/>
  <c r="AB378" i="11" s="1"/>
  <c r="BH381" i="11"/>
  <c r="AB381" i="11" s="1"/>
  <c r="BH390" i="11"/>
  <c r="AB390" i="11" s="1"/>
  <c r="BI406" i="11"/>
  <c r="AC406" i="11" s="1"/>
  <c r="BH407" i="11"/>
  <c r="AB407" i="11" s="1"/>
  <c r="BI409" i="11"/>
  <c r="AC409" i="11" s="1"/>
  <c r="BI415" i="11"/>
  <c r="BH416" i="11"/>
  <c r="BI423" i="11"/>
  <c r="BH424" i="11"/>
  <c r="AX363" i="11"/>
  <c r="BC363" i="11" s="1"/>
  <c r="AX366" i="11"/>
  <c r="AX369" i="11"/>
  <c r="AV369" i="11" s="1"/>
  <c r="AX372" i="11"/>
  <c r="AX375" i="11"/>
  <c r="AW376" i="11"/>
  <c r="AX404" i="11"/>
  <c r="AW405" i="11"/>
  <c r="BI416" i="11"/>
  <c r="BH417" i="11"/>
  <c r="BI424" i="11"/>
  <c r="BH425" i="11"/>
  <c r="AV382" i="11"/>
  <c r="BI383" i="11"/>
  <c r="AC383" i="11" s="1"/>
  <c r="BI386" i="11"/>
  <c r="AC386" i="11" s="1"/>
  <c r="AV391" i="11"/>
  <c r="BI392" i="11"/>
  <c r="AC392" i="11" s="1"/>
  <c r="BH393" i="11"/>
  <c r="AB393" i="11" s="1"/>
  <c r="BI395" i="11"/>
  <c r="AC395" i="11" s="1"/>
  <c r="AV397" i="11"/>
  <c r="BI398" i="11"/>
  <c r="AC398" i="11" s="1"/>
  <c r="BI401" i="11"/>
  <c r="AC401" i="11" s="1"/>
  <c r="BH402" i="11"/>
  <c r="AB402" i="11" s="1"/>
  <c r="I416" i="11"/>
  <c r="H417" i="11"/>
  <c r="BI418" i="11"/>
  <c r="BH419" i="11"/>
  <c r="I424" i="11"/>
  <c r="H425" i="11"/>
  <c r="BH428" i="11"/>
  <c r="BH430" i="11"/>
  <c r="BH432" i="11"/>
  <c r="BH371" i="11"/>
  <c r="AB371" i="11" s="1"/>
  <c r="BH374" i="11"/>
  <c r="AB374" i="11" s="1"/>
  <c r="BI393" i="11"/>
  <c r="AC393" i="11" s="1"/>
  <c r="BI402" i="11"/>
  <c r="AC402" i="11" s="1"/>
  <c r="BH403" i="11"/>
  <c r="AB403" i="11" s="1"/>
  <c r="BI419" i="11"/>
  <c r="BH420" i="11"/>
  <c r="BC19" i="8"/>
  <c r="AV19" i="8"/>
  <c r="AV24" i="8"/>
  <c r="AV26" i="8"/>
  <c r="BC39" i="8"/>
  <c r="AV39" i="8"/>
  <c r="AU40" i="8"/>
  <c r="AU49" i="8"/>
  <c r="AV18" i="8"/>
  <c r="AV20" i="8"/>
  <c r="AV29" i="8"/>
  <c r="AV48" i="8"/>
  <c r="BC56" i="8"/>
  <c r="AV56" i="8"/>
  <c r="AU12" i="8"/>
  <c r="BC22" i="8"/>
  <c r="AV22" i="8"/>
  <c r="AV28" i="8"/>
  <c r="AU31" i="8"/>
  <c r="BC16" i="8"/>
  <c r="AV16" i="8"/>
  <c r="AU23" i="8"/>
  <c r="BC25" i="8"/>
  <c r="AV25" i="8"/>
  <c r="AV46" i="8"/>
  <c r="BC46" i="8"/>
  <c r="BC27" i="8"/>
  <c r="AV27" i="8"/>
  <c r="BC42" i="8"/>
  <c r="AV42" i="8"/>
  <c r="I13" i="8"/>
  <c r="I12" i="8" s="1"/>
  <c r="AW13" i="8"/>
  <c r="H14" i="8"/>
  <c r="H12" i="8" s="1"/>
  <c r="BI15" i="8"/>
  <c r="AC15" i="8" s="1"/>
  <c r="BH16" i="8"/>
  <c r="AB16" i="8" s="1"/>
  <c r="BI18" i="8"/>
  <c r="AC18" i="8" s="1"/>
  <c r="BH19" i="8"/>
  <c r="AB19" i="8" s="1"/>
  <c r="BH22" i="8"/>
  <c r="AB22" i="8" s="1"/>
  <c r="C14" i="10" s="1"/>
  <c r="BI24" i="8"/>
  <c r="AC24" i="8" s="1"/>
  <c r="BH25" i="8"/>
  <c r="AB25" i="8" s="1"/>
  <c r="BC28" i="8"/>
  <c r="AX29" i="8"/>
  <c r="BC29" i="8" s="1"/>
  <c r="I30" i="8"/>
  <c r="I23" i="8" s="1"/>
  <c r="AW30" i="8"/>
  <c r="AX32" i="8"/>
  <c r="AV32" i="8" s="1"/>
  <c r="I33" i="8"/>
  <c r="I31" i="8" s="1"/>
  <c r="AW33" i="8"/>
  <c r="H34" i="8"/>
  <c r="H31" i="8" s="1"/>
  <c r="I36" i="8"/>
  <c r="AW36" i="8"/>
  <c r="H37" i="8"/>
  <c r="BI38" i="8"/>
  <c r="AC38" i="8" s="1"/>
  <c r="BH39" i="8"/>
  <c r="AB39" i="8" s="1"/>
  <c r="BI41" i="8"/>
  <c r="AC41" i="8" s="1"/>
  <c r="BH42" i="8"/>
  <c r="AB42" i="8" s="1"/>
  <c r="BC45" i="8"/>
  <c r="BC48" i="8"/>
  <c r="J49" i="8"/>
  <c r="BC51" i="8"/>
  <c r="AX52" i="8"/>
  <c r="AV52" i="8" s="1"/>
  <c r="I53" i="8"/>
  <c r="AW53" i="8"/>
  <c r="H54" i="8"/>
  <c r="BI55" i="8"/>
  <c r="AC55" i="8" s="1"/>
  <c r="BC75" i="8"/>
  <c r="AX88" i="8"/>
  <c r="I88" i="8"/>
  <c r="AW89" i="8"/>
  <c r="H89" i="8"/>
  <c r="H87" i="8" s="1"/>
  <c r="BC98" i="8"/>
  <c r="AX99" i="8"/>
  <c r="BC99" i="8" s="1"/>
  <c r="I99" i="8"/>
  <c r="AW100" i="8"/>
  <c r="H100" i="8"/>
  <c r="BC113" i="8"/>
  <c r="AV113" i="8"/>
  <c r="BC117" i="8"/>
  <c r="AV117" i="8"/>
  <c r="H118" i="8"/>
  <c r="AX13" i="8"/>
  <c r="AW14" i="8"/>
  <c r="BI16" i="8"/>
  <c r="AC16" i="8" s="1"/>
  <c r="C15" i="10" s="1"/>
  <c r="BI19" i="8"/>
  <c r="AC19" i="8" s="1"/>
  <c r="BH20" i="8"/>
  <c r="AB20" i="8" s="1"/>
  <c r="BI22" i="8"/>
  <c r="AC22" i="8" s="1"/>
  <c r="BI25" i="8"/>
  <c r="AC25" i="8" s="1"/>
  <c r="BH26" i="8"/>
  <c r="AB26" i="8" s="1"/>
  <c r="AX30" i="8"/>
  <c r="AX33" i="8"/>
  <c r="AW34" i="8"/>
  <c r="AX36" i="8"/>
  <c r="I37" i="8"/>
  <c r="AW37" i="8"/>
  <c r="H38" i="8"/>
  <c r="BI39" i="8"/>
  <c r="AC39" i="8" s="1"/>
  <c r="H41" i="8"/>
  <c r="BI42" i="8"/>
  <c r="AC42" i="8" s="1"/>
  <c r="BH43" i="8"/>
  <c r="AB43" i="8" s="1"/>
  <c r="J47" i="8"/>
  <c r="AX53" i="8"/>
  <c r="I54" i="8"/>
  <c r="I49" i="8" s="1"/>
  <c r="AW54" i="8"/>
  <c r="H55" i="8"/>
  <c r="AX57" i="8"/>
  <c r="AV57" i="8" s="1"/>
  <c r="BC61" i="8"/>
  <c r="AV61" i="8"/>
  <c r="AV69" i="8"/>
  <c r="H70" i="8"/>
  <c r="AW70" i="8"/>
  <c r="BI20" i="8"/>
  <c r="AC20" i="8" s="1"/>
  <c r="BI26" i="8"/>
  <c r="AC26" i="8" s="1"/>
  <c r="BH27" i="8"/>
  <c r="AB27" i="8" s="1"/>
  <c r="AX34" i="8"/>
  <c r="AX37" i="8"/>
  <c r="I38" i="8"/>
  <c r="AW38" i="8"/>
  <c r="H39" i="8"/>
  <c r="H35" i="8" s="1"/>
  <c r="I41" i="8"/>
  <c r="I40" i="8" s="1"/>
  <c r="AW41" i="8"/>
  <c r="H42" i="8"/>
  <c r="AX54" i="8"/>
  <c r="I55" i="8"/>
  <c r="AW55" i="8"/>
  <c r="H56" i="8"/>
  <c r="H57" i="8"/>
  <c r="BH58" i="8"/>
  <c r="AB58" i="8" s="1"/>
  <c r="J67" i="8"/>
  <c r="I69" i="8"/>
  <c r="AX69" i="8"/>
  <c r="BC91" i="8"/>
  <c r="H94" i="8"/>
  <c r="BC102" i="8"/>
  <c r="AV122" i="8"/>
  <c r="J12" i="8"/>
  <c r="C28" i="10"/>
  <c r="F28" i="10" s="1"/>
  <c r="I56" i="8"/>
  <c r="I60" i="8"/>
  <c r="AV66" i="8"/>
  <c r="H67" i="8"/>
  <c r="BC68" i="8"/>
  <c r="BC69" i="8"/>
  <c r="BC74" i="8"/>
  <c r="AV74" i="8"/>
  <c r="BC78" i="8"/>
  <c r="AV78" i="8"/>
  <c r="AW86" i="8"/>
  <c r="H86" i="8"/>
  <c r="H85" i="8" s="1"/>
  <c r="BI88" i="8"/>
  <c r="AU94" i="8"/>
  <c r="AS94" i="8"/>
  <c r="AL96" i="8"/>
  <c r="J94" i="8"/>
  <c r="BC97" i="8"/>
  <c r="AV97" i="8"/>
  <c r="BI99" i="8"/>
  <c r="BC103" i="8"/>
  <c r="BI28" i="8"/>
  <c r="AC28" i="8" s="1"/>
  <c r="BH29" i="8"/>
  <c r="AB29" i="8" s="1"/>
  <c r="BH32" i="8"/>
  <c r="AB32" i="8" s="1"/>
  <c r="AV44" i="8"/>
  <c r="BI45" i="8"/>
  <c r="AC45" i="8" s="1"/>
  <c r="BH46" i="8"/>
  <c r="AB46" i="8" s="1"/>
  <c r="BI48" i="8"/>
  <c r="AC48" i="8" s="1"/>
  <c r="AV50" i="8"/>
  <c r="BI51" i="8"/>
  <c r="AC51" i="8" s="1"/>
  <c r="BH52" i="8"/>
  <c r="AB52" i="8" s="1"/>
  <c r="I66" i="8"/>
  <c r="I64" i="8" s="1"/>
  <c r="AX66" i="8"/>
  <c r="BC66" i="8" s="1"/>
  <c r="I67" i="8"/>
  <c r="AT94" i="8"/>
  <c r="AX107" i="8"/>
  <c r="BC107" i="8" s="1"/>
  <c r="I107" i="8"/>
  <c r="AW108" i="8"/>
  <c r="H108" i="8"/>
  <c r="BC115" i="8"/>
  <c r="AV120" i="8"/>
  <c r="I22" i="10"/>
  <c r="C16" i="10"/>
  <c r="J17" i="8"/>
  <c r="J23" i="8"/>
  <c r="J40" i="8"/>
  <c r="BH57" i="8"/>
  <c r="AB57" i="8" s="1"/>
  <c r="AV63" i="8"/>
  <c r="AL73" i="8"/>
  <c r="AU72" i="8" s="1"/>
  <c r="J72" i="8"/>
  <c r="AX115" i="8"/>
  <c r="AV115" i="8" s="1"/>
  <c r="I115" i="8"/>
  <c r="AW116" i="8"/>
  <c r="H116" i="8"/>
  <c r="BC58" i="8"/>
  <c r="AV58" i="8"/>
  <c r="I63" i="8"/>
  <c r="AX63" i="8"/>
  <c r="BC63" i="8" s="1"/>
  <c r="BC71" i="8"/>
  <c r="AV71" i="8"/>
  <c r="H73" i="8"/>
  <c r="AW73" i="8"/>
  <c r="AW77" i="8"/>
  <c r="H77" i="8"/>
  <c r="H60" i="8"/>
  <c r="AX76" i="8"/>
  <c r="BC76" i="8" s="1"/>
  <c r="I76" i="8"/>
  <c r="BC79" i="8"/>
  <c r="BC88" i="8"/>
  <c r="AV88" i="8"/>
  <c r="AV99" i="8"/>
  <c r="BC105" i="8"/>
  <c r="AV105" i="8"/>
  <c r="BI107" i="8"/>
  <c r="BC109" i="8"/>
  <c r="AV109" i="8"/>
  <c r="I70" i="8"/>
  <c r="H71" i="8"/>
  <c r="I73" i="8"/>
  <c r="H74" i="8"/>
  <c r="BI75" i="8"/>
  <c r="AC75" i="8" s="1"/>
  <c r="BH76" i="8"/>
  <c r="AB76" i="8" s="1"/>
  <c r="AX80" i="8"/>
  <c r="BC80" i="8" s="1"/>
  <c r="AL86" i="8"/>
  <c r="AU85" i="8" s="1"/>
  <c r="BH88" i="8"/>
  <c r="AL89" i="8"/>
  <c r="AU87" i="8" s="1"/>
  <c r="AX92" i="8"/>
  <c r="BC92" i="8" s="1"/>
  <c r="I93" i="8"/>
  <c r="AW93" i="8"/>
  <c r="AX95" i="8"/>
  <c r="BC95" i="8" s="1"/>
  <c r="I96" i="8"/>
  <c r="I94" i="8" s="1"/>
  <c r="AW96" i="8"/>
  <c r="H97" i="8"/>
  <c r="BI98" i="8"/>
  <c r="BH99" i="8"/>
  <c r="AX103" i="8"/>
  <c r="AV103" i="8" s="1"/>
  <c r="I104" i="8"/>
  <c r="AW104" i="8"/>
  <c r="H105" i="8"/>
  <c r="BI106" i="8"/>
  <c r="BH107" i="8"/>
  <c r="BC110" i="8"/>
  <c r="AX111" i="8"/>
  <c r="BC111" i="8" s="1"/>
  <c r="I112" i="8"/>
  <c r="AW112" i="8"/>
  <c r="H113" i="8"/>
  <c r="BI114" i="8"/>
  <c r="BH115" i="8"/>
  <c r="AX120" i="8"/>
  <c r="BC120" i="8" s="1"/>
  <c r="AX122" i="8"/>
  <c r="BC122" i="8" s="1"/>
  <c r="AX124" i="8"/>
  <c r="BH61" i="8"/>
  <c r="AB61" i="8" s="1"/>
  <c r="BI77" i="8"/>
  <c r="AC77" i="8" s="1"/>
  <c r="BH78" i="8"/>
  <c r="AB78" i="8" s="1"/>
  <c r="BH84" i="8"/>
  <c r="AB84" i="8" s="1"/>
  <c r="BI86" i="8"/>
  <c r="BI89" i="8"/>
  <c r="BH90" i="8"/>
  <c r="BI100" i="8"/>
  <c r="BH101" i="8"/>
  <c r="BI108" i="8"/>
  <c r="BH109" i="8"/>
  <c r="BI116" i="8"/>
  <c r="BH117" i="8"/>
  <c r="BI59" i="8"/>
  <c r="AC59" i="8" s="1"/>
  <c r="BI62" i="8"/>
  <c r="AC62" i="8" s="1"/>
  <c r="BH63" i="8"/>
  <c r="AB63" i="8" s="1"/>
  <c r="BI65" i="8"/>
  <c r="AC65" i="8" s="1"/>
  <c r="BH66" i="8"/>
  <c r="AB66" i="8" s="1"/>
  <c r="BI68" i="8"/>
  <c r="AC68" i="8" s="1"/>
  <c r="BH69" i="8"/>
  <c r="AB69" i="8" s="1"/>
  <c r="BI79" i="8"/>
  <c r="AC79" i="8" s="1"/>
  <c r="BH80" i="8"/>
  <c r="AB80" i="8" s="1"/>
  <c r="AV84" i="8"/>
  <c r="AV90" i="8"/>
  <c r="BI91" i="8"/>
  <c r="BH92" i="8"/>
  <c r="BH95" i="8"/>
  <c r="AV101" i="8"/>
  <c r="BI102" i="8"/>
  <c r="BH103" i="8"/>
  <c r="I108" i="8"/>
  <c r="H109" i="8"/>
  <c r="BI110" i="8"/>
  <c r="BH111" i="8"/>
  <c r="I116" i="8"/>
  <c r="H117" i="8"/>
  <c r="BH120" i="8"/>
  <c r="BH122" i="8"/>
  <c r="BI80" i="8"/>
  <c r="AC80" i="8" s="1"/>
  <c r="BI92" i="8"/>
  <c r="BH93" i="8"/>
  <c r="BI95" i="8"/>
  <c r="BH96" i="8"/>
  <c r="BI103" i="8"/>
  <c r="BH104" i="8"/>
  <c r="BI111" i="8"/>
  <c r="BH112" i="8"/>
  <c r="BI120" i="8"/>
  <c r="BC18" i="5"/>
  <c r="AV18" i="5"/>
  <c r="AV27" i="5"/>
  <c r="BC27" i="5"/>
  <c r="BC17" i="5"/>
  <c r="AV17" i="5"/>
  <c r="BC20" i="5"/>
  <c r="AV20" i="5"/>
  <c r="BC25" i="5"/>
  <c r="BC41" i="5"/>
  <c r="AV41" i="5"/>
  <c r="AV45" i="5"/>
  <c r="BC45" i="5"/>
  <c r="H48" i="5"/>
  <c r="BC26" i="5"/>
  <c r="AV26" i="5"/>
  <c r="BC40" i="5"/>
  <c r="AV40" i="5"/>
  <c r="BC14" i="5"/>
  <c r="AV14" i="5"/>
  <c r="AV44" i="5"/>
  <c r="BC44" i="5"/>
  <c r="AV31" i="5"/>
  <c r="BC31" i="5"/>
  <c r="BC43" i="5"/>
  <c r="AV43" i="5"/>
  <c r="AV47" i="5"/>
  <c r="BC47" i="5"/>
  <c r="BC24" i="5"/>
  <c r="AV24" i="5"/>
  <c r="AV28" i="5"/>
  <c r="BC28" i="5"/>
  <c r="AU33" i="5"/>
  <c r="BC37" i="5"/>
  <c r="AV37" i="5"/>
  <c r="AU38" i="5"/>
  <c r="BC42" i="5"/>
  <c r="BC49" i="5"/>
  <c r="AV49" i="5"/>
  <c r="AU12" i="5"/>
  <c r="BC23" i="5"/>
  <c r="AV23" i="5"/>
  <c r="AV30" i="5"/>
  <c r="BC30" i="5"/>
  <c r="AV34" i="5"/>
  <c r="BC34" i="5"/>
  <c r="BI14" i="5"/>
  <c r="AC14" i="5" s="1"/>
  <c r="BI17" i="5"/>
  <c r="AC17" i="5" s="1"/>
  <c r="BH18" i="5"/>
  <c r="AB18" i="5" s="1"/>
  <c r="BI20" i="5"/>
  <c r="AC20" i="5" s="1"/>
  <c r="BI23" i="5"/>
  <c r="AC23" i="5" s="1"/>
  <c r="BH24" i="5"/>
  <c r="AB24" i="5" s="1"/>
  <c r="BI37" i="5"/>
  <c r="AC37" i="5" s="1"/>
  <c r="BI40" i="5"/>
  <c r="AC40" i="5" s="1"/>
  <c r="BH41" i="5"/>
  <c r="AB41" i="5" s="1"/>
  <c r="J48" i="5"/>
  <c r="AV72" i="5"/>
  <c r="BC72" i="5"/>
  <c r="H80" i="5"/>
  <c r="AV87" i="5"/>
  <c r="BC87" i="5"/>
  <c r="AX92" i="5"/>
  <c r="I92" i="5"/>
  <c r="AV95" i="5"/>
  <c r="BC95" i="5"/>
  <c r="AX100" i="5"/>
  <c r="BC100" i="5" s="1"/>
  <c r="I100" i="5"/>
  <c r="AV103" i="5"/>
  <c r="BC103" i="5"/>
  <c r="AL113" i="5"/>
  <c r="AU112" i="5" s="1"/>
  <c r="J112" i="5"/>
  <c r="J29" i="5"/>
  <c r="BI57" i="5"/>
  <c r="AC57" i="5" s="1"/>
  <c r="BI66" i="5"/>
  <c r="AC66" i="5" s="1"/>
  <c r="AX81" i="5"/>
  <c r="BC81" i="5" s="1"/>
  <c r="I81" i="5"/>
  <c r="AW85" i="5"/>
  <c r="H85" i="5"/>
  <c r="BC92" i="5"/>
  <c r="AW93" i="5"/>
  <c r="H93" i="5"/>
  <c r="AW101" i="5"/>
  <c r="H101" i="5"/>
  <c r="I14" i="5"/>
  <c r="I17" i="5"/>
  <c r="I15" i="5" s="1"/>
  <c r="H18" i="5"/>
  <c r="H15" i="5" s="1"/>
  <c r="I20" i="5"/>
  <c r="I19" i="5" s="1"/>
  <c r="I23" i="5"/>
  <c r="I21" i="5" s="1"/>
  <c r="H24" i="5"/>
  <c r="H21" i="5" s="1"/>
  <c r="BI25" i="5"/>
  <c r="AC25" i="5" s="1"/>
  <c r="BH26" i="5"/>
  <c r="AB26" i="5" s="1"/>
  <c r="BC32" i="5"/>
  <c r="J33" i="5"/>
  <c r="BC35" i="5"/>
  <c r="I37" i="5"/>
  <c r="I33" i="5" s="1"/>
  <c r="I40" i="5"/>
  <c r="H41" i="5"/>
  <c r="BI42" i="5"/>
  <c r="AC42" i="5" s="1"/>
  <c r="BH43" i="5"/>
  <c r="AB43" i="5" s="1"/>
  <c r="BI49" i="5"/>
  <c r="AC49" i="5" s="1"/>
  <c r="AX50" i="5"/>
  <c r="I50" i="5"/>
  <c r="BH52" i="5"/>
  <c r="AB52" i="5" s="1"/>
  <c r="AV68" i="5"/>
  <c r="AV74" i="5"/>
  <c r="BC74" i="5"/>
  <c r="AX89" i="5"/>
  <c r="AV89" i="5" s="1"/>
  <c r="AX97" i="5"/>
  <c r="BC97" i="5" s="1"/>
  <c r="AX105" i="5"/>
  <c r="BC105" i="5" s="1"/>
  <c r="AW106" i="5"/>
  <c r="H106" i="5"/>
  <c r="AV25" i="5"/>
  <c r="BI26" i="5"/>
  <c r="AC26" i="5" s="1"/>
  <c r="BH27" i="5"/>
  <c r="AB27" i="5" s="1"/>
  <c r="BH30" i="5"/>
  <c r="AB30" i="5" s="1"/>
  <c r="AV42" i="5"/>
  <c r="BI43" i="5"/>
  <c r="AC43" i="5" s="1"/>
  <c r="BH44" i="5"/>
  <c r="AB44" i="5" s="1"/>
  <c r="BH47" i="5"/>
  <c r="AB47" i="5" s="1"/>
  <c r="AV53" i="5"/>
  <c r="AU63" i="5"/>
  <c r="AS63" i="5"/>
  <c r="AX69" i="5"/>
  <c r="BC69" i="5" s="1"/>
  <c r="I69" i="5"/>
  <c r="I63" i="5" s="1"/>
  <c r="AW70" i="5"/>
  <c r="H70" i="5"/>
  <c r="H63" i="5" s="1"/>
  <c r="AW79" i="5"/>
  <c r="H79" i="5"/>
  <c r="H78" i="5" s="1"/>
  <c r="AW82" i="5"/>
  <c r="H82" i="5"/>
  <c r="AL86" i="5"/>
  <c r="AU84" i="5" s="1"/>
  <c r="AV113" i="5"/>
  <c r="BC113" i="5"/>
  <c r="AV86" i="5"/>
  <c r="BC86" i="5"/>
  <c r="BC90" i="5"/>
  <c r="AV90" i="5"/>
  <c r="BI92" i="5"/>
  <c r="AV94" i="5"/>
  <c r="BC94" i="5"/>
  <c r="BC98" i="5"/>
  <c r="AV98" i="5"/>
  <c r="BI100" i="5"/>
  <c r="AV102" i="5"/>
  <c r="BC102" i="5"/>
  <c r="BC107" i="5"/>
  <c r="AV107" i="5"/>
  <c r="AL111" i="5"/>
  <c r="AU110" i="5" s="1"/>
  <c r="J110" i="5"/>
  <c r="J109" i="5" s="1"/>
  <c r="AL115" i="5"/>
  <c r="AU114" i="5" s="1"/>
  <c r="J114" i="5"/>
  <c r="J19" i="5"/>
  <c r="I26" i="5"/>
  <c r="H27" i="5"/>
  <c r="BI28" i="5"/>
  <c r="AC28" i="5" s="1"/>
  <c r="H30" i="5"/>
  <c r="BI31" i="5"/>
  <c r="AC31" i="5" s="1"/>
  <c r="BH32" i="5"/>
  <c r="AB32" i="5" s="1"/>
  <c r="BI34" i="5"/>
  <c r="AC34" i="5" s="1"/>
  <c r="BH35" i="5"/>
  <c r="AB35" i="5" s="1"/>
  <c r="I43" i="5"/>
  <c r="H44" i="5"/>
  <c r="H38" i="5" s="1"/>
  <c r="BI45" i="5"/>
  <c r="AC45" i="5" s="1"/>
  <c r="H47" i="5"/>
  <c r="H46" i="5" s="1"/>
  <c r="I49" i="5"/>
  <c r="AW52" i="5"/>
  <c r="H60" i="5"/>
  <c r="AV71" i="5"/>
  <c r="BC71" i="5"/>
  <c r="AL77" i="5"/>
  <c r="AU75" i="5" s="1"/>
  <c r="BI81" i="5"/>
  <c r="BI89" i="5"/>
  <c r="BI97" i="5"/>
  <c r="BI105" i="5"/>
  <c r="BC108" i="5"/>
  <c r="AV108" i="5"/>
  <c r="BI27" i="5"/>
  <c r="AC27" i="5" s="1"/>
  <c r="BH28" i="5"/>
  <c r="AB28" i="5" s="1"/>
  <c r="BI30" i="5"/>
  <c r="AC30" i="5" s="1"/>
  <c r="BH31" i="5"/>
  <c r="AB31" i="5" s="1"/>
  <c r="BH34" i="5"/>
  <c r="AB34" i="5" s="1"/>
  <c r="BI44" i="5"/>
  <c r="AC44" i="5" s="1"/>
  <c r="BH45" i="5"/>
  <c r="AB45" i="5" s="1"/>
  <c r="BI47" i="5"/>
  <c r="AC47" i="5" s="1"/>
  <c r="AW76" i="5"/>
  <c r="H76" i="5"/>
  <c r="I27" i="5"/>
  <c r="H28" i="5"/>
  <c r="I30" i="5"/>
  <c r="I29" i="5" s="1"/>
  <c r="H31" i="5"/>
  <c r="H34" i="5"/>
  <c r="H33" i="5" s="1"/>
  <c r="I44" i="5"/>
  <c r="H45" i="5"/>
  <c r="I47" i="5"/>
  <c r="I46" i="5" s="1"/>
  <c r="AW51" i="5"/>
  <c r="H51" i="5"/>
  <c r="AU55" i="5"/>
  <c r="AX57" i="5"/>
  <c r="AV57" i="5" s="1"/>
  <c r="AX66" i="5"/>
  <c r="AV66" i="5" s="1"/>
  <c r="AV77" i="5"/>
  <c r="BC77" i="5"/>
  <c r="AV83" i="5"/>
  <c r="BC83" i="5"/>
  <c r="BH85" i="5"/>
  <c r="BH93" i="5"/>
  <c r="BH101" i="5"/>
  <c r="BH106" i="5"/>
  <c r="BH50" i="5"/>
  <c r="AB50" i="5" s="1"/>
  <c r="AV61" i="5"/>
  <c r="BC61" i="5"/>
  <c r="AV64" i="5"/>
  <c r="BC64" i="5"/>
  <c r="AW67" i="5"/>
  <c r="BI69" i="5"/>
  <c r="AC69" i="5" s="1"/>
  <c r="BH90" i="5"/>
  <c r="AV91" i="5"/>
  <c r="BH98" i="5"/>
  <c r="AV99" i="5"/>
  <c r="AV115" i="5"/>
  <c r="BC115" i="5"/>
  <c r="BI67" i="5"/>
  <c r="AC67" i="5" s="1"/>
  <c r="BH68" i="5"/>
  <c r="AB68" i="5" s="1"/>
  <c r="BI90" i="5"/>
  <c r="BH91" i="5"/>
  <c r="BI98" i="5"/>
  <c r="BH99" i="5"/>
  <c r="AV105" i="5"/>
  <c r="BI106" i="5"/>
  <c r="BH107" i="5"/>
  <c r="BI68" i="5"/>
  <c r="AC68" i="5" s="1"/>
  <c r="BH69" i="5"/>
  <c r="AB69" i="5" s="1"/>
  <c r="BH81" i="5"/>
  <c r="BI91" i="5"/>
  <c r="BH92" i="5"/>
  <c r="BI99" i="5"/>
  <c r="BH100" i="5"/>
  <c r="BI107" i="5"/>
  <c r="BH108" i="5"/>
  <c r="BI108" i="5"/>
  <c r="BI70" i="5"/>
  <c r="AC70" i="5" s="1"/>
  <c r="BH71" i="5"/>
  <c r="AB71" i="5" s="1"/>
  <c r="BH74" i="5"/>
  <c r="AB74" i="5" s="1"/>
  <c r="BI76" i="5"/>
  <c r="AC76" i="5" s="1"/>
  <c r="BH77" i="5"/>
  <c r="AB77" i="5" s="1"/>
  <c r="BI79" i="5"/>
  <c r="AV81" i="5"/>
  <c r="BI82" i="5"/>
  <c r="BH83" i="5"/>
  <c r="BI85" i="5"/>
  <c r="BH86" i="5"/>
  <c r="AV92" i="5"/>
  <c r="BI93" i="5"/>
  <c r="BH94" i="5"/>
  <c r="BI101" i="5"/>
  <c r="BH102" i="5"/>
  <c r="H108" i="5"/>
  <c r="BH111" i="5"/>
  <c r="BH113" i="5"/>
  <c r="BH115" i="5"/>
  <c r="BH61" i="5"/>
  <c r="AB61" i="5" s="1"/>
  <c r="BH64" i="5"/>
  <c r="AB64" i="5" s="1"/>
  <c r="BI71" i="5"/>
  <c r="AC71" i="5" s="1"/>
  <c r="BH72" i="5"/>
  <c r="AB72" i="5" s="1"/>
  <c r="BI74" i="5"/>
  <c r="AC74" i="5" s="1"/>
  <c r="BI77" i="5"/>
  <c r="AC77" i="5" s="1"/>
  <c r="BI83" i="5"/>
  <c r="BI86" i="5"/>
  <c r="BH87" i="5"/>
  <c r="BI94" i="5"/>
  <c r="BH95" i="5"/>
  <c r="BI102" i="5"/>
  <c r="BH103" i="5"/>
  <c r="I108" i="5"/>
  <c r="BI111" i="5"/>
  <c r="BI113" i="5"/>
  <c r="BI115" i="5"/>
  <c r="I70" i="5"/>
  <c r="H71" i="5"/>
  <c r="H74" i="5"/>
  <c r="H73" i="5" s="1"/>
  <c r="I76" i="5"/>
  <c r="I75" i="5" s="1"/>
  <c r="H77" i="5"/>
  <c r="I79" i="5"/>
  <c r="I78" i="5" s="1"/>
  <c r="I82" i="5"/>
  <c r="H83" i="5"/>
  <c r="I85" i="5"/>
  <c r="I84" i="5" s="1"/>
  <c r="H86" i="5"/>
  <c r="I93" i="5"/>
  <c r="H94" i="5"/>
  <c r="I101" i="5"/>
  <c r="H102" i="5"/>
  <c r="H111" i="5"/>
  <c r="H110" i="5" s="1"/>
  <c r="H113" i="5"/>
  <c r="H112" i="5" s="1"/>
  <c r="H115" i="5"/>
  <c r="H114" i="5" s="1"/>
  <c r="BC21" i="1"/>
  <c r="AV21" i="1"/>
  <c r="F29" i="3"/>
  <c r="AU12" i="1"/>
  <c r="I22" i="1"/>
  <c r="AX22" i="1"/>
  <c r="AV22" i="1" s="1"/>
  <c r="AV41" i="1"/>
  <c r="BC41" i="1"/>
  <c r="BH13" i="1"/>
  <c r="AB13" i="1" s="1"/>
  <c r="H13" i="1"/>
  <c r="H12" i="1" s="1"/>
  <c r="C18" i="3"/>
  <c r="BC15" i="1"/>
  <c r="BC19" i="1"/>
  <c r="BH20" i="1"/>
  <c r="AB20" i="1" s="1"/>
  <c r="BC25" i="1"/>
  <c r="BC40" i="1"/>
  <c r="H23" i="1"/>
  <c r="AW23" i="1"/>
  <c r="I25" i="1"/>
  <c r="I24" i="1" s="1"/>
  <c r="AX25" i="1"/>
  <c r="AW27" i="1"/>
  <c r="I13" i="1"/>
  <c r="C20" i="3"/>
  <c r="AX13" i="1"/>
  <c r="AV13" i="1" s="1"/>
  <c r="AU17" i="1"/>
  <c r="AS17" i="1"/>
  <c r="BH22" i="1"/>
  <c r="AB22" i="1" s="1"/>
  <c r="AX23" i="1"/>
  <c r="I23" i="1"/>
  <c r="AV25" i="1"/>
  <c r="H27" i="1"/>
  <c r="H26" i="1" s="1"/>
  <c r="AV58" i="1"/>
  <c r="BC58" i="1"/>
  <c r="C27" i="3"/>
  <c r="H21" i="1"/>
  <c r="H17" i="1" s="1"/>
  <c r="BI22" i="1"/>
  <c r="AC22" i="1" s="1"/>
  <c r="C15" i="3" s="1"/>
  <c r="I27" i="1"/>
  <c r="AU52" i="1"/>
  <c r="BC70" i="1"/>
  <c r="AV70" i="1"/>
  <c r="AW20" i="1"/>
  <c r="I21" i="1"/>
  <c r="I17" i="1" s="1"/>
  <c r="H25" i="1"/>
  <c r="H24" i="1" s="1"/>
  <c r="I28" i="1"/>
  <c r="AX28" i="1"/>
  <c r="BC28" i="1" s="1"/>
  <c r="BC45" i="1"/>
  <c r="C19" i="3"/>
  <c r="I14" i="1"/>
  <c r="AX14" i="1"/>
  <c r="BC14" i="1" s="1"/>
  <c r="J12" i="1"/>
  <c r="AS12" i="1"/>
  <c r="BC22" i="1"/>
  <c r="BH23" i="1"/>
  <c r="AB23" i="1" s="1"/>
  <c r="BH25" i="1"/>
  <c r="AB25" i="1" s="1"/>
  <c r="BI27" i="1"/>
  <c r="AC27" i="1" s="1"/>
  <c r="AV28" i="1"/>
  <c r="AS26" i="1"/>
  <c r="AV42" i="1"/>
  <c r="AV44" i="1"/>
  <c r="BC44" i="1"/>
  <c r="I52" i="1"/>
  <c r="AU66" i="1"/>
  <c r="I29" i="1"/>
  <c r="AW29" i="1"/>
  <c r="H30" i="1"/>
  <c r="AL39" i="1"/>
  <c r="AU38" i="1" s="1"/>
  <c r="AX42" i="1"/>
  <c r="BC42" i="1" s="1"/>
  <c r="AX45" i="1"/>
  <c r="AV45" i="1" s="1"/>
  <c r="I46" i="1"/>
  <c r="AW46" i="1"/>
  <c r="H47" i="1"/>
  <c r="H50" i="1"/>
  <c r="H49" i="1" s="1"/>
  <c r="BI51" i="1"/>
  <c r="AC51" i="1" s="1"/>
  <c r="H53" i="1"/>
  <c r="BI54" i="1"/>
  <c r="AC54" i="1" s="1"/>
  <c r="BH55" i="1"/>
  <c r="AB55" i="1" s="1"/>
  <c r="AX59" i="1"/>
  <c r="AV59" i="1" s="1"/>
  <c r="I60" i="1"/>
  <c r="AW60" i="1"/>
  <c r="H61" i="1"/>
  <c r="BI62" i="1"/>
  <c r="AC62" i="1" s="1"/>
  <c r="H64" i="1"/>
  <c r="H63" i="1" s="1"/>
  <c r="BI65" i="1"/>
  <c r="AC65" i="1" s="1"/>
  <c r="H67" i="1"/>
  <c r="H66" i="1" s="1"/>
  <c r="BI68" i="1"/>
  <c r="AC68" i="1" s="1"/>
  <c r="BH69" i="1"/>
  <c r="AB69" i="1" s="1"/>
  <c r="I84" i="1"/>
  <c r="F29" i="4"/>
  <c r="AX29" i="1"/>
  <c r="AW30" i="1"/>
  <c r="AX46" i="1"/>
  <c r="AW47" i="1"/>
  <c r="AW50" i="1"/>
  <c r="AW53" i="1"/>
  <c r="AX60" i="1"/>
  <c r="AW61" i="1"/>
  <c r="AW64" i="1"/>
  <c r="AW67" i="1"/>
  <c r="AS79" i="1"/>
  <c r="AW82" i="1"/>
  <c r="H82" i="1"/>
  <c r="AV94" i="1"/>
  <c r="AT108" i="1"/>
  <c r="BC110" i="1"/>
  <c r="BC126" i="1"/>
  <c r="AV32" i="1"/>
  <c r="AV35" i="1"/>
  <c r="AV55" i="1"/>
  <c r="AV69" i="1"/>
  <c r="BI70" i="1"/>
  <c r="AC70" i="1" s="1"/>
  <c r="AW76" i="1"/>
  <c r="H76" i="1"/>
  <c r="H75" i="1" s="1"/>
  <c r="AW78" i="1"/>
  <c r="H78" i="1"/>
  <c r="H77" i="1" s="1"/>
  <c r="AX80" i="1"/>
  <c r="AV80" i="1" s="1"/>
  <c r="I80" i="1"/>
  <c r="I79" i="1" s="1"/>
  <c r="AV89" i="1"/>
  <c r="BC89" i="1"/>
  <c r="AW92" i="1"/>
  <c r="H92" i="1"/>
  <c r="AU108" i="1"/>
  <c r="AX114" i="1"/>
  <c r="I114" i="1"/>
  <c r="I108" i="1" s="1"/>
  <c r="BC134" i="1"/>
  <c r="AV33" i="1"/>
  <c r="AV36" i="1"/>
  <c r="BI37" i="1"/>
  <c r="AC37" i="1" s="1"/>
  <c r="AV39" i="1"/>
  <c r="BI40" i="1"/>
  <c r="AC40" i="1" s="1"/>
  <c r="BH41" i="1"/>
  <c r="AB41" i="1" s="1"/>
  <c r="BH44" i="1"/>
  <c r="AB44" i="1" s="1"/>
  <c r="BI57" i="1"/>
  <c r="AC57" i="1" s="1"/>
  <c r="BH58" i="1"/>
  <c r="AB58" i="1" s="1"/>
  <c r="AX78" i="1"/>
  <c r="I78" i="1"/>
  <c r="I77" i="1" s="1"/>
  <c r="AX91" i="1"/>
  <c r="I91" i="1"/>
  <c r="AW115" i="1"/>
  <c r="H115" i="1"/>
  <c r="H108" i="1" s="1"/>
  <c r="BC129" i="1"/>
  <c r="AX130" i="1"/>
  <c r="I130" i="1"/>
  <c r="AW131" i="1"/>
  <c r="H131" i="1"/>
  <c r="BI41" i="1"/>
  <c r="AC41" i="1" s="1"/>
  <c r="BH42" i="1"/>
  <c r="AB42" i="1" s="1"/>
  <c r="BI44" i="1"/>
  <c r="AC44" i="1" s="1"/>
  <c r="BH45" i="1"/>
  <c r="AB45" i="1" s="1"/>
  <c r="BI58" i="1"/>
  <c r="AC58" i="1" s="1"/>
  <c r="BH59" i="1"/>
  <c r="AB59" i="1" s="1"/>
  <c r="J63" i="1"/>
  <c r="J66" i="1"/>
  <c r="AW73" i="1"/>
  <c r="H73" i="1"/>
  <c r="H72" i="1" s="1"/>
  <c r="AW81" i="1"/>
  <c r="H81" i="1"/>
  <c r="AU84" i="1"/>
  <c r="AV86" i="1"/>
  <c r="AU97" i="1"/>
  <c r="AV100" i="1"/>
  <c r="AV103" i="1"/>
  <c r="AT104" i="1"/>
  <c r="AV106" i="1"/>
  <c r="AV117" i="1"/>
  <c r="AX122" i="1"/>
  <c r="I122" i="1"/>
  <c r="BH29" i="1"/>
  <c r="AB29" i="1" s="1"/>
  <c r="I37" i="1"/>
  <c r="I34" i="1" s="1"/>
  <c r="I40" i="1"/>
  <c r="I38" i="1" s="1"/>
  <c r="H41" i="1"/>
  <c r="H38" i="1" s="1"/>
  <c r="BI42" i="1"/>
  <c r="AC42" i="1" s="1"/>
  <c r="H44" i="1"/>
  <c r="H43" i="1" s="1"/>
  <c r="BI45" i="1"/>
  <c r="AC45" i="1" s="1"/>
  <c r="BH46" i="1"/>
  <c r="AB46" i="1" s="1"/>
  <c r="I57" i="1"/>
  <c r="H58" i="1"/>
  <c r="BI59" i="1"/>
  <c r="AC59" i="1" s="1"/>
  <c r="BH60" i="1"/>
  <c r="AB60" i="1" s="1"/>
  <c r="BC74" i="1"/>
  <c r="H79" i="1"/>
  <c r="AX81" i="1"/>
  <c r="I81" i="1"/>
  <c r="J84" i="1"/>
  <c r="AW85" i="1"/>
  <c r="H85" i="1"/>
  <c r="H84" i="1" s="1"/>
  <c r="BC90" i="1"/>
  <c r="AW98" i="1"/>
  <c r="H98" i="1"/>
  <c r="H97" i="1" s="1"/>
  <c r="AV109" i="1"/>
  <c r="AW123" i="1"/>
  <c r="H123" i="1"/>
  <c r="J34" i="1"/>
  <c r="I41" i="1"/>
  <c r="H42" i="1"/>
  <c r="I44" i="1"/>
  <c r="I43" i="1" s="1"/>
  <c r="H45" i="1"/>
  <c r="BI91" i="1"/>
  <c r="AC91" i="1" s="1"/>
  <c r="BC101" i="1"/>
  <c r="AV128" i="1"/>
  <c r="BC128" i="1"/>
  <c r="BI130" i="1"/>
  <c r="I45" i="4"/>
  <c r="BH76" i="1"/>
  <c r="AD76" i="1" s="1"/>
  <c r="C16" i="3" s="1"/>
  <c r="BH78" i="1"/>
  <c r="AD78" i="1" s="1"/>
  <c r="BI80" i="1"/>
  <c r="AC80" i="1" s="1"/>
  <c r="BC87" i="1"/>
  <c r="AV112" i="1"/>
  <c r="BC112" i="1"/>
  <c r="BH115" i="1"/>
  <c r="AV120" i="1"/>
  <c r="BC120" i="1"/>
  <c r="BI122" i="1"/>
  <c r="BH131" i="1"/>
  <c r="BC138" i="1"/>
  <c r="AX90" i="1"/>
  <c r="AV90" i="1" s="1"/>
  <c r="AW91" i="1"/>
  <c r="AX113" i="1"/>
  <c r="AV113" i="1" s="1"/>
  <c r="AW114" i="1"/>
  <c r="AX121" i="1"/>
  <c r="AV121" i="1" s="1"/>
  <c r="AW122" i="1"/>
  <c r="AX129" i="1"/>
  <c r="AV129" i="1" s="1"/>
  <c r="AW130" i="1"/>
  <c r="BH134" i="1"/>
  <c r="BH136" i="1"/>
  <c r="BH138" i="1"/>
  <c r="BI83" i="1"/>
  <c r="AC83" i="1" s="1"/>
  <c r="BI86" i="1"/>
  <c r="AC86" i="1" s="1"/>
  <c r="BH87" i="1"/>
  <c r="AB87" i="1" s="1"/>
  <c r="I92" i="1"/>
  <c r="H93" i="1"/>
  <c r="BI94" i="1"/>
  <c r="AC94" i="1" s="1"/>
  <c r="H96" i="1"/>
  <c r="H95" i="1" s="1"/>
  <c r="I98" i="1"/>
  <c r="I97" i="1" s="1"/>
  <c r="H99" i="1"/>
  <c r="BI100" i="1"/>
  <c r="AC100" i="1" s="1"/>
  <c r="BH101" i="1"/>
  <c r="AB101" i="1" s="1"/>
  <c r="BI103" i="1"/>
  <c r="H105" i="1"/>
  <c r="H104" i="1" s="1"/>
  <c r="BI106" i="1"/>
  <c r="BH107" i="1"/>
  <c r="BI109" i="1"/>
  <c r="BH110" i="1"/>
  <c r="I115" i="1"/>
  <c r="H116" i="1"/>
  <c r="BI117" i="1"/>
  <c r="BH118" i="1"/>
  <c r="I123" i="1"/>
  <c r="H124" i="1"/>
  <c r="BI125" i="1"/>
  <c r="BH126" i="1"/>
  <c r="I131" i="1"/>
  <c r="BI134" i="1"/>
  <c r="BI136" i="1"/>
  <c r="BI138" i="1"/>
  <c r="I27" i="4"/>
  <c r="AX92" i="1"/>
  <c r="AW93" i="1"/>
  <c r="AW96" i="1"/>
  <c r="AX98" i="1"/>
  <c r="AW99" i="1"/>
  <c r="AW105" i="1"/>
  <c r="AX115" i="1"/>
  <c r="AW116" i="1"/>
  <c r="AX123" i="1"/>
  <c r="AW124" i="1"/>
  <c r="AV125" i="1"/>
  <c r="AX131" i="1"/>
  <c r="AV134" i="1"/>
  <c r="AV136" i="1"/>
  <c r="AV138" i="1"/>
  <c r="BI127" i="1"/>
  <c r="BH128" i="1"/>
  <c r="AV88" i="1"/>
  <c r="AV111" i="1"/>
  <c r="AV119" i="1"/>
  <c r="BI90" i="1"/>
  <c r="AC90" i="1" s="1"/>
  <c r="BH91" i="1"/>
  <c r="AB91" i="1" s="1"/>
  <c r="BI113" i="1"/>
  <c r="BH114" i="1"/>
  <c r="BC111" i="5" l="1"/>
  <c r="I24" i="3"/>
  <c r="I24" i="16"/>
  <c r="I24" i="19"/>
  <c r="I24" i="13"/>
  <c r="I24" i="10"/>
  <c r="I24" i="7"/>
  <c r="J116" i="5"/>
  <c r="C22" i="7"/>
  <c r="C29" i="7"/>
  <c r="F29" i="7" s="1"/>
  <c r="I12" i="5"/>
  <c r="J12" i="17"/>
  <c r="J94" i="14"/>
  <c r="I28" i="19"/>
  <c r="I29" i="19" s="1"/>
  <c r="I12" i="14"/>
  <c r="F29" i="13"/>
  <c r="BC13" i="5"/>
  <c r="AV13" i="5"/>
  <c r="C14" i="19"/>
  <c r="C22" i="19" s="1"/>
  <c r="BC43" i="17"/>
  <c r="AV43" i="17"/>
  <c r="AV30" i="17"/>
  <c r="BC54" i="17"/>
  <c r="AV54" i="17"/>
  <c r="H45" i="17"/>
  <c r="H12" i="17" s="1"/>
  <c r="AV14" i="17"/>
  <c r="BC14" i="17"/>
  <c r="BC41" i="17"/>
  <c r="BC24" i="17"/>
  <c r="AV24" i="17"/>
  <c r="AV34" i="17"/>
  <c r="BC34" i="17"/>
  <c r="AV23" i="17"/>
  <c r="BC23" i="17"/>
  <c r="I12" i="17"/>
  <c r="J76" i="17"/>
  <c r="BC62" i="17"/>
  <c r="AV62" i="17"/>
  <c r="AV53" i="17"/>
  <c r="BC53" i="17"/>
  <c r="AV42" i="17"/>
  <c r="BC42" i="17"/>
  <c r="BC35" i="17"/>
  <c r="AV35" i="17"/>
  <c r="BC46" i="17"/>
  <c r="AV46" i="17"/>
  <c r="AV31" i="17"/>
  <c r="BC31" i="17"/>
  <c r="H38" i="14"/>
  <c r="AV48" i="14"/>
  <c r="BC50" i="14"/>
  <c r="AV27" i="14"/>
  <c r="BC27" i="14"/>
  <c r="BC83" i="14"/>
  <c r="AV83" i="14"/>
  <c r="AV67" i="14"/>
  <c r="AV73" i="14"/>
  <c r="BC37" i="14"/>
  <c r="AV37" i="14"/>
  <c r="C29" i="16"/>
  <c r="F29" i="16" s="1"/>
  <c r="BC68" i="14"/>
  <c r="AV68" i="14"/>
  <c r="AV82" i="14"/>
  <c r="AV24" i="14"/>
  <c r="BC24" i="14"/>
  <c r="BC85" i="14"/>
  <c r="AV85" i="14"/>
  <c r="BC40" i="14"/>
  <c r="AV40" i="14"/>
  <c r="AV64" i="14"/>
  <c r="J12" i="14"/>
  <c r="AV84" i="14"/>
  <c r="AV39" i="14"/>
  <c r="AV46" i="14"/>
  <c r="I56" i="14"/>
  <c r="I51" i="14" s="1"/>
  <c r="J87" i="14"/>
  <c r="AV30" i="14"/>
  <c r="BC30" i="14"/>
  <c r="AV70" i="14"/>
  <c r="H52" i="14"/>
  <c r="H51" i="14" s="1"/>
  <c r="BC14" i="14"/>
  <c r="AV14" i="14"/>
  <c r="BC28" i="14"/>
  <c r="AV28" i="14"/>
  <c r="BC53" i="14"/>
  <c r="AV53" i="14"/>
  <c r="H16" i="14"/>
  <c r="H12" i="14" s="1"/>
  <c r="C15" i="16"/>
  <c r="C22" i="16" s="1"/>
  <c r="BC241" i="11"/>
  <c r="AV241" i="11"/>
  <c r="BC94" i="11"/>
  <c r="AV94" i="11"/>
  <c r="H284" i="11"/>
  <c r="BC201" i="11"/>
  <c r="AV151" i="11"/>
  <c r="BC151" i="11"/>
  <c r="AV64" i="11"/>
  <c r="BC64" i="11"/>
  <c r="C15" i="13"/>
  <c r="AV379" i="11"/>
  <c r="AV375" i="11"/>
  <c r="BC375" i="11"/>
  <c r="BC423" i="11"/>
  <c r="AV423" i="11"/>
  <c r="BC341" i="11"/>
  <c r="AV341" i="11"/>
  <c r="BC318" i="11"/>
  <c r="AV318" i="11"/>
  <c r="BC349" i="11"/>
  <c r="AV349" i="11"/>
  <c r="BC309" i="11"/>
  <c r="AV309" i="11"/>
  <c r="AV327" i="11"/>
  <c r="BC327" i="11"/>
  <c r="I322" i="11"/>
  <c r="I284" i="11" s="1"/>
  <c r="BC210" i="11"/>
  <c r="AV210" i="11"/>
  <c r="H187" i="11"/>
  <c r="J169" i="11"/>
  <c r="BC290" i="11"/>
  <c r="AV290" i="11"/>
  <c r="AV230" i="11"/>
  <c r="BC230" i="11"/>
  <c r="BC131" i="11"/>
  <c r="BC128" i="11"/>
  <c r="BC173" i="11"/>
  <c r="AV173" i="11"/>
  <c r="AV120" i="11"/>
  <c r="AV63" i="11"/>
  <c r="BC91" i="11"/>
  <c r="AV91" i="11"/>
  <c r="AV142" i="11"/>
  <c r="BC142" i="11"/>
  <c r="AV222" i="11"/>
  <c r="BC41" i="11"/>
  <c r="BC404" i="11"/>
  <c r="AV404" i="11"/>
  <c r="AV398" i="11"/>
  <c r="BC398" i="11"/>
  <c r="BC246" i="11"/>
  <c r="AV246" i="11"/>
  <c r="BC141" i="11"/>
  <c r="AV141" i="11"/>
  <c r="BC376" i="11"/>
  <c r="AV376" i="11"/>
  <c r="BC372" i="11"/>
  <c r="AV372" i="11"/>
  <c r="BC415" i="11"/>
  <c r="AV415" i="11"/>
  <c r="AV418" i="11"/>
  <c r="BC418" i="11"/>
  <c r="AV425" i="11"/>
  <c r="AV343" i="11"/>
  <c r="AV383" i="11"/>
  <c r="BC383" i="11"/>
  <c r="BC323" i="11"/>
  <c r="BC271" i="11"/>
  <c r="AV271" i="11"/>
  <c r="BC245" i="11"/>
  <c r="AV245" i="11"/>
  <c r="BC377" i="11"/>
  <c r="AV377" i="11"/>
  <c r="AV218" i="11"/>
  <c r="BC218" i="11"/>
  <c r="BC195" i="11"/>
  <c r="AV195" i="11"/>
  <c r="I237" i="11"/>
  <c r="I231" i="11" s="1"/>
  <c r="BC147" i="11"/>
  <c r="AV147" i="11"/>
  <c r="H169" i="11"/>
  <c r="AV100" i="11"/>
  <c r="BC100" i="11"/>
  <c r="BC269" i="11"/>
  <c r="AV269" i="11"/>
  <c r="BC28" i="11"/>
  <c r="AV28" i="11"/>
  <c r="J176" i="11"/>
  <c r="I140" i="11"/>
  <c r="BC135" i="11"/>
  <c r="AV135" i="11"/>
  <c r="AV76" i="11"/>
  <c r="BC76" i="11"/>
  <c r="C14" i="13"/>
  <c r="BC270" i="11"/>
  <c r="AV270" i="11"/>
  <c r="AV105" i="11"/>
  <c r="BC105" i="11"/>
  <c r="AV392" i="11"/>
  <c r="BC392" i="11"/>
  <c r="BC326" i="11"/>
  <c r="I334" i="11"/>
  <c r="I207" i="11"/>
  <c r="I176" i="11" s="1"/>
  <c r="BC411" i="11"/>
  <c r="AV212" i="11"/>
  <c r="BC212" i="11"/>
  <c r="BC130" i="11"/>
  <c r="AV130" i="11"/>
  <c r="BC385" i="11"/>
  <c r="H358" i="11"/>
  <c r="H357" i="11" s="1"/>
  <c r="BC369" i="11"/>
  <c r="I350" i="11"/>
  <c r="BC406" i="11"/>
  <c r="AV406" i="11"/>
  <c r="AV356" i="11"/>
  <c r="AV363" i="11"/>
  <c r="BC289" i="11"/>
  <c r="AV199" i="11"/>
  <c r="BC199" i="11"/>
  <c r="AV228" i="11"/>
  <c r="BC228" i="11"/>
  <c r="AV344" i="11"/>
  <c r="BC344" i="11"/>
  <c r="AV238" i="11"/>
  <c r="BC238" i="11"/>
  <c r="BC171" i="11"/>
  <c r="AV171" i="11"/>
  <c r="BC98" i="11"/>
  <c r="BC84" i="11"/>
  <c r="AV84" i="11"/>
  <c r="BC134" i="11"/>
  <c r="I28" i="13"/>
  <c r="BC138" i="11"/>
  <c r="AV138" i="11"/>
  <c r="AV123" i="11"/>
  <c r="I12" i="11"/>
  <c r="BC150" i="11"/>
  <c r="AV150" i="11"/>
  <c r="AV139" i="11"/>
  <c r="BC139" i="11"/>
  <c r="AV365" i="11"/>
  <c r="BC365" i="11"/>
  <c r="BC303" i="11"/>
  <c r="AV368" i="11"/>
  <c r="BC368" i="11"/>
  <c r="AV360" i="11"/>
  <c r="H215" i="11"/>
  <c r="H224" i="11"/>
  <c r="H177" i="11"/>
  <c r="J231" i="11"/>
  <c r="AV99" i="11"/>
  <c r="BC99" i="11"/>
  <c r="I136" i="11"/>
  <c r="AV112" i="11"/>
  <c r="BC112" i="11"/>
  <c r="I158" i="11"/>
  <c r="H108" i="11"/>
  <c r="H85" i="11" s="1"/>
  <c r="AV111" i="11"/>
  <c r="BC111" i="11"/>
  <c r="AV82" i="11"/>
  <c r="BC82" i="11"/>
  <c r="AV67" i="11"/>
  <c r="BC67" i="11"/>
  <c r="BC133" i="11"/>
  <c r="AV133" i="11"/>
  <c r="AV69" i="11"/>
  <c r="H59" i="11"/>
  <c r="H49" i="11" s="1"/>
  <c r="AV336" i="11"/>
  <c r="BC336" i="11"/>
  <c r="AV333" i="11"/>
  <c r="BC333" i="11"/>
  <c r="AV103" i="11"/>
  <c r="BC103" i="11"/>
  <c r="BC316" i="11"/>
  <c r="AV316" i="11"/>
  <c r="AV386" i="11"/>
  <c r="BC386" i="11"/>
  <c r="BC409" i="11"/>
  <c r="AV409" i="11"/>
  <c r="H322" i="11"/>
  <c r="BC305" i="11"/>
  <c r="AV305" i="11"/>
  <c r="AV354" i="11"/>
  <c r="BC324" i="11"/>
  <c r="AV324" i="11"/>
  <c r="BC298" i="11"/>
  <c r="AV226" i="11"/>
  <c r="BC226" i="11"/>
  <c r="BC258" i="11"/>
  <c r="AV258" i="11"/>
  <c r="H207" i="11"/>
  <c r="BC144" i="11"/>
  <c r="AV144" i="11"/>
  <c r="AV80" i="11"/>
  <c r="BC80" i="11"/>
  <c r="J114" i="11"/>
  <c r="BC60" i="11"/>
  <c r="AV60" i="11"/>
  <c r="BC38" i="11"/>
  <c r="BC175" i="11"/>
  <c r="AV175" i="11"/>
  <c r="I121" i="11"/>
  <c r="BC405" i="11"/>
  <c r="AV405" i="11"/>
  <c r="AV395" i="11"/>
  <c r="BC395" i="11"/>
  <c r="I412" i="11"/>
  <c r="I357" i="11" s="1"/>
  <c r="BC361" i="11"/>
  <c r="AV361" i="11"/>
  <c r="AV401" i="11"/>
  <c r="BC401" i="11"/>
  <c r="H334" i="11"/>
  <c r="BC313" i="11"/>
  <c r="AV313" i="11"/>
  <c r="BC321" i="11"/>
  <c r="AV321" i="11"/>
  <c r="AV217" i="11"/>
  <c r="BC217" i="11"/>
  <c r="J277" i="11"/>
  <c r="H196" i="11"/>
  <c r="AV251" i="11"/>
  <c r="BC251" i="11"/>
  <c r="AV211" i="11"/>
  <c r="BC211" i="11"/>
  <c r="BC283" i="11"/>
  <c r="AV283" i="11"/>
  <c r="AV214" i="11"/>
  <c r="BC214" i="11"/>
  <c r="H140" i="11"/>
  <c r="H121" i="11" s="1"/>
  <c r="I85" i="11"/>
  <c r="BC27" i="11"/>
  <c r="AV27" i="11"/>
  <c r="C22" i="10"/>
  <c r="AV104" i="8"/>
  <c r="BC104" i="8"/>
  <c r="H72" i="8"/>
  <c r="BC54" i="8"/>
  <c r="AV54" i="8"/>
  <c r="H49" i="8"/>
  <c r="AV33" i="8"/>
  <c r="BC33" i="8"/>
  <c r="BC57" i="8"/>
  <c r="BC86" i="8"/>
  <c r="AV86" i="8"/>
  <c r="AV92" i="8"/>
  <c r="BC55" i="8"/>
  <c r="AV55" i="8"/>
  <c r="BC89" i="8"/>
  <c r="AV89" i="8"/>
  <c r="AV93" i="8"/>
  <c r="BC93" i="8"/>
  <c r="BC37" i="8"/>
  <c r="AV37" i="8"/>
  <c r="AV124" i="8"/>
  <c r="BC124" i="8"/>
  <c r="I72" i="8"/>
  <c r="BC108" i="8"/>
  <c r="AV108" i="8"/>
  <c r="I87" i="8"/>
  <c r="AV30" i="8"/>
  <c r="BC30" i="8"/>
  <c r="BC52" i="8"/>
  <c r="AV53" i="8"/>
  <c r="BC53" i="8"/>
  <c r="AV95" i="8"/>
  <c r="AV111" i="8"/>
  <c r="BC34" i="8"/>
  <c r="AV34" i="8"/>
  <c r="BC38" i="8"/>
  <c r="AV38" i="8"/>
  <c r="BC77" i="8"/>
  <c r="AV77" i="8"/>
  <c r="AV80" i="8"/>
  <c r="AV107" i="8"/>
  <c r="BC14" i="8"/>
  <c r="AV14" i="8"/>
  <c r="BC100" i="8"/>
  <c r="AV100" i="8"/>
  <c r="AV36" i="8"/>
  <c r="BC36" i="8"/>
  <c r="BC32" i="8"/>
  <c r="AV112" i="8"/>
  <c r="BC112" i="8"/>
  <c r="BC116" i="8"/>
  <c r="AV116" i="8"/>
  <c r="AV70" i="8"/>
  <c r="BC70" i="8"/>
  <c r="AV96" i="8"/>
  <c r="BC96" i="8"/>
  <c r="AV76" i="8"/>
  <c r="J125" i="8"/>
  <c r="BC41" i="8"/>
  <c r="AV41" i="8"/>
  <c r="H40" i="8"/>
  <c r="I35" i="8"/>
  <c r="C29" i="10"/>
  <c r="F29" i="10" s="1"/>
  <c r="AV73" i="8"/>
  <c r="BC73" i="8"/>
  <c r="AV13" i="8"/>
  <c r="BC13" i="8"/>
  <c r="BC67" i="5"/>
  <c r="AV67" i="5"/>
  <c r="AV82" i="5"/>
  <c r="BC82" i="5"/>
  <c r="BC89" i="5"/>
  <c r="BC66" i="5"/>
  <c r="BC50" i="5"/>
  <c r="AV50" i="5"/>
  <c r="AV93" i="5"/>
  <c r="BC93" i="5"/>
  <c r="AV69" i="5"/>
  <c r="AV97" i="5"/>
  <c r="AV51" i="5"/>
  <c r="BC51" i="5"/>
  <c r="BC57" i="5"/>
  <c r="AV79" i="5"/>
  <c r="BC79" i="5"/>
  <c r="H84" i="5"/>
  <c r="H75" i="5"/>
  <c r="AV52" i="5"/>
  <c r="BC52" i="5"/>
  <c r="AV101" i="5"/>
  <c r="BC101" i="5"/>
  <c r="AV85" i="5"/>
  <c r="BC85" i="5"/>
  <c r="AV100" i="5"/>
  <c r="AV76" i="5"/>
  <c r="BC76" i="5"/>
  <c r="I48" i="5"/>
  <c r="BC106" i="5"/>
  <c r="AV106" i="5"/>
  <c r="I38" i="5"/>
  <c r="I80" i="5"/>
  <c r="H109" i="5"/>
  <c r="H29" i="5"/>
  <c r="AV70" i="5"/>
  <c r="BC70" i="5"/>
  <c r="BC98" i="1"/>
  <c r="AV98" i="1"/>
  <c r="AV60" i="1"/>
  <c r="BC60" i="1"/>
  <c r="BC20" i="1"/>
  <c r="AV20" i="1"/>
  <c r="C14" i="3"/>
  <c r="C22" i="3" s="1"/>
  <c r="BC13" i="1"/>
  <c r="BC121" i="1"/>
  <c r="AV114" i="1"/>
  <c r="BC114" i="1"/>
  <c r="BC124" i="1"/>
  <c r="AV124" i="1"/>
  <c r="BC93" i="1"/>
  <c r="AV93" i="1"/>
  <c r="AV81" i="1"/>
  <c r="BC81" i="1"/>
  <c r="BC53" i="1"/>
  <c r="AV53" i="1"/>
  <c r="AV46" i="1"/>
  <c r="BC46" i="1"/>
  <c r="I28" i="3"/>
  <c r="I29" i="3" s="1"/>
  <c r="I12" i="1"/>
  <c r="BC92" i="1"/>
  <c r="AV92" i="1"/>
  <c r="BC61" i="1"/>
  <c r="AV61" i="1"/>
  <c r="AV29" i="1"/>
  <c r="BC29" i="1"/>
  <c r="BC115" i="1"/>
  <c r="AV115" i="1"/>
  <c r="BC82" i="1"/>
  <c r="AV82" i="1"/>
  <c r="BC59" i="1"/>
  <c r="BC85" i="1"/>
  <c r="AV85" i="1"/>
  <c r="BC73" i="1"/>
  <c r="AV73" i="1"/>
  <c r="BC113" i="1"/>
  <c r="BC47" i="1"/>
  <c r="AV47" i="1"/>
  <c r="BC27" i="1"/>
  <c r="AV27" i="1"/>
  <c r="BC96" i="1"/>
  <c r="AV96" i="1"/>
  <c r="AV130" i="1"/>
  <c r="BC130" i="1"/>
  <c r="BC123" i="1"/>
  <c r="AV123" i="1"/>
  <c r="BC80" i="1"/>
  <c r="BC50" i="1"/>
  <c r="AV50" i="1"/>
  <c r="BC116" i="1"/>
  <c r="AV116" i="1"/>
  <c r="BC105" i="1"/>
  <c r="AV105" i="1"/>
  <c r="BC131" i="1"/>
  <c r="AV131" i="1"/>
  <c r="AV78" i="1"/>
  <c r="BC78" i="1"/>
  <c r="BC67" i="1"/>
  <c r="AV67" i="1"/>
  <c r="BC30" i="1"/>
  <c r="AV30" i="1"/>
  <c r="H52" i="1"/>
  <c r="AV14" i="1"/>
  <c r="BC76" i="1"/>
  <c r="AV76" i="1"/>
  <c r="AV91" i="1"/>
  <c r="BC91" i="1"/>
  <c r="BC99" i="1"/>
  <c r="AV99" i="1"/>
  <c r="AV122" i="1"/>
  <c r="BC122" i="1"/>
  <c r="BC64" i="1"/>
  <c r="AV64" i="1"/>
  <c r="J139" i="1"/>
  <c r="I26" i="1"/>
  <c r="AV23" i="1"/>
  <c r="BC23" i="1"/>
  <c r="I28" i="7" l="1"/>
  <c r="I29" i="7" s="1"/>
  <c r="C29" i="20"/>
  <c r="F29" i="20"/>
  <c r="I29" i="13"/>
  <c r="C22" i="13"/>
  <c r="I28" i="16"/>
  <c r="I29" i="16" s="1"/>
  <c r="H176" i="11"/>
  <c r="I28" i="10"/>
  <c r="I29" i="10" s="1"/>
  <c r="I29" i="20" l="1"/>
  <c r="I28" i="20"/>
</calcChain>
</file>

<file path=xl/sharedStrings.xml><?xml version="1.0" encoding="utf-8"?>
<sst xmlns="http://schemas.openxmlformats.org/spreadsheetml/2006/main" count="14875" uniqueCount="1423">
  <si>
    <t>Slepý stavební rozpočet</t>
  </si>
  <si>
    <t>Název stavby:</t>
  </si>
  <si>
    <t>NEDRAŽICE - CHODNÍKY A ÚPRAVY VNITŘNÍCH PROSTOR OBCE</t>
  </si>
  <si>
    <t>Doba výstavby:</t>
  </si>
  <si>
    <t>214 dní</t>
  </si>
  <si>
    <t>Objednatel:</t>
  </si>
  <si>
    <t>Obec Kostelec, Kostelec 34, 349 01 Stříbro</t>
  </si>
  <si>
    <t>Druh stavby:</t>
  </si>
  <si>
    <t>Začátek výstavby:</t>
  </si>
  <si>
    <t xml:space="preserve"> </t>
  </si>
  <si>
    <t>Projektant:</t>
  </si>
  <si>
    <t>ing. Rudolf Moses, Zárečná 1521, 347 01 Tachov</t>
  </si>
  <si>
    <t>Lokalita:</t>
  </si>
  <si>
    <t>Nedražice</t>
  </si>
  <si>
    <t>Konec výstavby:</t>
  </si>
  <si>
    <t>31.10.2025</t>
  </si>
  <si>
    <t>Zhotovitel:</t>
  </si>
  <si>
    <t>dle výběr. řízení</t>
  </si>
  <si>
    <t>JKSO:</t>
  </si>
  <si>
    <t>8222931</t>
  </si>
  <si>
    <t>Zpracováno dne:</t>
  </si>
  <si>
    <t>21.10.2024</t>
  </si>
  <si>
    <t>Zpracoval:</t>
  </si>
  <si>
    <t>Ing. Moses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</si>
  <si>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</si>
  <si>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</si>
  <si>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</si>
  <si>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</si>
  <si>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</si>
  <si>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</si>
  <si>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</si>
  <si>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</si>
  <si>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</si>
  <si>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</si>
  <si>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</si>
  <si>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</si>
  <si>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</si>
  <si>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</si>
  <si>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</si>
  <si>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</si>
  <si>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</si>
  <si>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</si>
  <si>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</si>
  <si>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</si>
  <si>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</si>
  <si>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</si>
  <si>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</si>
  <si>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</si>
  <si>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</si>
  <si>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</si>
  <si>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</si>
  <si>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</si>
  <si>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</si>
  <si>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</si>
  <si>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11</t>
  </si>
  <si>
    <t>Přípravné a přidružené práce</t>
  </si>
  <si>
    <t>1</t>
  </si>
  <si>
    <t>113107620R00</t>
  </si>
  <si>
    <t>Odstranění podkladu nad 50 m2,kam.drcené tl.20 cm</t>
  </si>
  <si>
    <t>m2</t>
  </si>
  <si>
    <t>RTS I / 2024</t>
  </si>
  <si>
    <t>11_</t>
  </si>
  <si>
    <t>1_</t>
  </si>
  <si>
    <t>_</t>
  </si>
  <si>
    <t>2</t>
  </si>
  <si>
    <t>113202111R00</t>
  </si>
  <si>
    <t>Vytrhání obrub z krajníků nebo obrubníků stojatých, palisády</t>
  </si>
  <si>
    <t>m</t>
  </si>
  <si>
    <t>3</t>
  </si>
  <si>
    <t>113106231R00</t>
  </si>
  <si>
    <t>Rozebrání dlažeb ze zámkové dlažby v kamenivu</t>
  </si>
  <si>
    <t>4</t>
  </si>
  <si>
    <t>113151111R00</t>
  </si>
  <si>
    <t>Rozebrání ploch ze silničních panelů</t>
  </si>
  <si>
    <t>12</t>
  </si>
  <si>
    <t>Odkopávky a prokopávky</t>
  </si>
  <si>
    <t>5</t>
  </si>
  <si>
    <t>121101101R00</t>
  </si>
  <si>
    <t>Sejmutí ornice s přemístěním do 50 m</t>
  </si>
  <si>
    <t>m3</t>
  </si>
  <si>
    <t>12_</t>
  </si>
  <si>
    <t>6</t>
  </si>
  <si>
    <t>122202209R00</t>
  </si>
  <si>
    <t>Příplatek za lepivost - odkop. pro silnice v hor.3</t>
  </si>
  <si>
    <t>7</t>
  </si>
  <si>
    <t>122201102R00</t>
  </si>
  <si>
    <t>Odkopávky nezap. v hor. 3,4 do 1000 m3 - zahrnuje všechny ZP mimo ornice</t>
  </si>
  <si>
    <t>8</t>
  </si>
  <si>
    <t>120901121R00</t>
  </si>
  <si>
    <t>Bourání konstrukcí z prostého betonu</t>
  </si>
  <si>
    <t>9</t>
  </si>
  <si>
    <t>120901103R00</t>
  </si>
  <si>
    <t>Bourání konstrukcí cihelných na maltu cementovou</t>
  </si>
  <si>
    <t>10</t>
  </si>
  <si>
    <t>120901122R00</t>
  </si>
  <si>
    <t>Bourání konstrukcí z betonu prokládaného kamenem</t>
  </si>
  <si>
    <t>13</t>
  </si>
  <si>
    <t>Hloubené vykopávky</t>
  </si>
  <si>
    <t>130001101R00</t>
  </si>
  <si>
    <t>Příplatek za ztížené hloubení v blízkosti vedení</t>
  </si>
  <si>
    <t>13_</t>
  </si>
  <si>
    <t>16</t>
  </si>
  <si>
    <t>Přemístění výkopku</t>
  </si>
  <si>
    <t>162306111R00</t>
  </si>
  <si>
    <t>Vodorovné přem. zemin pro zúrodnění do 500 m - přebytečná ornice mimo stavbu</t>
  </si>
  <si>
    <t>16_</t>
  </si>
  <si>
    <t>167101102R00</t>
  </si>
  <si>
    <t>Nakládání výkopku z hor.1-4 v množství nad 100 m3 - přebytečná zemina</t>
  </si>
  <si>
    <t>14</t>
  </si>
  <si>
    <t>167103101R00</t>
  </si>
  <si>
    <t>Nakládání výkopku zeminy schopné zúrodnění - ornice mimo stavbu</t>
  </si>
  <si>
    <t>15</t>
  </si>
  <si>
    <t>162201102R00</t>
  </si>
  <si>
    <t>Vodorovné přemístění výkopku z hor.1-4 do 50 m - pro násyp</t>
  </si>
  <si>
    <t>162701105R00</t>
  </si>
  <si>
    <t>Vodorovné přemístění výkopku z hor.1-4 do 10000 m - přebytečná zemina</t>
  </si>
  <si>
    <t>17</t>
  </si>
  <si>
    <t>162701109R00</t>
  </si>
  <si>
    <t>Příplatek k vod. přemístění hor.1-4 za další 1 km</t>
  </si>
  <si>
    <t>18</t>
  </si>
  <si>
    <t>199000005R00</t>
  </si>
  <si>
    <t>Poplatek za skládku zeminy, č. dle katal. odpadů 17 05 04 - Skviřín</t>
  </si>
  <si>
    <t>t</t>
  </si>
  <si>
    <t>Konstrukce ze zemin</t>
  </si>
  <si>
    <t>19</t>
  </si>
  <si>
    <t>171201101R00</t>
  </si>
  <si>
    <t>Uložení sypaniny do násypů nezhutněných - přebytečná ornice</t>
  </si>
  <si>
    <t>17_</t>
  </si>
  <si>
    <t>20</t>
  </si>
  <si>
    <t>174101101R00</t>
  </si>
  <si>
    <t>Zásyp jam, rýh, šachet se zhutněním</t>
  </si>
  <si>
    <t>21</t>
  </si>
  <si>
    <t>171101103R00</t>
  </si>
  <si>
    <t>Uložení sypaniny do násypů zhut. na 100% PS - násyp pod zpev.plochami</t>
  </si>
  <si>
    <t>Povrchové úpravy terénu</t>
  </si>
  <si>
    <t>22</t>
  </si>
  <si>
    <t>181101102R00</t>
  </si>
  <si>
    <t>Úprava pláně v zářezech a násypech v hor. 1-4, se zhutněním</t>
  </si>
  <si>
    <t>18_</t>
  </si>
  <si>
    <t>23</t>
  </si>
  <si>
    <t>180401211R00</t>
  </si>
  <si>
    <t>Založení trávníku lučního výsevem v rovině</t>
  </si>
  <si>
    <t>24</t>
  </si>
  <si>
    <t>182001111R00</t>
  </si>
  <si>
    <t>Plošná úprava terénu, nerovnosti do 10 cm v rovině</t>
  </si>
  <si>
    <t>25</t>
  </si>
  <si>
    <t>181301111R00</t>
  </si>
  <si>
    <t>Rozprostření ornice, rovina, tl.do 10 cm,nad 500m2</t>
  </si>
  <si>
    <t>33</t>
  </si>
  <si>
    <t>Sloupy a pilíře, stožáry a rámové stojky</t>
  </si>
  <si>
    <t>26</t>
  </si>
  <si>
    <t>338920023R00</t>
  </si>
  <si>
    <t>Osazení betonové palisády, š. do 20 cm, dl. 100 cm</t>
  </si>
  <si>
    <t>33_</t>
  </si>
  <si>
    <t>3_</t>
  </si>
  <si>
    <t>27</t>
  </si>
  <si>
    <t>338920024R00</t>
  </si>
  <si>
    <t>Osazení betonové palisády, š. do 20 cm, dl. 150 cm</t>
  </si>
  <si>
    <t>28</t>
  </si>
  <si>
    <t>338920025R00</t>
  </si>
  <si>
    <t>Osazení betonové palisády, š. do 20 cm, dl. 200 cm</t>
  </si>
  <si>
    <t>29</t>
  </si>
  <si>
    <t>338171122R00</t>
  </si>
  <si>
    <t>Osazení sloupků plot.ocel. do 2,6 m, zabet.C 25/30 - posun plotu</t>
  </si>
  <si>
    <t>kus</t>
  </si>
  <si>
    <t>30</t>
  </si>
  <si>
    <t>Osazení sloupků ocel. do 2,6 m, zabet.C 25/30 -SDZ, zrcadlo</t>
  </si>
  <si>
    <t>45</t>
  </si>
  <si>
    <t>Podkladní a vedlejší konstrukce (kromě vozovek a železničního svršku)</t>
  </si>
  <si>
    <t>31</t>
  </si>
  <si>
    <t>451561112R00</t>
  </si>
  <si>
    <t>Lože z kam. drobného drceného tl. do 15 cm - obrubníky</t>
  </si>
  <si>
    <t>45_</t>
  </si>
  <si>
    <t>4_</t>
  </si>
  <si>
    <t>32</t>
  </si>
  <si>
    <t>452311141R00</t>
  </si>
  <si>
    <t>Desky podkladní pod potrubí z betonu C 16/20 - kasselský obr.+štěrb. trouby</t>
  </si>
  <si>
    <t>56</t>
  </si>
  <si>
    <t>Podkladní vrstvy komunikací a zpevněných ploch</t>
  </si>
  <si>
    <t>564811111R00</t>
  </si>
  <si>
    <t>Podklad z kam. 8/16 po zhut. tl. 5 cm -pod ZD 60 a 80mm</t>
  </si>
  <si>
    <t>56_</t>
  </si>
  <si>
    <t>5_</t>
  </si>
  <si>
    <t>34</t>
  </si>
  <si>
    <t>564761111R00</t>
  </si>
  <si>
    <t>Podklad z kam. drc. 32-63 mm,tl. 20 cm -pod ZD 80mm</t>
  </si>
  <si>
    <t>35</t>
  </si>
  <si>
    <t>564831111R00</t>
  </si>
  <si>
    <t>Podklad ze ŠD 0/63 po zhut. tl. 10 cm -pláň pod ZD 80mm</t>
  </si>
  <si>
    <t>36</t>
  </si>
  <si>
    <t>Podklad z kam. 16/32 po zhut. tl. 10 cm -pod ZD 80mm</t>
  </si>
  <si>
    <t>37</t>
  </si>
  <si>
    <t>564861111R00</t>
  </si>
  <si>
    <t>Podklad z kam. 16/32 po zhut. tl. 20 cm -pod ZD 60mm</t>
  </si>
  <si>
    <t>38</t>
  </si>
  <si>
    <t>569851111R00</t>
  </si>
  <si>
    <t>Zpevnění krajnic štěrkodrtí tloušťky  15 cm</t>
  </si>
  <si>
    <t>39</t>
  </si>
  <si>
    <t>Podklad z kam. drc. 32-63 mm,tl. 20 cm -pod živičné plochy</t>
  </si>
  <si>
    <t>40</t>
  </si>
  <si>
    <t>Podklad ze ŠD 0/32 po zhut. tl. 10 cm -pod živičné plochy</t>
  </si>
  <si>
    <t>41</t>
  </si>
  <si>
    <t>Podklad ze ŠD 0/63 po zhut. tl. 10 cm -pláň pod živičné plochy</t>
  </si>
  <si>
    <t>42</t>
  </si>
  <si>
    <t>565131111R00</t>
  </si>
  <si>
    <t>Podklad z obal kamen. ACP 16+, š. do 3 m, tl. 5 cm - pod asfaltobeton nové kce</t>
  </si>
  <si>
    <t>57</t>
  </si>
  <si>
    <t>Kryty štěrkových a živičných pozemních komunikací a zpevněných ploch</t>
  </si>
  <si>
    <t>43</t>
  </si>
  <si>
    <t>577142212R00</t>
  </si>
  <si>
    <t>Beton asfalt. ACO 8,ACO 11+, nad 3 m, 5 cm</t>
  </si>
  <si>
    <t>57_</t>
  </si>
  <si>
    <t>44</t>
  </si>
  <si>
    <t>577152123R00</t>
  </si>
  <si>
    <t>Beton asfalt. ACL 16+ (ABL I) ložný, nad 3 m, 6 cm</t>
  </si>
  <si>
    <t>59</t>
  </si>
  <si>
    <t>Dlažby a předlažby pozemních komunikací a zpevněných ploch</t>
  </si>
  <si>
    <t>596215020R00</t>
  </si>
  <si>
    <t>Kladení zámkové dlažby tl. 6 cm do drtě tl. 3 cm - plochy jen pocházené</t>
  </si>
  <si>
    <t>59_</t>
  </si>
  <si>
    <t>46</t>
  </si>
  <si>
    <t>596215040R00</t>
  </si>
  <si>
    <t>Kladení zámkové dlažby tl. 8 cm do drtě tl. 4 cm - plochy pocházené a pojížděné</t>
  </si>
  <si>
    <t>47</t>
  </si>
  <si>
    <t>597091111R00</t>
  </si>
  <si>
    <t>Žlab odvodňovací ACO DRAIN N100 dl. 1000 mm - kpl kromě roštu</t>
  </si>
  <si>
    <t>48</t>
  </si>
  <si>
    <t>597091112R00</t>
  </si>
  <si>
    <t>Žlab odvodňovací ACO Drain N 100 dl. 500 mm - kpl kromě roštu</t>
  </si>
  <si>
    <t>49</t>
  </si>
  <si>
    <t>597091153R00</t>
  </si>
  <si>
    <t>Krycí rošt ACO DRAIN N100 zatížení C 250 dl.500 mm</t>
  </si>
  <si>
    <t>63</t>
  </si>
  <si>
    <t>Podlahy a podlahové konstrukce</t>
  </si>
  <si>
    <t>50</t>
  </si>
  <si>
    <t>630900030RA0</t>
  </si>
  <si>
    <t>Vybourání dlažby a podkladního betonu -žlabovky</t>
  </si>
  <si>
    <t>63_</t>
  </si>
  <si>
    <t>6_</t>
  </si>
  <si>
    <t>51</t>
  </si>
  <si>
    <t>631313711R00</t>
  </si>
  <si>
    <t>Mazanina betonová tl. 8 - 12 cm C 25/30  (B 30) - výšková úprava čel propustku</t>
  </si>
  <si>
    <t>762</t>
  </si>
  <si>
    <t>Konstrukce tesařské</t>
  </si>
  <si>
    <t>52</t>
  </si>
  <si>
    <t>762222141R00</t>
  </si>
  <si>
    <t>Montáž zábradlí rovného, sloupky osově do 1,5 m</t>
  </si>
  <si>
    <t>762_</t>
  </si>
  <si>
    <t>76_</t>
  </si>
  <si>
    <t>767</t>
  </si>
  <si>
    <t>Konstrukce doplňkové stavební (zámečnické)</t>
  </si>
  <si>
    <t>53</t>
  </si>
  <si>
    <t>767911120R00</t>
  </si>
  <si>
    <t>Montáž oplocení strojového pletiva H do 1,6 m - přeložka plotů</t>
  </si>
  <si>
    <t>767_</t>
  </si>
  <si>
    <t>89</t>
  </si>
  <si>
    <t>Ostatní konstrukce a práce na trubním vedení</t>
  </si>
  <si>
    <t>54</t>
  </si>
  <si>
    <t>899331111R00</t>
  </si>
  <si>
    <t>Výšková úprava vstupu do 20 cm, zvýšení poklopu</t>
  </si>
  <si>
    <t>89_</t>
  </si>
  <si>
    <t>8_</t>
  </si>
  <si>
    <t>55</t>
  </si>
  <si>
    <t>895941311RT2</t>
  </si>
  <si>
    <t>Zřízení vpusti uliční z dílců typ UVB - 50 - včetně dodávky</t>
  </si>
  <si>
    <t>899203111RT3</t>
  </si>
  <si>
    <t>Osazení mříží litinových s rámem do 150kg -  včetně dodávky</t>
  </si>
  <si>
    <t>899431111R00</t>
  </si>
  <si>
    <t>Výšková úprava do 20 cm, zvýšení krytu šoupěte</t>
  </si>
  <si>
    <t>91</t>
  </si>
  <si>
    <t>Doplňující konstrukce a práce na pozemních komunikacích a zpevněných plochách</t>
  </si>
  <si>
    <t>58</t>
  </si>
  <si>
    <t>917862111R00</t>
  </si>
  <si>
    <t>Osazení stojat. obrub. bet. s opěrou,lože z B 15 - silniční</t>
  </si>
  <si>
    <t>91_</t>
  </si>
  <si>
    <t>9_</t>
  </si>
  <si>
    <t>Osazení stojat. obrub. bet. s opěrou,lože z B 15 - parkový</t>
  </si>
  <si>
    <t>60</t>
  </si>
  <si>
    <t>918101111R00</t>
  </si>
  <si>
    <t>Lože pod obrubníky a obruby dlažeb z B 15 - obrubníky silniční i parkové</t>
  </si>
  <si>
    <t>61</t>
  </si>
  <si>
    <t>914001111R00</t>
  </si>
  <si>
    <t>Montáž SDZ na sloupky</t>
  </si>
  <si>
    <t>62</t>
  </si>
  <si>
    <t>915791111R00</t>
  </si>
  <si>
    <t>Vytýčení podzemního vedení</t>
  </si>
  <si>
    <t>Předznačení pro značení dělící čáry,vodící proužky</t>
  </si>
  <si>
    <t>64</t>
  </si>
  <si>
    <t>915791112R00</t>
  </si>
  <si>
    <t>Předznačení pro značení stopčáry, zebry, nápisů</t>
  </si>
  <si>
    <t>65</t>
  </si>
  <si>
    <t>915711121R00</t>
  </si>
  <si>
    <t>Vodor.značení dělicích čar 12 cm plastem,nehlučné</t>
  </si>
  <si>
    <t>66</t>
  </si>
  <si>
    <t>915712121R00</t>
  </si>
  <si>
    <t>Vodor.značení vodicích čar 25 cm plastem,nehlučné</t>
  </si>
  <si>
    <t>67</t>
  </si>
  <si>
    <t>915721121R00</t>
  </si>
  <si>
    <t>Vodorovné značení stopčar,zeber atd.plastem,nehluč</t>
  </si>
  <si>
    <t>93</t>
  </si>
  <si>
    <t>Různé dokončovací konstrukce a práce inženýrských staveb</t>
  </si>
  <si>
    <t>68</t>
  </si>
  <si>
    <t>933903021R00</t>
  </si>
  <si>
    <t>Zatěž. zkoušky pláně statické</t>
  </si>
  <si>
    <t>93_</t>
  </si>
  <si>
    <t>96</t>
  </si>
  <si>
    <t>Bourání konstrukcí</t>
  </si>
  <si>
    <t>69</t>
  </si>
  <si>
    <t>966005211R00</t>
  </si>
  <si>
    <t>Rozebrání silnič. zábradlí, sloupky do říms/desek</t>
  </si>
  <si>
    <t>96_</t>
  </si>
  <si>
    <t>70</t>
  </si>
  <si>
    <t>966067111R00</t>
  </si>
  <si>
    <t>Rozebrání plotu tyč. lať. prken. drátěného, plech.</t>
  </si>
  <si>
    <t>71</t>
  </si>
  <si>
    <t>966641111R00</t>
  </si>
  <si>
    <t>Odstranění dopravního zrcadla vč. sloupku</t>
  </si>
  <si>
    <t>72</t>
  </si>
  <si>
    <t>966006132R00</t>
  </si>
  <si>
    <t>Odstranění doprav.značek se sloupky, s bet.patkami</t>
  </si>
  <si>
    <t>H22</t>
  </si>
  <si>
    <t>Komunikace pozemní a letiště</t>
  </si>
  <si>
    <t>73</t>
  </si>
  <si>
    <t>998223011R00</t>
  </si>
  <si>
    <t>Přesun hmot, pozemní komunikace, kryt dlážděný</t>
  </si>
  <si>
    <t>H22_</t>
  </si>
  <si>
    <t>S</t>
  </si>
  <si>
    <t>Přesuny sutí</t>
  </si>
  <si>
    <t>74</t>
  </si>
  <si>
    <t>979083117R00</t>
  </si>
  <si>
    <t>Vodorovné přem. suti na skládku do 6000 m - recyklace Stříbro</t>
  </si>
  <si>
    <t>S_</t>
  </si>
  <si>
    <t>75</t>
  </si>
  <si>
    <t>979083191R00</t>
  </si>
  <si>
    <t>Příplatek za dalších započatých 1000 m nad 6000 m</t>
  </si>
  <si>
    <t>76</t>
  </si>
  <si>
    <t>979999987R00</t>
  </si>
  <si>
    <t>Poplatek za recyklaci směsi suti betonu, cihel, tašek a ker.výrobků, kusovost nad 1600 cm2 (170107)</t>
  </si>
  <si>
    <t>M</t>
  </si>
  <si>
    <t>Ostatní materiál</t>
  </si>
  <si>
    <t>77</t>
  </si>
  <si>
    <t>592171500</t>
  </si>
  <si>
    <t>Obrubník silniční 300/1000/150 přírodní</t>
  </si>
  <si>
    <t>0</t>
  </si>
  <si>
    <t>Z99999_</t>
  </si>
  <si>
    <t>Z_</t>
  </si>
  <si>
    <t>78</t>
  </si>
  <si>
    <t>59217480</t>
  </si>
  <si>
    <t>Obrubník silniční přechodový L 1000/150/150-250</t>
  </si>
  <si>
    <t>79</t>
  </si>
  <si>
    <t>59217481</t>
  </si>
  <si>
    <t>Obrubník silniční přechodový P 1000/150/150-250</t>
  </si>
  <si>
    <t>80</t>
  </si>
  <si>
    <t>59217476</t>
  </si>
  <si>
    <t>Obrubník silniční nájezdový 1000/150/150 šedý</t>
  </si>
  <si>
    <t>81</t>
  </si>
  <si>
    <t>59217509</t>
  </si>
  <si>
    <t>Obrubník parkový přírodní 50x8x25 cm</t>
  </si>
  <si>
    <t>82</t>
  </si>
  <si>
    <t>59245308</t>
  </si>
  <si>
    <t>Dlažba typu bloček, přírodní  20x10x6</t>
  </si>
  <si>
    <t>83</t>
  </si>
  <si>
    <t>59245264</t>
  </si>
  <si>
    <t>Dlažba typu bloček, červená pro nevidomé 20x10x8</t>
  </si>
  <si>
    <t>84</t>
  </si>
  <si>
    <t>59245266</t>
  </si>
  <si>
    <t>Dlažba typu bloček, přírodní  20x10x8</t>
  </si>
  <si>
    <t>85</t>
  </si>
  <si>
    <t>59245267</t>
  </si>
  <si>
    <t>Dlažba typu bloček, červená pro nevidomé 20x10x6</t>
  </si>
  <si>
    <t>86</t>
  </si>
  <si>
    <t>59228417</t>
  </si>
  <si>
    <t>Palisáda přírodní armov. Masiv 17,5x20x200 cm</t>
  </si>
  <si>
    <t>87</t>
  </si>
  <si>
    <t>59228416</t>
  </si>
  <si>
    <t>Palisáda přírodní armov. Masiv 17,5x20x150 cm</t>
  </si>
  <si>
    <t>88</t>
  </si>
  <si>
    <t>59228414</t>
  </si>
  <si>
    <t>Palisáda přírodní Masiv 17,5x20x100 cm</t>
  </si>
  <si>
    <t>592174984</t>
  </si>
  <si>
    <t>Obrubník zastávkový bezbariérový přímý BZO 350 přírodní</t>
  </si>
  <si>
    <t>90</t>
  </si>
  <si>
    <t>592174985</t>
  </si>
  <si>
    <t>Obrubník zastávkový bezbariérový náběhový pravý BZO 350-330 P přírodní</t>
  </si>
  <si>
    <t>592174986</t>
  </si>
  <si>
    <t>Obrubník zastávkový bezbariérový náběhový levý BZO 330-350 L přírodní</t>
  </si>
  <si>
    <t>92</t>
  </si>
  <si>
    <t>592174987</t>
  </si>
  <si>
    <t>Obrubník zastávkový bezbariérový přechodový pravý BZO 330-300 P přírodní</t>
  </si>
  <si>
    <t>592174988</t>
  </si>
  <si>
    <t>Obrubník zastávkový bezbariérový přechodový levý BZO 300-330 L přírodní</t>
  </si>
  <si>
    <t>94</t>
  </si>
  <si>
    <t>40444973.A</t>
  </si>
  <si>
    <t>Značka dopravní upravující přednost P 2, rozměr 500 x 500 mm, fólie 2</t>
  </si>
  <si>
    <t>95</t>
  </si>
  <si>
    <t>40445141.A</t>
  </si>
  <si>
    <t>Značka dopr dodat E2b 500/500 fól 1, EG 7letá</t>
  </si>
  <si>
    <t>40450215</t>
  </si>
  <si>
    <t>Dopravní příslušenství, sloupek Zn 60-300</t>
  </si>
  <si>
    <t>97</t>
  </si>
  <si>
    <t>40450230</t>
  </si>
  <si>
    <t>Dopravní příslušenství, patka hliníková</t>
  </si>
  <si>
    <t>98</t>
  </si>
  <si>
    <t>55395102</t>
  </si>
  <si>
    <t>Zábradlí nerezové trubkové, výška 1000 mm  - atyp kce v místě propustku</t>
  </si>
  <si>
    <t>99</t>
  </si>
  <si>
    <t>00572472</t>
  </si>
  <si>
    <t>Směs travní luční III. - dlouhodobá PROFI</t>
  </si>
  <si>
    <t>kg</t>
  </si>
  <si>
    <t>VORN</t>
  </si>
  <si>
    <t>Vedlejší a ostatní rozpočtové náklady</t>
  </si>
  <si>
    <t>01VRN</t>
  </si>
  <si>
    <t>Průzkumy, geodetické a projektové práce</t>
  </si>
  <si>
    <t>100</t>
  </si>
  <si>
    <t>012002VRN</t>
  </si>
  <si>
    <t>Geodetické práce - vytýčení a zaměření stavby, skutečné provedení</t>
  </si>
  <si>
    <t>Soubor</t>
  </si>
  <si>
    <t>01VRN_</t>
  </si>
  <si>
    <t>Â _</t>
  </si>
  <si>
    <t>03VRN</t>
  </si>
  <si>
    <t>Zařízení staveniště</t>
  </si>
  <si>
    <t>101</t>
  </si>
  <si>
    <t>030001VRN</t>
  </si>
  <si>
    <t>03VRN_</t>
  </si>
  <si>
    <t>06VRN</t>
  </si>
  <si>
    <t>Územní vlivy</t>
  </si>
  <si>
    <t>102</t>
  </si>
  <si>
    <t>062002VRN</t>
  </si>
  <si>
    <t>Dopravní opatření při provádění stavby, DIO</t>
  </si>
  <si>
    <t>06VRN_</t>
  </si>
  <si>
    <t>Celkem:</t>
  </si>
  <si>
    <t>Poznámka:</t>
  </si>
  <si>
    <t>Výkaz výměr</t>
  </si>
  <si>
    <t>Objekt</t>
  </si>
  <si>
    <t>Potřebné množství</t>
  </si>
  <si>
    <t>60+7</t>
  </si>
  <si>
    <t>900*0,15</t>
  </si>
  <si>
    <t>620*0,2</t>
  </si>
  <si>
    <t>(1175,9+580,9+16)*0,35</t>
  </si>
  <si>
    <t>20*0,1</t>
  </si>
  <si>
    <t>10*0,30*0,5</t>
  </si>
  <si>
    <t>10*0,45*0,6</t>
  </si>
  <si>
    <t>943*0,05</t>
  </si>
  <si>
    <t>620-20-44</t>
  </si>
  <si>
    <t>(2836,4-73,2+70)*1,2</t>
  </si>
  <si>
    <t>900</t>
  </si>
  <si>
    <t>7,60</t>
  </si>
  <si>
    <t>(1172+1201)*0,6</t>
  </si>
  <si>
    <t>14*0,6*0,2+(26+26+2*10)*0,3*0,15</t>
  </si>
  <si>
    <t>(1175,9+3333,3+247,6)*0,9</t>
  </si>
  <si>
    <t>(333,3+247,6)*1,2</t>
  </si>
  <si>
    <t>(333,3+247,6)*0,9</t>
  </si>
  <si>
    <t>1175,9*0,9</t>
  </si>
  <si>
    <t>1175,9</t>
  </si>
  <si>
    <t>333,3+247,6</t>
  </si>
  <si>
    <t>5+2+4</t>
  </si>
  <si>
    <t>45,5*0,66</t>
  </si>
  <si>
    <t>16*0,1</t>
  </si>
  <si>
    <t>5,5+2,5+5</t>
  </si>
  <si>
    <t>7,4+6,3</t>
  </si>
  <si>
    <t>1176-16</t>
  </si>
  <si>
    <t>1201</t>
  </si>
  <si>
    <t>(1172-16+1201)*0,45*0,05</t>
  </si>
  <si>
    <t>450</t>
  </si>
  <si>
    <t>100+85</t>
  </si>
  <si>
    <t>2,5*4</t>
  </si>
  <si>
    <t>18,4+7,5</t>
  </si>
  <si>
    <t>12,0038+443,7968+1345,5282+109,3238+3,9253+0,0441+24,2382+448,0631+435,2329</t>
  </si>
  <si>
    <t>192,6</t>
  </si>
  <si>
    <t>192,6*6</t>
  </si>
  <si>
    <t>1176-264-24-24-16</t>
  </si>
  <si>
    <t>259</t>
  </si>
  <si>
    <t>1201*2</t>
  </si>
  <si>
    <t>1175,9-21</t>
  </si>
  <si>
    <t>47,4</t>
  </si>
  <si>
    <t>333,3+247,6-47,4</t>
  </si>
  <si>
    <t>0,0900*75</t>
  </si>
  <si>
    <t>;ztratné 1%; 0,0677</t>
  </si>
  <si>
    <t>Krycí list slepého rozpočtu</t>
  </si>
  <si>
    <t>IČO/DIČ:</t>
  </si>
  <si>
    <t>00479292/CZ00479292</t>
  </si>
  <si>
    <t>11366478/</t>
  </si>
  <si>
    <t>0,00/0,00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</si>
  <si>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</si>
  <si>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</si>
  <si>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</si>
  <si>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</si>
  <si>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</si>
  <si>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</si>
  <si>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</si>
  <si>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</si>
  <si>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</si>
  <si>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</si>
  <si>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</si>
  <si>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</si>
  <si>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</si>
  <si>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</si>
  <si>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</si>
  <si>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</si>
  <si>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Provozní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</si>
  <si>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</si>
  <si>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</si>
  <si>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</si>
  <si>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</si>
  <si>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</si>
  <si>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</si>
  <si>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</si>
  <si>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</si>
  <si>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</si>
  <si>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</si>
  <si>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</si>
  <si>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</si>
  <si>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</si>
  <si>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</si>
  <si>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</si>
  <si>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</si>
  <si>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</si>
  <si>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</si>
  <si>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</si>
  <si>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</si>
  <si>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</si>
  <si>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</si>
  <si>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</si>
  <si>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</si>
  <si>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</si>
  <si>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</si>
  <si>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</si>
  <si>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</si>
  <si>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</si>
  <si>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</si>
  <si>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</si>
  <si>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</si>
  <si>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</si>
  <si>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</si>
  <si>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</si>
  <si>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</si>
  <si>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</si>
  <si>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</si>
  <si>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</si>
  <si>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NEDRAŽICE - CHODNÍKY A ÚPRAVY VNITŘNÍCH PROSTOR</t>
  </si>
  <si>
    <t>Vytrhání obrub z krajníků nebo obrubníků stojatých</t>
  </si>
  <si>
    <t>Odkopávky nezap. v hor. 3,4 do 1000 m3 -zahrnuje všechny ZP mimo ornice</t>
  </si>
  <si>
    <t>Osazení sloupků ocel. do 2,6 m, zabet.C 25/30 - SDZ, zrcadlo</t>
  </si>
  <si>
    <t>338920022R00</t>
  </si>
  <si>
    <t>Osazení betonové palisády, š. do 20 cm, dl. 90 cm</t>
  </si>
  <si>
    <t>Osazení betonové palisády, š. do 20 cm, dl. 120 cm</t>
  </si>
  <si>
    <t>338920021R00</t>
  </si>
  <si>
    <t>Osazení betonové palisády, š. do 20 cm, dl. 60 cm</t>
  </si>
  <si>
    <t>Podklad z kam. 8/16 po zhut. tl. 5 cm - pod ZD 60 a 80mm</t>
  </si>
  <si>
    <t>Podklad z kam. drc. 32-63 mm,tl. 20 cm - pod ZD 80mm</t>
  </si>
  <si>
    <t>Podklad ze ŠD 0/63 po zhut. tl. 10 cm - pláň pod ZD 80mm</t>
  </si>
  <si>
    <t>Podklad z kam. 16/32 po zhut. tl. 10 cm - pod ZD 80mm</t>
  </si>
  <si>
    <t>Podklad z kam. 16/32 po zhut. tl. 20 cm - pod ZD 60mm</t>
  </si>
  <si>
    <t>Montáž oplocení strojového pletiva H do 1,6 m - přeložka plotu</t>
  </si>
  <si>
    <t>Montáž SDZ na sloupky včetně zrcadla</t>
  </si>
  <si>
    <t>59228415</t>
  </si>
  <si>
    <t>Palisáda přírodní Masiv 17,5x20x120 cm</t>
  </si>
  <si>
    <t>59228413</t>
  </si>
  <si>
    <t>Palisáda přírodní Masiv 17,5x20x80 cm</t>
  </si>
  <si>
    <t>59228412</t>
  </si>
  <si>
    <t>Palisáda přírodní Masiv 17,5x20x60 cm</t>
  </si>
  <si>
    <t>40444923.A</t>
  </si>
  <si>
    <t>Zrcadlo dopravní obdélníkové ATOP 600x800 mm</t>
  </si>
  <si>
    <t>40445064.A</t>
  </si>
  <si>
    <t>Značka dopr inf IS3a 1100/330, EG7letá</t>
  </si>
  <si>
    <t>40445023.A</t>
  </si>
  <si>
    <t>Značka doprav zákazová B24a, B24b 700 EG 7letá 1ks+1ks</t>
  </si>
  <si>
    <t>31327101</t>
  </si>
  <si>
    <t>Pletivo pozink.4-hr drátěné, výška  1600 mm</t>
  </si>
  <si>
    <t>bm</t>
  </si>
  <si>
    <t>404459501</t>
  </si>
  <si>
    <t>Sloupek ocelový pr. 60 pozinkovaný, l = 2000 mm</t>
  </si>
  <si>
    <t>135</t>
  </si>
  <si>
    <t>240</t>
  </si>
  <si>
    <t>(185+80)*0,15</t>
  </si>
  <si>
    <t>186*0,2</t>
  </si>
  <si>
    <t>372,5*1,25*0,4</t>
  </si>
  <si>
    <t>348*0,1</t>
  </si>
  <si>
    <t>40-140*0,1</t>
  </si>
  <si>
    <t>186-7-17</t>
  </si>
  <si>
    <t>162*10</t>
  </si>
  <si>
    <t>162*1,80</t>
  </si>
  <si>
    <t>348*0,05</t>
  </si>
  <si>
    <t>348*0,02</t>
  </si>
  <si>
    <t>(791,6-152,9+20)*1,2</t>
  </si>
  <si>
    <t>140</t>
  </si>
  <si>
    <t>2,8</t>
  </si>
  <si>
    <t>1,2</t>
  </si>
  <si>
    <t>9,80</t>
  </si>
  <si>
    <t>(284+231)*0,6</t>
  </si>
  <si>
    <t>(291,8+45+35,7)*0,9</t>
  </si>
  <si>
    <t>(45+35,7)*1,2</t>
  </si>
  <si>
    <t>(45+35,7)*0,9</t>
  </si>
  <si>
    <t>291,8*0,9</t>
  </si>
  <si>
    <t>291,8</t>
  </si>
  <si>
    <t>45+35,7</t>
  </si>
  <si>
    <t>284</t>
  </si>
  <si>
    <t>231</t>
  </si>
  <si>
    <t>(284+231)*0,45*0,05</t>
  </si>
  <si>
    <t>7+5</t>
  </si>
  <si>
    <t>165</t>
  </si>
  <si>
    <t>12,5</t>
  </si>
  <si>
    <t>14,6055+93,6455+22,144+4,1512+100,6910+0,3460+108,3135</t>
  </si>
  <si>
    <t>75,97</t>
  </si>
  <si>
    <t>75,97*6</t>
  </si>
  <si>
    <t>284-38-5-13</t>
  </si>
  <si>
    <t>231*2</t>
  </si>
  <si>
    <t>291,8-3,7</t>
  </si>
  <si>
    <t>3,7</t>
  </si>
  <si>
    <t>45+35,7-15,1</t>
  </si>
  <si>
    <t>15,1</t>
  </si>
  <si>
    <t>2,8/0,175</t>
  </si>
  <si>
    <t>2/0,175</t>
  </si>
  <si>
    <t>1,2/0,175</t>
  </si>
  <si>
    <t>23,4/0,175</t>
  </si>
  <si>
    <t>10,6/0,18</t>
  </si>
  <si>
    <t>9,8/0,18</t>
  </si>
  <si>
    <t>0,0140*75</t>
  </si>
  <si>
    <t>;ztratné 1%; 0,0112</t>
  </si>
  <si>
    <t>1,0</t>
  </si>
  <si>
    <t>SO-103 MK větev "A"</t>
  </si>
  <si>
    <t>8222771</t>
  </si>
  <si>
    <t>113108415R00</t>
  </si>
  <si>
    <t>Odstranění asfaltové vrstvy pl.nad 50 m2, tl.15 cm</t>
  </si>
  <si>
    <t>Lože z kam. drobného drceného tl. do 15 cm -obrubníky</t>
  </si>
  <si>
    <t>Podklad z kam. drc. 32-63 mm,tl. 20 cm - pod živičné plochy</t>
  </si>
  <si>
    <t>Podklad ze ŠD 0/32 po zhut. tl. 10 cm - pod živičné plochy</t>
  </si>
  <si>
    <t>Podklad ze ŠD 0/63 po zhut. tl. 10 cm - pláň pod živičné plochy</t>
  </si>
  <si>
    <t>565131211R00</t>
  </si>
  <si>
    <t>Podklad z obal kamen. ACP 16+, š.nad 3 m, tl. 5 cm - pod asfaltobeton nové kce</t>
  </si>
  <si>
    <t>573231124R00</t>
  </si>
  <si>
    <t>Postřik spojovací z KAE, množství zbytkového asfaltu 0,4 kg/m2</t>
  </si>
  <si>
    <t>Osazení mříží litinových s rámem do 150kg - včetně dodávky mříže</t>
  </si>
  <si>
    <t>916211111RT1</t>
  </si>
  <si>
    <t>Osazení obruby z kostek -přídlažba sil. obruby, včetně dodávky</t>
  </si>
  <si>
    <t>919735112R00</t>
  </si>
  <si>
    <t>Řezání stávajícího živičného krytu tl. 5 - 10 cm</t>
  </si>
  <si>
    <t>919731122R00</t>
  </si>
  <si>
    <t>Zarovnání styčné plochy živičné tl. do 10 cm - zálivka spáry</t>
  </si>
  <si>
    <t>Vodorovné přem. suti na skládku do 6000 m - živice recyklace Stříbro</t>
  </si>
  <si>
    <t>Příplatek za dalších započatých 1000 m nad 6000 m - živice</t>
  </si>
  <si>
    <t>979999995R00</t>
  </si>
  <si>
    <t>Poplatek za recyklaci asfaltu, kusovost do 1600 cm2, (skup.170302)</t>
  </si>
  <si>
    <t>592171510</t>
  </si>
  <si>
    <t>Obrubník silniční 250/1000/150 přírodní</t>
  </si>
  <si>
    <t>Zrcadlo dopravní obdélníkové NO FROST 600x800 mm</t>
  </si>
  <si>
    <t>Značka doprav zákazová B2 700 fól 1, EG 7letá</t>
  </si>
  <si>
    <t>40445044.A</t>
  </si>
  <si>
    <t>Značka dopr inf IP 4b fól1,EG7letá</t>
  </si>
  <si>
    <t>10,6</t>
  </si>
  <si>
    <t>142</t>
  </si>
  <si>
    <t>222*0,2</t>
  </si>
  <si>
    <t>222</t>
  </si>
  <si>
    <t>222*0,1</t>
  </si>
  <si>
    <t>4-3</t>
  </si>
  <si>
    <t>222-2-4</t>
  </si>
  <si>
    <t>216*10</t>
  </si>
  <si>
    <t>216*1,80</t>
  </si>
  <si>
    <t>527,9*1,2</t>
  </si>
  <si>
    <t>0,7</t>
  </si>
  <si>
    <t>3,15</t>
  </si>
  <si>
    <t>3+1</t>
  </si>
  <si>
    <t>6+0,7</t>
  </si>
  <si>
    <t>(133+121,5)*0,6</t>
  </si>
  <si>
    <t>92,6*1,10</t>
  </si>
  <si>
    <t>92,6</t>
  </si>
  <si>
    <t>(154,5+82,1+9,7)*0,9</t>
  </si>
  <si>
    <t>92,6*1,2</t>
  </si>
  <si>
    <t>(82,1+9,7)*1,1</t>
  </si>
  <si>
    <t>(82,1+9,7)*1,2</t>
  </si>
  <si>
    <t>(82,1+9,7)*0,9</t>
  </si>
  <si>
    <t>154,5*0,9</t>
  </si>
  <si>
    <t>92,6+189</t>
  </si>
  <si>
    <t>189*1,02</t>
  </si>
  <si>
    <t>154,5</t>
  </si>
  <si>
    <t>82,1+9,7</t>
  </si>
  <si>
    <t>133</t>
  </si>
  <si>
    <t>121,5</t>
  </si>
  <si>
    <t>(133+121,5)*0,45*0,05</t>
  </si>
  <si>
    <t>57+65</t>
  </si>
  <si>
    <t>17+18</t>
  </si>
  <si>
    <t>4,5645+46,2773+241,4065-11,9667+15,3511+12,7548+56,2657+0,2460+57,3532</t>
  </si>
  <si>
    <t>33,37+1,54</t>
  </si>
  <si>
    <t>34,91*6</t>
  </si>
  <si>
    <t>34,91</t>
  </si>
  <si>
    <t>44,872</t>
  </si>
  <si>
    <t>44,87*6</t>
  </si>
  <si>
    <t>44,87</t>
  </si>
  <si>
    <t>121,5*2</t>
  </si>
  <si>
    <t>154,5-8</t>
  </si>
  <si>
    <t>82,1+9,7-19</t>
  </si>
  <si>
    <t>34+4</t>
  </si>
  <si>
    <t>0,0060*75</t>
  </si>
  <si>
    <t>;ztratné 1%; 0,0046</t>
  </si>
  <si>
    <t>SO-201 Úpravy dešťové kanalizace - Etapa-1</t>
  </si>
  <si>
    <t>01.04.2025</t>
  </si>
  <si>
    <t>Václav Říha, Tuněchody 9, 349 01 Stříbro</t>
  </si>
  <si>
    <t> </t>
  </si>
  <si>
    <t>8272111</t>
  </si>
  <si>
    <t>08.10.2024</t>
  </si>
  <si>
    <t>Václav Říha</t>
  </si>
  <si>
    <t>Kanalizace dešťová - Úpravy stoky "B"</t>
  </si>
  <si>
    <t>SO-201a</t>
  </si>
  <si>
    <t>115101201R00</t>
  </si>
  <si>
    <t>Čerpání vody na výšku do 10 m, přítok do 500 l/min</t>
  </si>
  <si>
    <t>h</t>
  </si>
  <si>
    <t>SO-201a_1_</t>
  </si>
  <si>
    <t>SO-201a_</t>
  </si>
  <si>
    <t>133201102R00</t>
  </si>
  <si>
    <t>Hloubení šachet v hor.3 nad 100 m3 - odkopání stáv. kanal. šachet</t>
  </si>
  <si>
    <t>Vodorovné přemístění vybouraných konstrukcí k recyklaci - do 10000 m</t>
  </si>
  <si>
    <t>RTS I / 2023</t>
  </si>
  <si>
    <t>162702199R00</t>
  </si>
  <si>
    <t>Poplatek za recyklaci vybouraných konstrukcí</t>
  </si>
  <si>
    <t>Zásyp jam, rýh, šachet se zhutněním - okolo nových kanal. šachet</t>
  </si>
  <si>
    <t>Ostatní konstrukce</t>
  </si>
  <si>
    <t>894201161R00</t>
  </si>
  <si>
    <t>Dno šachet z betonu C 30/37 XC3, tl. nad 20 cm, včetně tvarování kynety</t>
  </si>
  <si>
    <t>SO-201a_8_</t>
  </si>
  <si>
    <t>894502301R00</t>
  </si>
  <si>
    <t>Bednění stěn šachet kruhových jednostranné - betonáž nového dna šachet</t>
  </si>
  <si>
    <t>894422111RT1</t>
  </si>
  <si>
    <t>Osazení betonových dílců šachet - zákrytová deska</t>
  </si>
  <si>
    <t>894421111R00</t>
  </si>
  <si>
    <t>Osazení vyrovnávacích prstenců šachet dle DIN 4034</t>
  </si>
  <si>
    <t>899102111R00</t>
  </si>
  <si>
    <t>Osazení poklopu s rámem do 100 kg</t>
  </si>
  <si>
    <t>899103111R00</t>
  </si>
  <si>
    <t>Osazení poklopu s rámem do 150 kg</t>
  </si>
  <si>
    <t>960211251R00</t>
  </si>
  <si>
    <t>Bourání konstrukcí zděných z kamene nebo cihel - stáv. konstrukce šachet</t>
  </si>
  <si>
    <t>SO-201a_9_</t>
  </si>
  <si>
    <t>Prorážení otvorů a ostatní bourací práce</t>
  </si>
  <si>
    <t>976085411R00</t>
  </si>
  <si>
    <t>Vybourání kanal.rámů a poklopů plochy nad 0,6 m2 - demontáž stáv. mříží</t>
  </si>
  <si>
    <t>97_</t>
  </si>
  <si>
    <t>H27</t>
  </si>
  <si>
    <t>Vedení trubní dálková a přípojná</t>
  </si>
  <si>
    <t>998276101R00</t>
  </si>
  <si>
    <t>Přesun hmot, trubní vedení plastová, otevř. výkop</t>
  </si>
  <si>
    <t>H27_</t>
  </si>
  <si>
    <t>59224354</t>
  </si>
  <si>
    <t>Deska zákrytová šachtová TZK-Q 625-800/200</t>
  </si>
  <si>
    <t>SO-201a_Z_</t>
  </si>
  <si>
    <t>592243554</t>
  </si>
  <si>
    <t>Skruž šachtová TBS-Q.800/250/120 PS</t>
  </si>
  <si>
    <t>59224346</t>
  </si>
  <si>
    <t>Prstenec vyrovnávací TBW-Q 625/40/120</t>
  </si>
  <si>
    <t>59224347.A</t>
  </si>
  <si>
    <t>Prstenec vyrovnávací TBW-Q 625/80/120</t>
  </si>
  <si>
    <t>552433405</t>
  </si>
  <si>
    <t>Poklop litinový s odvětráním, průměr 600 mm, B125</t>
  </si>
  <si>
    <t>55340324</t>
  </si>
  <si>
    <t>Poklop litinový s odvětráním, průměr 600 mm, D400, tl. vl.</t>
  </si>
  <si>
    <t>SO-201a_Â _</t>
  </si>
  <si>
    <t>Kanalizace dešťová - Úpravy stoky "BA"</t>
  </si>
  <si>
    <t>SO-201b</t>
  </si>
  <si>
    <t>SO-201b_1_</t>
  </si>
  <si>
    <t>SO-201b_</t>
  </si>
  <si>
    <t>SO-201b_8_</t>
  </si>
  <si>
    <t>SO-201b_9_</t>
  </si>
  <si>
    <t>SO-201b_Z_</t>
  </si>
  <si>
    <t>SO-201b_Â _</t>
  </si>
  <si>
    <t>Kanalizace dešťová - Úpravy stoky "CA"</t>
  </si>
  <si>
    <t>SO-201c</t>
  </si>
  <si>
    <t>SO-201c_1_</t>
  </si>
  <si>
    <t>SO-201c_</t>
  </si>
  <si>
    <t>SO-201c_8_</t>
  </si>
  <si>
    <t>SO-201c_9_</t>
  </si>
  <si>
    <t>SO-201c_Z_</t>
  </si>
  <si>
    <t>SO-201c_Â _</t>
  </si>
  <si>
    <t>Kanalizace dešťová - Prodloužení stoky "BA"</t>
  </si>
  <si>
    <t>SO-201d</t>
  </si>
  <si>
    <t>SO-201d_1_</t>
  </si>
  <si>
    <t>SO-201d_</t>
  </si>
  <si>
    <t>132201212R00</t>
  </si>
  <si>
    <t>Hloubení rýh š.do 200 cm hor.3 do 1000m3,STROJNĚ</t>
  </si>
  <si>
    <t>132301212R00</t>
  </si>
  <si>
    <t>Hloubení rýh š.do 200 cm hor.4 do 1000 m3, STROJNĚ</t>
  </si>
  <si>
    <t>Roubení</t>
  </si>
  <si>
    <t>151101101R00</t>
  </si>
  <si>
    <t>Pažení a rozepření stěn rýh - příložné - hl. do 2m</t>
  </si>
  <si>
    <t>15_</t>
  </si>
  <si>
    <t>151101111R00</t>
  </si>
  <si>
    <t>Odstranění paženi stěn rýh - příložné - hl. do 2 m</t>
  </si>
  <si>
    <t>Vodorovné přemístění výkopku z hor.1-4 do 10000 m</t>
  </si>
  <si>
    <t>175101101R00</t>
  </si>
  <si>
    <t>Obsyp potrubí bez prohození sypaniny</t>
  </si>
  <si>
    <t>171206111R00</t>
  </si>
  <si>
    <t>Uložení zemin do násypů předeps. tvarů s urovnáním - skládka</t>
  </si>
  <si>
    <t>181301102R00</t>
  </si>
  <si>
    <t>Rozprostření ornice, rovina, tl. 10-15 cm,do 500m2</t>
  </si>
  <si>
    <t>180402111R00</t>
  </si>
  <si>
    <t>Založení trávníku parkového výsevem v rovině</t>
  </si>
  <si>
    <t>Podkladní a vedlejší konstrukce (inženýr. stavby kromě vozovek a železnič. svršku)</t>
  </si>
  <si>
    <t>451572111R00</t>
  </si>
  <si>
    <t>Lože pod potrubí z kameniva těženého 0 - 4 mm</t>
  </si>
  <si>
    <t>SO-201d_4_</t>
  </si>
  <si>
    <t>Potrubí z trub plastických, skleněných a čedičových</t>
  </si>
  <si>
    <t>871373121R00</t>
  </si>
  <si>
    <t>Montáž trub kanaliz. z plastu, hrdlových, DN 300</t>
  </si>
  <si>
    <t>87_</t>
  </si>
  <si>
    <t>SO-201d_8_</t>
  </si>
  <si>
    <t>877373121R00</t>
  </si>
  <si>
    <t>Montáž tvarovek odboč. plast. gum. kroužek DN 300</t>
  </si>
  <si>
    <t>Osazení betonových dílců šachet - konus</t>
  </si>
  <si>
    <t>894423111RT1</t>
  </si>
  <si>
    <t>Osazení betonových dílců šachet - šachtové dno</t>
  </si>
  <si>
    <t>899623141R00</t>
  </si>
  <si>
    <t>Obetonování potrubí nebo zdiva stok betonem C12/15</t>
  </si>
  <si>
    <t>895931111R00</t>
  </si>
  <si>
    <t>Vtokový objekt z betonu C 16/20, včetně osazení mříží</t>
  </si>
  <si>
    <t>SO-201d_9_</t>
  </si>
  <si>
    <t>286142904</t>
  </si>
  <si>
    <t>Trubka kanalizační PP korugovaná (duté žebro), SN 12, DN 300 x 6000 mm</t>
  </si>
  <si>
    <t>SO-201d_Z_</t>
  </si>
  <si>
    <t>286544965</t>
  </si>
  <si>
    <t>Odbočka 45° kanalizační PP, DN 300/160 (KG)</t>
  </si>
  <si>
    <t>28651832.A</t>
  </si>
  <si>
    <t>Zátka hrdla kanalizační PVC-KG, DN 150</t>
  </si>
  <si>
    <t>5922405305</t>
  </si>
  <si>
    <t>Dno šachetní TBZ-Q 1000/500 - DN 300, PP korugovaný, DIN</t>
  </si>
  <si>
    <t>59224130</t>
  </si>
  <si>
    <t>Deska zákrytová TZK-Q 625-1000/200</t>
  </si>
  <si>
    <t>59224172</t>
  </si>
  <si>
    <t>Skruž přechodová TBR-Q 100/60/12/SPK</t>
  </si>
  <si>
    <t>59224176</t>
  </si>
  <si>
    <t>59224349.AR</t>
  </si>
  <si>
    <t>Prstenec vyrovnávací TBW-Q 625/100/120</t>
  </si>
  <si>
    <t>58337320R</t>
  </si>
  <si>
    <t>Štěrkopísek nebo recyklát frakce 0-8</t>
  </si>
  <si>
    <t>T</t>
  </si>
  <si>
    <t>103</t>
  </si>
  <si>
    <t>SO-201d_Â _</t>
  </si>
  <si>
    <t>104</t>
  </si>
  <si>
    <t>105</t>
  </si>
  <si>
    <t>Kanalizace dešťová - Výměna úseku stoky "C"</t>
  </si>
  <si>
    <t>SO-201e</t>
  </si>
  <si>
    <t>106</t>
  </si>
  <si>
    <t>SO-201e_1_</t>
  </si>
  <si>
    <t>SO-201e_</t>
  </si>
  <si>
    <t>107</t>
  </si>
  <si>
    <t>113106241R00</t>
  </si>
  <si>
    <t>Rozebrání ploch komunikací ze silničních panelů</t>
  </si>
  <si>
    <t>108</t>
  </si>
  <si>
    <t>109</t>
  </si>
  <si>
    <t>130901112R00</t>
  </si>
  <si>
    <t>Bourání konstrukcí kamenných na MVC ve vykopávkách - stáv. kanál</t>
  </si>
  <si>
    <t>110</t>
  </si>
  <si>
    <t>130901121R00</t>
  </si>
  <si>
    <t>Bourání konstrukcí z betonu prostého ve vykopávk. - stáv. kanál</t>
  </si>
  <si>
    <t>111</t>
  </si>
  <si>
    <t>112</t>
  </si>
  <si>
    <t>113</t>
  </si>
  <si>
    <t>162601102R00</t>
  </si>
  <si>
    <t>Vodorovné přemístění výkopku z hor.1-4 do 5000 m - dovoz zeminy pro zásyp ze skládky</t>
  </si>
  <si>
    <t>114</t>
  </si>
  <si>
    <t>167101101R00</t>
  </si>
  <si>
    <t>Nakládání výkopku z hor. 1 ÷ 4 v množství do 100 m3 - ze skládky pro zásyp potrubí</t>
  </si>
  <si>
    <t>115</t>
  </si>
  <si>
    <t>Vodorovné přemístění demontovaných panelů do 5000 m - na místo uložení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</si>
  <si>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</si>
  <si>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</si>
  <si>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</si>
  <si>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</si>
  <si>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</si>
  <si>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</si>
  <si>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</si>
  <si>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</si>
  <si>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</si>
  <si>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SO-201e_4_</t>
  </si>
  <si>
    <t>Zpevněné plochy (kromě vozovek a železničního svršku)</t>
  </si>
  <si>
    <t>125</t>
  </si>
  <si>
    <t>465515515R00</t>
  </si>
  <si>
    <t>Dlažba z kopáků do MC do 20 m2 vysp. MCs, 50 cm - břehové vyústění stoky</t>
  </si>
  <si>
    <t>46_</t>
  </si>
  <si>
    <t>126</t>
  </si>
  <si>
    <t>871413121R00</t>
  </si>
  <si>
    <t>Montáž trub kanaliz. z plastu, hrdlových, DN 500</t>
  </si>
  <si>
    <t>SO-201e_8_</t>
  </si>
  <si>
    <t>127</t>
  </si>
  <si>
    <t>877413121R00</t>
  </si>
  <si>
    <t>Montáž tvarovek odboč. plast. gum. kroužek DN 500</t>
  </si>
  <si>
    <t>128</t>
  </si>
  <si>
    <t>129</t>
  </si>
  <si>
    <t>130</t>
  </si>
  <si>
    <t>131</t>
  </si>
  <si>
    <t>132</t>
  </si>
  <si>
    <t>Obetonování potrubí nebo zdiva stok betonem C12/15 - místa napojení a vyústění</t>
  </si>
  <si>
    <t>SO-201e_9_</t>
  </si>
  <si>
    <t>134</t>
  </si>
  <si>
    <t>286142906</t>
  </si>
  <si>
    <t>Trubka kanalizační PP korugovaná (duté žebro), SN 12, DN 500 x 6000 mm</t>
  </si>
  <si>
    <t>SO-201e_Z_</t>
  </si>
  <si>
    <t>286544971</t>
  </si>
  <si>
    <t>Odbočka 45° kanalizační PP, DN 500/160 (KG)</t>
  </si>
  <si>
    <t>136</t>
  </si>
  <si>
    <t>137</t>
  </si>
  <si>
    <t>Dno šachetní TBZ-Q 1000/800 - DN 500, PP korugovaný, DIN</t>
  </si>
  <si>
    <t>138</t>
  </si>
  <si>
    <t>139</t>
  </si>
  <si>
    <t>141</t>
  </si>
  <si>
    <t>SO-201e_Â _</t>
  </si>
  <si>
    <t>143</t>
  </si>
  <si>
    <t>144</t>
  </si>
  <si>
    <t>Kanalizace dešťová - Prodloužení stoky "CA"</t>
  </si>
  <si>
    <t>SO-201f</t>
  </si>
  <si>
    <t>145</t>
  </si>
  <si>
    <t>SO-201f_1_</t>
  </si>
  <si>
    <t>SO-201f_</t>
  </si>
  <si>
    <t>146</t>
  </si>
  <si>
    <t>119001411R00</t>
  </si>
  <si>
    <t>Dočasné zajištění potrubí do DN 200 - plynovod</t>
  </si>
  <si>
    <t>147</t>
  </si>
  <si>
    <t>120001101R00</t>
  </si>
  <si>
    <t>Příplatek za ztížení vykopávky v blízkosti vedení</t>
  </si>
  <si>
    <t>148</t>
  </si>
  <si>
    <t>149</t>
  </si>
  <si>
    <t>150</t>
  </si>
  <si>
    <t>151</t>
  </si>
  <si>
    <t>152</t>
  </si>
  <si>
    <t>161101101R00</t>
  </si>
  <si>
    <t>Svislé přemístění výkopku z hor.1-4 do 2,5 m</t>
  </si>
  <si>
    <t>153</t>
  </si>
  <si>
    <t>154</t>
  </si>
  <si>
    <t>155</t>
  </si>
  <si>
    <t>156</t>
  </si>
  <si>
    <t>157</t>
  </si>
  <si>
    <t>158</t>
  </si>
  <si>
    <t>159</t>
  </si>
  <si>
    <t>SO-201f_4_</t>
  </si>
  <si>
    <t>160</t>
  </si>
  <si>
    <t>Montáž trub kanaliz. z plastu, hrdlových, DN 250</t>
  </si>
  <si>
    <t>SO-201f_8_</t>
  </si>
  <si>
    <t>161</t>
  </si>
  <si>
    <t>Montáž tvarovek odboč. plast. gum. kroužek DN 250</t>
  </si>
  <si>
    <t>162</t>
  </si>
  <si>
    <t>894421111RT1</t>
  </si>
  <si>
    <t>Osazení betonových dílců šachet - skruž 250, 500</t>
  </si>
  <si>
    <t>RTS II / 2023</t>
  </si>
  <si>
    <t>163</t>
  </si>
  <si>
    <t>164</t>
  </si>
  <si>
    <t>899311113R00</t>
  </si>
  <si>
    <t>Osazení poklopů litinových s rámem do 150 kg</t>
  </si>
  <si>
    <t>166</t>
  </si>
  <si>
    <t>167</t>
  </si>
  <si>
    <t>892681111R00</t>
  </si>
  <si>
    <t>Zkouška zhutnění zásypu statická</t>
  </si>
  <si>
    <t>ks</t>
  </si>
  <si>
    <t>168</t>
  </si>
  <si>
    <t>SO-201f_9_</t>
  </si>
  <si>
    <t>169</t>
  </si>
  <si>
    <t>286142903</t>
  </si>
  <si>
    <t>Trubka kanalizační PP korugovaná (duté žebro), SN 12, DN 250 x 6000 mm</t>
  </si>
  <si>
    <t>SO-201f_Z_</t>
  </si>
  <si>
    <t>170</t>
  </si>
  <si>
    <t>286544962</t>
  </si>
  <si>
    <t>Odbočka 45° kanalizační PP, DN 250/160 (KG)</t>
  </si>
  <si>
    <t>171</t>
  </si>
  <si>
    <t>172</t>
  </si>
  <si>
    <t>Dno šachetní TBZ-Q 1000/500 - DN 250, PP korugovaný, DIN</t>
  </si>
  <si>
    <t>173</t>
  </si>
  <si>
    <t>59224150</t>
  </si>
  <si>
    <t>Skruž šachtová TBS-Q 100/25/12 SP</t>
  </si>
  <si>
    <t>174</t>
  </si>
  <si>
    <t>175</t>
  </si>
  <si>
    <t>59224175</t>
  </si>
  <si>
    <t>Prstenec vyrovnávací TBW-Q 625/60/120</t>
  </si>
  <si>
    <t>176</t>
  </si>
  <si>
    <t>177</t>
  </si>
  <si>
    <t>178</t>
  </si>
  <si>
    <t>179</t>
  </si>
  <si>
    <t>SO-201f_Â _</t>
  </si>
  <si>
    <t>180</t>
  </si>
  <si>
    <t>181</t>
  </si>
  <si>
    <t>Kanalizace dešťová - Stoka "CC"</t>
  </si>
  <si>
    <t>SO-201g</t>
  </si>
  <si>
    <t>182</t>
  </si>
  <si>
    <t>SO-201g_1_</t>
  </si>
  <si>
    <t>SO-201g_</t>
  </si>
  <si>
    <t>183</t>
  </si>
  <si>
    <t>184</t>
  </si>
  <si>
    <t>Dočasné zajištění potrubí do DN 200 - vodovod</t>
  </si>
  <si>
    <t>185</t>
  </si>
  <si>
    <t>Dočasné zajištění potrubí do DN 200 - kanalizační výtlak</t>
  </si>
  <si>
    <t>186</t>
  </si>
  <si>
    <t>113108310R00</t>
  </si>
  <si>
    <t>Odstranění asfaltové vrstvy pl. do 50 m2, tl.10 cm</t>
  </si>
  <si>
    <t>187</t>
  </si>
  <si>
    <t>188</t>
  </si>
  <si>
    <t>189</t>
  </si>
  <si>
    <t>190</t>
  </si>
  <si>
    <t>191</t>
  </si>
  <si>
    <t>192</t>
  </si>
  <si>
    <t>193</t>
  </si>
  <si>
    <t>Vodorovné přemístění odstraněného asfaltu k recyklaci - do 10000 m</t>
  </si>
  <si>
    <t>194</t>
  </si>
  <si>
    <t>Poplatek za recyklaci odstraněného asfaltového krytu</t>
  </si>
  <si>
    <t>195</t>
  </si>
  <si>
    <t>196</t>
  </si>
  <si>
    <t>197</t>
  </si>
  <si>
    <t>198</t>
  </si>
  <si>
    <t>199</t>
  </si>
  <si>
    <t>200</t>
  </si>
  <si>
    <t>201</t>
  </si>
  <si>
    <t>SO-201g_4_</t>
  </si>
  <si>
    <t>202</t>
  </si>
  <si>
    <t>564861111RT4</t>
  </si>
  <si>
    <t>Podklad ze ŠD 0/63 po zhut. tl. 20 cm</t>
  </si>
  <si>
    <t>SO-201g_5_</t>
  </si>
  <si>
    <t>203</t>
  </si>
  <si>
    <t>Podklad ze ŠD 0/63 po zhut. tl. 10 cm</t>
  </si>
  <si>
    <t>204</t>
  </si>
  <si>
    <t>Podklad ze ŠD 0/32 po zhut. tl. 10 cm</t>
  </si>
  <si>
    <t>205</t>
  </si>
  <si>
    <t>565131121RT2</t>
  </si>
  <si>
    <t>Podklad ACP 22+ do 3 m, tl.5 cm</t>
  </si>
  <si>
    <t>206</t>
  </si>
  <si>
    <t>Beton asfalt. ACL 16+ (ABL I) ložný, 6 cm</t>
  </si>
  <si>
    <t>207</t>
  </si>
  <si>
    <t>SO-201g_8_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</si>
  <si>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</si>
  <si>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</si>
  <si>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</si>
  <si>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</si>
  <si>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</si>
  <si>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</si>
  <si>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</si>
  <si>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</si>
  <si>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</si>
  <si>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SO-201g_9_</t>
  </si>
  <si>
    <t>217</t>
  </si>
  <si>
    <t>218</t>
  </si>
  <si>
    <t>SO-201g_Z_</t>
  </si>
  <si>
    <t>219</t>
  </si>
  <si>
    <t>220</t>
  </si>
  <si>
    <t>221</t>
  </si>
  <si>
    <t>223</t>
  </si>
  <si>
    <t>59224152</t>
  </si>
  <si>
    <t>Skruž šachtová TBS-Q 100/50/12 SP</t>
  </si>
  <si>
    <t>RTS I / 2022</t>
  </si>
  <si>
    <t>224</t>
  </si>
  <si>
    <t>225</t>
  </si>
  <si>
    <t>226</t>
  </si>
  <si>
    <t>227</t>
  </si>
  <si>
    <t>228</t>
  </si>
  <si>
    <t>229</t>
  </si>
  <si>
    <t>230</t>
  </si>
  <si>
    <t>59224177.A</t>
  </si>
  <si>
    <t>Prstenec vyrovnávací TBW-Q 625/120/120</t>
  </si>
  <si>
    <t>232</t>
  </si>
  <si>
    <t>233</t>
  </si>
  <si>
    <t>SO-201g_Â _</t>
  </si>
  <si>
    <t>234</t>
  </si>
  <si>
    <t>235</t>
  </si>
  <si>
    <t>Kanalizace dešťová - Stoka "DB"</t>
  </si>
  <si>
    <t>SO-201h</t>
  </si>
  <si>
    <t>236</t>
  </si>
  <si>
    <t>SO-201h_1_</t>
  </si>
  <si>
    <t>SO-201h_</t>
  </si>
  <si>
    <t>237</t>
  </si>
  <si>
    <t>238</t>
  </si>
  <si>
    <t>239</t>
  </si>
  <si>
    <t>Dočasné zajištění potrubí do DN 200 - kanalizace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</si>
  <si>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</si>
  <si>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</si>
  <si>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</si>
  <si>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</si>
  <si>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</si>
  <si>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</si>
  <si>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</si>
  <si>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</si>
  <si>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</si>
  <si>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</si>
  <si>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</si>
  <si>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</si>
  <si>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</si>
  <si>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</si>
  <si>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</si>
  <si>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</si>
  <si>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</si>
  <si>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</si>
  <si>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SO-201h_4_</t>
  </si>
  <si>
    <t>SO-201h_5_</t>
  </si>
  <si>
    <t>260</t>
  </si>
  <si>
    <t>261</t>
  </si>
  <si>
    <t>262</t>
  </si>
  <si>
    <t>263</t>
  </si>
  <si>
    <t>264</t>
  </si>
  <si>
    <t>SO-201h_8_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</si>
  <si>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</si>
  <si>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</si>
  <si>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</si>
  <si>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</si>
  <si>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</si>
  <si>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</si>
  <si>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</si>
  <si>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</si>
  <si>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</si>
  <si>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</si>
  <si>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SO-201h_9_</t>
  </si>
  <si>
    <t>275</t>
  </si>
  <si>
    <t>276</t>
  </si>
  <si>
    <t>SO-201h_Z_</t>
  </si>
  <si>
    <t>277</t>
  </si>
  <si>
    <t>278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</si>
  <si>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</si>
  <si>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</si>
  <si>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</si>
  <si>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</si>
  <si>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</si>
  <si>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</si>
  <si>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</si>
  <si>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</si>
  <si>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</si>
  <si>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</si>
  <si>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SO-201h_Â _</t>
  </si>
  <si>
    <t>290</t>
  </si>
  <si>
    <t>291</t>
  </si>
  <si>
    <t>6*2,0*2,0*1,0</t>
  </si>
  <si>
    <t>6,0</t>
  </si>
  <si>
    <t>6,0*2,5</t>
  </si>
  <si>
    <t>6*1,0</t>
  </si>
  <si>
    <t>6+6</t>
  </si>
  <si>
    <t>36,036</t>
  </si>
  <si>
    <t>35,325</t>
  </si>
  <si>
    <t>4*2,0*2,0*1,0</t>
  </si>
  <si>
    <t>4,0</t>
  </si>
  <si>
    <t>4,0*2,5</t>
  </si>
  <si>
    <t>4*1,0</t>
  </si>
  <si>
    <t>4+4</t>
  </si>
  <si>
    <t>23,662</t>
  </si>
  <si>
    <t>40*2,0*0,15</t>
  </si>
  <si>
    <t>(40*1,30*1,09)*0,40</t>
  </si>
  <si>
    <t>(40*1,30*1,09)*0,60</t>
  </si>
  <si>
    <t>38*1,0</t>
  </si>
  <si>
    <t>7,22+15,48+4,32</t>
  </si>
  <si>
    <t>27,02*10</t>
  </si>
  <si>
    <t>27,02*1,80</t>
  </si>
  <si>
    <t>22,67+34,01-27,02</t>
  </si>
  <si>
    <t>(38-2)*0,43</t>
  </si>
  <si>
    <t>27,02</t>
  </si>
  <si>
    <t>40*2,0</t>
  </si>
  <si>
    <t>38*0,19</t>
  </si>
  <si>
    <t>0,25</t>
  </si>
  <si>
    <t>46,022</t>
  </si>
  <si>
    <t>15,48*1,8</t>
  </si>
  <si>
    <t>48*1,2</t>
  </si>
  <si>
    <t>48*1,30*0,30</t>
  </si>
  <si>
    <t>40*0,4*0,8</t>
  </si>
  <si>
    <t>8*0,4*1,2</t>
  </si>
  <si>
    <t>48*1,0</t>
  </si>
  <si>
    <t>31,20</t>
  </si>
  <si>
    <t>48*1,2*0,15</t>
  </si>
  <si>
    <t>12,80+3,84</t>
  </si>
  <si>
    <t>16,64*2,5</t>
  </si>
  <si>
    <t>18,72</t>
  </si>
  <si>
    <t>18,72*10</t>
  </si>
  <si>
    <t>18,72*1,80</t>
  </si>
  <si>
    <t>48*1,3*0,5</t>
  </si>
  <si>
    <t>(48-2)*0,65</t>
  </si>
  <si>
    <t>48*0,19</t>
  </si>
  <si>
    <t>3,0*2,0</t>
  </si>
  <si>
    <t>2*0,5</t>
  </si>
  <si>
    <t>101,304</t>
  </si>
  <si>
    <t>29,90*1,8</t>
  </si>
  <si>
    <t>2,0*1,6*1,3</t>
  </si>
  <si>
    <t>(47*1,30*1,60)*0,40</t>
  </si>
  <si>
    <t>(47*1,30*1,60)*0,60</t>
  </si>
  <si>
    <t>47*2,0</t>
  </si>
  <si>
    <t>2,0*1,3*1,6</t>
  </si>
  <si>
    <t>8,93+27,02+3,38</t>
  </si>
  <si>
    <t>39,33*10</t>
  </si>
  <si>
    <t>39,33*1,80</t>
  </si>
  <si>
    <t>39,10+58,66-39,33</t>
  </si>
  <si>
    <t>(47-2)*0,43</t>
  </si>
  <si>
    <t>39,33</t>
  </si>
  <si>
    <t>47*0,19</t>
  </si>
  <si>
    <t>51,911</t>
  </si>
  <si>
    <t>19,35*1,8</t>
  </si>
  <si>
    <t>(3+6+3)*1,6*1,3</t>
  </si>
  <si>
    <t>(109*1,30*1,60)*0,40</t>
  </si>
  <si>
    <t>(109*1,30*1,60)*0,60</t>
  </si>
  <si>
    <t>109*2,0</t>
  </si>
  <si>
    <t>(3+6+3)*1,3*1,6</t>
  </si>
  <si>
    <t>15*0,10</t>
  </si>
  <si>
    <t>15*0,10*2,5</t>
  </si>
  <si>
    <t>20,71+45,15+8,57</t>
  </si>
  <si>
    <t>74,43*10</t>
  </si>
  <si>
    <t>74,43*1,80</t>
  </si>
  <si>
    <t>90,69+136,03-74,43</t>
  </si>
  <si>
    <t>(109-4)*0,43</t>
  </si>
  <si>
    <t>74,43</t>
  </si>
  <si>
    <t>109*0,19</t>
  </si>
  <si>
    <t>15*1,20</t>
  </si>
  <si>
    <t>15*1,15</t>
  </si>
  <si>
    <t>15*1,1</t>
  </si>
  <si>
    <t>15*1,05</t>
  </si>
  <si>
    <t>142,127</t>
  </si>
  <si>
    <t>45,15*1,8</t>
  </si>
  <si>
    <t>90*2,0*0,15</t>
  </si>
  <si>
    <t>(6+2+2)*1,3*1,73</t>
  </si>
  <si>
    <t>(107*1,30*1,73)*0,40</t>
  </si>
  <si>
    <t>(107*1,30*1,73)*0,60</t>
  </si>
  <si>
    <t>107*2,0</t>
  </si>
  <si>
    <t>13*0,10</t>
  </si>
  <si>
    <t>13*0,10*2,5</t>
  </si>
  <si>
    <t>20,33+43,43+14,78</t>
  </si>
  <si>
    <t>78,54*10</t>
  </si>
  <si>
    <t>78,54*1,80</t>
  </si>
  <si>
    <t>96,26+144,39-78,54</t>
  </si>
  <si>
    <t>(107-6)*0,43</t>
  </si>
  <si>
    <t>78,54</t>
  </si>
  <si>
    <t>90*2,0</t>
  </si>
  <si>
    <t>107*0,19</t>
  </si>
  <si>
    <t>13*1,20</t>
  </si>
  <si>
    <t>13*1,15</t>
  </si>
  <si>
    <t>13*1,1</t>
  </si>
  <si>
    <t>13*1,05</t>
  </si>
  <si>
    <t>2+3</t>
  </si>
  <si>
    <t>146,023</t>
  </si>
  <si>
    <t>43,43*1,8</t>
  </si>
  <si>
    <t>611 30 464/CZ7305252306</t>
  </si>
  <si>
    <t>SO-202 Přípojky uličních vpustí + přípojky okapních svodů</t>
  </si>
  <si>
    <t>Přípojky uličních vpustí</t>
  </si>
  <si>
    <t>SO-202a</t>
  </si>
  <si>
    <t>SO-202a_1_</t>
  </si>
  <si>
    <t>SO-202a_</t>
  </si>
  <si>
    <t>119001412R00</t>
  </si>
  <si>
    <t>Dočasné zajištění beton.a plast.potrubí DN 200-500</t>
  </si>
  <si>
    <t>132201211R00</t>
  </si>
  <si>
    <t>Hloubení rýh š.do 200 cm hor.3 do 100 m3,STROJNĚ</t>
  </si>
  <si>
    <t>132301211R00</t>
  </si>
  <si>
    <t>Hloubení rýh š.do 200 cm hor.4 do 100 m3, STROJNĚ</t>
  </si>
  <si>
    <t>SO-202a_4_</t>
  </si>
  <si>
    <t>871313121R00</t>
  </si>
  <si>
    <t>Montáž trub kanaliz. z plastu, hrdlových, DN 150</t>
  </si>
  <si>
    <t>SO-202a_8_</t>
  </si>
  <si>
    <t>877395121R00</t>
  </si>
  <si>
    <t>Výřez a montáž tvarovky z plastu na potrubí DN 400 - dodatečné napojení přípojky na stáv. stoku</t>
  </si>
  <si>
    <t>Obetonování potrubí nebo zdiva stok betonem C12/15 - místa dodatečných napojení přípojek</t>
  </si>
  <si>
    <t>SO-202a_9_</t>
  </si>
  <si>
    <t>286111121</t>
  </si>
  <si>
    <t>Trubka kanalizační KG, SN 8, PVC 160 x 4,7 x 1000 mm</t>
  </si>
  <si>
    <t>SO-202a_Z_</t>
  </si>
  <si>
    <t>286111122</t>
  </si>
  <si>
    <t>Trubka kanalizační KG, SN 8, PVC 160 x 4,7 x 2000 mm</t>
  </si>
  <si>
    <t>28651661.A</t>
  </si>
  <si>
    <t>Koleno kanalizační KG 160/ 30° PVC</t>
  </si>
  <si>
    <t>28651662.A</t>
  </si>
  <si>
    <t>Koleno kanalizační KG 160/ 45° PVC</t>
  </si>
  <si>
    <t>SO-202a_Â _</t>
  </si>
  <si>
    <t>Přípojky okapních svodů</t>
  </si>
  <si>
    <t>SO-202b</t>
  </si>
  <si>
    <t>SO-202b_1_</t>
  </si>
  <si>
    <t>SO-202b_</t>
  </si>
  <si>
    <t>119001421R00</t>
  </si>
  <si>
    <t>Dočasné zajištění kabelů - do počtu 3 kabelů</t>
  </si>
  <si>
    <t>SO-202b_4_</t>
  </si>
  <si>
    <t>Montáž trub kanaliz. z plastu, hrdlových, DN 100</t>
  </si>
  <si>
    <t>SO-202b_8_</t>
  </si>
  <si>
    <t>SO-202b_9_</t>
  </si>
  <si>
    <t>28611140.A</t>
  </si>
  <si>
    <t>Trubka kanalizační KG, SN 4, PVC 110 x 3,2 x 500 mm</t>
  </si>
  <si>
    <t>SO-202b_Z_</t>
  </si>
  <si>
    <t>28611141.A</t>
  </si>
  <si>
    <t>Trubka kanalizační KG, SN 4, PVC 110 x 3,2 x 1000 mm</t>
  </si>
  <si>
    <t>28611142.A</t>
  </si>
  <si>
    <t>Trubka kanalizační KG, SN 4, PVC 110 x 3,2 x 2000 mm</t>
  </si>
  <si>
    <t>28651651.A</t>
  </si>
  <si>
    <t>Koleno kanalizační KG 110/ 30° PVC</t>
  </si>
  <si>
    <t>28651652.A</t>
  </si>
  <si>
    <t>Koleno kanalizační KG 110/ 45° PVC</t>
  </si>
  <si>
    <t>28651703.A</t>
  </si>
  <si>
    <t>Odbočka kanalizační KG 160/ 110/45° PVC</t>
  </si>
  <si>
    <t>55162490.A</t>
  </si>
  <si>
    <t>Lapač střešních splavenin HL600N - DN 110/125 koš, kulový kloub, suchá klapka</t>
  </si>
  <si>
    <t>SO-202b_Â _</t>
  </si>
  <si>
    <t>6,72+10,08-4,08</t>
  </si>
  <si>
    <t>21,0*0,22</t>
  </si>
  <si>
    <t>4,08</t>
  </si>
  <si>
    <t>21,0*0,08</t>
  </si>
  <si>
    <t>4,62*1,8</t>
  </si>
  <si>
    <t>1,76*1,8</t>
  </si>
  <si>
    <t>SO-301 Kabelový rozvod VO - Etapa-1</t>
  </si>
  <si>
    <t>SET projekt, s.r.o.</t>
  </si>
  <si>
    <t>8287511</t>
  </si>
  <si>
    <t>SO-301 Kabelový rozvod VO-Etapa_1</t>
  </si>
  <si>
    <t>SO-301</t>
  </si>
  <si>
    <t>Uložení zemin do násypů předeps. tvarů s urovnáním - skládka přebytečného výkopku</t>
  </si>
  <si>
    <t>SO-301_1_</t>
  </si>
  <si>
    <t>SO-301_</t>
  </si>
  <si>
    <t>Hodinové zúčtovací sazby (HZS)</t>
  </si>
  <si>
    <t>900      R24</t>
  </si>
  <si>
    <t>HZS - demontáž a zpětná montáž bezdr. obecního rozhlasu na nové stožáry VO</t>
  </si>
  <si>
    <t>90_</t>
  </si>
  <si>
    <t>SO-301_9_</t>
  </si>
  <si>
    <t>H28</t>
  </si>
  <si>
    <t>Vedení elektrická a dráhy visuté</t>
  </si>
  <si>
    <t>998289011R00</t>
  </si>
  <si>
    <t>Přesun hmot pro kabelovody jakéhokoliv rozsahu</t>
  </si>
  <si>
    <t>H28_</t>
  </si>
  <si>
    <t>M21</t>
  </si>
  <si>
    <t>Elektromontáže</t>
  </si>
  <si>
    <t>210100003R00</t>
  </si>
  <si>
    <t>Ukončení vodičů v rozvaděči + zapojení do 16 mm2</t>
  </si>
  <si>
    <t>M21_</t>
  </si>
  <si>
    <t>210191541R00</t>
  </si>
  <si>
    <t>Montáž skříní pojistkových v plastovém pilíři</t>
  </si>
  <si>
    <t>210191542R00</t>
  </si>
  <si>
    <t>Montáž plastového elektroměrového pilíře</t>
  </si>
  <si>
    <t>210202111R00</t>
  </si>
  <si>
    <t>Demontáž svítidlo veřejného osvětlení na výložníku</t>
  </si>
  <si>
    <t>Montáž svítidla LED veřejného osvětlení na výložník</t>
  </si>
  <si>
    <t>210204011R00</t>
  </si>
  <si>
    <t>Montáž stožár osvětlovací ocelový délky do 12 m</t>
  </si>
  <si>
    <t>210204201R00</t>
  </si>
  <si>
    <t>Elektrovýzbroj stožáru pro 1 okruh</t>
  </si>
  <si>
    <t>210220022R00</t>
  </si>
  <si>
    <t>Vedení uzemňovací v zemi FeZn, D 8 - 10 mm</t>
  </si>
  <si>
    <t>210220301R00</t>
  </si>
  <si>
    <t>Svorka hromosvodová do 2 šroubů /SS, SZ, SO/</t>
  </si>
  <si>
    <t>210810005R00</t>
  </si>
  <si>
    <t>Kabel CYKY-m 750 V 3 x 1,5 mm2 volně uložený - vystrojení svítidel</t>
  </si>
  <si>
    <t>210810013R00</t>
  </si>
  <si>
    <t>Kabel CYKY-m 750 V 4 x 10 mm2 volně uložený - zemní kabelová trasa</t>
  </si>
  <si>
    <t>210010124R00</t>
  </si>
  <si>
    <t>Uložení kabelů do kabelové chráničky typu Kopoflex d50 mm, uloženo volně</t>
  </si>
  <si>
    <t>M46</t>
  </si>
  <si>
    <t>Zemní práce při montážích</t>
  </si>
  <si>
    <t>460050714R00</t>
  </si>
  <si>
    <t>Jáma do 2m3 pro stožár veř.osvětlení,hor.4,strojně</t>
  </si>
  <si>
    <t>M46_</t>
  </si>
  <si>
    <t>460070133RT1</t>
  </si>
  <si>
    <t>Jáma pro montáž skříní rozvodnic VO, hor.3</t>
  </si>
  <si>
    <t>460100001R00</t>
  </si>
  <si>
    <t>Pouzdrový základ 250x800 mm mimo osu trasy</t>
  </si>
  <si>
    <t>460200164RT1</t>
  </si>
  <si>
    <t>Výkop kabelové rýhy 35/80 cm  hor.4</t>
  </si>
  <si>
    <t>460420001R00</t>
  </si>
  <si>
    <t>Zřízení kabel. lože v rýze š. do 65 cm ze zeminy</t>
  </si>
  <si>
    <t>460510021RT2</t>
  </si>
  <si>
    <t>Kabelový prostup z plast.trub, včetně dodávky trub DN 100 - chráničky křížení komunikací</t>
  </si>
  <si>
    <t>460490012RT1</t>
  </si>
  <si>
    <t>Fólie výstražná z PVC, šířka 33 cm</t>
  </si>
  <si>
    <t>460570164R00</t>
  </si>
  <si>
    <t>Zához rýhy 35/80 cm, hornina třídy 4, se zhutněním</t>
  </si>
  <si>
    <t>460650011RT2</t>
  </si>
  <si>
    <t>Podkladová vrstva ze štěrku tl.25 cm - oprava stávajících štěrkových cest</t>
  </si>
  <si>
    <t>460600001RT8</t>
  </si>
  <si>
    <t>Naložení a odvoz zeminy do 10 km - přebytečná zemina</t>
  </si>
  <si>
    <t>460600002R00</t>
  </si>
  <si>
    <t>Příplatek za odvoz za každých dalších 1000 m</t>
  </si>
  <si>
    <t>34111030</t>
  </si>
  <si>
    <t>Kabel silový s Cu jádrem 750 V CYKY 3 x 1,5 mm2</t>
  </si>
  <si>
    <t>SO-301_Z_</t>
  </si>
  <si>
    <t>34111076</t>
  </si>
  <si>
    <t>Kabel silový s Cu jádrem 750 V CYKY 4 x10 mm2</t>
  </si>
  <si>
    <t>3457114701</t>
  </si>
  <si>
    <t>Trubka kabelová chránička KOPOFLEX d50 mm</t>
  </si>
  <si>
    <t>35441895</t>
  </si>
  <si>
    <t>Svorka připojovací SP  kovových částí d 6-12 mm</t>
  </si>
  <si>
    <t>35441121</t>
  </si>
  <si>
    <t>Drát uzemňovací pozinkovaný FeZn d10 mm</t>
  </si>
  <si>
    <t>316735703</t>
  </si>
  <si>
    <t>Stožár osvětlovací uliční K 5,5</t>
  </si>
  <si>
    <t>316735704</t>
  </si>
  <si>
    <t>Stožár osvětlovací uliční K 6-133/89/60</t>
  </si>
  <si>
    <t>31673550</t>
  </si>
  <si>
    <t>Stožár osvětlovací uliční U 8-159/133/114</t>
  </si>
  <si>
    <t>31678615.A</t>
  </si>
  <si>
    <t>Svorkovnice stožárová</t>
  </si>
  <si>
    <t>348360220</t>
  </si>
  <si>
    <t>Svítidlo LED venkovní 12 W - typ dle specifikace v PD</t>
  </si>
  <si>
    <t>Svítidlo LED venkovní 15 W - typ dle specifikace v PD</t>
  </si>
  <si>
    <t>35711750</t>
  </si>
  <si>
    <t>Skříň rozpojovací pro VO, SRML 15x160A</t>
  </si>
  <si>
    <t>35711643</t>
  </si>
  <si>
    <t>Rozvaděč elektroměrový plastový v kompaktním pilíři - nové odběrné místo</t>
  </si>
  <si>
    <t>31677101</t>
  </si>
  <si>
    <t>Výložník SD1-300</t>
  </si>
  <si>
    <t>31677102</t>
  </si>
  <si>
    <t>Výložník SD1-500</t>
  </si>
  <si>
    <t>31677103</t>
  </si>
  <si>
    <t>Výložník SD1-750</t>
  </si>
  <si>
    <t>31677104</t>
  </si>
  <si>
    <t>Výložník SD1-1000</t>
  </si>
  <si>
    <t>31677105</t>
  </si>
  <si>
    <t>Výložník SD1-1250</t>
  </si>
  <si>
    <t>31677106</t>
  </si>
  <si>
    <t>Výložník SD-1-1500</t>
  </si>
  <si>
    <t>31677770</t>
  </si>
  <si>
    <t>Výložník dvojitý SK2-500/120°</t>
  </si>
  <si>
    <t>31677771</t>
  </si>
  <si>
    <t>Výložník dvojitý UZD2-2000/120°</t>
  </si>
  <si>
    <t>Geodetické práce - vytýčení a zaměření trasy, skutečné provedení</t>
  </si>
  <si>
    <t>SO-301_Â _</t>
  </si>
  <si>
    <t>04VRN</t>
  </si>
  <si>
    <t>044002VRN</t>
  </si>
  <si>
    <t>Revize rozvodu VO, výchozí</t>
  </si>
  <si>
    <t>04VRN_</t>
  </si>
  <si>
    <t>56,05</t>
  </si>
  <si>
    <t>24,804</t>
  </si>
  <si>
    <t>4*19</t>
  </si>
  <si>
    <t>5+37+1</t>
  </si>
  <si>
    <t>1281-55+43*1,2</t>
  </si>
  <si>
    <t>45*8</t>
  </si>
  <si>
    <t>1281+43*2,0</t>
  </si>
  <si>
    <t>1281</t>
  </si>
  <si>
    <t>43*0,6*0,6*0,8</t>
  </si>
  <si>
    <t>6+1</t>
  </si>
  <si>
    <t>1281-55</t>
  </si>
  <si>
    <t>1226</t>
  </si>
  <si>
    <t>20*1,5</t>
  </si>
  <si>
    <t>12,38+7*(0,6*0,3*0,6)+1226*0,035</t>
  </si>
  <si>
    <t>56,05*10</t>
  </si>
  <si>
    <t>56,05*1,80</t>
  </si>
  <si>
    <t>360*1,05</t>
  </si>
  <si>
    <t>1367*1,05</t>
  </si>
  <si>
    <t>1278*0,62</t>
  </si>
  <si>
    <t>NEDRAŽICE - CHODNÍKY A ÚPRAVY VNITŘNÍCH PROSTOR OBCE - Etapa-1</t>
  </si>
  <si>
    <t>SO-101 Chodníky a sjezdy u silnice III/19336</t>
  </si>
  <si>
    <t>SO-102 Chodníky a sjezdy u silnice III/19335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</si>
</sst>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8"/>
      <color rgb="FF000000"/>
      <name val="Arial"/>
      <charset val="238"/>
    </font>
    <font>
      <i/>
      <sz val="9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sz val="11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9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87"/>
  </cellStyleXfs>
  <cellXfs count="351">
    <xf numFmtId="0" fontId="0" fillId="0" borderId="0" xfId="0"/>
    <xf numFmtId="4" fontId="2" fillId="2" borderId="0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3" fillId="2" borderId="28" xfId="0" applyNumberFormat="1" applyFont="1" applyFill="1" applyBorder="1" applyAlignment="1" applyProtection="1">
      <alignment horizontal="left" vertical="center"/>
    </xf>
    <xf numFmtId="0" fontId="2" fillId="2" borderId="29" xfId="0" applyNumberFormat="1" applyFont="1" applyFill="1" applyBorder="1" applyAlignment="1" applyProtection="1">
      <alignment horizontal="left" vertical="center"/>
    </xf>
    <xf numFmtId="0" fontId="3" fillId="2" borderId="29" xfId="0" applyNumberFormat="1" applyFont="1" applyFill="1" applyBorder="1" applyAlignment="1" applyProtection="1">
      <alignment horizontal="left" vertical="center"/>
    </xf>
    <xf numFmtId="4" fontId="2" fillId="2" borderId="29" xfId="0" applyNumberFormat="1" applyFont="1" applyFill="1" applyBorder="1" applyAlignment="1" applyProtection="1">
      <alignment horizontal="right" vertical="center"/>
    </xf>
    <xf numFmtId="0" fontId="2" fillId="2" borderId="30" xfId="0" applyNumberFormat="1" applyFont="1" applyFill="1" applyBorder="1" applyAlignment="1" applyProtection="1">
      <alignment horizontal="right" vertical="center"/>
    </xf>
    <xf numFmtId="0" fontId="3" fillId="0" borderId="31" xfId="0" applyNumberFormat="1" applyFont="1" applyFill="1" applyBorder="1" applyAlignment="1" applyProtection="1">
      <alignment horizontal="left" vertical="center"/>
    </xf>
    <xf numFmtId="0" fontId="3" fillId="0" borderId="32" xfId="0" applyNumberFormat="1" applyFont="1" applyFill="1" applyBorder="1" applyAlignment="1" applyProtection="1">
      <alignment horizontal="left" vertical="center"/>
    </xf>
    <xf numFmtId="4" fontId="3" fillId="0" borderId="32" xfId="0" applyNumberFormat="1" applyFont="1" applyFill="1" applyBorder="1" applyAlignment="1" applyProtection="1">
      <alignment horizontal="right" vertical="center"/>
    </xf>
    <xf numFmtId="0" fontId="3" fillId="0" borderId="33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3" borderId="34" xfId="0" applyNumberFormat="1" applyFont="1" applyFill="1" applyBorder="1" applyAlignment="1" applyProtection="1">
      <alignment horizontal="left" vertical="center"/>
    </xf>
    <xf numFmtId="0" fontId="3" fillId="3" borderId="35" xfId="0" applyNumberFormat="1" applyFont="1" applyFill="1" applyBorder="1" applyAlignment="1" applyProtection="1">
      <alignment horizontal="left" vertical="center"/>
    </xf>
    <xf numFmtId="4" fontId="3" fillId="3" borderId="35" xfId="0" applyNumberFormat="1" applyFont="1" applyFill="1" applyBorder="1" applyAlignment="1" applyProtection="1">
      <alignment horizontal="right" vertical="center"/>
    </xf>
    <xf numFmtId="0" fontId="3" fillId="3" borderId="36" xfId="0" applyNumberFormat="1" applyFont="1" applyFill="1" applyBorder="1" applyAlignment="1" applyProtection="1">
      <alignment horizontal="right" vertical="center"/>
    </xf>
    <xf numFmtId="0" fontId="3" fillId="3" borderId="37" xfId="0" applyNumberFormat="1" applyFont="1" applyFill="1" applyBorder="1" applyAlignment="1" applyProtection="1">
      <alignment horizontal="left" vertical="center"/>
    </xf>
    <xf numFmtId="0" fontId="3" fillId="3" borderId="38" xfId="0" applyNumberFormat="1" applyFont="1" applyFill="1" applyBorder="1" applyAlignment="1" applyProtection="1">
      <alignment horizontal="left" vertical="center"/>
    </xf>
    <xf numFmtId="4" fontId="3" fillId="3" borderId="38" xfId="0" applyNumberFormat="1" applyFont="1" applyFill="1" applyBorder="1" applyAlignment="1" applyProtection="1">
      <alignment horizontal="right" vertical="center"/>
    </xf>
    <xf numFmtId="0" fontId="3" fillId="3" borderId="39" xfId="0" applyNumberFormat="1" applyFont="1" applyFill="1" applyBorder="1" applyAlignment="1" applyProtection="1">
      <alignment horizontal="right" vertical="center"/>
    </xf>
    <xf numFmtId="0" fontId="3" fillId="2" borderId="40" xfId="0" applyNumberFormat="1" applyFont="1" applyFill="1" applyBorder="1" applyAlignment="1" applyProtection="1">
      <alignment horizontal="left" vertical="center"/>
    </xf>
    <xf numFmtId="0" fontId="2" fillId="2" borderId="41" xfId="0" applyNumberFormat="1" applyFont="1" applyFill="1" applyBorder="1" applyAlignment="1" applyProtection="1">
      <alignment horizontal="left" vertical="center"/>
    </xf>
    <xf numFmtId="0" fontId="3" fillId="2" borderId="41" xfId="0" applyNumberFormat="1" applyFont="1" applyFill="1" applyBorder="1" applyAlignment="1" applyProtection="1">
      <alignment horizontal="left" vertical="center"/>
    </xf>
    <xf numFmtId="4" fontId="2" fillId="2" borderId="41" xfId="0" applyNumberFormat="1" applyFont="1" applyFill="1" applyBorder="1" applyAlignment="1" applyProtection="1">
      <alignment horizontal="right" vertical="center"/>
    </xf>
    <xf numFmtId="0" fontId="2" fillId="2" borderId="42" xfId="0" applyNumberFormat="1" applyFont="1" applyFill="1" applyBorder="1" applyAlignment="1" applyProtection="1">
      <alignment horizontal="righ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4" fontId="3" fillId="0" borderId="44" xfId="0" applyNumberFormat="1" applyFont="1" applyFill="1" applyBorder="1" applyAlignment="1" applyProtection="1">
      <alignment horizontal="righ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3" fillId="2" borderId="31" xfId="0" applyNumberFormat="1" applyFont="1" applyFill="1" applyBorder="1" applyAlignment="1" applyProtection="1">
      <alignment horizontal="left" vertical="center"/>
    </xf>
    <xf numFmtId="0" fontId="2" fillId="2" borderId="32" xfId="0" applyNumberFormat="1" applyFont="1" applyFill="1" applyBorder="1" applyAlignment="1" applyProtection="1">
      <alignment horizontal="left" vertical="center"/>
    </xf>
    <xf numFmtId="0" fontId="3" fillId="2" borderId="32" xfId="0" applyNumberFormat="1" applyFont="1" applyFill="1" applyBorder="1" applyAlignment="1" applyProtection="1">
      <alignment horizontal="left" vertical="center"/>
    </xf>
    <xf numFmtId="4" fontId="2" fillId="2" borderId="32" xfId="0" applyNumberFormat="1" applyFont="1" applyFill="1" applyBorder="1" applyAlignment="1" applyProtection="1">
      <alignment horizontal="right" vertical="center"/>
    </xf>
    <xf numFmtId="0" fontId="2" fillId="2" borderId="33" xfId="0" applyNumberFormat="1" applyFont="1" applyFill="1" applyBorder="1" applyAlignment="1" applyProtection="1">
      <alignment horizontal="right" vertical="center"/>
    </xf>
    <xf numFmtId="0" fontId="3" fillId="0" borderId="40" xfId="0" applyNumberFormat="1" applyFont="1" applyFill="1" applyBorder="1" applyAlignment="1" applyProtection="1">
      <alignment horizontal="left" vertical="center"/>
    </xf>
    <xf numFmtId="0" fontId="3" fillId="0" borderId="41" xfId="0" applyNumberFormat="1" applyFont="1" applyFill="1" applyBorder="1" applyAlignment="1" applyProtection="1">
      <alignment horizontal="left" vertical="center"/>
    </xf>
    <xf numFmtId="4" fontId="3" fillId="0" borderId="41" xfId="0" applyNumberFormat="1" applyFont="1" applyFill="1" applyBorder="1" applyAlignment="1" applyProtection="1">
      <alignment horizontal="right" vertical="center"/>
    </xf>
    <xf numFmtId="0" fontId="3" fillId="0" borderId="42" xfId="0" applyNumberFormat="1" applyFont="1" applyFill="1" applyBorder="1" applyAlignment="1" applyProtection="1">
      <alignment horizontal="right" vertical="center"/>
    </xf>
    <xf numFmtId="0" fontId="3" fillId="2" borderId="43" xfId="0" applyNumberFormat="1" applyFont="1" applyFill="1" applyBorder="1" applyAlignment="1" applyProtection="1">
      <alignment horizontal="left" vertical="center"/>
    </xf>
    <xf numFmtId="0" fontId="2" fillId="2" borderId="44" xfId="0" applyNumberFormat="1" applyFont="1" applyFill="1" applyBorder="1" applyAlignment="1" applyProtection="1">
      <alignment horizontal="left" vertical="center"/>
    </xf>
    <xf numFmtId="0" fontId="3" fillId="2" borderId="44" xfId="0" applyNumberFormat="1" applyFont="1" applyFill="1" applyBorder="1" applyAlignment="1" applyProtection="1">
      <alignment horizontal="left" vertical="center"/>
    </xf>
    <xf numFmtId="4" fontId="2" fillId="2" borderId="44" xfId="0" applyNumberFormat="1" applyFont="1" applyFill="1" applyBorder="1" applyAlignment="1" applyProtection="1">
      <alignment horizontal="right" vertical="center"/>
    </xf>
    <xf numFmtId="0" fontId="2" fillId="2" borderId="45" xfId="0" applyNumberFormat="1" applyFont="1" applyFill="1" applyBorder="1" applyAlignment="1" applyProtection="1">
      <alignment horizontal="right" vertical="center"/>
    </xf>
    <xf numFmtId="0" fontId="3" fillId="0" borderId="46" xfId="0" applyNumberFormat="1" applyFont="1" applyFill="1" applyBorder="1" applyAlignment="1" applyProtection="1">
      <alignment horizontal="left" vertical="center"/>
    </xf>
    <xf numFmtId="0" fontId="3" fillId="0" borderId="47" xfId="0" applyNumberFormat="1" applyFont="1" applyFill="1" applyBorder="1" applyAlignment="1" applyProtection="1">
      <alignment horizontal="left" vertical="center"/>
    </xf>
    <xf numFmtId="4" fontId="3" fillId="0" borderId="47" xfId="0" applyNumberFormat="1" applyFont="1" applyFill="1" applyBorder="1" applyAlignment="1" applyProtection="1">
      <alignment horizontal="right" vertical="center"/>
    </xf>
    <xf numFmtId="0" fontId="3" fillId="0" borderId="48" xfId="0" applyNumberFormat="1" applyFont="1" applyFill="1" applyBorder="1" applyAlignment="1" applyProtection="1">
      <alignment horizontal="righ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" fillId="0" borderId="50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4" fontId="3" fillId="0" borderId="29" xfId="0" applyNumberFormat="1" applyFont="1" applyFill="1" applyBorder="1" applyAlignment="1" applyProtection="1">
      <alignment horizontal="right" vertical="center"/>
    </xf>
    <xf numFmtId="4" fontId="3" fillId="0" borderId="3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0" fillId="0" borderId="6" xfId="0" applyNumberFormat="1" applyFont="1" applyFill="1" applyBorder="1" applyAlignment="1" applyProtection="1"/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47" xfId="0" applyNumberFormat="1" applyFont="1" applyFill="1" applyBorder="1" applyAlignment="1" applyProtection="1">
      <alignment horizontal="left" vertical="center"/>
    </xf>
    <xf numFmtId="4" fontId="5" fillId="0" borderId="47" xfId="0" applyNumberFormat="1" applyFont="1" applyFill="1" applyBorder="1" applyAlignment="1" applyProtection="1">
      <alignment horizontal="right" vertical="center"/>
    </xf>
    <xf numFmtId="0" fontId="7" fillId="2" borderId="57" xfId="0" applyNumberFormat="1" applyFont="1" applyFill="1" applyBorder="1" applyAlignment="1" applyProtection="1">
      <alignment horizontal="center" vertical="center"/>
    </xf>
    <xf numFmtId="0" fontId="7" fillId="2" borderId="60" xfId="0" applyNumberFormat="1" applyFont="1" applyFill="1" applyBorder="1" applyAlignment="1" applyProtection="1">
      <alignment horizontal="center" vertical="center"/>
    </xf>
    <xf numFmtId="0" fontId="9" fillId="0" borderId="61" xfId="0" applyNumberFormat="1" applyFont="1" applyFill="1" applyBorder="1" applyAlignment="1" applyProtection="1">
      <alignment horizontal="left" vertical="center"/>
    </xf>
    <xf numFmtId="0" fontId="10" fillId="0" borderId="62" xfId="0" applyNumberFormat="1" applyFont="1" applyFill="1" applyBorder="1" applyAlignment="1" applyProtection="1">
      <alignment horizontal="left" vertical="center"/>
    </xf>
    <xf numFmtId="4" fontId="10" fillId="0" borderId="62" xfId="0" applyNumberFormat="1" applyFont="1" applyFill="1" applyBorder="1" applyAlignment="1" applyProtection="1">
      <alignment horizontal="right" vertical="center"/>
    </xf>
    <xf numFmtId="0" fontId="10" fillId="0" borderId="62" xfId="0" applyNumberFormat="1" applyFont="1" applyFill="1" applyBorder="1" applyAlignment="1" applyProtection="1">
      <alignment horizontal="right" vertical="center"/>
    </xf>
    <xf numFmtId="0" fontId="9" fillId="0" borderId="65" xfId="0" applyNumberFormat="1" applyFont="1" applyFill="1" applyBorder="1" applyAlignment="1" applyProtection="1">
      <alignment horizontal="left" vertical="center"/>
    </xf>
    <xf numFmtId="4" fontId="10" fillId="0" borderId="69" xfId="0" applyNumberFormat="1" applyFont="1" applyFill="1" applyBorder="1" applyAlignment="1" applyProtection="1">
      <alignment horizontal="right" vertical="center"/>
    </xf>
    <xf numFmtId="0" fontId="10" fillId="0" borderId="69" xfId="0" applyNumberFormat="1" applyFont="1" applyFill="1" applyBorder="1" applyAlignment="1" applyProtection="1">
      <alignment horizontal="right" vertical="center"/>
    </xf>
    <xf numFmtId="4" fontId="10" fillId="0" borderId="60" xfId="0" applyNumberFormat="1" applyFont="1" applyFill="1" applyBorder="1" applyAlignment="1" applyProtection="1">
      <alignment horizontal="right" vertical="center"/>
    </xf>
    <xf numFmtId="4" fontId="10" fillId="0" borderId="25" xfId="0" applyNumberFormat="1" applyFont="1" applyFill="1" applyBorder="1" applyAlignment="1" applyProtection="1">
      <alignment horizontal="right" vertical="center"/>
    </xf>
    <xf numFmtId="4" fontId="9" fillId="2" borderId="59" xfId="0" applyNumberFormat="1" applyFont="1" applyFill="1" applyBorder="1" applyAlignment="1" applyProtection="1">
      <alignment horizontal="right" vertical="center"/>
    </xf>
    <xf numFmtId="4" fontId="9" fillId="2" borderId="64" xfId="0" applyNumberFormat="1" applyFont="1" applyFill="1" applyBorder="1" applyAlignment="1" applyProtection="1">
      <alignment horizontal="right" vertical="center"/>
    </xf>
    <xf numFmtId="0" fontId="4" fillId="0" borderId="29" xfId="0" applyNumberFormat="1" applyFont="1" applyFill="1" applyBorder="1" applyAlignment="1" applyProtection="1">
      <alignment horizontal="left" vertical="center"/>
    </xf>
    <xf numFmtId="0" fontId="2" fillId="0" borderId="85" xfId="0" applyNumberFormat="1" applyFont="1" applyFill="1" applyBorder="1" applyAlignment="1" applyProtection="1">
      <alignment horizontal="right" vertical="center"/>
    </xf>
    <xf numFmtId="4" fontId="3" fillId="0" borderId="62" xfId="0" applyNumberFormat="1" applyFont="1" applyFill="1" applyBorder="1" applyAlignment="1" applyProtection="1">
      <alignment horizontal="right" vertical="center"/>
    </xf>
    <xf numFmtId="0" fontId="3" fillId="0" borderId="62" xfId="0" applyNumberFormat="1" applyFont="1" applyFill="1" applyBorder="1" applyAlignment="1" applyProtection="1">
      <alignment horizontal="left" vertical="center"/>
    </xf>
    <xf numFmtId="4" fontId="3" fillId="0" borderId="89" xfId="0" applyNumberFormat="1" applyFont="1" applyFill="1" applyBorder="1" applyAlignment="1" applyProtection="1">
      <alignment horizontal="right" vertical="center"/>
    </xf>
    <xf numFmtId="0" fontId="3" fillId="0" borderId="89" xfId="0" applyNumberFormat="1" applyFont="1" applyFill="1" applyBorder="1" applyAlignment="1" applyProtection="1">
      <alignment horizontal="left" vertical="center"/>
    </xf>
    <xf numFmtId="0" fontId="2" fillId="0" borderId="93" xfId="0" applyNumberFormat="1" applyFont="1" applyFill="1" applyBorder="1" applyAlignment="1" applyProtection="1">
      <alignment horizontal="left" vertical="center"/>
    </xf>
    <xf numFmtId="0" fontId="2" fillId="0" borderId="93" xfId="0" applyNumberFormat="1" applyFont="1" applyFill="1" applyBorder="1" applyAlignment="1" applyProtection="1">
      <alignment horizontal="right" vertical="center"/>
    </xf>
    <xf numFmtId="4" fontId="2" fillId="0" borderId="93" xfId="0" applyNumberFormat="1" applyFont="1" applyFill="1" applyBorder="1" applyAlignment="1" applyProtection="1">
      <alignment horizontal="right" vertical="center"/>
    </xf>
    <xf numFmtId="0" fontId="11" fillId="0" borderId="87" xfId="1"/>
    <xf numFmtId="4" fontId="2" fillId="2" borderId="87" xfId="1" applyNumberFormat="1" applyFont="1" applyFill="1" applyBorder="1" applyAlignment="1" applyProtection="1">
      <alignment horizontal="right" vertical="center"/>
    </xf>
    <xf numFmtId="0" fontId="2" fillId="0" borderId="10" xfId="1" applyNumberFormat="1" applyFont="1" applyFill="1" applyBorder="1" applyAlignment="1" applyProtection="1">
      <alignment horizontal="left" vertical="center"/>
    </xf>
    <xf numFmtId="0" fontId="2" fillId="0" borderId="18" xfId="1" applyNumberFormat="1" applyFont="1" applyFill="1" applyBorder="1" applyAlignment="1" applyProtection="1">
      <alignment horizontal="left" vertical="center"/>
    </xf>
    <xf numFmtId="0" fontId="2" fillId="0" borderId="18" xfId="1" applyNumberFormat="1" applyFont="1" applyFill="1" applyBorder="1" applyAlignment="1" applyProtection="1">
      <alignment horizontal="center" vertical="center"/>
    </xf>
    <xf numFmtId="0" fontId="2" fillId="0" borderId="77" xfId="1" applyNumberFormat="1" applyFont="1" applyFill="1" applyBorder="1" applyAlignment="1" applyProtection="1">
      <alignment horizontal="center" vertical="center"/>
    </xf>
    <xf numFmtId="0" fontId="2" fillId="2" borderId="87" xfId="1" applyNumberFormat="1" applyFont="1" applyFill="1" applyBorder="1" applyAlignment="1" applyProtection="1">
      <alignment horizontal="right" vertical="center"/>
    </xf>
    <xf numFmtId="0" fontId="2" fillId="0" borderId="87" xfId="1" applyNumberFormat="1" applyFont="1" applyFill="1" applyBorder="1" applyAlignment="1" applyProtection="1">
      <alignment horizontal="right" vertical="center"/>
    </xf>
    <xf numFmtId="0" fontId="3" fillId="0" borderId="19" xfId="1" applyNumberFormat="1" applyFont="1" applyFill="1" applyBorder="1" applyAlignment="1" applyProtection="1">
      <alignment horizontal="left" vertical="center"/>
    </xf>
    <xf numFmtId="0" fontId="3" fillId="0" borderId="27" xfId="1" applyNumberFormat="1" applyFont="1" applyFill="1" applyBorder="1" applyAlignment="1" applyProtection="1">
      <alignment horizontal="left" vertical="center"/>
    </xf>
    <xf numFmtId="0" fontId="2" fillId="0" borderId="84" xfId="1" applyNumberFormat="1" applyFont="1" applyFill="1" applyBorder="1" applyAlignment="1" applyProtection="1">
      <alignment horizontal="center" vertical="center"/>
    </xf>
    <xf numFmtId="0" fontId="2" fillId="0" borderId="24" xfId="1" applyNumberFormat="1" applyFont="1" applyFill="1" applyBorder="1" applyAlignment="1" applyProtection="1">
      <alignment horizontal="center" vertical="center"/>
    </xf>
    <xf numFmtId="0" fontId="2" fillId="0" borderId="27" xfId="1" applyNumberFormat="1" applyFont="1" applyFill="1" applyBorder="1" applyAlignment="1" applyProtection="1">
      <alignment horizontal="center" vertical="center"/>
    </xf>
    <xf numFmtId="0" fontId="2" fillId="0" borderId="83" xfId="1" applyNumberFormat="1" applyFont="1" applyFill="1" applyBorder="1" applyAlignment="1" applyProtection="1">
      <alignment horizontal="center" vertical="center"/>
    </xf>
    <xf numFmtId="0" fontId="3" fillId="2" borderId="86" xfId="1" applyNumberFormat="1" applyFont="1" applyFill="1" applyBorder="1" applyAlignment="1" applyProtection="1">
      <alignment horizontal="left" vertical="center"/>
    </xf>
    <xf numFmtId="0" fontId="2" fillId="2" borderId="87" xfId="1" applyNumberFormat="1" applyFont="1" applyFill="1" applyBorder="1" applyAlignment="1" applyProtection="1">
      <alignment horizontal="left" vertical="center"/>
    </xf>
    <xf numFmtId="0" fontId="3" fillId="2" borderId="87" xfId="1" applyNumberFormat="1" applyFont="1" applyFill="1" applyBorder="1" applyAlignment="1" applyProtection="1">
      <alignment horizontal="left" vertical="center"/>
    </xf>
    <xf numFmtId="0" fontId="2" fillId="2" borderId="89" xfId="1" applyNumberFormat="1" applyFont="1" applyFill="1" applyBorder="1" applyAlignment="1" applyProtection="1">
      <alignment horizontal="right" vertical="center"/>
    </xf>
    <xf numFmtId="0" fontId="3" fillId="3" borderId="37" xfId="1" applyNumberFormat="1" applyFont="1" applyFill="1" applyBorder="1" applyAlignment="1" applyProtection="1">
      <alignment horizontal="left" vertical="center"/>
    </xf>
    <xf numFmtId="0" fontId="3" fillId="3" borderId="87" xfId="1" applyNumberFormat="1" applyFont="1" applyFill="1" applyBorder="1" applyAlignment="1" applyProtection="1">
      <alignment horizontal="left" vertical="center"/>
    </xf>
    <xf numFmtId="4" fontId="3" fillId="3" borderId="87" xfId="1" applyNumberFormat="1" applyFont="1" applyFill="1" applyBorder="1" applyAlignment="1" applyProtection="1">
      <alignment horizontal="right" vertical="center"/>
    </xf>
    <xf numFmtId="0" fontId="3" fillId="3" borderId="39" xfId="1" applyNumberFormat="1" applyFont="1" applyFill="1" applyBorder="1" applyAlignment="1" applyProtection="1">
      <alignment horizontal="right" vertical="center"/>
    </xf>
    <xf numFmtId="4" fontId="3" fillId="0" borderId="87" xfId="1" applyNumberFormat="1" applyFont="1" applyFill="1" applyBorder="1" applyAlignment="1" applyProtection="1">
      <alignment horizontal="right" vertical="center"/>
    </xf>
    <xf numFmtId="0" fontId="3" fillId="0" borderId="87" xfId="1" applyNumberFormat="1" applyFont="1" applyFill="1" applyBorder="1" applyAlignment="1" applyProtection="1">
      <alignment horizontal="right" vertical="center"/>
    </xf>
    <xf numFmtId="0" fontId="3" fillId="0" borderId="87" xfId="1" applyNumberFormat="1" applyFont="1" applyFill="1" applyBorder="1" applyAlignment="1" applyProtection="1">
      <alignment horizontal="left" vertical="center" wrapText="1"/>
    </xf>
    <xf numFmtId="0" fontId="3" fillId="0" borderId="86" xfId="1" applyNumberFormat="1" applyFont="1" applyFill="1" applyBorder="1" applyAlignment="1" applyProtection="1">
      <alignment horizontal="left" vertical="center"/>
    </xf>
    <xf numFmtId="0" fontId="3" fillId="0" borderId="87" xfId="1" applyNumberFormat="1" applyFont="1" applyFill="1" applyBorder="1" applyAlignment="1" applyProtection="1">
      <alignment horizontal="left" vertical="center"/>
    </xf>
    <xf numFmtId="0" fontId="3" fillId="0" borderId="89" xfId="1" applyNumberFormat="1" applyFont="1" applyFill="1" applyBorder="1" applyAlignment="1" applyProtection="1">
      <alignment horizontal="right" vertical="center"/>
    </xf>
    <xf numFmtId="0" fontId="3" fillId="0" borderId="66" xfId="1" applyNumberFormat="1" applyFont="1" applyFill="1" applyBorder="1" applyAlignment="1" applyProtection="1">
      <alignment horizontal="left" vertical="center"/>
    </xf>
    <xf numFmtId="0" fontId="3" fillId="0" borderId="73" xfId="1" applyNumberFormat="1" applyFont="1" applyFill="1" applyBorder="1" applyAlignment="1" applyProtection="1">
      <alignment horizontal="left" vertical="center"/>
    </xf>
    <xf numFmtId="4" fontId="3" fillId="0" borderId="73" xfId="1" applyNumberFormat="1" applyFont="1" applyFill="1" applyBorder="1" applyAlignment="1" applyProtection="1">
      <alignment horizontal="right" vertical="center"/>
    </xf>
    <xf numFmtId="0" fontId="3" fillId="0" borderId="64" xfId="1" applyNumberFormat="1" applyFont="1" applyFill="1" applyBorder="1" applyAlignment="1" applyProtection="1">
      <alignment horizontal="right" vertical="center"/>
    </xf>
    <xf numFmtId="4" fontId="2" fillId="0" borderId="87" xfId="1" applyNumberFormat="1" applyFont="1" applyFill="1" applyBorder="1" applyAlignment="1" applyProtection="1">
      <alignment horizontal="right" vertical="center"/>
    </xf>
    <xf numFmtId="0" fontId="4" fillId="0" borderId="87" xfId="1" applyNumberFormat="1" applyFont="1" applyFill="1" applyBorder="1" applyAlignment="1" applyProtection="1">
      <alignment horizontal="left" vertical="center"/>
    </xf>
    <xf numFmtId="0" fontId="2" fillId="0" borderId="50" xfId="1" applyNumberFormat="1" applyFont="1" applyFill="1" applyBorder="1" applyAlignment="1" applyProtection="1">
      <alignment horizontal="left" vertical="center"/>
    </xf>
    <xf numFmtId="0" fontId="2" fillId="0" borderId="53" xfId="1" applyNumberFormat="1" applyFont="1" applyFill="1" applyBorder="1" applyAlignment="1" applyProtection="1">
      <alignment horizontal="left" vertical="center"/>
    </xf>
    <xf numFmtId="0" fontId="2" fillId="0" borderId="94" xfId="1" applyNumberFormat="1" applyFont="1" applyFill="1" applyBorder="1" applyAlignment="1" applyProtection="1">
      <alignment horizontal="right" vertical="center"/>
    </xf>
    <xf numFmtId="0" fontId="2" fillId="0" borderId="55" xfId="1" applyNumberFormat="1" applyFont="1" applyFill="1" applyBorder="1" applyAlignment="1" applyProtection="1">
      <alignment horizontal="left" vertical="center"/>
    </xf>
    <xf numFmtId="4" fontId="3" fillId="0" borderId="89" xfId="1" applyNumberFormat="1" applyFont="1" applyFill="1" applyBorder="1" applyAlignment="1" applyProtection="1">
      <alignment horizontal="right" vertical="center"/>
    </xf>
    <xf numFmtId="0" fontId="0" fillId="0" borderId="86" xfId="1" applyNumberFormat="1" applyFont="1" applyFill="1" applyBorder="1" applyAlignment="1" applyProtection="1"/>
    <xf numFmtId="0" fontId="5" fillId="0" borderId="87" xfId="1" applyNumberFormat="1" applyFont="1" applyFill="1" applyBorder="1" applyAlignment="1" applyProtection="1">
      <alignment horizontal="left" vertical="center"/>
    </xf>
    <xf numFmtId="4" fontId="5" fillId="0" borderId="87" xfId="1" applyNumberFormat="1" applyFont="1" applyFill="1" applyBorder="1" applyAlignment="1" applyProtection="1">
      <alignment horizontal="right" vertical="center"/>
    </xf>
    <xf numFmtId="0" fontId="0" fillId="0" borderId="89" xfId="1" applyNumberFormat="1" applyFont="1" applyFill="1" applyBorder="1" applyAlignment="1" applyProtection="1"/>
    <xf numFmtId="0" fontId="0" fillId="0" borderId="66" xfId="1" applyNumberFormat="1" applyFont="1" applyFill="1" applyBorder="1" applyAlignment="1" applyProtection="1"/>
    <xf numFmtId="0" fontId="0" fillId="0" borderId="73" xfId="1" applyNumberFormat="1" applyFont="1" applyFill="1" applyBorder="1" applyAlignment="1" applyProtection="1"/>
    <xf numFmtId="0" fontId="5" fillId="0" borderId="73" xfId="1" applyNumberFormat="1" applyFont="1" applyFill="1" applyBorder="1" applyAlignment="1" applyProtection="1">
      <alignment horizontal="left" vertical="center"/>
    </xf>
    <xf numFmtId="4" fontId="5" fillId="0" borderId="73" xfId="1" applyNumberFormat="1" applyFont="1" applyFill="1" applyBorder="1" applyAlignment="1" applyProtection="1">
      <alignment horizontal="right" vertical="center"/>
    </xf>
    <xf numFmtId="0" fontId="0" fillId="0" borderId="64" xfId="1" applyNumberFormat="1" applyFont="1" applyFill="1" applyBorder="1" applyAlignment="1" applyProtection="1"/>
    <xf numFmtId="0" fontId="7" fillId="2" borderId="57" xfId="1" applyNumberFormat="1" applyFont="1" applyFill="1" applyBorder="1" applyAlignment="1" applyProtection="1">
      <alignment horizontal="center" vertical="center"/>
    </xf>
    <xf numFmtId="0" fontId="7" fillId="2" borderId="60" xfId="1" applyNumberFormat="1" applyFont="1" applyFill="1" applyBorder="1" applyAlignment="1" applyProtection="1">
      <alignment horizontal="center" vertical="center"/>
    </xf>
    <xf numFmtId="0" fontId="9" fillId="0" borderId="61" xfId="1" applyNumberFormat="1" applyFont="1" applyFill="1" applyBorder="1" applyAlignment="1" applyProtection="1">
      <alignment horizontal="left" vertical="center"/>
    </xf>
    <xf numFmtId="0" fontId="10" fillId="0" borderId="64" xfId="1" applyNumberFormat="1" applyFont="1" applyFill="1" applyBorder="1" applyAlignment="1" applyProtection="1">
      <alignment horizontal="left" vertical="center"/>
    </xf>
    <xf numFmtId="4" fontId="10" fillId="0" borderId="64" xfId="1" applyNumberFormat="1" applyFont="1" applyFill="1" applyBorder="1" applyAlignment="1" applyProtection="1">
      <alignment horizontal="right" vertical="center"/>
    </xf>
    <xf numFmtId="0" fontId="10" fillId="0" borderId="64" xfId="1" applyNumberFormat="1" applyFont="1" applyFill="1" applyBorder="1" applyAlignment="1" applyProtection="1">
      <alignment horizontal="right" vertical="center"/>
    </xf>
    <xf numFmtId="0" fontId="9" fillId="0" borderId="65" xfId="1" applyNumberFormat="1" applyFont="1" applyFill="1" applyBorder="1" applyAlignment="1" applyProtection="1">
      <alignment horizontal="left" vertical="center"/>
    </xf>
    <xf numFmtId="4" fontId="10" fillId="0" borderId="89" xfId="1" applyNumberFormat="1" applyFont="1" applyFill="1" applyBorder="1" applyAlignment="1" applyProtection="1">
      <alignment horizontal="right" vertical="center"/>
    </xf>
    <xf numFmtId="0" fontId="10" fillId="0" borderId="89" xfId="1" applyNumberFormat="1" applyFont="1" applyFill="1" applyBorder="1" applyAlignment="1" applyProtection="1">
      <alignment horizontal="right" vertical="center"/>
    </xf>
    <xf numFmtId="4" fontId="10" fillId="0" borderId="60" xfId="1" applyNumberFormat="1" applyFont="1" applyFill="1" applyBorder="1" applyAlignment="1" applyProtection="1">
      <alignment horizontal="right" vertical="center"/>
    </xf>
    <xf numFmtId="4" fontId="10" fillId="0" borderId="27" xfId="1" applyNumberFormat="1" applyFont="1" applyFill="1" applyBorder="1" applyAlignment="1" applyProtection="1">
      <alignment horizontal="right" vertical="center"/>
    </xf>
    <xf numFmtId="4" fontId="9" fillId="2" borderId="60" xfId="1" applyNumberFormat="1" applyFont="1" applyFill="1" applyBorder="1" applyAlignment="1" applyProtection="1">
      <alignment horizontal="right" vertical="center"/>
    </xf>
    <xf numFmtId="4" fontId="9" fillId="2" borderId="64" xfId="1" applyNumberFormat="1" applyFont="1" applyFill="1" applyBorder="1" applyAlignment="1" applyProtection="1">
      <alignment horizontal="right" vertical="center"/>
    </xf>
    <xf numFmtId="0" fontId="2" fillId="2" borderId="86" xfId="1" applyNumberFormat="1" applyFont="1" applyFill="1" applyBorder="1" applyAlignment="1" applyProtection="1">
      <alignment horizontal="left" vertical="center"/>
    </xf>
    <xf numFmtId="4" fontId="3" fillId="4" borderId="32" xfId="0" applyNumberFormat="1" applyFont="1" applyFill="1" applyBorder="1" applyAlignment="1" applyProtection="1">
      <alignment horizontal="right" vertical="center"/>
    </xf>
    <xf numFmtId="4" fontId="3" fillId="5" borderId="35" xfId="0" applyNumberFormat="1" applyFont="1" applyFill="1" applyBorder="1" applyAlignment="1" applyProtection="1">
      <alignment horizontal="right" vertical="center"/>
    </xf>
    <xf numFmtId="4" fontId="3" fillId="5" borderId="38" xfId="0" applyNumberFormat="1" applyFont="1" applyFill="1" applyBorder="1" applyAlignment="1" applyProtection="1">
      <alignment horizontal="right" vertical="center"/>
    </xf>
    <xf numFmtId="4" fontId="3" fillId="4" borderId="44" xfId="0" applyNumberFormat="1" applyFont="1" applyFill="1" applyBorder="1" applyAlignment="1" applyProtection="1">
      <alignment horizontal="right" vertical="center"/>
    </xf>
    <xf numFmtId="4" fontId="3" fillId="4" borderId="0" xfId="0" applyNumberFormat="1" applyFont="1" applyFill="1" applyBorder="1" applyAlignment="1" applyProtection="1">
      <alignment horizontal="right" vertical="center"/>
    </xf>
    <xf numFmtId="4" fontId="3" fillId="4" borderId="41" xfId="0" applyNumberFormat="1" applyFont="1" applyFill="1" applyBorder="1" applyAlignment="1" applyProtection="1">
      <alignment horizontal="right" vertical="center"/>
    </xf>
    <xf numFmtId="4" fontId="3" fillId="4" borderId="47" xfId="0" applyNumberFormat="1" applyFont="1" applyFill="1" applyBorder="1" applyAlignment="1" applyProtection="1">
      <alignment horizontal="right" vertical="center"/>
    </xf>
    <xf numFmtId="4" fontId="3" fillId="5" borderId="87" xfId="1" applyNumberFormat="1" applyFont="1" applyFill="1" applyBorder="1" applyAlignment="1" applyProtection="1">
      <alignment horizontal="right" vertical="center"/>
    </xf>
    <xf numFmtId="4" fontId="3" fillId="4" borderId="87" xfId="1" applyNumberFormat="1" applyFont="1" applyFill="1" applyBorder="1" applyAlignment="1" applyProtection="1">
      <alignment horizontal="right" vertical="center"/>
    </xf>
    <xf numFmtId="4" fontId="3" fillId="4" borderId="73" xfId="1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0" fillId="0" borderId="78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79" xfId="0" applyNumberFormat="1" applyFont="1" applyFill="1" applyBorder="1" applyAlignment="1" applyProtection="1">
      <alignment horizontal="left" vertical="center"/>
    </xf>
    <xf numFmtId="0" fontId="10" fillId="0" borderId="80" xfId="0" applyNumberFormat="1" applyFont="1" applyFill="1" applyBorder="1" applyAlignment="1" applyProtection="1">
      <alignment horizontal="left" vertical="center"/>
    </xf>
    <xf numFmtId="0" fontId="10" fillId="0" borderId="81" xfId="0" applyNumberFormat="1" applyFont="1" applyFill="1" applyBorder="1" applyAlignment="1" applyProtection="1">
      <alignment horizontal="left" vertical="center"/>
    </xf>
    <xf numFmtId="0" fontId="10" fillId="0" borderId="82" xfId="0" applyNumberFormat="1" applyFont="1" applyFill="1" applyBorder="1" applyAlignment="1" applyProtection="1">
      <alignment horizontal="left" vertical="center"/>
    </xf>
    <xf numFmtId="0" fontId="10" fillId="0" borderId="83" xfId="0" applyNumberFormat="1" applyFont="1" applyFill="1" applyBorder="1" applyAlignment="1" applyProtection="1">
      <alignment horizontal="left" vertical="center"/>
    </xf>
    <xf numFmtId="0" fontId="10" fillId="0" borderId="84" xfId="0" applyNumberFormat="1" applyFont="1" applyFill="1" applyBorder="1" applyAlignment="1" applyProtection="1">
      <alignment horizontal="left" vertical="center"/>
    </xf>
    <xf numFmtId="0" fontId="9" fillId="2" borderId="66" xfId="0" applyNumberFormat="1" applyFont="1" applyFill="1" applyBorder="1" applyAlignment="1" applyProtection="1">
      <alignment horizontal="left" vertical="center"/>
    </xf>
    <xf numFmtId="0" fontId="9" fillId="2" borderId="73" xfId="0" applyNumberFormat="1" applyFont="1" applyFill="1" applyBorder="1" applyAlignment="1" applyProtection="1">
      <alignment horizontal="left" vertical="center"/>
    </xf>
    <xf numFmtId="0" fontId="9" fillId="2" borderId="63" xfId="0" applyNumberFormat="1" applyFont="1" applyFill="1" applyBorder="1" applyAlignment="1" applyProtection="1">
      <alignment horizontal="left" vertical="center"/>
    </xf>
    <xf numFmtId="0" fontId="10" fillId="0" borderId="74" xfId="0" applyNumberFormat="1" applyFont="1" applyFill="1" applyBorder="1" applyAlignment="1" applyProtection="1">
      <alignment horizontal="left" vertical="center"/>
    </xf>
    <xf numFmtId="0" fontId="10" fillId="0" borderId="75" xfId="0" applyNumberFormat="1" applyFont="1" applyFill="1" applyBorder="1" applyAlignment="1" applyProtection="1">
      <alignment horizontal="left" vertical="center"/>
    </xf>
    <xf numFmtId="0" fontId="10" fillId="0" borderId="76" xfId="0" applyNumberFormat="1" applyFont="1" applyFill="1" applyBorder="1" applyAlignment="1" applyProtection="1">
      <alignment horizontal="left" vertical="center"/>
    </xf>
    <xf numFmtId="0" fontId="10" fillId="0" borderId="77" xfId="0" applyNumberFormat="1" applyFont="1" applyFill="1" applyBorder="1" applyAlignment="1" applyProtection="1">
      <alignment horizontal="left" vertical="center"/>
    </xf>
    <xf numFmtId="0" fontId="9" fillId="0" borderId="66" xfId="0" applyNumberFormat="1" applyFont="1" applyFill="1" applyBorder="1" applyAlignment="1" applyProtection="1">
      <alignment horizontal="left" vertical="center"/>
    </xf>
    <xf numFmtId="0" fontId="9" fillId="0" borderId="64" xfId="0" applyNumberFormat="1" applyFont="1" applyFill="1" applyBorder="1" applyAlignment="1" applyProtection="1">
      <alignment horizontal="left" vertical="center"/>
    </xf>
    <xf numFmtId="0" fontId="9" fillId="0" borderId="63" xfId="0" applyNumberFormat="1" applyFont="1" applyFill="1" applyBorder="1" applyAlignment="1" applyProtection="1">
      <alignment horizontal="left" vertical="center"/>
    </xf>
    <xf numFmtId="0" fontId="9" fillId="2" borderId="71" xfId="0" applyNumberFormat="1" applyFont="1" applyFill="1" applyBorder="1" applyAlignment="1" applyProtection="1">
      <alignment horizontal="left" vertical="center"/>
    </xf>
    <xf numFmtId="0" fontId="9" fillId="2" borderId="72" xfId="0" applyNumberFormat="1" applyFont="1" applyFill="1" applyBorder="1" applyAlignment="1" applyProtection="1">
      <alignment horizontal="left" vertical="center"/>
    </xf>
    <xf numFmtId="0" fontId="9" fillId="2" borderId="58" xfId="0" applyNumberFormat="1" applyFont="1" applyFill="1" applyBorder="1" applyAlignment="1" applyProtection="1">
      <alignment horizontal="left" vertical="center"/>
    </xf>
    <xf numFmtId="0" fontId="9" fillId="0" borderId="67" xfId="0" applyNumberFormat="1" applyFont="1" applyFill="1" applyBorder="1" applyAlignment="1" applyProtection="1">
      <alignment horizontal="left" vertical="center"/>
    </xf>
    <xf numFmtId="0" fontId="9" fillId="0" borderId="68" xfId="0" applyNumberFormat="1" applyFont="1" applyFill="1" applyBorder="1" applyAlignment="1" applyProtection="1">
      <alignment horizontal="left" vertical="center"/>
    </xf>
    <xf numFmtId="0" fontId="10" fillId="0" borderId="70" xfId="0" applyNumberFormat="1" applyFont="1" applyFill="1" applyBorder="1" applyAlignment="1" applyProtection="1">
      <alignment horizontal="left" vertical="center"/>
    </xf>
    <xf numFmtId="0" fontId="10" fillId="0" borderId="68" xfId="0" applyNumberFormat="1" applyFont="1" applyFill="1" applyBorder="1" applyAlignment="1" applyProtection="1">
      <alignment horizontal="left" vertical="center"/>
    </xf>
    <xf numFmtId="0" fontId="9" fillId="0" borderId="71" xfId="0" applyNumberFormat="1" applyFont="1" applyFill="1" applyBorder="1" applyAlignment="1" applyProtection="1">
      <alignment horizontal="left" vertical="center"/>
    </xf>
    <xf numFmtId="0" fontId="9" fillId="0" borderId="59" xfId="0" applyNumberFormat="1" applyFont="1" applyFill="1" applyBorder="1" applyAlignment="1" applyProtection="1">
      <alignment horizontal="left" vertical="center"/>
    </xf>
    <xf numFmtId="0" fontId="9" fillId="0" borderId="58" xfId="0" applyNumberFormat="1" applyFont="1" applyFill="1" applyBorder="1" applyAlignment="1" applyProtection="1">
      <alignment horizontal="left" vertical="center"/>
    </xf>
    <xf numFmtId="0" fontId="10" fillId="0" borderId="63" xfId="0" applyNumberFormat="1" applyFont="1" applyFill="1" applyBorder="1" applyAlignment="1" applyProtection="1">
      <alignment horizontal="left" vertical="center"/>
    </xf>
    <xf numFmtId="0" fontId="10" fillId="0" borderId="64" xfId="0" applyNumberFormat="1" applyFont="1" applyFill="1" applyBorder="1" applyAlignment="1" applyProtection="1">
      <alignment horizontal="left" vertical="center"/>
    </xf>
    <xf numFmtId="0" fontId="6" fillId="0" borderId="56" xfId="0" applyNumberFormat="1" applyFont="1" applyFill="1" applyBorder="1" applyAlignment="1" applyProtection="1">
      <alignment horizontal="center" vertical="center"/>
    </xf>
    <xf numFmtId="0" fontId="8" fillId="0" borderId="58" xfId="0" applyNumberFormat="1" applyFont="1" applyFill="1" applyBorder="1" applyAlignment="1" applyProtection="1">
      <alignment horizontal="left" vertical="center"/>
    </xf>
    <xf numFmtId="0" fontId="8" fillId="0" borderId="59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46" xfId="0" applyNumberFormat="1" applyFont="1" applyFill="1" applyBorder="1" applyAlignment="1" applyProtection="1">
      <alignment horizontal="left" vertical="center"/>
    </xf>
    <xf numFmtId="0" fontId="3" fillId="0" borderId="47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48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1" fontId="3" fillId="0" borderId="6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0" borderId="47" xfId="0" applyNumberFormat="1" applyFont="1" applyFill="1" applyBorder="1" applyAlignment="1" applyProtection="1">
      <alignment horizontal="left" vertical="center" wrapText="1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32" xfId="0" applyNumberFormat="1" applyFont="1" applyFill="1" applyBorder="1" applyAlignment="1" applyProtection="1">
      <alignment horizontal="left" vertical="center" wrapText="1"/>
    </xf>
    <xf numFmtId="0" fontId="3" fillId="0" borderId="32" xfId="0" applyNumberFormat="1" applyFont="1" applyFill="1" applyBorder="1" applyAlignment="1" applyProtection="1">
      <alignment horizontal="left" vertical="center"/>
    </xf>
    <xf numFmtId="0" fontId="3" fillId="3" borderId="35" xfId="0" applyNumberFormat="1" applyFont="1" applyFill="1" applyBorder="1" applyAlignment="1" applyProtection="1">
      <alignment horizontal="left" vertical="center" wrapText="1"/>
    </xf>
    <xf numFmtId="0" fontId="3" fillId="3" borderId="35" xfId="0" applyNumberFormat="1" applyFont="1" applyFill="1" applyBorder="1" applyAlignment="1" applyProtection="1">
      <alignment horizontal="left" vertical="center"/>
    </xf>
    <xf numFmtId="0" fontId="2" fillId="2" borderId="44" xfId="0" applyNumberFormat="1" applyFont="1" applyFill="1" applyBorder="1" applyAlignment="1" applyProtection="1">
      <alignment horizontal="left" vertical="center" wrapText="1"/>
    </xf>
    <xf numFmtId="0" fontId="2" fillId="2" borderId="44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 wrapText="1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3" fillId="3" borderId="38" xfId="0" applyNumberFormat="1" applyFont="1" applyFill="1" applyBorder="1" applyAlignment="1" applyProtection="1">
      <alignment horizontal="left" vertical="center" wrapText="1"/>
    </xf>
    <xf numFmtId="0" fontId="3" fillId="3" borderId="38" xfId="0" applyNumberFormat="1" applyFont="1" applyFill="1" applyBorder="1" applyAlignment="1" applyProtection="1">
      <alignment horizontal="left" vertical="center"/>
    </xf>
    <xf numFmtId="0" fontId="2" fillId="2" borderId="32" xfId="0" applyNumberFormat="1" applyFont="1" applyFill="1" applyBorder="1" applyAlignment="1" applyProtection="1">
      <alignment horizontal="left" vertical="center" wrapText="1"/>
    </xf>
    <xf numFmtId="0" fontId="2" fillId="2" borderId="32" xfId="0" applyNumberFormat="1" applyFont="1" applyFill="1" applyBorder="1" applyAlignment="1" applyProtection="1">
      <alignment horizontal="left" vertical="center"/>
    </xf>
    <xf numFmtId="0" fontId="2" fillId="2" borderId="41" xfId="0" applyNumberFormat="1" applyFont="1" applyFill="1" applyBorder="1" applyAlignment="1" applyProtection="1">
      <alignment horizontal="left" vertical="center" wrapText="1"/>
    </xf>
    <xf numFmtId="0" fontId="2" fillId="2" borderId="41" xfId="0" applyNumberFormat="1" applyFont="1" applyFill="1" applyBorder="1" applyAlignment="1" applyProtection="1">
      <alignment horizontal="left" vertical="center"/>
    </xf>
    <xf numFmtId="0" fontId="3" fillId="0" borderId="41" xfId="0" applyNumberFormat="1" applyFont="1" applyFill="1" applyBorder="1" applyAlignment="1" applyProtection="1">
      <alignment horizontal="left" vertical="center" wrapText="1"/>
    </xf>
    <xf numFmtId="0" fontId="3" fillId="0" borderId="41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2" borderId="29" xfId="0" applyNumberFormat="1" applyFont="1" applyFill="1" applyBorder="1" applyAlignment="1" applyProtection="1">
      <alignment horizontal="left" vertical="center" wrapText="1"/>
    </xf>
    <xf numFmtId="0" fontId="2" fillId="2" borderId="29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47" xfId="0" applyNumberFormat="1" applyFont="1" applyFill="1" applyBorder="1" applyAlignment="1" applyProtection="1">
      <alignment horizontal="left" vertical="center"/>
    </xf>
    <xf numFmtId="0" fontId="2" fillId="0" borderId="52" xfId="0" applyNumberFormat="1" applyFont="1" applyFill="1" applyBorder="1" applyAlignment="1" applyProtection="1">
      <alignment horizontal="left"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0" fontId="3" fillId="0" borderId="87" xfId="1" applyNumberFormat="1" applyFont="1" applyFill="1" applyBorder="1" applyAlignment="1" applyProtection="1">
      <alignment horizontal="left" vertical="center" wrapText="1"/>
    </xf>
    <xf numFmtId="0" fontId="3" fillId="0" borderId="87" xfId="1" applyNumberFormat="1" applyFont="1" applyFill="1" applyBorder="1" applyAlignment="1" applyProtection="1">
      <alignment horizontal="left" vertical="center"/>
    </xf>
    <xf numFmtId="0" fontId="2" fillId="2" borderId="87" xfId="1" applyNumberFormat="1" applyFont="1" applyFill="1" applyBorder="1" applyAlignment="1" applyProtection="1">
      <alignment horizontal="left" vertical="center" wrapText="1"/>
    </xf>
    <xf numFmtId="0" fontId="2" fillId="2" borderId="87" xfId="1" applyNumberFormat="1" applyFont="1" applyFill="1" applyBorder="1" applyAlignment="1" applyProtection="1">
      <alignment horizontal="left" vertical="center"/>
    </xf>
    <xf numFmtId="0" fontId="3" fillId="0" borderId="73" xfId="1" applyNumberFormat="1" applyFont="1" applyFill="1" applyBorder="1" applyAlignment="1" applyProtection="1">
      <alignment horizontal="left" vertical="center" wrapText="1"/>
    </xf>
    <xf numFmtId="0" fontId="3" fillId="0" borderId="73" xfId="1" applyNumberFormat="1" applyFont="1" applyFill="1" applyBorder="1" applyAlignment="1" applyProtection="1">
      <alignment horizontal="left" vertical="center"/>
    </xf>
    <xf numFmtId="0" fontId="2" fillId="0" borderId="87" xfId="1" applyNumberFormat="1" applyFont="1" applyFill="1" applyBorder="1" applyAlignment="1" applyProtection="1">
      <alignment horizontal="left" vertical="center"/>
    </xf>
    <xf numFmtId="0" fontId="3" fillId="3" borderId="87" xfId="1" applyNumberFormat="1" applyFont="1" applyFill="1" applyBorder="1" applyAlignment="1" applyProtection="1">
      <alignment horizontal="left" vertical="center" wrapText="1"/>
    </xf>
    <xf numFmtId="0" fontId="3" fillId="3" borderId="87" xfId="1" applyNumberFormat="1" applyFont="1" applyFill="1" applyBorder="1" applyAlignment="1" applyProtection="1">
      <alignment horizontal="left" vertical="center"/>
    </xf>
    <xf numFmtId="0" fontId="2" fillId="0" borderId="77" xfId="1" applyNumberFormat="1" applyFont="1" applyFill="1" applyBorder="1" applyAlignment="1" applyProtection="1">
      <alignment horizontal="left" vertical="center"/>
    </xf>
    <xf numFmtId="0" fontId="2" fillId="0" borderId="18" xfId="1" applyNumberFormat="1" applyFont="1" applyFill="1" applyBorder="1" applyAlignment="1" applyProtection="1">
      <alignment horizontal="left" vertical="center"/>
    </xf>
    <xf numFmtId="0" fontId="2" fillId="0" borderId="15" xfId="1" applyNumberFormat="1" applyFont="1" applyFill="1" applyBorder="1" applyAlignment="1" applyProtection="1">
      <alignment horizontal="center" vertical="center"/>
    </xf>
    <xf numFmtId="0" fontId="2" fillId="0" borderId="16" xfId="1" applyNumberFormat="1" applyFont="1" applyFill="1" applyBorder="1" applyAlignment="1" applyProtection="1">
      <alignment horizontal="center" vertical="center"/>
    </xf>
    <xf numFmtId="0" fontId="2" fillId="0" borderId="85" xfId="1" applyNumberFormat="1" applyFont="1" applyFill="1" applyBorder="1" applyAlignment="1" applyProtection="1">
      <alignment horizontal="center" vertical="center"/>
    </xf>
    <xf numFmtId="0" fontId="2" fillId="0" borderId="84" xfId="1" applyNumberFormat="1" applyFont="1" applyFill="1" applyBorder="1" applyAlignment="1" applyProtection="1">
      <alignment horizontal="left" vertical="center"/>
    </xf>
    <xf numFmtId="0" fontId="2" fillId="0" borderId="27" xfId="1" applyNumberFormat="1" applyFont="1" applyFill="1" applyBorder="1" applyAlignment="1" applyProtection="1">
      <alignment horizontal="left" vertical="center"/>
    </xf>
    <xf numFmtId="0" fontId="3" fillId="0" borderId="86" xfId="1" applyNumberFormat="1" applyFont="1" applyFill="1" applyBorder="1" applyAlignment="1" applyProtection="1">
      <alignment horizontal="left" vertical="center" wrapText="1"/>
    </xf>
    <xf numFmtId="0" fontId="3" fillId="0" borderId="86" xfId="1" applyNumberFormat="1" applyFont="1" applyFill="1" applyBorder="1" applyAlignment="1" applyProtection="1">
      <alignment horizontal="left" vertical="center"/>
    </xf>
    <xf numFmtId="0" fontId="3" fillId="0" borderId="89" xfId="1" applyNumberFormat="1" applyFont="1" applyFill="1" applyBorder="1" applyAlignment="1" applyProtection="1">
      <alignment horizontal="left" vertical="center"/>
    </xf>
    <xf numFmtId="0" fontId="1" fillId="0" borderId="87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3" xfId="1" applyNumberFormat="1" applyFont="1" applyFill="1" applyBorder="1" applyAlignment="1" applyProtection="1">
      <alignment horizontal="left" vertical="center"/>
    </xf>
    <xf numFmtId="0" fontId="2" fillId="0" borderId="3" xfId="1" applyNumberFormat="1" applyFont="1" applyFill="1" applyBorder="1" applyAlignment="1" applyProtection="1">
      <alignment horizontal="left" vertical="center" wrapText="1"/>
    </xf>
    <xf numFmtId="0" fontId="2" fillId="0" borderId="3" xfId="1" applyNumberFormat="1" applyFont="1" applyFill="1" applyBorder="1" applyAlignment="1" applyProtection="1">
      <alignment horizontal="left" vertical="center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0" fontId="3" fillId="0" borderId="4" xfId="1" applyNumberFormat="1" applyFont="1" applyFill="1" applyBorder="1" applyAlignment="1" applyProtection="1">
      <alignment horizontal="left" vertical="center"/>
    </xf>
    <xf numFmtId="0" fontId="10" fillId="0" borderId="78" xfId="1" applyNumberFormat="1" applyFont="1" applyFill="1" applyBorder="1" applyAlignment="1" applyProtection="1">
      <alignment horizontal="left" vertical="center"/>
    </xf>
    <xf numFmtId="0" fontId="10" fillId="0" borderId="87" xfId="1" applyNumberFormat="1" applyFont="1" applyFill="1" applyBorder="1" applyAlignment="1" applyProtection="1">
      <alignment horizontal="left" vertical="center"/>
    </xf>
    <xf numFmtId="0" fontId="10" fillId="0" borderId="79" xfId="1" applyNumberFormat="1" applyFont="1" applyFill="1" applyBorder="1" applyAlignment="1" applyProtection="1">
      <alignment horizontal="left" vertical="center"/>
    </xf>
    <xf numFmtId="0" fontId="10" fillId="0" borderId="81" xfId="1" applyNumberFormat="1" applyFont="1" applyFill="1" applyBorder="1" applyAlignment="1" applyProtection="1">
      <alignment horizontal="left" vertical="center"/>
    </xf>
    <xf numFmtId="0" fontId="10" fillId="0" borderId="84" xfId="1" applyNumberFormat="1" applyFont="1" applyFill="1" applyBorder="1" applyAlignment="1" applyProtection="1">
      <alignment horizontal="left" vertical="center"/>
    </xf>
    <xf numFmtId="0" fontId="10" fillId="0" borderId="83" xfId="1" applyNumberFormat="1" applyFont="1" applyFill="1" applyBorder="1" applyAlignment="1" applyProtection="1">
      <alignment horizontal="left" vertical="center"/>
    </xf>
    <xf numFmtId="0" fontId="9" fillId="2" borderId="66" xfId="1" applyNumberFormat="1" applyFont="1" applyFill="1" applyBorder="1" applyAlignment="1" applyProtection="1">
      <alignment horizontal="left" vertical="center"/>
    </xf>
    <xf numFmtId="0" fontId="9" fillId="2" borderId="73" xfId="1" applyNumberFormat="1" applyFont="1" applyFill="1" applyBorder="1" applyAlignment="1" applyProtection="1">
      <alignment horizontal="left" vertical="center"/>
    </xf>
    <xf numFmtId="0" fontId="10" fillId="0" borderId="74" xfId="1" applyNumberFormat="1" applyFont="1" applyFill="1" applyBorder="1" applyAlignment="1" applyProtection="1">
      <alignment horizontal="left" vertical="center"/>
    </xf>
    <xf numFmtId="0" fontId="10" fillId="0" borderId="77" xfId="1" applyNumberFormat="1" applyFont="1" applyFill="1" applyBorder="1" applyAlignment="1" applyProtection="1">
      <alignment horizontal="left" vertical="center"/>
    </xf>
    <xf numFmtId="0" fontId="10" fillId="0" borderId="76" xfId="1" applyNumberFormat="1" applyFont="1" applyFill="1" applyBorder="1" applyAlignment="1" applyProtection="1">
      <alignment horizontal="left" vertical="center"/>
    </xf>
    <xf numFmtId="0" fontId="9" fillId="0" borderId="66" xfId="1" applyNumberFormat="1" applyFont="1" applyFill="1" applyBorder="1" applyAlignment="1" applyProtection="1">
      <alignment horizontal="left" vertical="center"/>
    </xf>
    <xf numFmtId="0" fontId="9" fillId="0" borderId="64" xfId="1" applyNumberFormat="1" applyFont="1" applyFill="1" applyBorder="1" applyAlignment="1" applyProtection="1">
      <alignment horizontal="left" vertical="center"/>
    </xf>
    <xf numFmtId="0" fontId="9" fillId="0" borderId="73" xfId="1" applyNumberFormat="1" applyFont="1" applyFill="1" applyBorder="1" applyAlignment="1" applyProtection="1">
      <alignment horizontal="left" vertical="center"/>
    </xf>
    <xf numFmtId="0" fontId="9" fillId="2" borderId="71" xfId="1" applyNumberFormat="1" applyFont="1" applyFill="1" applyBorder="1" applyAlignment="1" applyProtection="1">
      <alignment horizontal="left" vertical="center"/>
    </xf>
    <xf numFmtId="0" fontId="9" fillId="2" borderId="72" xfId="1" applyNumberFormat="1" applyFont="1" applyFill="1" applyBorder="1" applyAlignment="1" applyProtection="1">
      <alignment horizontal="left" vertical="center"/>
    </xf>
    <xf numFmtId="0" fontId="9" fillId="0" borderId="86" xfId="1" applyNumberFormat="1" applyFont="1" applyFill="1" applyBorder="1" applyAlignment="1" applyProtection="1">
      <alignment horizontal="left" vertical="center"/>
    </xf>
    <xf numFmtId="0" fontId="9" fillId="0" borderId="89" xfId="1" applyNumberFormat="1" applyFont="1" applyFill="1" applyBorder="1" applyAlignment="1" applyProtection="1">
      <alignment horizontal="left" vertical="center"/>
    </xf>
    <xf numFmtId="0" fontId="10" fillId="0" borderId="89" xfId="1" applyNumberFormat="1" applyFont="1" applyFill="1" applyBorder="1" applyAlignment="1" applyProtection="1">
      <alignment horizontal="left" vertical="center"/>
    </xf>
    <xf numFmtId="0" fontId="9" fillId="0" borderId="71" xfId="1" applyNumberFormat="1" applyFont="1" applyFill="1" applyBorder="1" applyAlignment="1" applyProtection="1">
      <alignment horizontal="left" vertical="center"/>
    </xf>
    <xf numFmtId="0" fontId="9" fillId="0" borderId="60" xfId="1" applyNumberFormat="1" applyFont="1" applyFill="1" applyBorder="1" applyAlignment="1" applyProtection="1">
      <alignment horizontal="left" vertical="center"/>
    </xf>
    <xf numFmtId="0" fontId="9" fillId="0" borderId="72" xfId="1" applyNumberFormat="1" applyFont="1" applyFill="1" applyBorder="1" applyAlignment="1" applyProtection="1">
      <alignment horizontal="left" vertical="center"/>
    </xf>
    <xf numFmtId="0" fontId="10" fillId="0" borderId="73" xfId="1" applyNumberFormat="1" applyFont="1" applyFill="1" applyBorder="1" applyAlignment="1" applyProtection="1">
      <alignment horizontal="left" vertical="center"/>
    </xf>
    <xf numFmtId="0" fontId="10" fillId="0" borderId="64" xfId="1" applyNumberFormat="1" applyFont="1" applyFill="1" applyBorder="1" applyAlignment="1" applyProtection="1">
      <alignment horizontal="left" vertical="center"/>
    </xf>
    <xf numFmtId="0" fontId="6" fillId="0" borderId="87" xfId="1" applyNumberFormat="1" applyFont="1" applyFill="1" applyBorder="1" applyAlignment="1" applyProtection="1">
      <alignment horizontal="center" vertical="center"/>
    </xf>
    <xf numFmtId="0" fontId="8" fillId="0" borderId="72" xfId="1" applyNumberFormat="1" applyFont="1" applyFill="1" applyBorder="1" applyAlignment="1" applyProtection="1">
      <alignment horizontal="left" vertical="center"/>
    </xf>
    <xf numFmtId="0" fontId="8" fillId="0" borderId="60" xfId="1" applyNumberFormat="1" applyFont="1" applyFill="1" applyBorder="1" applyAlignment="1" applyProtection="1">
      <alignment horizontal="left" vertical="center"/>
    </xf>
    <xf numFmtId="0" fontId="3" fillId="0" borderId="66" xfId="1" applyNumberFormat="1" applyFont="1" applyFill="1" applyBorder="1" applyAlignment="1" applyProtection="1">
      <alignment horizontal="left" vertical="center"/>
    </xf>
    <xf numFmtId="0" fontId="3" fillId="0" borderId="89" xfId="1" applyNumberFormat="1" applyFont="1" applyFill="1" applyBorder="1" applyAlignment="1" applyProtection="1">
      <alignment horizontal="left" vertical="center" wrapText="1"/>
    </xf>
    <xf numFmtId="0" fontId="3" fillId="0" borderId="64" xfId="1" applyNumberFormat="1" applyFont="1" applyFill="1" applyBorder="1" applyAlignment="1" applyProtection="1">
      <alignment horizontal="left" vertical="center"/>
    </xf>
    <xf numFmtId="1" fontId="3" fillId="0" borderId="89" xfId="1" applyNumberFormat="1" applyFont="1" applyFill="1" applyBorder="1" applyAlignment="1" applyProtection="1">
      <alignment horizontal="left" vertical="center"/>
    </xf>
    <xf numFmtId="0" fontId="1" fillId="0" borderId="87" xfId="1" applyNumberFormat="1" applyFont="1" applyFill="1" applyBorder="1" applyAlignment="1" applyProtection="1">
      <alignment horizontal="center" vertical="center" wrapText="1"/>
    </xf>
    <xf numFmtId="0" fontId="5" fillId="0" borderId="87" xfId="1" applyNumberFormat="1" applyFont="1" applyFill="1" applyBorder="1" applyAlignment="1" applyProtection="1">
      <alignment horizontal="left" vertical="center"/>
    </xf>
    <xf numFmtId="0" fontId="5" fillId="0" borderId="73" xfId="1" applyNumberFormat="1" applyFont="1" applyFill="1" applyBorder="1" applyAlignment="1" applyProtection="1">
      <alignment horizontal="left" vertical="center"/>
    </xf>
    <xf numFmtId="0" fontId="2" fillId="0" borderId="94" xfId="1" applyNumberFormat="1" applyFont="1" applyFill="1" applyBorder="1" applyAlignment="1" applyProtection="1">
      <alignment horizontal="left" vertical="center"/>
    </xf>
    <xf numFmtId="0" fontId="2" fillId="0" borderId="53" xfId="1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3" fillId="0" borderId="73" xfId="0" applyNumberFormat="1" applyFont="1" applyFill="1" applyBorder="1" applyAlignment="1" applyProtection="1">
      <alignment horizontal="left" vertical="center"/>
    </xf>
    <xf numFmtId="0" fontId="3" fillId="0" borderId="64" xfId="0" applyNumberFormat="1" applyFont="1" applyFill="1" applyBorder="1" applyAlignment="1" applyProtection="1">
      <alignment horizontal="left" vertical="center"/>
    </xf>
    <xf numFmtId="0" fontId="3" fillId="0" borderId="86" xfId="0" applyNumberFormat="1" applyFont="1" applyFill="1" applyBorder="1" applyAlignment="1" applyProtection="1">
      <alignment horizontal="left" vertical="center"/>
    </xf>
    <xf numFmtId="0" fontId="3" fillId="0" borderId="87" xfId="0" applyNumberFormat="1" applyFont="1" applyFill="1" applyBorder="1" applyAlignment="1" applyProtection="1">
      <alignment horizontal="left" vertical="center"/>
    </xf>
    <xf numFmtId="0" fontId="3" fillId="0" borderId="88" xfId="0" applyNumberFormat="1" applyFont="1" applyFill="1" applyBorder="1" applyAlignment="1" applyProtection="1">
      <alignment horizontal="left" vertical="center"/>
    </xf>
    <xf numFmtId="0" fontId="2" fillId="0" borderId="90" xfId="0" applyNumberFormat="1" applyFont="1" applyFill="1" applyBorder="1" applyAlignment="1" applyProtection="1">
      <alignment horizontal="left" vertical="center"/>
    </xf>
    <xf numFmtId="0" fontId="2" fillId="0" borderId="91" xfId="0" applyNumberFormat="1" applyFont="1" applyFill="1" applyBorder="1" applyAlignment="1" applyProtection="1">
      <alignment horizontal="left" vertical="center"/>
    </xf>
    <xf numFmtId="0" fontId="2" fillId="0" borderId="92" xfId="0" applyNumberFormat="1" applyFont="1" applyFill="1" applyBorder="1" applyAlignment="1" applyProtection="1">
      <alignment horizontal="left" vertical="center"/>
    </xf>
    <xf numFmtId="0" fontId="9" fillId="0" borderId="90" xfId="0" applyNumberFormat="1" applyFont="1" applyFill="1" applyBorder="1" applyAlignment="1" applyProtection="1">
      <alignment horizontal="left" vertical="center"/>
    </xf>
    <xf numFmtId="0" fontId="9" fillId="0" borderId="91" xfId="0" applyNumberFormat="1" applyFont="1" applyFill="1" applyBorder="1" applyAlignment="1" applyProtection="1">
      <alignment horizontal="left" vertical="center"/>
    </xf>
    <xf numFmtId="0" fontId="9" fillId="0" borderId="92" xfId="0" applyNumberFormat="1" applyFont="1" applyFill="1" applyBorder="1" applyAlignment="1" applyProtection="1">
      <alignment horizontal="left" vertical="center"/>
    </xf>
    <xf numFmtId="4" fontId="9" fillId="0" borderId="94" xfId="0" applyNumberFormat="1" applyFont="1" applyFill="1" applyBorder="1" applyAlignment="1" applyProtection="1">
      <alignment horizontal="right" vertical="center"/>
    </xf>
    <xf numFmtId="0" fontId="9" fillId="0" borderId="91" xfId="0" applyNumberFormat="1" applyFont="1" applyFill="1" applyBorder="1" applyAlignment="1" applyProtection="1">
      <alignment horizontal="right" vertical="center"/>
    </xf>
    <xf numFmtId="0" fontId="9" fillId="0" borderId="92" xfId="0" applyNumberFormat="1" applyFont="1" applyFill="1" applyBorder="1" applyAlignment="1" applyProtection="1">
      <alignment horizontal="right" vertical="center"/>
    </xf>
    <xf numFmtId="0" fontId="9" fillId="0" borderId="8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-102%20Chodn&#237;ky%20V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-103%20MK%20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O-201%20&#218;pravy%20de&#353;&#357;ov&#233;%20kanalizace_Etapa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O-202%20P&#345;&#237;pojky%20vpust&#237;%20a%20svod&#36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O-301%20Kabelov&#253;%20rozvod%20VO_Etapa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Výkaz výměr"/>
      <sheetName val="Krycí list rozpočtu"/>
      <sheetName val="VORN"/>
    </sheetNames>
    <sheetDataSet>
      <sheetData sheetId="0">
        <row r="2">
          <cell r="C2" t="str">
            <v>NEDRAŽICE - CHODNÍKY A ÚPRAVY VNITŘNÍCH PROSTOR</v>
          </cell>
          <cell r="I2" t="str">
            <v>Obec Kostelec, Kostelec 34, 349 01 Stříbro</v>
          </cell>
        </row>
        <row r="4">
          <cell r="G4" t="str">
            <v xml:space="preserve"> </v>
          </cell>
          <cell r="I4" t="str">
            <v>ing. Rudolf Moses, Zárečná 1521, 347 01 Tachov</v>
          </cell>
        </row>
        <row r="6">
          <cell r="C6" t="str">
            <v>Nedražice</v>
          </cell>
          <cell r="G6" t="str">
            <v>31.10.2025</v>
          </cell>
          <cell r="I6" t="str">
            <v>dle výběr. řízení</v>
          </cell>
        </row>
        <row r="8">
          <cell r="C8" t="str">
            <v>8222931</v>
          </cell>
          <cell r="G8" t="str">
            <v>21.10.2024</v>
          </cell>
          <cell r="I8" t="str">
            <v>Ing. Moses</v>
          </cell>
        </row>
      </sheetData>
      <sheetData sheetId="1"/>
      <sheetData sheetId="2"/>
      <sheetData sheetId="3">
        <row r="15">
          <cell r="I15"/>
        </row>
        <row r="16">
          <cell r="I16"/>
        </row>
        <row r="17">
          <cell r="I17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Výkaz výměr"/>
      <sheetName val="Krycí list rozpočtu"/>
      <sheetName val="VORN"/>
    </sheetNames>
    <sheetDataSet>
      <sheetData sheetId="0"/>
      <sheetData sheetId="1"/>
      <sheetData sheetId="2"/>
      <sheetData sheetId="3">
        <row r="15">
          <cell r="I15"/>
        </row>
        <row r="16">
          <cell r="I16"/>
        </row>
        <row r="17">
          <cell r="I17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Výkaz výměr"/>
      <sheetName val="Krycí list rozpočtu"/>
      <sheetName val="VORN"/>
    </sheetNames>
    <sheetDataSet>
      <sheetData sheetId="0"/>
      <sheetData sheetId="1"/>
      <sheetData sheetId="2"/>
      <sheetData sheetId="3">
        <row r="15">
          <cell r="I15"/>
        </row>
        <row r="16">
          <cell r="I16"/>
        </row>
        <row r="17">
          <cell r="I17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Výkaz výměr"/>
      <sheetName val="Krycí list rozpočtu"/>
      <sheetName val="VORN"/>
    </sheetNames>
    <sheetDataSet>
      <sheetData sheetId="0"/>
      <sheetData sheetId="1"/>
      <sheetData sheetId="2"/>
      <sheetData sheetId="3">
        <row r="15">
          <cell r="I15"/>
        </row>
        <row r="16">
          <cell r="I16"/>
        </row>
        <row r="17">
          <cell r="I17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Výkaz výměr"/>
      <sheetName val="Krycí list rozpočtu"/>
      <sheetName val="VORN"/>
    </sheetNames>
    <sheetDataSet>
      <sheetData sheetId="0"/>
      <sheetData sheetId="1"/>
      <sheetData sheetId="2"/>
      <sheetData sheetId="3">
        <row r="15">
          <cell r="I15"/>
        </row>
        <row r="16">
          <cell r="I16"/>
        </row>
        <row r="17">
          <cell r="I17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C19" sqref="C19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224" t="s">
        <v>478</v>
      </c>
      <c r="B1" s="225"/>
      <c r="C1" s="225"/>
      <c r="D1" s="225"/>
      <c r="E1" s="225"/>
      <c r="F1" s="225"/>
      <c r="G1" s="225"/>
      <c r="H1" s="225"/>
      <c r="I1" s="225"/>
    </row>
    <row r="2" spans="1:9" x14ac:dyDescent="0.25">
      <c r="A2" s="226" t="s">
        <v>1</v>
      </c>
      <c r="B2" s="227"/>
      <c r="C2" s="228" t="s">
        <v>1420</v>
      </c>
      <c r="D2" s="229"/>
      <c r="E2" s="231" t="s">
        <v>5</v>
      </c>
      <c r="F2" s="231" t="str">
        <f>'SO-101'!I2</f>
        <v>Obec Kostelec, Kostelec 34, 349 01 Stříbro</v>
      </c>
      <c r="G2" s="227"/>
      <c r="H2" s="231" t="s">
        <v>479</v>
      </c>
      <c r="I2" s="232" t="s">
        <v>480</v>
      </c>
    </row>
    <row r="3" spans="1:9" ht="15" customHeight="1" x14ac:dyDescent="0.25">
      <c r="A3" s="221"/>
      <c r="B3" s="182"/>
      <c r="C3" s="230"/>
      <c r="D3" s="230"/>
      <c r="E3" s="182"/>
      <c r="F3" s="182"/>
      <c r="G3" s="182"/>
      <c r="H3" s="182"/>
      <c r="I3" s="223"/>
    </row>
    <row r="4" spans="1:9" x14ac:dyDescent="0.25">
      <c r="A4" s="216" t="s">
        <v>7</v>
      </c>
      <c r="B4" s="182"/>
      <c r="C4" s="181"/>
      <c r="D4" s="182"/>
      <c r="E4" s="181" t="s">
        <v>10</v>
      </c>
      <c r="F4" s="181" t="str">
        <f>'SO-101'!I4</f>
        <v>ing. Rudolf Moses, Zárečná 1521, 347 01 Tachov</v>
      </c>
      <c r="G4" s="182"/>
      <c r="H4" s="181" t="s">
        <v>479</v>
      </c>
      <c r="I4" s="223" t="s">
        <v>481</v>
      </c>
    </row>
    <row r="5" spans="1:9" ht="15" customHeight="1" x14ac:dyDescent="0.25">
      <c r="A5" s="221"/>
      <c r="B5" s="182"/>
      <c r="C5" s="182"/>
      <c r="D5" s="182"/>
      <c r="E5" s="182"/>
      <c r="F5" s="182"/>
      <c r="G5" s="182"/>
      <c r="H5" s="182"/>
      <c r="I5" s="223"/>
    </row>
    <row r="6" spans="1:9" x14ac:dyDescent="0.25">
      <c r="A6" s="216" t="s">
        <v>12</v>
      </c>
      <c r="B6" s="182"/>
      <c r="C6" s="181" t="str">
        <f>'SO-101'!C6</f>
        <v>Nedražice</v>
      </c>
      <c r="D6" s="182"/>
      <c r="E6" s="181" t="s">
        <v>16</v>
      </c>
      <c r="F6" s="181"/>
      <c r="G6" s="182"/>
      <c r="H6" s="181" t="s">
        <v>479</v>
      </c>
      <c r="I6" s="223"/>
    </row>
    <row r="7" spans="1:9" ht="15" customHeight="1" x14ac:dyDescent="0.25">
      <c r="A7" s="221"/>
      <c r="B7" s="182"/>
      <c r="C7" s="182"/>
      <c r="D7" s="182"/>
      <c r="E7" s="182"/>
      <c r="F7" s="182"/>
      <c r="G7" s="182"/>
      <c r="H7" s="182"/>
      <c r="I7" s="223"/>
    </row>
    <row r="8" spans="1:9" x14ac:dyDescent="0.25">
      <c r="A8" s="216" t="s">
        <v>8</v>
      </c>
      <c r="B8" s="182"/>
      <c r="C8" s="181" t="str">
        <f>'SO-101'!G4</f>
        <v xml:space="preserve"> </v>
      </c>
      <c r="D8" s="182"/>
      <c r="E8" s="181" t="s">
        <v>14</v>
      </c>
      <c r="F8" s="181"/>
      <c r="G8" s="182"/>
      <c r="H8" s="182" t="s">
        <v>483</v>
      </c>
      <c r="I8" s="222"/>
    </row>
    <row r="9" spans="1:9" x14ac:dyDescent="0.25">
      <c r="A9" s="221"/>
      <c r="B9" s="182"/>
      <c r="C9" s="182"/>
      <c r="D9" s="182"/>
      <c r="E9" s="182"/>
      <c r="F9" s="182"/>
      <c r="G9" s="182"/>
      <c r="H9" s="182"/>
      <c r="I9" s="223"/>
    </row>
    <row r="10" spans="1:9" x14ac:dyDescent="0.25">
      <c r="A10" s="216" t="s">
        <v>18</v>
      </c>
      <c r="B10" s="182"/>
      <c r="C10" s="181" t="str">
        <f>'SO-101'!C8</f>
        <v>8222931</v>
      </c>
      <c r="D10" s="182"/>
      <c r="E10" s="181" t="s">
        <v>22</v>
      </c>
      <c r="F10" s="181"/>
      <c r="G10" s="182"/>
      <c r="H10" s="182" t="s">
        <v>484</v>
      </c>
      <c r="I10" s="219"/>
    </row>
    <row r="11" spans="1:9" x14ac:dyDescent="0.25">
      <c r="A11" s="217"/>
      <c r="B11" s="218"/>
      <c r="C11" s="218"/>
      <c r="D11" s="218"/>
      <c r="E11" s="218"/>
      <c r="F11" s="218"/>
      <c r="G11" s="218"/>
      <c r="H11" s="218"/>
      <c r="I11" s="220"/>
    </row>
    <row r="12" spans="1:9" ht="23.25" x14ac:dyDescent="0.25">
      <c r="A12" s="213" t="s">
        <v>485</v>
      </c>
      <c r="B12" s="213"/>
      <c r="C12" s="213"/>
      <c r="D12" s="213"/>
      <c r="E12" s="213"/>
      <c r="F12" s="213"/>
      <c r="G12" s="213"/>
      <c r="H12" s="213"/>
      <c r="I12" s="213"/>
    </row>
    <row r="13" spans="1:9" ht="26.25" customHeight="1" x14ac:dyDescent="0.25">
      <c r="A13" s="87" t="s">
        <v>486</v>
      </c>
      <c r="B13" s="214" t="s">
        <v>487</v>
      </c>
      <c r="C13" s="215"/>
      <c r="D13" s="88" t="s">
        <v>488</v>
      </c>
      <c r="E13" s="214" t="s">
        <v>489</v>
      </c>
      <c r="F13" s="215"/>
      <c r="G13" s="88" t="s">
        <v>490</v>
      </c>
      <c r="H13" s="214" t="s">
        <v>491</v>
      </c>
      <c r="I13" s="215"/>
    </row>
    <row r="14" spans="1:9" ht="15.75" x14ac:dyDescent="0.25">
      <c r="A14" s="89" t="s">
        <v>492</v>
      </c>
      <c r="B14" s="90" t="s">
        <v>493</v>
      </c>
      <c r="C14" s="91"/>
      <c r="D14" s="211" t="s">
        <v>494</v>
      </c>
      <c r="E14" s="212"/>
      <c r="F14" s="91"/>
      <c r="G14" s="211" t="s">
        <v>420</v>
      </c>
      <c r="H14" s="212"/>
      <c r="I14" s="92"/>
    </row>
    <row r="15" spans="1:9" ht="15.75" x14ac:dyDescent="0.25">
      <c r="A15" s="93" t="s">
        <v>53</v>
      </c>
      <c r="B15" s="90" t="s">
        <v>38</v>
      </c>
      <c r="C15" s="91"/>
      <c r="D15" s="211" t="s">
        <v>495</v>
      </c>
      <c r="E15" s="212"/>
      <c r="F15" s="91"/>
      <c r="G15" s="211" t="s">
        <v>496</v>
      </c>
      <c r="H15" s="212"/>
      <c r="I15" s="92"/>
    </row>
    <row r="16" spans="1:9" ht="15.75" x14ac:dyDescent="0.25">
      <c r="A16" s="89" t="s">
        <v>497</v>
      </c>
      <c r="B16" s="90" t="s">
        <v>493</v>
      </c>
      <c r="C16" s="91"/>
      <c r="D16" s="211" t="s">
        <v>498</v>
      </c>
      <c r="E16" s="212"/>
      <c r="F16" s="91"/>
      <c r="G16" s="211" t="s">
        <v>425</v>
      </c>
      <c r="H16" s="212"/>
      <c r="I16" s="92"/>
    </row>
    <row r="17" spans="1:9" ht="15.75" x14ac:dyDescent="0.25">
      <c r="A17" s="93" t="s">
        <v>53</v>
      </c>
      <c r="B17" s="90" t="s">
        <v>38</v>
      </c>
      <c r="C17" s="91"/>
      <c r="D17" s="211" t="s">
        <v>53</v>
      </c>
      <c r="E17" s="212"/>
      <c r="F17" s="92" t="s">
        <v>53</v>
      </c>
      <c r="G17" s="211" t="s">
        <v>499</v>
      </c>
      <c r="H17" s="212"/>
      <c r="I17" s="92"/>
    </row>
    <row r="18" spans="1:9" ht="15.75" x14ac:dyDescent="0.25">
      <c r="A18" s="89" t="s">
        <v>500</v>
      </c>
      <c r="B18" s="90" t="s">
        <v>493</v>
      </c>
      <c r="C18" s="91"/>
      <c r="D18" s="211" t="s">
        <v>53</v>
      </c>
      <c r="E18" s="212"/>
      <c r="F18" s="92" t="s">
        <v>53</v>
      </c>
      <c r="G18" s="211" t="s">
        <v>501</v>
      </c>
      <c r="H18" s="212"/>
      <c r="I18" s="92"/>
    </row>
    <row r="19" spans="1:9" ht="15.75" x14ac:dyDescent="0.25">
      <c r="A19" s="93" t="s">
        <v>53</v>
      </c>
      <c r="B19" s="90" t="s">
        <v>38</v>
      </c>
      <c r="C19" s="91"/>
      <c r="D19" s="211" t="s">
        <v>53</v>
      </c>
      <c r="E19" s="212"/>
      <c r="F19" s="92" t="s">
        <v>53</v>
      </c>
      <c r="G19" s="211" t="s">
        <v>502</v>
      </c>
      <c r="H19" s="212"/>
      <c r="I19" s="92"/>
    </row>
    <row r="20" spans="1:9" ht="15.75" x14ac:dyDescent="0.25">
      <c r="A20" s="198" t="s">
        <v>339</v>
      </c>
      <c r="B20" s="199"/>
      <c r="C20" s="91"/>
      <c r="D20" s="211" t="s">
        <v>53</v>
      </c>
      <c r="E20" s="212"/>
      <c r="F20" s="92" t="s">
        <v>53</v>
      </c>
      <c r="G20" s="211" t="s">
        <v>53</v>
      </c>
      <c r="H20" s="212"/>
      <c r="I20" s="92" t="s">
        <v>53</v>
      </c>
    </row>
    <row r="21" spans="1:9" ht="15.75" x14ac:dyDescent="0.25">
      <c r="A21" s="204" t="s">
        <v>503</v>
      </c>
      <c r="B21" s="205"/>
      <c r="C21" s="94"/>
      <c r="D21" s="206" t="s">
        <v>53</v>
      </c>
      <c r="E21" s="207"/>
      <c r="F21" s="95" t="s">
        <v>53</v>
      </c>
      <c r="G21" s="206" t="s">
        <v>53</v>
      </c>
      <c r="H21" s="207"/>
      <c r="I21" s="95" t="s">
        <v>53</v>
      </c>
    </row>
    <row r="22" spans="1:9" ht="16.5" customHeight="1" x14ac:dyDescent="0.25">
      <c r="A22" s="208" t="s">
        <v>504</v>
      </c>
      <c r="B22" s="209"/>
      <c r="C22" s="96"/>
      <c r="D22" s="210" t="s">
        <v>505</v>
      </c>
      <c r="E22" s="209"/>
      <c r="F22" s="96"/>
      <c r="G22" s="210" t="s">
        <v>506</v>
      </c>
      <c r="H22" s="209"/>
      <c r="I22" s="96"/>
    </row>
    <row r="23" spans="1:9" ht="16.5" thickBot="1" x14ac:dyDescent="0.3">
      <c r="D23" s="198" t="s">
        <v>507</v>
      </c>
      <c r="E23" s="199"/>
      <c r="F23" s="97"/>
      <c r="G23" s="200" t="s">
        <v>508</v>
      </c>
      <c r="H23" s="199"/>
      <c r="I23" s="91"/>
    </row>
    <row r="24" spans="1:9" ht="15.75" x14ac:dyDescent="0.25">
      <c r="G24" s="198" t="s">
        <v>509</v>
      </c>
      <c r="H24" s="199"/>
      <c r="I24" s="94"/>
    </row>
    <row r="25" spans="1:9" ht="15.75" x14ac:dyDescent="0.25">
      <c r="G25" s="198" t="s">
        <v>510</v>
      </c>
      <c r="H25" s="199"/>
      <c r="I25" s="96"/>
    </row>
    <row r="27" spans="1:9" ht="15.75" x14ac:dyDescent="0.25">
      <c r="A27" s="201" t="s">
        <v>511</v>
      </c>
      <c r="B27" s="202"/>
      <c r="C27" s="98">
        <v>0</v>
      </c>
    </row>
    <row r="28" spans="1:9" ht="15.75" x14ac:dyDescent="0.25">
      <c r="A28" s="191" t="s">
        <v>512</v>
      </c>
      <c r="B28" s="192"/>
      <c r="C28" s="99">
        <v>0</v>
      </c>
      <c r="D28" s="203" t="s">
        <v>513</v>
      </c>
      <c r="E28" s="202"/>
      <c r="F28" s="98"/>
      <c r="G28" s="203" t="s">
        <v>514</v>
      </c>
      <c r="H28" s="202"/>
      <c r="I28" s="99">
        <f>SUM('SO-101KL'!I28,'SO-102KL'!I28,'SO-103KL'!I28,'SO-201KL'!I28,'SO-202KL'!I28,'SO-301KL'!I28)</f>
        <v>0</v>
      </c>
    </row>
    <row r="29" spans="1:9" ht="15.75" x14ac:dyDescent="0.25">
      <c r="A29" s="191" t="s">
        <v>515</v>
      </c>
      <c r="B29" s="192"/>
      <c r="C29" s="99">
        <f>SUM('SO-101KL'!C29,'SO-102KL'!C29,'SO-103KL'!C29,'SO-201KL'!C29,'SO-202KL'!C29,'SO-301KL'!C29)</f>
        <v>0</v>
      </c>
      <c r="D29" s="193" t="s">
        <v>516</v>
      </c>
      <c r="E29" s="192"/>
      <c r="F29" s="99">
        <f>SUM('SO-101KL'!F29,'SO-102KL'!F29,'SO-103KL'!F29,'SO-201KL'!F29,'SO-202KL'!F29,'SO-301KL'!F29)</f>
        <v>0</v>
      </c>
      <c r="G29" s="193" t="s">
        <v>517</v>
      </c>
      <c r="H29" s="192"/>
      <c r="I29" s="99">
        <f>SUM('SO-101KL'!I29,'SO-102KL'!I29,'SO-103KL'!I29,'SO-201KL'!I29,'SO-202KL'!I29,'SO-301KL'!I29)</f>
        <v>0</v>
      </c>
    </row>
    <row r="31" spans="1:9" x14ac:dyDescent="0.25">
      <c r="A31" s="194" t="s">
        <v>518</v>
      </c>
      <c r="B31" s="195"/>
      <c r="C31" s="196"/>
      <c r="D31" s="197" t="s">
        <v>519</v>
      </c>
      <c r="E31" s="195"/>
      <c r="F31" s="196"/>
      <c r="G31" s="197" t="s">
        <v>520</v>
      </c>
      <c r="H31" s="195"/>
      <c r="I31" s="196"/>
    </row>
    <row r="32" spans="1:9" x14ac:dyDescent="0.25">
      <c r="A32" s="183" t="s">
        <v>53</v>
      </c>
      <c r="B32" s="184"/>
      <c r="C32" s="185"/>
      <c r="D32" s="186" t="s">
        <v>53</v>
      </c>
      <c r="E32" s="184"/>
      <c r="F32" s="185"/>
      <c r="G32" s="186" t="s">
        <v>53</v>
      </c>
      <c r="H32" s="184"/>
      <c r="I32" s="185"/>
    </row>
    <row r="33" spans="1:9" x14ac:dyDescent="0.25">
      <c r="A33" s="183" t="s">
        <v>53</v>
      </c>
      <c r="B33" s="184"/>
      <c r="C33" s="185"/>
      <c r="D33" s="186" t="s">
        <v>53</v>
      </c>
      <c r="E33" s="184"/>
      <c r="F33" s="185"/>
      <c r="G33" s="186" t="s">
        <v>53</v>
      </c>
      <c r="H33" s="184"/>
      <c r="I33" s="185"/>
    </row>
    <row r="34" spans="1:9" x14ac:dyDescent="0.25">
      <c r="A34" s="183" t="s">
        <v>53</v>
      </c>
      <c r="B34" s="184"/>
      <c r="C34" s="185"/>
      <c r="D34" s="186" t="s">
        <v>53</v>
      </c>
      <c r="E34" s="184"/>
      <c r="F34" s="185"/>
      <c r="G34" s="186" t="s">
        <v>53</v>
      </c>
      <c r="H34" s="184"/>
      <c r="I34" s="185"/>
    </row>
    <row r="35" spans="1:9" ht="15.75" thickBot="1" x14ac:dyDescent="0.3">
      <c r="A35" s="187" t="s">
        <v>521</v>
      </c>
      <c r="B35" s="188"/>
      <c r="C35" s="189"/>
      <c r="D35" s="190" t="s">
        <v>521</v>
      </c>
      <c r="E35" s="188"/>
      <c r="F35" s="189"/>
      <c r="G35" s="190" t="s">
        <v>521</v>
      </c>
      <c r="H35" s="188"/>
      <c r="I35" s="189"/>
    </row>
    <row r="36" spans="1:9" x14ac:dyDescent="0.25">
      <c r="A36" s="100" t="s">
        <v>431</v>
      </c>
    </row>
    <row r="37" spans="1:9" ht="12.75" customHeight="1" x14ac:dyDescent="0.25">
      <c r="A37" s="181" t="s">
        <v>53</v>
      </c>
      <c r="B37" s="182"/>
      <c r="C37" s="182"/>
      <c r="D37" s="182"/>
      <c r="E37" s="182"/>
      <c r="F37" s="182"/>
      <c r="G37" s="182"/>
      <c r="H37" s="182"/>
      <c r="I37" s="182"/>
    </row>
  </sheetData>
  <mergeCells count="83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41"/>
  <sheetViews>
    <sheetView workbookViewId="0">
      <pane ySplit="11" topLeftCell="A12" activePane="bottomLeft" state="frozen"/>
      <selection pane="bottomLeft" activeCell="G134" sqref="G134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226" t="s">
        <v>1</v>
      </c>
      <c r="B2" s="227"/>
      <c r="C2" s="228" t="s">
        <v>2</v>
      </c>
      <c r="D2" s="229"/>
      <c r="E2" s="227" t="s">
        <v>3</v>
      </c>
      <c r="F2" s="227"/>
      <c r="G2" s="227" t="s">
        <v>4</v>
      </c>
      <c r="H2" s="231" t="s">
        <v>5</v>
      </c>
      <c r="I2" s="231" t="s">
        <v>6</v>
      </c>
      <c r="J2" s="227"/>
      <c r="K2" s="232"/>
    </row>
    <row r="3" spans="1:76" x14ac:dyDescent="0.25">
      <c r="A3" s="221"/>
      <c r="B3" s="182"/>
      <c r="C3" s="230"/>
      <c r="D3" s="230"/>
      <c r="E3" s="182"/>
      <c r="F3" s="182"/>
      <c r="G3" s="182"/>
      <c r="H3" s="182"/>
      <c r="I3" s="182"/>
      <c r="J3" s="182"/>
      <c r="K3" s="223"/>
    </row>
    <row r="4" spans="1:76" x14ac:dyDescent="0.25">
      <c r="A4" s="216" t="s">
        <v>7</v>
      </c>
      <c r="B4" s="182"/>
      <c r="C4" s="181" t="s">
        <v>1421</v>
      </c>
      <c r="D4" s="182"/>
      <c r="E4" s="182" t="s">
        <v>8</v>
      </c>
      <c r="F4" s="182"/>
      <c r="G4" s="182" t="s">
        <v>9</v>
      </c>
      <c r="H4" s="181" t="s">
        <v>10</v>
      </c>
      <c r="I4" s="181" t="s">
        <v>11</v>
      </c>
      <c r="J4" s="182"/>
      <c r="K4" s="223"/>
    </row>
    <row r="5" spans="1:76" x14ac:dyDescent="0.25">
      <c r="A5" s="221"/>
      <c r="B5" s="182"/>
      <c r="C5" s="182"/>
      <c r="D5" s="182"/>
      <c r="E5" s="182"/>
      <c r="F5" s="182"/>
      <c r="G5" s="182"/>
      <c r="H5" s="182"/>
      <c r="I5" s="182"/>
      <c r="J5" s="182"/>
      <c r="K5" s="223"/>
    </row>
    <row r="6" spans="1:76" x14ac:dyDescent="0.25">
      <c r="A6" s="216" t="s">
        <v>12</v>
      </c>
      <c r="B6" s="182"/>
      <c r="C6" s="181" t="s">
        <v>13</v>
      </c>
      <c r="D6" s="182"/>
      <c r="E6" s="182" t="s">
        <v>14</v>
      </c>
      <c r="F6" s="182"/>
      <c r="G6" s="182" t="s">
        <v>15</v>
      </c>
      <c r="H6" s="181" t="s">
        <v>16</v>
      </c>
      <c r="I6" s="181" t="s">
        <v>17</v>
      </c>
      <c r="J6" s="182"/>
      <c r="K6" s="223"/>
    </row>
    <row r="7" spans="1:76" x14ac:dyDescent="0.25">
      <c r="A7" s="221"/>
      <c r="B7" s="182"/>
      <c r="C7" s="182"/>
      <c r="D7" s="182"/>
      <c r="E7" s="182"/>
      <c r="F7" s="182"/>
      <c r="G7" s="182"/>
      <c r="H7" s="182"/>
      <c r="I7" s="182"/>
      <c r="J7" s="182"/>
      <c r="K7" s="223"/>
    </row>
    <row r="8" spans="1:76" x14ac:dyDescent="0.25">
      <c r="A8" s="216" t="s">
        <v>18</v>
      </c>
      <c r="B8" s="182"/>
      <c r="C8" s="181" t="s">
        <v>19</v>
      </c>
      <c r="D8" s="182"/>
      <c r="E8" s="182" t="s">
        <v>20</v>
      </c>
      <c r="F8" s="182"/>
      <c r="G8" s="182" t="s">
        <v>21</v>
      </c>
      <c r="H8" s="181" t="s">
        <v>22</v>
      </c>
      <c r="I8" s="181" t="s">
        <v>23</v>
      </c>
      <c r="J8" s="182"/>
      <c r="K8" s="223"/>
    </row>
    <row r="9" spans="1:76" x14ac:dyDescent="0.25">
      <c r="A9" s="264"/>
      <c r="B9" s="260"/>
      <c r="C9" s="260"/>
      <c r="D9" s="260"/>
      <c r="E9" s="260"/>
      <c r="F9" s="260"/>
      <c r="G9" s="260"/>
      <c r="H9" s="260"/>
      <c r="I9" s="260"/>
      <c r="J9" s="260"/>
      <c r="K9" s="261"/>
    </row>
    <row r="10" spans="1:76" x14ac:dyDescent="0.25">
      <c r="A10" s="5" t="s">
        <v>24</v>
      </c>
      <c r="B10" s="6" t="s">
        <v>25</v>
      </c>
      <c r="C10" s="262" t="s">
        <v>26</v>
      </c>
      <c r="D10" s="263"/>
      <c r="E10" s="6" t="s">
        <v>27</v>
      </c>
      <c r="F10" s="7" t="s">
        <v>28</v>
      </c>
      <c r="G10" s="8" t="s">
        <v>29</v>
      </c>
      <c r="H10" s="255" t="s">
        <v>30</v>
      </c>
      <c r="I10" s="256"/>
      <c r="J10" s="257"/>
      <c r="K10" s="9" t="s">
        <v>31</v>
      </c>
      <c r="BK10" s="10" t="s">
        <v>32</v>
      </c>
      <c r="BL10" s="11" t="s">
        <v>33</v>
      </c>
      <c r="BW10" s="11" t="s">
        <v>34</v>
      </c>
    </row>
    <row r="11" spans="1:76" x14ac:dyDescent="0.25">
      <c r="A11" s="12" t="s">
        <v>9</v>
      </c>
      <c r="B11" s="13" t="s">
        <v>9</v>
      </c>
      <c r="C11" s="253" t="s">
        <v>35</v>
      </c>
      <c r="D11" s="254"/>
      <c r="E11" s="13" t="s">
        <v>9</v>
      </c>
      <c r="F11" s="13" t="s">
        <v>9</v>
      </c>
      <c r="G11" s="14" t="s">
        <v>36</v>
      </c>
      <c r="H11" s="15" t="s">
        <v>37</v>
      </c>
      <c r="I11" s="16" t="s">
        <v>38</v>
      </c>
      <c r="J11" s="17" t="s">
        <v>39</v>
      </c>
      <c r="K11" s="18" t="s">
        <v>40</v>
      </c>
      <c r="Z11" s="10" t="s">
        <v>41</v>
      </c>
      <c r="AA11" s="10" t="s">
        <v>42</v>
      </c>
      <c r="AB11" s="10" t="s">
        <v>43</v>
      </c>
      <c r="AC11" s="10" t="s">
        <v>44</v>
      </c>
      <c r="AD11" s="10" t="s">
        <v>45</v>
      </c>
      <c r="AE11" s="10" t="s">
        <v>46</v>
      </c>
      <c r="AF11" s="10" t="s">
        <v>47</v>
      </c>
      <c r="AG11" s="10" t="s">
        <v>48</v>
      </c>
      <c r="AH11" s="10" t="s">
        <v>49</v>
      </c>
      <c r="BH11" s="10" t="s">
        <v>50</v>
      </c>
      <c r="BI11" s="10" t="s">
        <v>51</v>
      </c>
      <c r="BJ11" s="10" t="s">
        <v>52</v>
      </c>
    </row>
    <row r="12" spans="1:76" x14ac:dyDescent="0.25">
      <c r="A12" s="19" t="s">
        <v>53</v>
      </c>
      <c r="B12" s="20" t="s">
        <v>54</v>
      </c>
      <c r="C12" s="258" t="s">
        <v>55</v>
      </c>
      <c r="D12" s="259"/>
      <c r="E12" s="21" t="s">
        <v>9</v>
      </c>
      <c r="F12" s="21" t="s">
        <v>9</v>
      </c>
      <c r="G12" s="21" t="s">
        <v>9</v>
      </c>
      <c r="H12" s="22">
        <f>SUM(H13:H16)</f>
        <v>0</v>
      </c>
      <c r="I12" s="22">
        <f>SUM(I13:I16)</f>
        <v>0</v>
      </c>
      <c r="J12" s="22">
        <f>SUM(J13:J16)</f>
        <v>0</v>
      </c>
      <c r="K12" s="23" t="s">
        <v>53</v>
      </c>
      <c r="AI12" s="10" t="s">
        <v>53</v>
      </c>
      <c r="AS12" s="1">
        <f>SUM(AJ13:AJ16)</f>
        <v>0</v>
      </c>
      <c r="AT12" s="1">
        <f>SUM(AK13:AK16)</f>
        <v>0</v>
      </c>
      <c r="AU12" s="1">
        <f>SUM(AL13:AL16)</f>
        <v>0</v>
      </c>
    </row>
    <row r="13" spans="1:76" x14ac:dyDescent="0.25">
      <c r="A13" s="24" t="s">
        <v>56</v>
      </c>
      <c r="B13" s="25" t="s">
        <v>57</v>
      </c>
      <c r="C13" s="237" t="s">
        <v>58</v>
      </c>
      <c r="D13" s="238"/>
      <c r="E13" s="25" t="s">
        <v>59</v>
      </c>
      <c r="F13" s="26">
        <v>609.45000000000005</v>
      </c>
      <c r="G13" s="171">
        <v>0</v>
      </c>
      <c r="H13" s="26">
        <f>F13*AO13</f>
        <v>0</v>
      </c>
      <c r="I13" s="26">
        <f>F13*AP13</f>
        <v>0</v>
      </c>
      <c r="J13" s="26">
        <f>F13*G13</f>
        <v>0</v>
      </c>
      <c r="K13" s="27" t="s">
        <v>60</v>
      </c>
      <c r="Z13" s="28">
        <f>IF(AQ13="5",BJ13,0)</f>
        <v>0</v>
      </c>
      <c r="AB13" s="28">
        <f>IF(AQ13="1",BH13,0)</f>
        <v>0</v>
      </c>
      <c r="AC13" s="28">
        <f>IF(AQ13="1",BI13,0)</f>
        <v>0</v>
      </c>
      <c r="AD13" s="28">
        <f>IF(AQ13="7",BH13,0)</f>
        <v>0</v>
      </c>
      <c r="AE13" s="28">
        <f>IF(AQ13="7",BI13,0)</f>
        <v>0</v>
      </c>
      <c r="AF13" s="28">
        <f>IF(AQ13="2",BH13,0)</f>
        <v>0</v>
      </c>
      <c r="AG13" s="28">
        <f>IF(AQ13="2",BI13,0)</f>
        <v>0</v>
      </c>
      <c r="AH13" s="28">
        <f>IF(AQ13="0",BJ13,0)</f>
        <v>0</v>
      </c>
      <c r="AI13" s="10" t="s">
        <v>53</v>
      </c>
      <c r="AJ13" s="28">
        <f>IF(AN13=0,J13,0)</f>
        <v>0</v>
      </c>
      <c r="AK13" s="28">
        <f>IF(AN13=12,J13,0)</f>
        <v>0</v>
      </c>
      <c r="AL13" s="28">
        <f>IF(AN13=21,J13,0)</f>
        <v>0</v>
      </c>
      <c r="AN13" s="28">
        <v>21</v>
      </c>
      <c r="AO13" s="28">
        <f>G13*0</f>
        <v>0</v>
      </c>
      <c r="AP13" s="28">
        <f>G13*(1-0)</f>
        <v>0</v>
      </c>
      <c r="AQ13" s="29" t="s">
        <v>56</v>
      </c>
      <c r="AV13" s="28">
        <f>AW13+AX13</f>
        <v>0</v>
      </c>
      <c r="AW13" s="28">
        <f>F13*AO13</f>
        <v>0</v>
      </c>
      <c r="AX13" s="28">
        <f>F13*AP13</f>
        <v>0</v>
      </c>
      <c r="AY13" s="29" t="s">
        <v>61</v>
      </c>
      <c r="AZ13" s="29" t="s">
        <v>62</v>
      </c>
      <c r="BA13" s="10" t="s">
        <v>63</v>
      </c>
      <c r="BC13" s="28">
        <f>AW13+AX13</f>
        <v>0</v>
      </c>
      <c r="BD13" s="28">
        <f>G13/(100-BE13)*100</f>
        <v>0</v>
      </c>
      <c r="BE13" s="28">
        <v>0</v>
      </c>
      <c r="BF13" s="28">
        <f>13</f>
        <v>13</v>
      </c>
      <c r="BH13" s="28">
        <f>F13*AO13</f>
        <v>0</v>
      </c>
      <c r="BI13" s="28">
        <f>F13*AP13</f>
        <v>0</v>
      </c>
      <c r="BJ13" s="28">
        <f>F13*G13</f>
        <v>0</v>
      </c>
      <c r="BK13" s="28"/>
      <c r="BL13" s="28">
        <v>11</v>
      </c>
      <c r="BW13" s="28">
        <v>21</v>
      </c>
      <c r="BX13" s="4" t="s">
        <v>58</v>
      </c>
    </row>
    <row r="14" spans="1:76" x14ac:dyDescent="0.25">
      <c r="A14" s="30" t="s">
        <v>64</v>
      </c>
      <c r="B14" s="31" t="s">
        <v>65</v>
      </c>
      <c r="C14" s="239" t="s">
        <v>66</v>
      </c>
      <c r="D14" s="240"/>
      <c r="E14" s="31" t="s">
        <v>67</v>
      </c>
      <c r="F14" s="32">
        <v>67</v>
      </c>
      <c r="G14" s="172">
        <v>0</v>
      </c>
      <c r="H14" s="32">
        <f>F14*AO14</f>
        <v>0</v>
      </c>
      <c r="I14" s="32">
        <f>F14*AP14</f>
        <v>0</v>
      </c>
      <c r="J14" s="32">
        <f>F14*G14</f>
        <v>0</v>
      </c>
      <c r="K14" s="33" t="s">
        <v>60</v>
      </c>
      <c r="Z14" s="28">
        <f>IF(AQ14="5",BJ14,0)</f>
        <v>0</v>
      </c>
      <c r="AB14" s="28">
        <f>IF(AQ14="1",BH14,0)</f>
        <v>0</v>
      </c>
      <c r="AC14" s="28">
        <f>IF(AQ14="1",BI14,0)</f>
        <v>0</v>
      </c>
      <c r="AD14" s="28">
        <f>IF(AQ14="7",BH14,0)</f>
        <v>0</v>
      </c>
      <c r="AE14" s="28">
        <f>IF(AQ14="7",BI14,0)</f>
        <v>0</v>
      </c>
      <c r="AF14" s="28">
        <f>IF(AQ14="2",BH14,0)</f>
        <v>0</v>
      </c>
      <c r="AG14" s="28">
        <f>IF(AQ14="2",BI14,0)</f>
        <v>0</v>
      </c>
      <c r="AH14" s="28">
        <f>IF(AQ14="0",BJ14,0)</f>
        <v>0</v>
      </c>
      <c r="AI14" s="10" t="s">
        <v>53</v>
      </c>
      <c r="AJ14" s="28">
        <f>IF(AN14=0,J14,0)</f>
        <v>0</v>
      </c>
      <c r="AK14" s="28">
        <f>IF(AN14=12,J14,0)</f>
        <v>0</v>
      </c>
      <c r="AL14" s="28">
        <f>IF(AN14=21,J14,0)</f>
        <v>0</v>
      </c>
      <c r="AN14" s="28">
        <v>21</v>
      </c>
      <c r="AO14" s="28">
        <f>G14*0</f>
        <v>0</v>
      </c>
      <c r="AP14" s="28">
        <f>G14*(1-0)</f>
        <v>0</v>
      </c>
      <c r="AQ14" s="29" t="s">
        <v>56</v>
      </c>
      <c r="AV14" s="28">
        <f>AW14+AX14</f>
        <v>0</v>
      </c>
      <c r="AW14" s="28">
        <f>F14*AO14</f>
        <v>0</v>
      </c>
      <c r="AX14" s="28">
        <f>F14*AP14</f>
        <v>0</v>
      </c>
      <c r="AY14" s="29" t="s">
        <v>61</v>
      </c>
      <c r="AZ14" s="29" t="s">
        <v>62</v>
      </c>
      <c r="BA14" s="10" t="s">
        <v>63</v>
      </c>
      <c r="BC14" s="28">
        <f>AW14+AX14</f>
        <v>0</v>
      </c>
      <c r="BD14" s="28">
        <f>G14/(100-BE14)*100</f>
        <v>0</v>
      </c>
      <c r="BE14" s="28">
        <v>0</v>
      </c>
      <c r="BF14" s="28">
        <f>14</f>
        <v>14</v>
      </c>
      <c r="BH14" s="28">
        <f>F14*AO14</f>
        <v>0</v>
      </c>
      <c r="BI14" s="28">
        <f>F14*AP14</f>
        <v>0</v>
      </c>
      <c r="BJ14" s="28">
        <f>F14*G14</f>
        <v>0</v>
      </c>
      <c r="BK14" s="28"/>
      <c r="BL14" s="28">
        <v>11</v>
      </c>
      <c r="BW14" s="28">
        <v>21</v>
      </c>
      <c r="BX14" s="4" t="s">
        <v>66</v>
      </c>
    </row>
    <row r="15" spans="1:76" x14ac:dyDescent="0.25">
      <c r="A15" s="34" t="s">
        <v>68</v>
      </c>
      <c r="B15" s="35" t="s">
        <v>69</v>
      </c>
      <c r="C15" s="245" t="s">
        <v>70</v>
      </c>
      <c r="D15" s="246"/>
      <c r="E15" s="35" t="s">
        <v>59</v>
      </c>
      <c r="F15" s="36">
        <v>20</v>
      </c>
      <c r="G15" s="173">
        <v>0</v>
      </c>
      <c r="H15" s="36">
        <f>F15*AO15</f>
        <v>0</v>
      </c>
      <c r="I15" s="36">
        <f>F15*AP15</f>
        <v>0</v>
      </c>
      <c r="J15" s="36">
        <f>F15*G15</f>
        <v>0</v>
      </c>
      <c r="K15" s="37" t="s">
        <v>60</v>
      </c>
      <c r="Z15" s="28">
        <f>IF(AQ15="5",BJ15,0)</f>
        <v>0</v>
      </c>
      <c r="AB15" s="28">
        <f>IF(AQ15="1",BH15,0)</f>
        <v>0</v>
      </c>
      <c r="AC15" s="28">
        <f>IF(AQ15="1",BI15,0)</f>
        <v>0</v>
      </c>
      <c r="AD15" s="28">
        <f>IF(AQ15="7",BH15,0)</f>
        <v>0</v>
      </c>
      <c r="AE15" s="28">
        <f>IF(AQ15="7",BI15,0)</f>
        <v>0</v>
      </c>
      <c r="AF15" s="28">
        <f>IF(AQ15="2",BH15,0)</f>
        <v>0</v>
      </c>
      <c r="AG15" s="28">
        <f>IF(AQ15="2",BI15,0)</f>
        <v>0</v>
      </c>
      <c r="AH15" s="28">
        <f>IF(AQ15="0",BJ15,0)</f>
        <v>0</v>
      </c>
      <c r="AI15" s="10" t="s">
        <v>53</v>
      </c>
      <c r="AJ15" s="28">
        <f>IF(AN15=0,J15,0)</f>
        <v>0</v>
      </c>
      <c r="AK15" s="28">
        <f>IF(AN15=12,J15,0)</f>
        <v>0</v>
      </c>
      <c r="AL15" s="28">
        <f>IF(AN15=21,J15,0)</f>
        <v>0</v>
      </c>
      <c r="AN15" s="28">
        <v>21</v>
      </c>
      <c r="AO15" s="28">
        <f>G15*0</f>
        <v>0</v>
      </c>
      <c r="AP15" s="28">
        <f>G15*(1-0)</f>
        <v>0</v>
      </c>
      <c r="AQ15" s="29" t="s">
        <v>56</v>
      </c>
      <c r="AV15" s="28">
        <f>AW15+AX15</f>
        <v>0</v>
      </c>
      <c r="AW15" s="28">
        <f>F15*AO15</f>
        <v>0</v>
      </c>
      <c r="AX15" s="28">
        <f>F15*AP15</f>
        <v>0</v>
      </c>
      <c r="AY15" s="29" t="s">
        <v>61</v>
      </c>
      <c r="AZ15" s="29" t="s">
        <v>62</v>
      </c>
      <c r="BA15" s="10" t="s">
        <v>63</v>
      </c>
      <c r="BC15" s="28">
        <f>AW15+AX15</f>
        <v>0</v>
      </c>
      <c r="BD15" s="28">
        <f>G15/(100-BE15)*100</f>
        <v>0</v>
      </c>
      <c r="BE15" s="28">
        <v>0</v>
      </c>
      <c r="BF15" s="28">
        <f>15</f>
        <v>15</v>
      </c>
      <c r="BH15" s="28">
        <f>F15*AO15</f>
        <v>0</v>
      </c>
      <c r="BI15" s="28">
        <f>F15*AP15</f>
        <v>0</v>
      </c>
      <c r="BJ15" s="28">
        <f>F15*G15</f>
        <v>0</v>
      </c>
      <c r="BK15" s="28"/>
      <c r="BL15" s="28">
        <v>11</v>
      </c>
      <c r="BW15" s="28">
        <v>21</v>
      </c>
      <c r="BX15" s="4" t="s">
        <v>70</v>
      </c>
    </row>
    <row r="16" spans="1:76" x14ac:dyDescent="0.25">
      <c r="A16" s="34" t="s">
        <v>71</v>
      </c>
      <c r="B16" s="35" t="s">
        <v>72</v>
      </c>
      <c r="C16" s="245" t="s">
        <v>73</v>
      </c>
      <c r="D16" s="246"/>
      <c r="E16" s="35" t="s">
        <v>59</v>
      </c>
      <c r="F16" s="36">
        <v>70</v>
      </c>
      <c r="G16" s="173">
        <v>0</v>
      </c>
      <c r="H16" s="36">
        <f>F16*AO16</f>
        <v>0</v>
      </c>
      <c r="I16" s="36">
        <f>F16*AP16</f>
        <v>0</v>
      </c>
      <c r="J16" s="36">
        <f>F16*G16</f>
        <v>0</v>
      </c>
      <c r="K16" s="37" t="s">
        <v>60</v>
      </c>
      <c r="Z16" s="28">
        <f>IF(AQ16="5",BJ16,0)</f>
        <v>0</v>
      </c>
      <c r="AB16" s="28">
        <f>IF(AQ16="1",BH16,0)</f>
        <v>0</v>
      </c>
      <c r="AC16" s="28">
        <f>IF(AQ16="1",BI16,0)</f>
        <v>0</v>
      </c>
      <c r="AD16" s="28">
        <f>IF(AQ16="7",BH16,0)</f>
        <v>0</v>
      </c>
      <c r="AE16" s="28">
        <f>IF(AQ16="7",BI16,0)</f>
        <v>0</v>
      </c>
      <c r="AF16" s="28">
        <f>IF(AQ16="2",BH16,0)</f>
        <v>0</v>
      </c>
      <c r="AG16" s="28">
        <f>IF(AQ16="2",BI16,0)</f>
        <v>0</v>
      </c>
      <c r="AH16" s="28">
        <f>IF(AQ16="0",BJ16,0)</f>
        <v>0</v>
      </c>
      <c r="AI16" s="10" t="s">
        <v>53</v>
      </c>
      <c r="AJ16" s="28">
        <f>IF(AN16=0,J16,0)</f>
        <v>0</v>
      </c>
      <c r="AK16" s="28">
        <f>IF(AN16=12,J16,0)</f>
        <v>0</v>
      </c>
      <c r="AL16" s="28">
        <f>IF(AN16=21,J16,0)</f>
        <v>0</v>
      </c>
      <c r="AN16" s="28">
        <v>21</v>
      </c>
      <c r="AO16" s="28">
        <f>G16*0</f>
        <v>0</v>
      </c>
      <c r="AP16" s="28">
        <f>G16*(1-0)</f>
        <v>0</v>
      </c>
      <c r="AQ16" s="29" t="s">
        <v>56</v>
      </c>
      <c r="AV16" s="28">
        <f>AW16+AX16</f>
        <v>0</v>
      </c>
      <c r="AW16" s="28">
        <f>F16*AO16</f>
        <v>0</v>
      </c>
      <c r="AX16" s="28">
        <f>F16*AP16</f>
        <v>0</v>
      </c>
      <c r="AY16" s="29" t="s">
        <v>61</v>
      </c>
      <c r="AZ16" s="29" t="s">
        <v>62</v>
      </c>
      <c r="BA16" s="10" t="s">
        <v>63</v>
      </c>
      <c r="BC16" s="28">
        <f>AW16+AX16</f>
        <v>0</v>
      </c>
      <c r="BD16" s="28">
        <f>G16/(100-BE16)*100</f>
        <v>0</v>
      </c>
      <c r="BE16" s="28">
        <v>0</v>
      </c>
      <c r="BF16" s="28">
        <f>16</f>
        <v>16</v>
      </c>
      <c r="BH16" s="28">
        <f>F16*AO16</f>
        <v>0</v>
      </c>
      <c r="BI16" s="28">
        <f>F16*AP16</f>
        <v>0</v>
      </c>
      <c r="BJ16" s="28">
        <f>F16*G16</f>
        <v>0</v>
      </c>
      <c r="BK16" s="28"/>
      <c r="BL16" s="28">
        <v>11</v>
      </c>
      <c r="BW16" s="28">
        <v>21</v>
      </c>
      <c r="BX16" s="4" t="s">
        <v>73</v>
      </c>
    </row>
    <row r="17" spans="1:76" x14ac:dyDescent="0.25">
      <c r="A17" s="38" t="s">
        <v>53</v>
      </c>
      <c r="B17" s="39" t="s">
        <v>74</v>
      </c>
      <c r="C17" s="249" t="s">
        <v>75</v>
      </c>
      <c r="D17" s="250"/>
      <c r="E17" s="40" t="s">
        <v>9</v>
      </c>
      <c r="F17" s="40" t="s">
        <v>9</v>
      </c>
      <c r="G17" s="40" t="s">
        <v>9</v>
      </c>
      <c r="H17" s="41">
        <f>SUM(H18:H23)</f>
        <v>0</v>
      </c>
      <c r="I17" s="41">
        <f>SUM(I18:I23)</f>
        <v>0</v>
      </c>
      <c r="J17" s="41">
        <f>SUM(J18:J23)</f>
        <v>0</v>
      </c>
      <c r="K17" s="42" t="s">
        <v>53</v>
      </c>
      <c r="AI17" s="10" t="s">
        <v>53</v>
      </c>
      <c r="AS17" s="1">
        <f>SUM(AJ18:AJ23)</f>
        <v>0</v>
      </c>
      <c r="AT17" s="1">
        <f>SUM(AK18:AK23)</f>
        <v>0</v>
      </c>
      <c r="AU17" s="1">
        <f>SUM(AL18:AL23)</f>
        <v>0</v>
      </c>
    </row>
    <row r="18" spans="1:76" x14ac:dyDescent="0.25">
      <c r="A18" s="30" t="s">
        <v>76</v>
      </c>
      <c r="B18" s="31" t="s">
        <v>77</v>
      </c>
      <c r="C18" s="239" t="s">
        <v>78</v>
      </c>
      <c r="D18" s="240"/>
      <c r="E18" s="31" t="s">
        <v>79</v>
      </c>
      <c r="F18" s="32">
        <v>135</v>
      </c>
      <c r="G18" s="172">
        <v>0</v>
      </c>
      <c r="H18" s="32">
        <f t="shared" ref="H18:H23" si="0">F18*AO18</f>
        <v>0</v>
      </c>
      <c r="I18" s="32">
        <f t="shared" ref="I18:I23" si="1">F18*AP18</f>
        <v>0</v>
      </c>
      <c r="J18" s="32">
        <f t="shared" ref="J18:J23" si="2">F18*G18</f>
        <v>0</v>
      </c>
      <c r="K18" s="33" t="s">
        <v>60</v>
      </c>
      <c r="Z18" s="28">
        <f t="shared" ref="Z18:Z23" si="3">IF(AQ18="5",BJ18,0)</f>
        <v>0</v>
      </c>
      <c r="AB18" s="28">
        <f t="shared" ref="AB18:AB23" si="4">IF(AQ18="1",BH18,0)</f>
        <v>0</v>
      </c>
      <c r="AC18" s="28">
        <f t="shared" ref="AC18:AC23" si="5">IF(AQ18="1",BI18,0)</f>
        <v>0</v>
      </c>
      <c r="AD18" s="28">
        <f t="shared" ref="AD18:AD23" si="6">IF(AQ18="7",BH18,0)</f>
        <v>0</v>
      </c>
      <c r="AE18" s="28">
        <f t="shared" ref="AE18:AE23" si="7">IF(AQ18="7",BI18,0)</f>
        <v>0</v>
      </c>
      <c r="AF18" s="28">
        <f t="shared" ref="AF18:AF23" si="8">IF(AQ18="2",BH18,0)</f>
        <v>0</v>
      </c>
      <c r="AG18" s="28">
        <f t="shared" ref="AG18:AG23" si="9">IF(AQ18="2",BI18,0)</f>
        <v>0</v>
      </c>
      <c r="AH18" s="28">
        <f t="shared" ref="AH18:AH23" si="10">IF(AQ18="0",BJ18,0)</f>
        <v>0</v>
      </c>
      <c r="AI18" s="10" t="s">
        <v>53</v>
      </c>
      <c r="AJ18" s="28">
        <f t="shared" ref="AJ18:AJ23" si="11">IF(AN18=0,J18,0)</f>
        <v>0</v>
      </c>
      <c r="AK18" s="28">
        <f t="shared" ref="AK18:AK23" si="12">IF(AN18=12,J18,0)</f>
        <v>0</v>
      </c>
      <c r="AL18" s="28">
        <f t="shared" ref="AL18:AL23" si="13">IF(AN18=21,J18,0)</f>
        <v>0</v>
      </c>
      <c r="AN18" s="28">
        <v>21</v>
      </c>
      <c r="AO18" s="28">
        <f t="shared" ref="AO18:AO23" si="14">G18*0</f>
        <v>0</v>
      </c>
      <c r="AP18" s="28">
        <f t="shared" ref="AP18:AP23" si="15">G18*(1-0)</f>
        <v>0</v>
      </c>
      <c r="AQ18" s="29" t="s">
        <v>56</v>
      </c>
      <c r="AV18" s="28">
        <f t="shared" ref="AV18:AV23" si="16">AW18+AX18</f>
        <v>0</v>
      </c>
      <c r="AW18" s="28">
        <f t="shared" ref="AW18:AW23" si="17">F18*AO18</f>
        <v>0</v>
      </c>
      <c r="AX18" s="28">
        <f t="shared" ref="AX18:AX23" si="18">F18*AP18</f>
        <v>0</v>
      </c>
      <c r="AY18" s="29" t="s">
        <v>80</v>
      </c>
      <c r="AZ18" s="29" t="s">
        <v>62</v>
      </c>
      <c r="BA18" s="10" t="s">
        <v>63</v>
      </c>
      <c r="BC18" s="28">
        <f t="shared" ref="BC18:BC23" si="19">AW18+AX18</f>
        <v>0</v>
      </c>
      <c r="BD18" s="28">
        <f t="shared" ref="BD18:BD23" si="20">G18/(100-BE18)*100</f>
        <v>0</v>
      </c>
      <c r="BE18" s="28">
        <v>0</v>
      </c>
      <c r="BF18" s="28">
        <f>18</f>
        <v>18</v>
      </c>
      <c r="BH18" s="28">
        <f t="shared" ref="BH18:BH23" si="21">F18*AO18</f>
        <v>0</v>
      </c>
      <c r="BI18" s="28">
        <f t="shared" ref="BI18:BI23" si="22">F18*AP18</f>
        <v>0</v>
      </c>
      <c r="BJ18" s="28">
        <f t="shared" ref="BJ18:BJ23" si="23">F18*G18</f>
        <v>0</v>
      </c>
      <c r="BK18" s="28"/>
      <c r="BL18" s="28">
        <v>12</v>
      </c>
      <c r="BW18" s="28">
        <v>21</v>
      </c>
      <c r="BX18" s="4" t="s">
        <v>78</v>
      </c>
    </row>
    <row r="19" spans="1:76" x14ac:dyDescent="0.25">
      <c r="A19" s="34" t="s">
        <v>81</v>
      </c>
      <c r="B19" s="35" t="s">
        <v>82</v>
      </c>
      <c r="C19" s="245" t="s">
        <v>83</v>
      </c>
      <c r="D19" s="246"/>
      <c r="E19" s="35" t="s">
        <v>79</v>
      </c>
      <c r="F19" s="36">
        <v>124</v>
      </c>
      <c r="G19" s="173">
        <v>0</v>
      </c>
      <c r="H19" s="36">
        <f t="shared" si="0"/>
        <v>0</v>
      </c>
      <c r="I19" s="36">
        <f t="shared" si="1"/>
        <v>0</v>
      </c>
      <c r="J19" s="36">
        <f t="shared" si="2"/>
        <v>0</v>
      </c>
      <c r="K19" s="37" t="s">
        <v>60</v>
      </c>
      <c r="Z19" s="28">
        <f t="shared" si="3"/>
        <v>0</v>
      </c>
      <c r="AB19" s="28">
        <f t="shared" si="4"/>
        <v>0</v>
      </c>
      <c r="AC19" s="28">
        <f t="shared" si="5"/>
        <v>0</v>
      </c>
      <c r="AD19" s="28">
        <f t="shared" si="6"/>
        <v>0</v>
      </c>
      <c r="AE19" s="28">
        <f t="shared" si="7"/>
        <v>0</v>
      </c>
      <c r="AF19" s="28">
        <f t="shared" si="8"/>
        <v>0</v>
      </c>
      <c r="AG19" s="28">
        <f t="shared" si="9"/>
        <v>0</v>
      </c>
      <c r="AH19" s="28">
        <f t="shared" si="10"/>
        <v>0</v>
      </c>
      <c r="AI19" s="10" t="s">
        <v>53</v>
      </c>
      <c r="AJ19" s="28">
        <f t="shared" si="11"/>
        <v>0</v>
      </c>
      <c r="AK19" s="28">
        <f t="shared" si="12"/>
        <v>0</v>
      </c>
      <c r="AL19" s="28">
        <f t="shared" si="13"/>
        <v>0</v>
      </c>
      <c r="AN19" s="28">
        <v>21</v>
      </c>
      <c r="AO19" s="28">
        <f t="shared" si="14"/>
        <v>0</v>
      </c>
      <c r="AP19" s="28">
        <f t="shared" si="15"/>
        <v>0</v>
      </c>
      <c r="AQ19" s="29" t="s">
        <v>56</v>
      </c>
      <c r="AV19" s="28">
        <f t="shared" si="16"/>
        <v>0</v>
      </c>
      <c r="AW19" s="28">
        <f t="shared" si="17"/>
        <v>0</v>
      </c>
      <c r="AX19" s="28">
        <f t="shared" si="18"/>
        <v>0</v>
      </c>
      <c r="AY19" s="29" t="s">
        <v>80</v>
      </c>
      <c r="AZ19" s="29" t="s">
        <v>62</v>
      </c>
      <c r="BA19" s="10" t="s">
        <v>63</v>
      </c>
      <c r="BC19" s="28">
        <f t="shared" si="19"/>
        <v>0</v>
      </c>
      <c r="BD19" s="28">
        <f t="shared" si="20"/>
        <v>0</v>
      </c>
      <c r="BE19" s="28">
        <v>0</v>
      </c>
      <c r="BF19" s="28">
        <f>19</f>
        <v>19</v>
      </c>
      <c r="BH19" s="28">
        <f t="shared" si="21"/>
        <v>0</v>
      </c>
      <c r="BI19" s="28">
        <f t="shared" si="22"/>
        <v>0</v>
      </c>
      <c r="BJ19" s="28">
        <f t="shared" si="23"/>
        <v>0</v>
      </c>
      <c r="BK19" s="28"/>
      <c r="BL19" s="28">
        <v>12</v>
      </c>
      <c r="BW19" s="28">
        <v>21</v>
      </c>
      <c r="BX19" s="4" t="s">
        <v>83</v>
      </c>
    </row>
    <row r="20" spans="1:76" x14ac:dyDescent="0.25">
      <c r="A20" s="34" t="s">
        <v>84</v>
      </c>
      <c r="B20" s="35" t="s">
        <v>85</v>
      </c>
      <c r="C20" s="245" t="s">
        <v>86</v>
      </c>
      <c r="D20" s="246"/>
      <c r="E20" s="35" t="s">
        <v>79</v>
      </c>
      <c r="F20" s="36">
        <v>620.48</v>
      </c>
      <c r="G20" s="173">
        <v>0</v>
      </c>
      <c r="H20" s="36">
        <f t="shared" si="0"/>
        <v>0</v>
      </c>
      <c r="I20" s="36">
        <f t="shared" si="1"/>
        <v>0</v>
      </c>
      <c r="J20" s="36">
        <f t="shared" si="2"/>
        <v>0</v>
      </c>
      <c r="K20" s="37" t="s">
        <v>60</v>
      </c>
      <c r="Z20" s="28">
        <f t="shared" si="3"/>
        <v>0</v>
      </c>
      <c r="AB20" s="28">
        <f t="shared" si="4"/>
        <v>0</v>
      </c>
      <c r="AC20" s="28">
        <f t="shared" si="5"/>
        <v>0</v>
      </c>
      <c r="AD20" s="28">
        <f t="shared" si="6"/>
        <v>0</v>
      </c>
      <c r="AE20" s="28">
        <f t="shared" si="7"/>
        <v>0</v>
      </c>
      <c r="AF20" s="28">
        <f t="shared" si="8"/>
        <v>0</v>
      </c>
      <c r="AG20" s="28">
        <f t="shared" si="9"/>
        <v>0</v>
      </c>
      <c r="AH20" s="28">
        <f t="shared" si="10"/>
        <v>0</v>
      </c>
      <c r="AI20" s="10" t="s">
        <v>53</v>
      </c>
      <c r="AJ20" s="28">
        <f t="shared" si="11"/>
        <v>0</v>
      </c>
      <c r="AK20" s="28">
        <f t="shared" si="12"/>
        <v>0</v>
      </c>
      <c r="AL20" s="28">
        <f t="shared" si="13"/>
        <v>0</v>
      </c>
      <c r="AN20" s="28">
        <v>21</v>
      </c>
      <c r="AO20" s="28">
        <f t="shared" si="14"/>
        <v>0</v>
      </c>
      <c r="AP20" s="28">
        <f t="shared" si="15"/>
        <v>0</v>
      </c>
      <c r="AQ20" s="29" t="s">
        <v>56</v>
      </c>
      <c r="AV20" s="28">
        <f t="shared" si="16"/>
        <v>0</v>
      </c>
      <c r="AW20" s="28">
        <f t="shared" si="17"/>
        <v>0</v>
      </c>
      <c r="AX20" s="28">
        <f t="shared" si="18"/>
        <v>0</v>
      </c>
      <c r="AY20" s="29" t="s">
        <v>80</v>
      </c>
      <c r="AZ20" s="29" t="s">
        <v>62</v>
      </c>
      <c r="BA20" s="10" t="s">
        <v>63</v>
      </c>
      <c r="BC20" s="28">
        <f t="shared" si="19"/>
        <v>0</v>
      </c>
      <c r="BD20" s="28">
        <f t="shared" si="20"/>
        <v>0</v>
      </c>
      <c r="BE20" s="28">
        <v>0</v>
      </c>
      <c r="BF20" s="28">
        <f>20</f>
        <v>20</v>
      </c>
      <c r="BH20" s="28">
        <f t="shared" si="21"/>
        <v>0</v>
      </c>
      <c r="BI20" s="28">
        <f t="shared" si="22"/>
        <v>0</v>
      </c>
      <c r="BJ20" s="28">
        <f t="shared" si="23"/>
        <v>0</v>
      </c>
      <c r="BK20" s="28"/>
      <c r="BL20" s="28">
        <v>12</v>
      </c>
      <c r="BW20" s="28">
        <v>21</v>
      </c>
      <c r="BX20" s="4" t="s">
        <v>86</v>
      </c>
    </row>
    <row r="21" spans="1:76" x14ac:dyDescent="0.25">
      <c r="A21" s="34" t="s">
        <v>87</v>
      </c>
      <c r="B21" s="35" t="s">
        <v>88</v>
      </c>
      <c r="C21" s="245" t="s">
        <v>89</v>
      </c>
      <c r="D21" s="246"/>
      <c r="E21" s="35" t="s">
        <v>79</v>
      </c>
      <c r="F21" s="36">
        <v>2</v>
      </c>
      <c r="G21" s="173">
        <v>0</v>
      </c>
      <c r="H21" s="36">
        <f t="shared" si="0"/>
        <v>0</v>
      </c>
      <c r="I21" s="36">
        <f t="shared" si="1"/>
        <v>0</v>
      </c>
      <c r="J21" s="36">
        <f t="shared" si="2"/>
        <v>0</v>
      </c>
      <c r="K21" s="37" t="s">
        <v>60</v>
      </c>
      <c r="Z21" s="28">
        <f t="shared" si="3"/>
        <v>0</v>
      </c>
      <c r="AB21" s="28">
        <f t="shared" si="4"/>
        <v>0</v>
      </c>
      <c r="AC21" s="28">
        <f t="shared" si="5"/>
        <v>0</v>
      </c>
      <c r="AD21" s="28">
        <f t="shared" si="6"/>
        <v>0</v>
      </c>
      <c r="AE21" s="28">
        <f t="shared" si="7"/>
        <v>0</v>
      </c>
      <c r="AF21" s="28">
        <f t="shared" si="8"/>
        <v>0</v>
      </c>
      <c r="AG21" s="28">
        <f t="shared" si="9"/>
        <v>0</v>
      </c>
      <c r="AH21" s="28">
        <f t="shared" si="10"/>
        <v>0</v>
      </c>
      <c r="AI21" s="10" t="s">
        <v>53</v>
      </c>
      <c r="AJ21" s="28">
        <f t="shared" si="11"/>
        <v>0</v>
      </c>
      <c r="AK21" s="28">
        <f t="shared" si="12"/>
        <v>0</v>
      </c>
      <c r="AL21" s="28">
        <f t="shared" si="13"/>
        <v>0</v>
      </c>
      <c r="AN21" s="28">
        <v>21</v>
      </c>
      <c r="AO21" s="28">
        <f t="shared" si="14"/>
        <v>0</v>
      </c>
      <c r="AP21" s="28">
        <f t="shared" si="15"/>
        <v>0</v>
      </c>
      <c r="AQ21" s="29" t="s">
        <v>56</v>
      </c>
      <c r="AV21" s="28">
        <f t="shared" si="16"/>
        <v>0</v>
      </c>
      <c r="AW21" s="28">
        <f t="shared" si="17"/>
        <v>0</v>
      </c>
      <c r="AX21" s="28">
        <f t="shared" si="18"/>
        <v>0</v>
      </c>
      <c r="AY21" s="29" t="s">
        <v>80</v>
      </c>
      <c r="AZ21" s="29" t="s">
        <v>62</v>
      </c>
      <c r="BA21" s="10" t="s">
        <v>63</v>
      </c>
      <c r="BC21" s="28">
        <f t="shared" si="19"/>
        <v>0</v>
      </c>
      <c r="BD21" s="28">
        <f t="shared" si="20"/>
        <v>0</v>
      </c>
      <c r="BE21" s="28">
        <v>0</v>
      </c>
      <c r="BF21" s="28">
        <f>21</f>
        <v>21</v>
      </c>
      <c r="BH21" s="28">
        <f t="shared" si="21"/>
        <v>0</v>
      </c>
      <c r="BI21" s="28">
        <f t="shared" si="22"/>
        <v>0</v>
      </c>
      <c r="BJ21" s="28">
        <f t="shared" si="23"/>
        <v>0</v>
      </c>
      <c r="BK21" s="28"/>
      <c r="BL21" s="28">
        <v>12</v>
      </c>
      <c r="BW21" s="28">
        <v>21</v>
      </c>
      <c r="BX21" s="4" t="s">
        <v>89</v>
      </c>
    </row>
    <row r="22" spans="1:76" x14ac:dyDescent="0.25">
      <c r="A22" s="34" t="s">
        <v>90</v>
      </c>
      <c r="B22" s="35" t="s">
        <v>91</v>
      </c>
      <c r="C22" s="245" t="s">
        <v>92</v>
      </c>
      <c r="D22" s="246"/>
      <c r="E22" s="35" t="s">
        <v>79</v>
      </c>
      <c r="F22" s="36">
        <v>1.5</v>
      </c>
      <c r="G22" s="173">
        <v>0</v>
      </c>
      <c r="H22" s="36">
        <f t="shared" si="0"/>
        <v>0</v>
      </c>
      <c r="I22" s="36">
        <f t="shared" si="1"/>
        <v>0</v>
      </c>
      <c r="J22" s="36">
        <f t="shared" si="2"/>
        <v>0</v>
      </c>
      <c r="K22" s="37" t="s">
        <v>60</v>
      </c>
      <c r="Z22" s="28">
        <f t="shared" si="3"/>
        <v>0</v>
      </c>
      <c r="AB22" s="28">
        <f t="shared" si="4"/>
        <v>0</v>
      </c>
      <c r="AC22" s="28">
        <f t="shared" si="5"/>
        <v>0</v>
      </c>
      <c r="AD22" s="28">
        <f t="shared" si="6"/>
        <v>0</v>
      </c>
      <c r="AE22" s="28">
        <f t="shared" si="7"/>
        <v>0</v>
      </c>
      <c r="AF22" s="28">
        <f t="shared" si="8"/>
        <v>0</v>
      </c>
      <c r="AG22" s="28">
        <f t="shared" si="9"/>
        <v>0</v>
      </c>
      <c r="AH22" s="28">
        <f t="shared" si="10"/>
        <v>0</v>
      </c>
      <c r="AI22" s="10" t="s">
        <v>53</v>
      </c>
      <c r="AJ22" s="28">
        <f t="shared" si="11"/>
        <v>0</v>
      </c>
      <c r="AK22" s="28">
        <f t="shared" si="12"/>
        <v>0</v>
      </c>
      <c r="AL22" s="28">
        <f t="shared" si="13"/>
        <v>0</v>
      </c>
      <c r="AN22" s="28">
        <v>21</v>
      </c>
      <c r="AO22" s="28">
        <f t="shared" si="14"/>
        <v>0</v>
      </c>
      <c r="AP22" s="28">
        <f t="shared" si="15"/>
        <v>0</v>
      </c>
      <c r="AQ22" s="29" t="s">
        <v>56</v>
      </c>
      <c r="AV22" s="28">
        <f t="shared" si="16"/>
        <v>0</v>
      </c>
      <c r="AW22" s="28">
        <f t="shared" si="17"/>
        <v>0</v>
      </c>
      <c r="AX22" s="28">
        <f t="shared" si="18"/>
        <v>0</v>
      </c>
      <c r="AY22" s="29" t="s">
        <v>80</v>
      </c>
      <c r="AZ22" s="29" t="s">
        <v>62</v>
      </c>
      <c r="BA22" s="10" t="s">
        <v>63</v>
      </c>
      <c r="BC22" s="28">
        <f t="shared" si="19"/>
        <v>0</v>
      </c>
      <c r="BD22" s="28">
        <f t="shared" si="20"/>
        <v>0</v>
      </c>
      <c r="BE22" s="28">
        <v>0</v>
      </c>
      <c r="BF22" s="28">
        <f>22</f>
        <v>22</v>
      </c>
      <c r="BH22" s="28">
        <f t="shared" si="21"/>
        <v>0</v>
      </c>
      <c r="BI22" s="28">
        <f t="shared" si="22"/>
        <v>0</v>
      </c>
      <c r="BJ22" s="28">
        <f t="shared" si="23"/>
        <v>0</v>
      </c>
      <c r="BK22" s="28"/>
      <c r="BL22" s="28">
        <v>12</v>
      </c>
      <c r="BW22" s="28">
        <v>21</v>
      </c>
      <c r="BX22" s="4" t="s">
        <v>92</v>
      </c>
    </row>
    <row r="23" spans="1:76" x14ac:dyDescent="0.25">
      <c r="A23" s="34" t="s">
        <v>93</v>
      </c>
      <c r="B23" s="35" t="s">
        <v>94</v>
      </c>
      <c r="C23" s="245" t="s">
        <v>95</v>
      </c>
      <c r="D23" s="246"/>
      <c r="E23" s="35" t="s">
        <v>79</v>
      </c>
      <c r="F23" s="36">
        <v>2.7</v>
      </c>
      <c r="G23" s="173">
        <v>0</v>
      </c>
      <c r="H23" s="36">
        <f t="shared" si="0"/>
        <v>0</v>
      </c>
      <c r="I23" s="36">
        <f t="shared" si="1"/>
        <v>0</v>
      </c>
      <c r="J23" s="36">
        <f t="shared" si="2"/>
        <v>0</v>
      </c>
      <c r="K23" s="37" t="s">
        <v>60</v>
      </c>
      <c r="Z23" s="28">
        <f t="shared" si="3"/>
        <v>0</v>
      </c>
      <c r="AB23" s="28">
        <f t="shared" si="4"/>
        <v>0</v>
      </c>
      <c r="AC23" s="28">
        <f t="shared" si="5"/>
        <v>0</v>
      </c>
      <c r="AD23" s="28">
        <f t="shared" si="6"/>
        <v>0</v>
      </c>
      <c r="AE23" s="28">
        <f t="shared" si="7"/>
        <v>0</v>
      </c>
      <c r="AF23" s="28">
        <f t="shared" si="8"/>
        <v>0</v>
      </c>
      <c r="AG23" s="28">
        <f t="shared" si="9"/>
        <v>0</v>
      </c>
      <c r="AH23" s="28">
        <f t="shared" si="10"/>
        <v>0</v>
      </c>
      <c r="AI23" s="10" t="s">
        <v>53</v>
      </c>
      <c r="AJ23" s="28">
        <f t="shared" si="11"/>
        <v>0</v>
      </c>
      <c r="AK23" s="28">
        <f t="shared" si="12"/>
        <v>0</v>
      </c>
      <c r="AL23" s="28">
        <f t="shared" si="13"/>
        <v>0</v>
      </c>
      <c r="AN23" s="28">
        <v>21</v>
      </c>
      <c r="AO23" s="28">
        <f t="shared" si="14"/>
        <v>0</v>
      </c>
      <c r="AP23" s="28">
        <f t="shared" si="15"/>
        <v>0</v>
      </c>
      <c r="AQ23" s="29" t="s">
        <v>56</v>
      </c>
      <c r="AV23" s="28">
        <f t="shared" si="16"/>
        <v>0</v>
      </c>
      <c r="AW23" s="28">
        <f t="shared" si="17"/>
        <v>0</v>
      </c>
      <c r="AX23" s="28">
        <f t="shared" si="18"/>
        <v>0</v>
      </c>
      <c r="AY23" s="29" t="s">
        <v>80</v>
      </c>
      <c r="AZ23" s="29" t="s">
        <v>62</v>
      </c>
      <c r="BA23" s="10" t="s">
        <v>63</v>
      </c>
      <c r="BC23" s="28">
        <f t="shared" si="19"/>
        <v>0</v>
      </c>
      <c r="BD23" s="28">
        <f t="shared" si="20"/>
        <v>0</v>
      </c>
      <c r="BE23" s="28">
        <v>0</v>
      </c>
      <c r="BF23" s="28">
        <f>23</f>
        <v>23</v>
      </c>
      <c r="BH23" s="28">
        <f t="shared" si="21"/>
        <v>0</v>
      </c>
      <c r="BI23" s="28">
        <f t="shared" si="22"/>
        <v>0</v>
      </c>
      <c r="BJ23" s="28">
        <f t="shared" si="23"/>
        <v>0</v>
      </c>
      <c r="BK23" s="28"/>
      <c r="BL23" s="28">
        <v>12</v>
      </c>
      <c r="BW23" s="28">
        <v>21</v>
      </c>
      <c r="BX23" s="4" t="s">
        <v>95</v>
      </c>
    </row>
    <row r="24" spans="1:76" x14ac:dyDescent="0.25">
      <c r="A24" s="38" t="s">
        <v>53</v>
      </c>
      <c r="B24" s="39" t="s">
        <v>96</v>
      </c>
      <c r="C24" s="249" t="s">
        <v>97</v>
      </c>
      <c r="D24" s="250"/>
      <c r="E24" s="40" t="s">
        <v>9</v>
      </c>
      <c r="F24" s="40" t="s">
        <v>9</v>
      </c>
      <c r="G24" s="40" t="s">
        <v>9</v>
      </c>
      <c r="H24" s="41">
        <f>SUM(H25:H25)</f>
        <v>0</v>
      </c>
      <c r="I24" s="41">
        <f>SUM(I25:I25)</f>
        <v>0</v>
      </c>
      <c r="J24" s="41">
        <f>SUM(J25:J25)</f>
        <v>0</v>
      </c>
      <c r="K24" s="42" t="s">
        <v>53</v>
      </c>
      <c r="AI24" s="10" t="s">
        <v>53</v>
      </c>
      <c r="AS24" s="1">
        <f>SUM(AJ25:AJ25)</f>
        <v>0</v>
      </c>
      <c r="AT24" s="1">
        <f>SUM(AK25:AK25)</f>
        <v>0</v>
      </c>
      <c r="AU24" s="1">
        <f>SUM(AL25:AL25)</f>
        <v>0</v>
      </c>
    </row>
    <row r="25" spans="1:76" x14ac:dyDescent="0.25">
      <c r="A25" s="30" t="s">
        <v>54</v>
      </c>
      <c r="B25" s="31" t="s">
        <v>98</v>
      </c>
      <c r="C25" s="239" t="s">
        <v>99</v>
      </c>
      <c r="D25" s="240"/>
      <c r="E25" s="31" t="s">
        <v>79</v>
      </c>
      <c r="F25" s="32">
        <v>47.15</v>
      </c>
      <c r="G25" s="172">
        <v>0</v>
      </c>
      <c r="H25" s="32">
        <f>F25*AO25</f>
        <v>0</v>
      </c>
      <c r="I25" s="32">
        <f>F25*AP25</f>
        <v>0</v>
      </c>
      <c r="J25" s="32">
        <f>F25*G25</f>
        <v>0</v>
      </c>
      <c r="K25" s="33" t="s">
        <v>60</v>
      </c>
      <c r="Z25" s="28">
        <f>IF(AQ25="5",BJ25,0)</f>
        <v>0</v>
      </c>
      <c r="AB25" s="28">
        <f>IF(AQ25="1",BH25,0)</f>
        <v>0</v>
      </c>
      <c r="AC25" s="28">
        <f>IF(AQ25="1",BI25,0)</f>
        <v>0</v>
      </c>
      <c r="AD25" s="28">
        <f>IF(AQ25="7",BH25,0)</f>
        <v>0</v>
      </c>
      <c r="AE25" s="28">
        <f>IF(AQ25="7",BI25,0)</f>
        <v>0</v>
      </c>
      <c r="AF25" s="28">
        <f>IF(AQ25="2",BH25,0)</f>
        <v>0</v>
      </c>
      <c r="AG25" s="28">
        <f>IF(AQ25="2",BI25,0)</f>
        <v>0</v>
      </c>
      <c r="AH25" s="28">
        <f>IF(AQ25="0",BJ25,0)</f>
        <v>0</v>
      </c>
      <c r="AI25" s="10" t="s">
        <v>53</v>
      </c>
      <c r="AJ25" s="28">
        <f>IF(AN25=0,J25,0)</f>
        <v>0</v>
      </c>
      <c r="AK25" s="28">
        <f>IF(AN25=12,J25,0)</f>
        <v>0</v>
      </c>
      <c r="AL25" s="28">
        <f>IF(AN25=21,J25,0)</f>
        <v>0</v>
      </c>
      <c r="AN25" s="28">
        <v>21</v>
      </c>
      <c r="AO25" s="28">
        <f>G25*0</f>
        <v>0</v>
      </c>
      <c r="AP25" s="28">
        <f>G25*(1-0)</f>
        <v>0</v>
      </c>
      <c r="AQ25" s="29" t="s">
        <v>56</v>
      </c>
      <c r="AV25" s="28">
        <f>AW25+AX25</f>
        <v>0</v>
      </c>
      <c r="AW25" s="28">
        <f>F25*AO25</f>
        <v>0</v>
      </c>
      <c r="AX25" s="28">
        <f>F25*AP25</f>
        <v>0</v>
      </c>
      <c r="AY25" s="29" t="s">
        <v>100</v>
      </c>
      <c r="AZ25" s="29" t="s">
        <v>62</v>
      </c>
      <c r="BA25" s="10" t="s">
        <v>63</v>
      </c>
      <c r="BC25" s="28">
        <f>AW25+AX25</f>
        <v>0</v>
      </c>
      <c r="BD25" s="28">
        <f>G25/(100-BE25)*100</f>
        <v>0</v>
      </c>
      <c r="BE25" s="28">
        <v>0</v>
      </c>
      <c r="BF25" s="28">
        <f>25</f>
        <v>25</v>
      </c>
      <c r="BH25" s="28">
        <f>F25*AO25</f>
        <v>0</v>
      </c>
      <c r="BI25" s="28">
        <f>F25*AP25</f>
        <v>0</v>
      </c>
      <c r="BJ25" s="28">
        <f>F25*G25</f>
        <v>0</v>
      </c>
      <c r="BK25" s="28"/>
      <c r="BL25" s="28">
        <v>13</v>
      </c>
      <c r="BW25" s="28">
        <v>21</v>
      </c>
      <c r="BX25" s="4" t="s">
        <v>99</v>
      </c>
    </row>
    <row r="26" spans="1:76" x14ac:dyDescent="0.25">
      <c r="A26" s="38" t="s">
        <v>53</v>
      </c>
      <c r="B26" s="39" t="s">
        <v>101</v>
      </c>
      <c r="C26" s="249" t="s">
        <v>102</v>
      </c>
      <c r="D26" s="250"/>
      <c r="E26" s="40" t="s">
        <v>9</v>
      </c>
      <c r="F26" s="40" t="s">
        <v>9</v>
      </c>
      <c r="G26" s="40" t="s">
        <v>9</v>
      </c>
      <c r="H26" s="41">
        <f>SUM(H27:H33)</f>
        <v>0</v>
      </c>
      <c r="I26" s="41">
        <f>SUM(I27:I33)</f>
        <v>0</v>
      </c>
      <c r="J26" s="41">
        <f>SUM(J27:J33)</f>
        <v>0</v>
      </c>
      <c r="K26" s="42" t="s">
        <v>53</v>
      </c>
      <c r="AI26" s="10" t="s">
        <v>53</v>
      </c>
      <c r="AS26" s="1">
        <f>SUM(AJ27:AJ33)</f>
        <v>0</v>
      </c>
      <c r="AT26" s="1">
        <f>SUM(AK27:AK33)</f>
        <v>0</v>
      </c>
      <c r="AU26" s="1">
        <f>SUM(AL27:AL33)</f>
        <v>0</v>
      </c>
    </row>
    <row r="27" spans="1:76" x14ac:dyDescent="0.25">
      <c r="A27" s="30" t="s">
        <v>74</v>
      </c>
      <c r="B27" s="31" t="s">
        <v>103</v>
      </c>
      <c r="C27" s="239" t="s">
        <v>104</v>
      </c>
      <c r="D27" s="240"/>
      <c r="E27" s="31" t="s">
        <v>79</v>
      </c>
      <c r="F27" s="32">
        <v>45</v>
      </c>
      <c r="G27" s="172">
        <v>0</v>
      </c>
      <c r="H27" s="32">
        <f t="shared" ref="H27:H33" si="24">F27*AO27</f>
        <v>0</v>
      </c>
      <c r="I27" s="32">
        <f t="shared" ref="I27:I33" si="25">F27*AP27</f>
        <v>0</v>
      </c>
      <c r="J27" s="32">
        <f t="shared" ref="J27:J33" si="26">F27*G27</f>
        <v>0</v>
      </c>
      <c r="K27" s="33" t="s">
        <v>60</v>
      </c>
      <c r="Z27" s="28">
        <f t="shared" ref="Z27:Z33" si="27">IF(AQ27="5",BJ27,0)</f>
        <v>0</v>
      </c>
      <c r="AB27" s="28">
        <f t="shared" ref="AB27:AB33" si="28">IF(AQ27="1",BH27,0)</f>
        <v>0</v>
      </c>
      <c r="AC27" s="28">
        <f t="shared" ref="AC27:AC33" si="29">IF(AQ27="1",BI27,0)</f>
        <v>0</v>
      </c>
      <c r="AD27" s="28">
        <f t="shared" ref="AD27:AD33" si="30">IF(AQ27="7",BH27,0)</f>
        <v>0</v>
      </c>
      <c r="AE27" s="28">
        <f t="shared" ref="AE27:AE33" si="31">IF(AQ27="7",BI27,0)</f>
        <v>0</v>
      </c>
      <c r="AF27" s="28">
        <f t="shared" ref="AF27:AF33" si="32">IF(AQ27="2",BH27,0)</f>
        <v>0</v>
      </c>
      <c r="AG27" s="28">
        <f t="shared" ref="AG27:AG33" si="33">IF(AQ27="2",BI27,0)</f>
        <v>0</v>
      </c>
      <c r="AH27" s="28">
        <f t="shared" ref="AH27:AH33" si="34">IF(AQ27="0",BJ27,0)</f>
        <v>0</v>
      </c>
      <c r="AI27" s="10" t="s">
        <v>53</v>
      </c>
      <c r="AJ27" s="28">
        <f t="shared" ref="AJ27:AJ33" si="35">IF(AN27=0,J27,0)</f>
        <v>0</v>
      </c>
      <c r="AK27" s="28">
        <f t="shared" ref="AK27:AK33" si="36">IF(AN27=12,J27,0)</f>
        <v>0</v>
      </c>
      <c r="AL27" s="28">
        <f t="shared" ref="AL27:AL33" si="37">IF(AN27=21,J27,0)</f>
        <v>0</v>
      </c>
      <c r="AN27" s="28">
        <v>21</v>
      </c>
      <c r="AO27" s="28">
        <f t="shared" ref="AO27:AO33" si="38">G27*0</f>
        <v>0</v>
      </c>
      <c r="AP27" s="28">
        <f t="shared" ref="AP27:AP33" si="39">G27*(1-0)</f>
        <v>0</v>
      </c>
      <c r="AQ27" s="29" t="s">
        <v>56</v>
      </c>
      <c r="AV27" s="28">
        <f t="shared" ref="AV27:AV33" si="40">AW27+AX27</f>
        <v>0</v>
      </c>
      <c r="AW27" s="28">
        <f t="shared" ref="AW27:AW33" si="41">F27*AO27</f>
        <v>0</v>
      </c>
      <c r="AX27" s="28">
        <f t="shared" ref="AX27:AX33" si="42">F27*AP27</f>
        <v>0</v>
      </c>
      <c r="AY27" s="29" t="s">
        <v>105</v>
      </c>
      <c r="AZ27" s="29" t="s">
        <v>62</v>
      </c>
      <c r="BA27" s="10" t="s">
        <v>63</v>
      </c>
      <c r="BC27" s="28">
        <f t="shared" ref="BC27:BC33" si="43">AW27+AX27</f>
        <v>0</v>
      </c>
      <c r="BD27" s="28">
        <f t="shared" ref="BD27:BD33" si="44">G27/(100-BE27)*100</f>
        <v>0</v>
      </c>
      <c r="BE27" s="28">
        <v>0</v>
      </c>
      <c r="BF27" s="28">
        <f>27</f>
        <v>27</v>
      </c>
      <c r="BH27" s="28">
        <f t="shared" ref="BH27:BH33" si="45">F27*AO27</f>
        <v>0</v>
      </c>
      <c r="BI27" s="28">
        <f t="shared" ref="BI27:BI33" si="46">F27*AP27</f>
        <v>0</v>
      </c>
      <c r="BJ27" s="28">
        <f t="shared" ref="BJ27:BJ33" si="47">F27*G27</f>
        <v>0</v>
      </c>
      <c r="BK27" s="28"/>
      <c r="BL27" s="28">
        <v>16</v>
      </c>
      <c r="BW27" s="28">
        <v>21</v>
      </c>
      <c r="BX27" s="4" t="s">
        <v>104</v>
      </c>
    </row>
    <row r="28" spans="1:76" x14ac:dyDescent="0.25">
      <c r="A28" s="34" t="s">
        <v>96</v>
      </c>
      <c r="B28" s="35" t="s">
        <v>106</v>
      </c>
      <c r="C28" s="245" t="s">
        <v>107</v>
      </c>
      <c r="D28" s="246"/>
      <c r="E28" s="35" t="s">
        <v>79</v>
      </c>
      <c r="F28" s="36">
        <v>556</v>
      </c>
      <c r="G28" s="173">
        <v>0</v>
      </c>
      <c r="H28" s="36">
        <f t="shared" si="24"/>
        <v>0</v>
      </c>
      <c r="I28" s="36">
        <f t="shared" si="25"/>
        <v>0</v>
      </c>
      <c r="J28" s="36">
        <f t="shared" si="26"/>
        <v>0</v>
      </c>
      <c r="K28" s="37" t="s">
        <v>60</v>
      </c>
      <c r="Z28" s="28">
        <f t="shared" si="27"/>
        <v>0</v>
      </c>
      <c r="AB28" s="28">
        <f t="shared" si="28"/>
        <v>0</v>
      </c>
      <c r="AC28" s="28">
        <f t="shared" si="29"/>
        <v>0</v>
      </c>
      <c r="AD28" s="28">
        <f t="shared" si="30"/>
        <v>0</v>
      </c>
      <c r="AE28" s="28">
        <f t="shared" si="31"/>
        <v>0</v>
      </c>
      <c r="AF28" s="28">
        <f t="shared" si="32"/>
        <v>0</v>
      </c>
      <c r="AG28" s="28">
        <f t="shared" si="33"/>
        <v>0</v>
      </c>
      <c r="AH28" s="28">
        <f t="shared" si="34"/>
        <v>0</v>
      </c>
      <c r="AI28" s="10" t="s">
        <v>53</v>
      </c>
      <c r="AJ28" s="28">
        <f t="shared" si="35"/>
        <v>0</v>
      </c>
      <c r="AK28" s="28">
        <f t="shared" si="36"/>
        <v>0</v>
      </c>
      <c r="AL28" s="28">
        <f t="shared" si="37"/>
        <v>0</v>
      </c>
      <c r="AN28" s="28">
        <v>21</v>
      </c>
      <c r="AO28" s="28">
        <f t="shared" si="38"/>
        <v>0</v>
      </c>
      <c r="AP28" s="28">
        <f t="shared" si="39"/>
        <v>0</v>
      </c>
      <c r="AQ28" s="29" t="s">
        <v>56</v>
      </c>
      <c r="AV28" s="28">
        <f t="shared" si="40"/>
        <v>0</v>
      </c>
      <c r="AW28" s="28">
        <f t="shared" si="41"/>
        <v>0</v>
      </c>
      <c r="AX28" s="28">
        <f t="shared" si="42"/>
        <v>0</v>
      </c>
      <c r="AY28" s="29" t="s">
        <v>105</v>
      </c>
      <c r="AZ28" s="29" t="s">
        <v>62</v>
      </c>
      <c r="BA28" s="10" t="s">
        <v>63</v>
      </c>
      <c r="BC28" s="28">
        <f t="shared" si="43"/>
        <v>0</v>
      </c>
      <c r="BD28" s="28">
        <f t="shared" si="44"/>
        <v>0</v>
      </c>
      <c r="BE28" s="28">
        <v>0</v>
      </c>
      <c r="BF28" s="28">
        <f>28</f>
        <v>28</v>
      </c>
      <c r="BH28" s="28">
        <f t="shared" si="45"/>
        <v>0</v>
      </c>
      <c r="BI28" s="28">
        <f t="shared" si="46"/>
        <v>0</v>
      </c>
      <c r="BJ28" s="28">
        <f t="shared" si="47"/>
        <v>0</v>
      </c>
      <c r="BK28" s="28"/>
      <c r="BL28" s="28">
        <v>16</v>
      </c>
      <c r="BW28" s="28">
        <v>21</v>
      </c>
      <c r="BX28" s="4" t="s">
        <v>107</v>
      </c>
    </row>
    <row r="29" spans="1:76" x14ac:dyDescent="0.25">
      <c r="A29" s="34" t="s">
        <v>108</v>
      </c>
      <c r="B29" s="35" t="s">
        <v>109</v>
      </c>
      <c r="C29" s="245" t="s">
        <v>110</v>
      </c>
      <c r="D29" s="246"/>
      <c r="E29" s="35" t="s">
        <v>79</v>
      </c>
      <c r="F29" s="36">
        <v>45</v>
      </c>
      <c r="G29" s="173">
        <v>0</v>
      </c>
      <c r="H29" s="36">
        <f t="shared" si="24"/>
        <v>0</v>
      </c>
      <c r="I29" s="36">
        <f t="shared" si="25"/>
        <v>0</v>
      </c>
      <c r="J29" s="36">
        <f t="shared" si="26"/>
        <v>0</v>
      </c>
      <c r="K29" s="37" t="s">
        <v>60</v>
      </c>
      <c r="Z29" s="28">
        <f t="shared" si="27"/>
        <v>0</v>
      </c>
      <c r="AB29" s="28">
        <f t="shared" si="28"/>
        <v>0</v>
      </c>
      <c r="AC29" s="28">
        <f t="shared" si="29"/>
        <v>0</v>
      </c>
      <c r="AD29" s="28">
        <f t="shared" si="30"/>
        <v>0</v>
      </c>
      <c r="AE29" s="28">
        <f t="shared" si="31"/>
        <v>0</v>
      </c>
      <c r="AF29" s="28">
        <f t="shared" si="32"/>
        <v>0</v>
      </c>
      <c r="AG29" s="28">
        <f t="shared" si="33"/>
        <v>0</v>
      </c>
      <c r="AH29" s="28">
        <f t="shared" si="34"/>
        <v>0</v>
      </c>
      <c r="AI29" s="10" t="s">
        <v>53</v>
      </c>
      <c r="AJ29" s="28">
        <f t="shared" si="35"/>
        <v>0</v>
      </c>
      <c r="AK29" s="28">
        <f t="shared" si="36"/>
        <v>0</v>
      </c>
      <c r="AL29" s="28">
        <f t="shared" si="37"/>
        <v>0</v>
      </c>
      <c r="AN29" s="28">
        <v>21</v>
      </c>
      <c r="AO29" s="28">
        <f t="shared" si="38"/>
        <v>0</v>
      </c>
      <c r="AP29" s="28">
        <f t="shared" si="39"/>
        <v>0</v>
      </c>
      <c r="AQ29" s="29" t="s">
        <v>56</v>
      </c>
      <c r="AV29" s="28">
        <f t="shared" si="40"/>
        <v>0</v>
      </c>
      <c r="AW29" s="28">
        <f t="shared" si="41"/>
        <v>0</v>
      </c>
      <c r="AX29" s="28">
        <f t="shared" si="42"/>
        <v>0</v>
      </c>
      <c r="AY29" s="29" t="s">
        <v>105</v>
      </c>
      <c r="AZ29" s="29" t="s">
        <v>62</v>
      </c>
      <c r="BA29" s="10" t="s">
        <v>63</v>
      </c>
      <c r="BC29" s="28">
        <f t="shared" si="43"/>
        <v>0</v>
      </c>
      <c r="BD29" s="28">
        <f t="shared" si="44"/>
        <v>0</v>
      </c>
      <c r="BE29" s="28">
        <v>0</v>
      </c>
      <c r="BF29" s="28">
        <f>29</f>
        <v>29</v>
      </c>
      <c r="BH29" s="28">
        <f t="shared" si="45"/>
        <v>0</v>
      </c>
      <c r="BI29" s="28">
        <f t="shared" si="46"/>
        <v>0</v>
      </c>
      <c r="BJ29" s="28">
        <f t="shared" si="47"/>
        <v>0</v>
      </c>
      <c r="BK29" s="28"/>
      <c r="BL29" s="28">
        <v>16</v>
      </c>
      <c r="BW29" s="28">
        <v>21</v>
      </c>
      <c r="BX29" s="4" t="s">
        <v>110</v>
      </c>
    </row>
    <row r="30" spans="1:76" x14ac:dyDescent="0.25">
      <c r="A30" s="34" t="s">
        <v>111</v>
      </c>
      <c r="B30" s="35" t="s">
        <v>112</v>
      </c>
      <c r="C30" s="245" t="s">
        <v>113</v>
      </c>
      <c r="D30" s="246"/>
      <c r="E30" s="35" t="s">
        <v>79</v>
      </c>
      <c r="F30" s="36">
        <v>20</v>
      </c>
      <c r="G30" s="173">
        <v>0</v>
      </c>
      <c r="H30" s="36">
        <f t="shared" si="24"/>
        <v>0</v>
      </c>
      <c r="I30" s="36">
        <f t="shared" si="25"/>
        <v>0</v>
      </c>
      <c r="J30" s="36">
        <f t="shared" si="26"/>
        <v>0</v>
      </c>
      <c r="K30" s="37" t="s">
        <v>60</v>
      </c>
      <c r="Z30" s="28">
        <f t="shared" si="27"/>
        <v>0</v>
      </c>
      <c r="AB30" s="28">
        <f t="shared" si="28"/>
        <v>0</v>
      </c>
      <c r="AC30" s="28">
        <f t="shared" si="29"/>
        <v>0</v>
      </c>
      <c r="AD30" s="28">
        <f t="shared" si="30"/>
        <v>0</v>
      </c>
      <c r="AE30" s="28">
        <f t="shared" si="31"/>
        <v>0</v>
      </c>
      <c r="AF30" s="28">
        <f t="shared" si="32"/>
        <v>0</v>
      </c>
      <c r="AG30" s="28">
        <f t="shared" si="33"/>
        <v>0</v>
      </c>
      <c r="AH30" s="28">
        <f t="shared" si="34"/>
        <v>0</v>
      </c>
      <c r="AI30" s="10" t="s">
        <v>53</v>
      </c>
      <c r="AJ30" s="28">
        <f t="shared" si="35"/>
        <v>0</v>
      </c>
      <c r="AK30" s="28">
        <f t="shared" si="36"/>
        <v>0</v>
      </c>
      <c r="AL30" s="28">
        <f t="shared" si="37"/>
        <v>0</v>
      </c>
      <c r="AN30" s="28">
        <v>21</v>
      </c>
      <c r="AO30" s="28">
        <f t="shared" si="38"/>
        <v>0</v>
      </c>
      <c r="AP30" s="28">
        <f t="shared" si="39"/>
        <v>0</v>
      </c>
      <c r="AQ30" s="29" t="s">
        <v>56</v>
      </c>
      <c r="AV30" s="28">
        <f t="shared" si="40"/>
        <v>0</v>
      </c>
      <c r="AW30" s="28">
        <f t="shared" si="41"/>
        <v>0</v>
      </c>
      <c r="AX30" s="28">
        <f t="shared" si="42"/>
        <v>0</v>
      </c>
      <c r="AY30" s="29" t="s">
        <v>105</v>
      </c>
      <c r="AZ30" s="29" t="s">
        <v>62</v>
      </c>
      <c r="BA30" s="10" t="s">
        <v>63</v>
      </c>
      <c r="BC30" s="28">
        <f t="shared" si="43"/>
        <v>0</v>
      </c>
      <c r="BD30" s="28">
        <f t="shared" si="44"/>
        <v>0</v>
      </c>
      <c r="BE30" s="28">
        <v>0</v>
      </c>
      <c r="BF30" s="28">
        <f>30</f>
        <v>30</v>
      </c>
      <c r="BH30" s="28">
        <f t="shared" si="45"/>
        <v>0</v>
      </c>
      <c r="BI30" s="28">
        <f t="shared" si="46"/>
        <v>0</v>
      </c>
      <c r="BJ30" s="28">
        <f t="shared" si="47"/>
        <v>0</v>
      </c>
      <c r="BK30" s="28"/>
      <c r="BL30" s="28">
        <v>16</v>
      </c>
      <c r="BW30" s="28">
        <v>21</v>
      </c>
      <c r="BX30" s="4" t="s">
        <v>113</v>
      </c>
    </row>
    <row r="31" spans="1:76" x14ac:dyDescent="0.25">
      <c r="A31" s="43" t="s">
        <v>101</v>
      </c>
      <c r="B31" s="44" t="s">
        <v>114</v>
      </c>
      <c r="C31" s="243" t="s">
        <v>115</v>
      </c>
      <c r="D31" s="244"/>
      <c r="E31" s="44" t="s">
        <v>79</v>
      </c>
      <c r="F31" s="45">
        <v>556</v>
      </c>
      <c r="G31" s="174">
        <v>0</v>
      </c>
      <c r="H31" s="45">
        <f t="shared" si="24"/>
        <v>0</v>
      </c>
      <c r="I31" s="45">
        <f t="shared" si="25"/>
        <v>0</v>
      </c>
      <c r="J31" s="45">
        <f t="shared" si="26"/>
        <v>0</v>
      </c>
      <c r="K31" s="46" t="s">
        <v>60</v>
      </c>
      <c r="Z31" s="28">
        <f t="shared" si="27"/>
        <v>0</v>
      </c>
      <c r="AB31" s="28">
        <f t="shared" si="28"/>
        <v>0</v>
      </c>
      <c r="AC31" s="28">
        <f t="shared" si="29"/>
        <v>0</v>
      </c>
      <c r="AD31" s="28">
        <f t="shared" si="30"/>
        <v>0</v>
      </c>
      <c r="AE31" s="28">
        <f t="shared" si="31"/>
        <v>0</v>
      </c>
      <c r="AF31" s="28">
        <f t="shared" si="32"/>
        <v>0</v>
      </c>
      <c r="AG31" s="28">
        <f t="shared" si="33"/>
        <v>0</v>
      </c>
      <c r="AH31" s="28">
        <f t="shared" si="34"/>
        <v>0</v>
      </c>
      <c r="AI31" s="10" t="s">
        <v>53</v>
      </c>
      <c r="AJ31" s="28">
        <f t="shared" si="35"/>
        <v>0</v>
      </c>
      <c r="AK31" s="28">
        <f t="shared" si="36"/>
        <v>0</v>
      </c>
      <c r="AL31" s="28">
        <f t="shared" si="37"/>
        <v>0</v>
      </c>
      <c r="AN31" s="28">
        <v>21</v>
      </c>
      <c r="AO31" s="28">
        <f t="shared" si="38"/>
        <v>0</v>
      </c>
      <c r="AP31" s="28">
        <f t="shared" si="39"/>
        <v>0</v>
      </c>
      <c r="AQ31" s="29" t="s">
        <v>56</v>
      </c>
      <c r="AV31" s="28">
        <f t="shared" si="40"/>
        <v>0</v>
      </c>
      <c r="AW31" s="28">
        <f t="shared" si="41"/>
        <v>0</v>
      </c>
      <c r="AX31" s="28">
        <f t="shared" si="42"/>
        <v>0</v>
      </c>
      <c r="AY31" s="29" t="s">
        <v>105</v>
      </c>
      <c r="AZ31" s="29" t="s">
        <v>62</v>
      </c>
      <c r="BA31" s="10" t="s">
        <v>63</v>
      </c>
      <c r="BC31" s="28">
        <f t="shared" si="43"/>
        <v>0</v>
      </c>
      <c r="BD31" s="28">
        <f t="shared" si="44"/>
        <v>0</v>
      </c>
      <c r="BE31" s="28">
        <v>0</v>
      </c>
      <c r="BF31" s="28">
        <f>31</f>
        <v>31</v>
      </c>
      <c r="BH31" s="28">
        <f t="shared" si="45"/>
        <v>0</v>
      </c>
      <c r="BI31" s="28">
        <f t="shared" si="46"/>
        <v>0</v>
      </c>
      <c r="BJ31" s="28">
        <f t="shared" si="47"/>
        <v>0</v>
      </c>
      <c r="BK31" s="28"/>
      <c r="BL31" s="28">
        <v>16</v>
      </c>
      <c r="BW31" s="28">
        <v>21</v>
      </c>
      <c r="BX31" s="4" t="s">
        <v>115</v>
      </c>
    </row>
    <row r="32" spans="1:76" x14ac:dyDescent="0.25">
      <c r="A32" s="2" t="s">
        <v>116</v>
      </c>
      <c r="B32" s="3" t="s">
        <v>117</v>
      </c>
      <c r="C32" s="181" t="s">
        <v>118</v>
      </c>
      <c r="D32" s="182"/>
      <c r="E32" s="3" t="s">
        <v>79</v>
      </c>
      <c r="F32" s="28">
        <v>5560</v>
      </c>
      <c r="G32" s="175">
        <v>0</v>
      </c>
      <c r="H32" s="28">
        <f t="shared" si="24"/>
        <v>0</v>
      </c>
      <c r="I32" s="28">
        <f t="shared" si="25"/>
        <v>0</v>
      </c>
      <c r="J32" s="28">
        <f t="shared" si="26"/>
        <v>0</v>
      </c>
      <c r="K32" s="47" t="s">
        <v>60</v>
      </c>
      <c r="Z32" s="28">
        <f t="shared" si="27"/>
        <v>0</v>
      </c>
      <c r="AB32" s="28">
        <f t="shared" si="28"/>
        <v>0</v>
      </c>
      <c r="AC32" s="28">
        <f t="shared" si="29"/>
        <v>0</v>
      </c>
      <c r="AD32" s="28">
        <f t="shared" si="30"/>
        <v>0</v>
      </c>
      <c r="AE32" s="28">
        <f t="shared" si="31"/>
        <v>0</v>
      </c>
      <c r="AF32" s="28">
        <f t="shared" si="32"/>
        <v>0</v>
      </c>
      <c r="AG32" s="28">
        <f t="shared" si="33"/>
        <v>0</v>
      </c>
      <c r="AH32" s="28">
        <f t="shared" si="34"/>
        <v>0</v>
      </c>
      <c r="AI32" s="10" t="s">
        <v>53</v>
      </c>
      <c r="AJ32" s="28">
        <f t="shared" si="35"/>
        <v>0</v>
      </c>
      <c r="AK32" s="28">
        <f t="shared" si="36"/>
        <v>0</v>
      </c>
      <c r="AL32" s="28">
        <f t="shared" si="37"/>
        <v>0</v>
      </c>
      <c r="AN32" s="28">
        <v>21</v>
      </c>
      <c r="AO32" s="28">
        <f t="shared" si="38"/>
        <v>0</v>
      </c>
      <c r="AP32" s="28">
        <f t="shared" si="39"/>
        <v>0</v>
      </c>
      <c r="AQ32" s="29" t="s">
        <v>56</v>
      </c>
      <c r="AV32" s="28">
        <f t="shared" si="40"/>
        <v>0</v>
      </c>
      <c r="AW32" s="28">
        <f t="shared" si="41"/>
        <v>0</v>
      </c>
      <c r="AX32" s="28">
        <f t="shared" si="42"/>
        <v>0</v>
      </c>
      <c r="AY32" s="29" t="s">
        <v>105</v>
      </c>
      <c r="AZ32" s="29" t="s">
        <v>62</v>
      </c>
      <c r="BA32" s="10" t="s">
        <v>63</v>
      </c>
      <c r="BC32" s="28">
        <f t="shared" si="43"/>
        <v>0</v>
      </c>
      <c r="BD32" s="28">
        <f t="shared" si="44"/>
        <v>0</v>
      </c>
      <c r="BE32" s="28">
        <v>0</v>
      </c>
      <c r="BF32" s="28">
        <f>32</f>
        <v>32</v>
      </c>
      <c r="BH32" s="28">
        <f t="shared" si="45"/>
        <v>0</v>
      </c>
      <c r="BI32" s="28">
        <f t="shared" si="46"/>
        <v>0</v>
      </c>
      <c r="BJ32" s="28">
        <f t="shared" si="47"/>
        <v>0</v>
      </c>
      <c r="BK32" s="28"/>
      <c r="BL32" s="28">
        <v>16</v>
      </c>
      <c r="BW32" s="28">
        <v>21</v>
      </c>
      <c r="BX32" s="4" t="s">
        <v>118</v>
      </c>
    </row>
    <row r="33" spans="1:76" x14ac:dyDescent="0.25">
      <c r="A33" s="2" t="s">
        <v>119</v>
      </c>
      <c r="B33" s="3" t="s">
        <v>120</v>
      </c>
      <c r="C33" s="181" t="s">
        <v>121</v>
      </c>
      <c r="D33" s="182"/>
      <c r="E33" s="3" t="s">
        <v>122</v>
      </c>
      <c r="F33" s="28">
        <v>1000.8</v>
      </c>
      <c r="G33" s="175">
        <v>0</v>
      </c>
      <c r="H33" s="28">
        <f t="shared" si="24"/>
        <v>0</v>
      </c>
      <c r="I33" s="28">
        <f t="shared" si="25"/>
        <v>0</v>
      </c>
      <c r="J33" s="28">
        <f t="shared" si="26"/>
        <v>0</v>
      </c>
      <c r="K33" s="47" t="s">
        <v>60</v>
      </c>
      <c r="Z33" s="28">
        <f t="shared" si="27"/>
        <v>0</v>
      </c>
      <c r="AB33" s="28">
        <f t="shared" si="28"/>
        <v>0</v>
      </c>
      <c r="AC33" s="28">
        <f t="shared" si="29"/>
        <v>0</v>
      </c>
      <c r="AD33" s="28">
        <f t="shared" si="30"/>
        <v>0</v>
      </c>
      <c r="AE33" s="28">
        <f t="shared" si="31"/>
        <v>0</v>
      </c>
      <c r="AF33" s="28">
        <f t="shared" si="32"/>
        <v>0</v>
      </c>
      <c r="AG33" s="28">
        <f t="shared" si="33"/>
        <v>0</v>
      </c>
      <c r="AH33" s="28">
        <f t="shared" si="34"/>
        <v>0</v>
      </c>
      <c r="AI33" s="10" t="s">
        <v>53</v>
      </c>
      <c r="AJ33" s="28">
        <f t="shared" si="35"/>
        <v>0</v>
      </c>
      <c r="AK33" s="28">
        <f t="shared" si="36"/>
        <v>0</v>
      </c>
      <c r="AL33" s="28">
        <f t="shared" si="37"/>
        <v>0</v>
      </c>
      <c r="AN33" s="28">
        <v>21</v>
      </c>
      <c r="AO33" s="28">
        <f t="shared" si="38"/>
        <v>0</v>
      </c>
      <c r="AP33" s="28">
        <f t="shared" si="39"/>
        <v>0</v>
      </c>
      <c r="AQ33" s="29" t="s">
        <v>56</v>
      </c>
      <c r="AV33" s="28">
        <f t="shared" si="40"/>
        <v>0</v>
      </c>
      <c r="AW33" s="28">
        <f t="shared" si="41"/>
        <v>0</v>
      </c>
      <c r="AX33" s="28">
        <f t="shared" si="42"/>
        <v>0</v>
      </c>
      <c r="AY33" s="29" t="s">
        <v>105</v>
      </c>
      <c r="AZ33" s="29" t="s">
        <v>62</v>
      </c>
      <c r="BA33" s="10" t="s">
        <v>63</v>
      </c>
      <c r="BC33" s="28">
        <f t="shared" si="43"/>
        <v>0</v>
      </c>
      <c r="BD33" s="28">
        <f t="shared" si="44"/>
        <v>0</v>
      </c>
      <c r="BE33" s="28">
        <v>0</v>
      </c>
      <c r="BF33" s="28">
        <f>33</f>
        <v>33</v>
      </c>
      <c r="BH33" s="28">
        <f t="shared" si="45"/>
        <v>0</v>
      </c>
      <c r="BI33" s="28">
        <f t="shared" si="46"/>
        <v>0</v>
      </c>
      <c r="BJ33" s="28">
        <f t="shared" si="47"/>
        <v>0</v>
      </c>
      <c r="BK33" s="28"/>
      <c r="BL33" s="28">
        <v>16</v>
      </c>
      <c r="BW33" s="28">
        <v>21</v>
      </c>
      <c r="BX33" s="4" t="s">
        <v>121</v>
      </c>
    </row>
    <row r="34" spans="1:76" x14ac:dyDescent="0.25">
      <c r="A34" s="48" t="s">
        <v>53</v>
      </c>
      <c r="B34" s="49" t="s">
        <v>116</v>
      </c>
      <c r="C34" s="233" t="s">
        <v>123</v>
      </c>
      <c r="D34" s="234"/>
      <c r="E34" s="50" t="s">
        <v>9</v>
      </c>
      <c r="F34" s="50" t="s">
        <v>9</v>
      </c>
      <c r="G34" s="50" t="s">
        <v>9</v>
      </c>
      <c r="H34" s="1">
        <f>SUM(H35:H37)</f>
        <v>0</v>
      </c>
      <c r="I34" s="1">
        <f>SUM(I35:I37)</f>
        <v>0</v>
      </c>
      <c r="J34" s="1">
        <f>SUM(J35:J37)</f>
        <v>0</v>
      </c>
      <c r="K34" s="51" t="s">
        <v>53</v>
      </c>
      <c r="AI34" s="10" t="s">
        <v>53</v>
      </c>
      <c r="AS34" s="1">
        <f>SUM(AJ35:AJ37)</f>
        <v>0</v>
      </c>
      <c r="AT34" s="1">
        <f>SUM(AK35:AK37)</f>
        <v>0</v>
      </c>
      <c r="AU34" s="1">
        <f>SUM(AL35:AL37)</f>
        <v>0</v>
      </c>
    </row>
    <row r="35" spans="1:76" x14ac:dyDescent="0.25">
      <c r="A35" s="24" t="s">
        <v>124</v>
      </c>
      <c r="B35" s="25" t="s">
        <v>125</v>
      </c>
      <c r="C35" s="237" t="s">
        <v>126</v>
      </c>
      <c r="D35" s="238"/>
      <c r="E35" s="25" t="s">
        <v>79</v>
      </c>
      <c r="F35" s="26">
        <v>45</v>
      </c>
      <c r="G35" s="171">
        <v>0</v>
      </c>
      <c r="H35" s="26">
        <f>F35*AO35</f>
        <v>0</v>
      </c>
      <c r="I35" s="26">
        <f>F35*AP35</f>
        <v>0</v>
      </c>
      <c r="J35" s="26">
        <f>F35*G35</f>
        <v>0</v>
      </c>
      <c r="K35" s="27" t="s">
        <v>60</v>
      </c>
      <c r="Z35" s="28">
        <f>IF(AQ35="5",BJ35,0)</f>
        <v>0</v>
      </c>
      <c r="AB35" s="28">
        <f>IF(AQ35="1",BH35,0)</f>
        <v>0</v>
      </c>
      <c r="AC35" s="28">
        <f>IF(AQ35="1",BI35,0)</f>
        <v>0</v>
      </c>
      <c r="AD35" s="28">
        <f>IF(AQ35="7",BH35,0)</f>
        <v>0</v>
      </c>
      <c r="AE35" s="28">
        <f>IF(AQ35="7",BI35,0)</f>
        <v>0</v>
      </c>
      <c r="AF35" s="28">
        <f>IF(AQ35="2",BH35,0)</f>
        <v>0</v>
      </c>
      <c r="AG35" s="28">
        <f>IF(AQ35="2",BI35,0)</f>
        <v>0</v>
      </c>
      <c r="AH35" s="28">
        <f>IF(AQ35="0",BJ35,0)</f>
        <v>0</v>
      </c>
      <c r="AI35" s="10" t="s">
        <v>53</v>
      </c>
      <c r="AJ35" s="28">
        <f>IF(AN35=0,J35,0)</f>
        <v>0</v>
      </c>
      <c r="AK35" s="28">
        <f>IF(AN35=12,J35,0)</f>
        <v>0</v>
      </c>
      <c r="AL35" s="28">
        <f>IF(AN35=21,J35,0)</f>
        <v>0</v>
      </c>
      <c r="AN35" s="28">
        <v>21</v>
      </c>
      <c r="AO35" s="28">
        <f>G35*0</f>
        <v>0</v>
      </c>
      <c r="AP35" s="28">
        <f>G35*(1-0)</f>
        <v>0</v>
      </c>
      <c r="AQ35" s="29" t="s">
        <v>56</v>
      </c>
      <c r="AV35" s="28">
        <f>AW35+AX35</f>
        <v>0</v>
      </c>
      <c r="AW35" s="28">
        <f>F35*AO35</f>
        <v>0</v>
      </c>
      <c r="AX35" s="28">
        <f>F35*AP35</f>
        <v>0</v>
      </c>
      <c r="AY35" s="29" t="s">
        <v>127</v>
      </c>
      <c r="AZ35" s="29" t="s">
        <v>62</v>
      </c>
      <c r="BA35" s="10" t="s">
        <v>63</v>
      </c>
      <c r="BC35" s="28">
        <f>AW35+AX35</f>
        <v>0</v>
      </c>
      <c r="BD35" s="28">
        <f>G35/(100-BE35)*100</f>
        <v>0</v>
      </c>
      <c r="BE35" s="28">
        <v>0</v>
      </c>
      <c r="BF35" s="28">
        <f>35</f>
        <v>35</v>
      </c>
      <c r="BH35" s="28">
        <f>F35*AO35</f>
        <v>0</v>
      </c>
      <c r="BI35" s="28">
        <f>F35*AP35</f>
        <v>0</v>
      </c>
      <c r="BJ35" s="28">
        <f>F35*G35</f>
        <v>0</v>
      </c>
      <c r="BK35" s="28"/>
      <c r="BL35" s="28">
        <v>17</v>
      </c>
      <c r="BW35" s="28">
        <v>21</v>
      </c>
      <c r="BX35" s="4" t="s">
        <v>126</v>
      </c>
    </row>
    <row r="36" spans="1:76" x14ac:dyDescent="0.25">
      <c r="A36" s="30" t="s">
        <v>128</v>
      </c>
      <c r="B36" s="31" t="s">
        <v>129</v>
      </c>
      <c r="C36" s="239" t="s">
        <v>130</v>
      </c>
      <c r="D36" s="240"/>
      <c r="E36" s="31" t="s">
        <v>79</v>
      </c>
      <c r="F36" s="32">
        <v>44</v>
      </c>
      <c r="G36" s="172">
        <v>0</v>
      </c>
      <c r="H36" s="32">
        <f>F36*AO36</f>
        <v>0</v>
      </c>
      <c r="I36" s="32">
        <f>F36*AP36</f>
        <v>0</v>
      </c>
      <c r="J36" s="32">
        <f>F36*G36</f>
        <v>0</v>
      </c>
      <c r="K36" s="33" t="s">
        <v>60</v>
      </c>
      <c r="Z36" s="28">
        <f>IF(AQ36="5",BJ36,0)</f>
        <v>0</v>
      </c>
      <c r="AB36" s="28">
        <f>IF(AQ36="1",BH36,0)</f>
        <v>0</v>
      </c>
      <c r="AC36" s="28">
        <f>IF(AQ36="1",BI36,0)</f>
        <v>0</v>
      </c>
      <c r="AD36" s="28">
        <f>IF(AQ36="7",BH36,0)</f>
        <v>0</v>
      </c>
      <c r="AE36" s="28">
        <f>IF(AQ36="7",BI36,0)</f>
        <v>0</v>
      </c>
      <c r="AF36" s="28">
        <f>IF(AQ36="2",BH36,0)</f>
        <v>0</v>
      </c>
      <c r="AG36" s="28">
        <f>IF(AQ36="2",BI36,0)</f>
        <v>0</v>
      </c>
      <c r="AH36" s="28">
        <f>IF(AQ36="0",BJ36,0)</f>
        <v>0</v>
      </c>
      <c r="AI36" s="10" t="s">
        <v>53</v>
      </c>
      <c r="AJ36" s="28">
        <f>IF(AN36=0,J36,0)</f>
        <v>0</v>
      </c>
      <c r="AK36" s="28">
        <f>IF(AN36=12,J36,0)</f>
        <v>0</v>
      </c>
      <c r="AL36" s="28">
        <f>IF(AN36=21,J36,0)</f>
        <v>0</v>
      </c>
      <c r="AN36" s="28">
        <v>21</v>
      </c>
      <c r="AO36" s="28">
        <f>G36*0</f>
        <v>0</v>
      </c>
      <c r="AP36" s="28">
        <f>G36*(1-0)</f>
        <v>0</v>
      </c>
      <c r="AQ36" s="29" t="s">
        <v>56</v>
      </c>
      <c r="AV36" s="28">
        <f>AW36+AX36</f>
        <v>0</v>
      </c>
      <c r="AW36" s="28">
        <f>F36*AO36</f>
        <v>0</v>
      </c>
      <c r="AX36" s="28">
        <f>F36*AP36</f>
        <v>0</v>
      </c>
      <c r="AY36" s="29" t="s">
        <v>127</v>
      </c>
      <c r="AZ36" s="29" t="s">
        <v>62</v>
      </c>
      <c r="BA36" s="10" t="s">
        <v>63</v>
      </c>
      <c r="BC36" s="28">
        <f>AW36+AX36</f>
        <v>0</v>
      </c>
      <c r="BD36" s="28">
        <f>G36/(100-BE36)*100</f>
        <v>0</v>
      </c>
      <c r="BE36" s="28">
        <v>0</v>
      </c>
      <c r="BF36" s="28">
        <f>36</f>
        <v>36</v>
      </c>
      <c r="BH36" s="28">
        <f>F36*AO36</f>
        <v>0</v>
      </c>
      <c r="BI36" s="28">
        <f>F36*AP36</f>
        <v>0</v>
      </c>
      <c r="BJ36" s="28">
        <f>F36*G36</f>
        <v>0</v>
      </c>
      <c r="BK36" s="28"/>
      <c r="BL36" s="28">
        <v>17</v>
      </c>
      <c r="BW36" s="28">
        <v>21</v>
      </c>
      <c r="BX36" s="4" t="s">
        <v>130</v>
      </c>
    </row>
    <row r="37" spans="1:76" x14ac:dyDescent="0.25">
      <c r="A37" s="34" t="s">
        <v>131</v>
      </c>
      <c r="B37" s="35" t="s">
        <v>132</v>
      </c>
      <c r="C37" s="245" t="s">
        <v>133</v>
      </c>
      <c r="D37" s="246"/>
      <c r="E37" s="35" t="s">
        <v>79</v>
      </c>
      <c r="F37" s="36">
        <v>20</v>
      </c>
      <c r="G37" s="173">
        <v>0</v>
      </c>
      <c r="H37" s="36">
        <f>F37*AO37</f>
        <v>0</v>
      </c>
      <c r="I37" s="36">
        <f>F37*AP37</f>
        <v>0</v>
      </c>
      <c r="J37" s="36">
        <f>F37*G37</f>
        <v>0</v>
      </c>
      <c r="K37" s="37" t="s">
        <v>60</v>
      </c>
      <c r="Z37" s="28">
        <f>IF(AQ37="5",BJ37,0)</f>
        <v>0</v>
      </c>
      <c r="AB37" s="28">
        <f>IF(AQ37="1",BH37,0)</f>
        <v>0</v>
      </c>
      <c r="AC37" s="28">
        <f>IF(AQ37="1",BI37,0)</f>
        <v>0</v>
      </c>
      <c r="AD37" s="28">
        <f>IF(AQ37="7",BH37,0)</f>
        <v>0</v>
      </c>
      <c r="AE37" s="28">
        <f>IF(AQ37="7",BI37,0)</f>
        <v>0</v>
      </c>
      <c r="AF37" s="28">
        <f>IF(AQ37="2",BH37,0)</f>
        <v>0</v>
      </c>
      <c r="AG37" s="28">
        <f>IF(AQ37="2",BI37,0)</f>
        <v>0</v>
      </c>
      <c r="AH37" s="28">
        <f>IF(AQ37="0",BJ37,0)</f>
        <v>0</v>
      </c>
      <c r="AI37" s="10" t="s">
        <v>53</v>
      </c>
      <c r="AJ37" s="28">
        <f>IF(AN37=0,J37,0)</f>
        <v>0</v>
      </c>
      <c r="AK37" s="28">
        <f>IF(AN37=12,J37,0)</f>
        <v>0</v>
      </c>
      <c r="AL37" s="28">
        <f>IF(AN37=21,J37,0)</f>
        <v>0</v>
      </c>
      <c r="AN37" s="28">
        <v>21</v>
      </c>
      <c r="AO37" s="28">
        <f>G37*0</f>
        <v>0</v>
      </c>
      <c r="AP37" s="28">
        <f>G37*(1-0)</f>
        <v>0</v>
      </c>
      <c r="AQ37" s="29" t="s">
        <v>56</v>
      </c>
      <c r="AV37" s="28">
        <f>AW37+AX37</f>
        <v>0</v>
      </c>
      <c r="AW37" s="28">
        <f>F37*AO37</f>
        <v>0</v>
      </c>
      <c r="AX37" s="28">
        <f>F37*AP37</f>
        <v>0</v>
      </c>
      <c r="AY37" s="29" t="s">
        <v>127</v>
      </c>
      <c r="AZ37" s="29" t="s">
        <v>62</v>
      </c>
      <c r="BA37" s="10" t="s">
        <v>63</v>
      </c>
      <c r="BC37" s="28">
        <f>AW37+AX37</f>
        <v>0</v>
      </c>
      <c r="BD37" s="28">
        <f>G37/(100-BE37)*100</f>
        <v>0</v>
      </c>
      <c r="BE37" s="28">
        <v>0</v>
      </c>
      <c r="BF37" s="28">
        <f>37</f>
        <v>37</v>
      </c>
      <c r="BH37" s="28">
        <f>F37*AO37</f>
        <v>0</v>
      </c>
      <c r="BI37" s="28">
        <f>F37*AP37</f>
        <v>0</v>
      </c>
      <c r="BJ37" s="28">
        <f>F37*G37</f>
        <v>0</v>
      </c>
      <c r="BK37" s="28"/>
      <c r="BL37" s="28">
        <v>17</v>
      </c>
      <c r="BW37" s="28">
        <v>21</v>
      </c>
      <c r="BX37" s="4" t="s">
        <v>133</v>
      </c>
    </row>
    <row r="38" spans="1:76" x14ac:dyDescent="0.25">
      <c r="A38" s="38" t="s">
        <v>53</v>
      </c>
      <c r="B38" s="39" t="s">
        <v>119</v>
      </c>
      <c r="C38" s="249" t="s">
        <v>134</v>
      </c>
      <c r="D38" s="250"/>
      <c r="E38" s="40" t="s">
        <v>9</v>
      </c>
      <c r="F38" s="40" t="s">
        <v>9</v>
      </c>
      <c r="G38" s="40" t="s">
        <v>9</v>
      </c>
      <c r="H38" s="41">
        <f>SUM(H39:H42)</f>
        <v>0</v>
      </c>
      <c r="I38" s="41">
        <f>SUM(I39:I42)</f>
        <v>0</v>
      </c>
      <c r="J38" s="41">
        <f>SUM(J39:J42)</f>
        <v>0</v>
      </c>
      <c r="K38" s="42" t="s">
        <v>53</v>
      </c>
      <c r="AI38" s="10" t="s">
        <v>53</v>
      </c>
      <c r="AS38" s="1">
        <f>SUM(AJ39:AJ42)</f>
        <v>0</v>
      </c>
      <c r="AT38" s="1">
        <f>SUM(AK39:AK42)</f>
        <v>0</v>
      </c>
      <c r="AU38" s="1">
        <f>SUM(AL39:AL42)</f>
        <v>0</v>
      </c>
    </row>
    <row r="39" spans="1:76" x14ac:dyDescent="0.25">
      <c r="A39" s="30" t="s">
        <v>135</v>
      </c>
      <c r="B39" s="31" t="s">
        <v>136</v>
      </c>
      <c r="C39" s="239" t="s">
        <v>137</v>
      </c>
      <c r="D39" s="240"/>
      <c r="E39" s="31" t="s">
        <v>59</v>
      </c>
      <c r="F39" s="32">
        <v>3399.84</v>
      </c>
      <c r="G39" s="172">
        <v>0</v>
      </c>
      <c r="H39" s="32">
        <f>F39*AO39</f>
        <v>0</v>
      </c>
      <c r="I39" s="32">
        <f>F39*AP39</f>
        <v>0</v>
      </c>
      <c r="J39" s="32">
        <f>F39*G39</f>
        <v>0</v>
      </c>
      <c r="K39" s="33" t="s">
        <v>60</v>
      </c>
      <c r="Z39" s="28">
        <f>IF(AQ39="5",BJ39,0)</f>
        <v>0</v>
      </c>
      <c r="AB39" s="28">
        <f>IF(AQ39="1",BH39,0)</f>
        <v>0</v>
      </c>
      <c r="AC39" s="28">
        <f>IF(AQ39="1",BI39,0)</f>
        <v>0</v>
      </c>
      <c r="AD39" s="28">
        <f>IF(AQ39="7",BH39,0)</f>
        <v>0</v>
      </c>
      <c r="AE39" s="28">
        <f>IF(AQ39="7",BI39,0)</f>
        <v>0</v>
      </c>
      <c r="AF39" s="28">
        <f>IF(AQ39="2",BH39,0)</f>
        <v>0</v>
      </c>
      <c r="AG39" s="28">
        <f>IF(AQ39="2",BI39,0)</f>
        <v>0</v>
      </c>
      <c r="AH39" s="28">
        <f>IF(AQ39="0",BJ39,0)</f>
        <v>0</v>
      </c>
      <c r="AI39" s="10" t="s">
        <v>53</v>
      </c>
      <c r="AJ39" s="28">
        <f>IF(AN39=0,J39,0)</f>
        <v>0</v>
      </c>
      <c r="AK39" s="28">
        <f>IF(AN39=12,J39,0)</f>
        <v>0</v>
      </c>
      <c r="AL39" s="28">
        <f>IF(AN39=21,J39,0)</f>
        <v>0</v>
      </c>
      <c r="AN39" s="28">
        <v>21</v>
      </c>
      <c r="AO39" s="28">
        <f>G39*0</f>
        <v>0</v>
      </c>
      <c r="AP39" s="28">
        <f>G39*(1-0)</f>
        <v>0</v>
      </c>
      <c r="AQ39" s="29" t="s">
        <v>56</v>
      </c>
      <c r="AV39" s="28">
        <f>AW39+AX39</f>
        <v>0</v>
      </c>
      <c r="AW39" s="28">
        <f>F39*AO39</f>
        <v>0</v>
      </c>
      <c r="AX39" s="28">
        <f>F39*AP39</f>
        <v>0</v>
      </c>
      <c r="AY39" s="29" t="s">
        <v>138</v>
      </c>
      <c r="AZ39" s="29" t="s">
        <v>62</v>
      </c>
      <c r="BA39" s="10" t="s">
        <v>63</v>
      </c>
      <c r="BC39" s="28">
        <f>AW39+AX39</f>
        <v>0</v>
      </c>
      <c r="BD39" s="28">
        <f>G39/(100-BE39)*100</f>
        <v>0</v>
      </c>
      <c r="BE39" s="28">
        <v>0</v>
      </c>
      <c r="BF39" s="28">
        <f>39</f>
        <v>39</v>
      </c>
      <c r="BH39" s="28">
        <f>F39*AO39</f>
        <v>0</v>
      </c>
      <c r="BI39" s="28">
        <f>F39*AP39</f>
        <v>0</v>
      </c>
      <c r="BJ39" s="28">
        <f>F39*G39</f>
        <v>0</v>
      </c>
      <c r="BK39" s="28"/>
      <c r="BL39" s="28">
        <v>18</v>
      </c>
      <c r="BW39" s="28">
        <v>21</v>
      </c>
      <c r="BX39" s="4" t="s">
        <v>137</v>
      </c>
    </row>
    <row r="40" spans="1:76" x14ac:dyDescent="0.25">
      <c r="A40" s="34" t="s">
        <v>139</v>
      </c>
      <c r="B40" s="35" t="s">
        <v>140</v>
      </c>
      <c r="C40" s="245" t="s">
        <v>141</v>
      </c>
      <c r="D40" s="246"/>
      <c r="E40" s="35" t="s">
        <v>59</v>
      </c>
      <c r="F40" s="36">
        <v>900</v>
      </c>
      <c r="G40" s="173">
        <v>0</v>
      </c>
      <c r="H40" s="36">
        <f>F40*AO40</f>
        <v>0</v>
      </c>
      <c r="I40" s="36">
        <f>F40*AP40</f>
        <v>0</v>
      </c>
      <c r="J40" s="36">
        <f>F40*G40</f>
        <v>0</v>
      </c>
      <c r="K40" s="37" t="s">
        <v>60</v>
      </c>
      <c r="Z40" s="28">
        <f>IF(AQ40="5",BJ40,0)</f>
        <v>0</v>
      </c>
      <c r="AB40" s="28">
        <f>IF(AQ40="1",BH40,0)</f>
        <v>0</v>
      </c>
      <c r="AC40" s="28">
        <f>IF(AQ40="1",BI40,0)</f>
        <v>0</v>
      </c>
      <c r="AD40" s="28">
        <f>IF(AQ40="7",BH40,0)</f>
        <v>0</v>
      </c>
      <c r="AE40" s="28">
        <f>IF(AQ40="7",BI40,0)</f>
        <v>0</v>
      </c>
      <c r="AF40" s="28">
        <f>IF(AQ40="2",BH40,0)</f>
        <v>0</v>
      </c>
      <c r="AG40" s="28">
        <f>IF(AQ40="2",BI40,0)</f>
        <v>0</v>
      </c>
      <c r="AH40" s="28">
        <f>IF(AQ40="0",BJ40,0)</f>
        <v>0</v>
      </c>
      <c r="AI40" s="10" t="s">
        <v>53</v>
      </c>
      <c r="AJ40" s="28">
        <f>IF(AN40=0,J40,0)</f>
        <v>0</v>
      </c>
      <c r="AK40" s="28">
        <f>IF(AN40=12,J40,0)</f>
        <v>0</v>
      </c>
      <c r="AL40" s="28">
        <f>IF(AN40=21,J40,0)</f>
        <v>0</v>
      </c>
      <c r="AN40" s="28">
        <v>21</v>
      </c>
      <c r="AO40" s="28">
        <f>G40*0.069565217</f>
        <v>0</v>
      </c>
      <c r="AP40" s="28">
        <f>G40*(1-0.069565217)</f>
        <v>0</v>
      </c>
      <c r="AQ40" s="29" t="s">
        <v>56</v>
      </c>
      <c r="AV40" s="28">
        <f>AW40+AX40</f>
        <v>0</v>
      </c>
      <c r="AW40" s="28">
        <f>F40*AO40</f>
        <v>0</v>
      </c>
      <c r="AX40" s="28">
        <f>F40*AP40</f>
        <v>0</v>
      </c>
      <c r="AY40" s="29" t="s">
        <v>138</v>
      </c>
      <c r="AZ40" s="29" t="s">
        <v>62</v>
      </c>
      <c r="BA40" s="10" t="s">
        <v>63</v>
      </c>
      <c r="BC40" s="28">
        <f>AW40+AX40</f>
        <v>0</v>
      </c>
      <c r="BD40" s="28">
        <f>G40/(100-BE40)*100</f>
        <v>0</v>
      </c>
      <c r="BE40" s="28">
        <v>0</v>
      </c>
      <c r="BF40" s="28">
        <f>40</f>
        <v>40</v>
      </c>
      <c r="BH40" s="28">
        <f>F40*AO40</f>
        <v>0</v>
      </c>
      <c r="BI40" s="28">
        <f>F40*AP40</f>
        <v>0</v>
      </c>
      <c r="BJ40" s="28">
        <f>F40*G40</f>
        <v>0</v>
      </c>
      <c r="BK40" s="28"/>
      <c r="BL40" s="28">
        <v>18</v>
      </c>
      <c r="BW40" s="28">
        <v>21</v>
      </c>
      <c r="BX40" s="4" t="s">
        <v>141</v>
      </c>
    </row>
    <row r="41" spans="1:76" x14ac:dyDescent="0.25">
      <c r="A41" s="34" t="s">
        <v>142</v>
      </c>
      <c r="B41" s="35" t="s">
        <v>143</v>
      </c>
      <c r="C41" s="245" t="s">
        <v>144</v>
      </c>
      <c r="D41" s="246"/>
      <c r="E41" s="35" t="s">
        <v>59</v>
      </c>
      <c r="F41" s="36">
        <v>900</v>
      </c>
      <c r="G41" s="173">
        <v>0</v>
      </c>
      <c r="H41" s="36">
        <f>F41*AO41</f>
        <v>0</v>
      </c>
      <c r="I41" s="36">
        <f>F41*AP41</f>
        <v>0</v>
      </c>
      <c r="J41" s="36">
        <f>F41*G41</f>
        <v>0</v>
      </c>
      <c r="K41" s="37" t="s">
        <v>60</v>
      </c>
      <c r="Z41" s="28">
        <f>IF(AQ41="5",BJ41,0)</f>
        <v>0</v>
      </c>
      <c r="AB41" s="28">
        <f>IF(AQ41="1",BH41,0)</f>
        <v>0</v>
      </c>
      <c r="AC41" s="28">
        <f>IF(AQ41="1",BI41,0)</f>
        <v>0</v>
      </c>
      <c r="AD41" s="28">
        <f>IF(AQ41="7",BH41,0)</f>
        <v>0</v>
      </c>
      <c r="AE41" s="28">
        <f>IF(AQ41="7",BI41,0)</f>
        <v>0</v>
      </c>
      <c r="AF41" s="28">
        <f>IF(AQ41="2",BH41,0)</f>
        <v>0</v>
      </c>
      <c r="AG41" s="28">
        <f>IF(AQ41="2",BI41,0)</f>
        <v>0</v>
      </c>
      <c r="AH41" s="28">
        <f>IF(AQ41="0",BJ41,0)</f>
        <v>0</v>
      </c>
      <c r="AI41" s="10" t="s">
        <v>53</v>
      </c>
      <c r="AJ41" s="28">
        <f>IF(AN41=0,J41,0)</f>
        <v>0</v>
      </c>
      <c r="AK41" s="28">
        <f>IF(AN41=12,J41,0)</f>
        <v>0</v>
      </c>
      <c r="AL41" s="28">
        <f>IF(AN41=21,J41,0)</f>
        <v>0</v>
      </c>
      <c r="AN41" s="28">
        <v>21</v>
      </c>
      <c r="AO41" s="28">
        <f>G41*0</f>
        <v>0</v>
      </c>
      <c r="AP41" s="28">
        <f>G41*(1-0)</f>
        <v>0</v>
      </c>
      <c r="AQ41" s="29" t="s">
        <v>56</v>
      </c>
      <c r="AV41" s="28">
        <f>AW41+AX41</f>
        <v>0</v>
      </c>
      <c r="AW41" s="28">
        <f>F41*AO41</f>
        <v>0</v>
      </c>
      <c r="AX41" s="28">
        <f>F41*AP41</f>
        <v>0</v>
      </c>
      <c r="AY41" s="29" t="s">
        <v>138</v>
      </c>
      <c r="AZ41" s="29" t="s">
        <v>62</v>
      </c>
      <c r="BA41" s="10" t="s">
        <v>63</v>
      </c>
      <c r="BC41" s="28">
        <f>AW41+AX41</f>
        <v>0</v>
      </c>
      <c r="BD41" s="28">
        <f>G41/(100-BE41)*100</f>
        <v>0</v>
      </c>
      <c r="BE41" s="28">
        <v>0</v>
      </c>
      <c r="BF41" s="28">
        <f>41</f>
        <v>41</v>
      </c>
      <c r="BH41" s="28">
        <f>F41*AO41</f>
        <v>0</v>
      </c>
      <c r="BI41" s="28">
        <f>F41*AP41</f>
        <v>0</v>
      </c>
      <c r="BJ41" s="28">
        <f>F41*G41</f>
        <v>0</v>
      </c>
      <c r="BK41" s="28"/>
      <c r="BL41" s="28">
        <v>18</v>
      </c>
      <c r="BW41" s="28">
        <v>21</v>
      </c>
      <c r="BX41" s="4" t="s">
        <v>144</v>
      </c>
    </row>
    <row r="42" spans="1:76" x14ac:dyDescent="0.25">
      <c r="A42" s="34" t="s">
        <v>145</v>
      </c>
      <c r="B42" s="35" t="s">
        <v>146</v>
      </c>
      <c r="C42" s="245" t="s">
        <v>147</v>
      </c>
      <c r="D42" s="246"/>
      <c r="E42" s="35" t="s">
        <v>59</v>
      </c>
      <c r="F42" s="36">
        <v>900</v>
      </c>
      <c r="G42" s="173">
        <v>0</v>
      </c>
      <c r="H42" s="36">
        <f>F42*AO42</f>
        <v>0</v>
      </c>
      <c r="I42" s="36">
        <f>F42*AP42</f>
        <v>0</v>
      </c>
      <c r="J42" s="36">
        <f>F42*G42</f>
        <v>0</v>
      </c>
      <c r="K42" s="37" t="s">
        <v>60</v>
      </c>
      <c r="Z42" s="28">
        <f>IF(AQ42="5",BJ42,0)</f>
        <v>0</v>
      </c>
      <c r="AB42" s="28">
        <f>IF(AQ42="1",BH42,0)</f>
        <v>0</v>
      </c>
      <c r="AC42" s="28">
        <f>IF(AQ42="1",BI42,0)</f>
        <v>0</v>
      </c>
      <c r="AD42" s="28">
        <f>IF(AQ42="7",BH42,0)</f>
        <v>0</v>
      </c>
      <c r="AE42" s="28">
        <f>IF(AQ42="7",BI42,0)</f>
        <v>0</v>
      </c>
      <c r="AF42" s="28">
        <f>IF(AQ42="2",BH42,0)</f>
        <v>0</v>
      </c>
      <c r="AG42" s="28">
        <f>IF(AQ42="2",BI42,0)</f>
        <v>0</v>
      </c>
      <c r="AH42" s="28">
        <f>IF(AQ42="0",BJ42,0)</f>
        <v>0</v>
      </c>
      <c r="AI42" s="10" t="s">
        <v>53</v>
      </c>
      <c r="AJ42" s="28">
        <f>IF(AN42=0,J42,0)</f>
        <v>0</v>
      </c>
      <c r="AK42" s="28">
        <f>IF(AN42=12,J42,0)</f>
        <v>0</v>
      </c>
      <c r="AL42" s="28">
        <f>IF(AN42=21,J42,0)</f>
        <v>0</v>
      </c>
      <c r="AN42" s="28">
        <v>21</v>
      </c>
      <c r="AO42" s="28">
        <f>G42*0</f>
        <v>0</v>
      </c>
      <c r="AP42" s="28">
        <f>G42*(1-0)</f>
        <v>0</v>
      </c>
      <c r="AQ42" s="29" t="s">
        <v>56</v>
      </c>
      <c r="AV42" s="28">
        <f>AW42+AX42</f>
        <v>0</v>
      </c>
      <c r="AW42" s="28">
        <f>F42*AO42</f>
        <v>0</v>
      </c>
      <c r="AX42" s="28">
        <f>F42*AP42</f>
        <v>0</v>
      </c>
      <c r="AY42" s="29" t="s">
        <v>138</v>
      </c>
      <c r="AZ42" s="29" t="s">
        <v>62</v>
      </c>
      <c r="BA42" s="10" t="s">
        <v>63</v>
      </c>
      <c r="BC42" s="28">
        <f>AW42+AX42</f>
        <v>0</v>
      </c>
      <c r="BD42" s="28">
        <f>G42/(100-BE42)*100</f>
        <v>0</v>
      </c>
      <c r="BE42" s="28">
        <v>0</v>
      </c>
      <c r="BF42" s="28">
        <f>42</f>
        <v>42</v>
      </c>
      <c r="BH42" s="28">
        <f>F42*AO42</f>
        <v>0</v>
      </c>
      <c r="BI42" s="28">
        <f>F42*AP42</f>
        <v>0</v>
      </c>
      <c r="BJ42" s="28">
        <f>F42*G42</f>
        <v>0</v>
      </c>
      <c r="BK42" s="28"/>
      <c r="BL42" s="28">
        <v>18</v>
      </c>
      <c r="BW42" s="28">
        <v>21</v>
      </c>
      <c r="BX42" s="4" t="s">
        <v>147</v>
      </c>
    </row>
    <row r="43" spans="1:76" x14ac:dyDescent="0.25">
      <c r="A43" s="38" t="s">
        <v>53</v>
      </c>
      <c r="B43" s="39" t="s">
        <v>148</v>
      </c>
      <c r="C43" s="249" t="s">
        <v>149</v>
      </c>
      <c r="D43" s="250"/>
      <c r="E43" s="40" t="s">
        <v>9</v>
      </c>
      <c r="F43" s="40" t="s">
        <v>9</v>
      </c>
      <c r="G43" s="40" t="s">
        <v>9</v>
      </c>
      <c r="H43" s="41">
        <f>SUM(H44:H48)</f>
        <v>0</v>
      </c>
      <c r="I43" s="41">
        <f>SUM(I44:I48)</f>
        <v>0</v>
      </c>
      <c r="J43" s="41">
        <f>SUM(J44:J48)</f>
        <v>0</v>
      </c>
      <c r="K43" s="42" t="s">
        <v>53</v>
      </c>
      <c r="AI43" s="10" t="s">
        <v>53</v>
      </c>
      <c r="AS43" s="1">
        <f>SUM(AJ44:AJ48)</f>
        <v>0</v>
      </c>
      <c r="AT43" s="1">
        <f>SUM(AK44:AK48)</f>
        <v>0</v>
      </c>
      <c r="AU43" s="1">
        <f>SUM(AL44:AL48)</f>
        <v>0</v>
      </c>
    </row>
    <row r="44" spans="1:76" x14ac:dyDescent="0.25">
      <c r="A44" s="30" t="s">
        <v>150</v>
      </c>
      <c r="B44" s="31" t="s">
        <v>151</v>
      </c>
      <c r="C44" s="239" t="s">
        <v>152</v>
      </c>
      <c r="D44" s="240"/>
      <c r="E44" s="31" t="s">
        <v>67</v>
      </c>
      <c r="F44" s="32">
        <v>7.6</v>
      </c>
      <c r="G44" s="172">
        <v>0</v>
      </c>
      <c r="H44" s="32">
        <f>F44*AO44</f>
        <v>0</v>
      </c>
      <c r="I44" s="32">
        <f>F44*AP44</f>
        <v>0</v>
      </c>
      <c r="J44" s="32">
        <f>F44*G44</f>
        <v>0</v>
      </c>
      <c r="K44" s="33" t="s">
        <v>60</v>
      </c>
      <c r="Z44" s="28">
        <f>IF(AQ44="5",BJ44,0)</f>
        <v>0</v>
      </c>
      <c r="AB44" s="28">
        <f>IF(AQ44="1",BH44,0)</f>
        <v>0</v>
      </c>
      <c r="AC44" s="28">
        <f>IF(AQ44="1",BI44,0)</f>
        <v>0</v>
      </c>
      <c r="AD44" s="28">
        <f>IF(AQ44="7",BH44,0)</f>
        <v>0</v>
      </c>
      <c r="AE44" s="28">
        <f>IF(AQ44="7",BI44,0)</f>
        <v>0</v>
      </c>
      <c r="AF44" s="28">
        <f>IF(AQ44="2",BH44,0)</f>
        <v>0</v>
      </c>
      <c r="AG44" s="28">
        <f>IF(AQ44="2",BI44,0)</f>
        <v>0</v>
      </c>
      <c r="AH44" s="28">
        <f>IF(AQ44="0",BJ44,0)</f>
        <v>0</v>
      </c>
      <c r="AI44" s="10" t="s">
        <v>53</v>
      </c>
      <c r="AJ44" s="28">
        <f>IF(AN44=0,J44,0)</f>
        <v>0</v>
      </c>
      <c r="AK44" s="28">
        <f>IF(AN44=12,J44,0)</f>
        <v>0</v>
      </c>
      <c r="AL44" s="28">
        <f>IF(AN44=21,J44,0)</f>
        <v>0</v>
      </c>
      <c r="AN44" s="28">
        <v>21</v>
      </c>
      <c r="AO44" s="28">
        <f>G44*0.251992169</f>
        <v>0</v>
      </c>
      <c r="AP44" s="28">
        <f>G44*(1-0.251992169)</f>
        <v>0</v>
      </c>
      <c r="AQ44" s="29" t="s">
        <v>56</v>
      </c>
      <c r="AV44" s="28">
        <f>AW44+AX44</f>
        <v>0</v>
      </c>
      <c r="AW44" s="28">
        <f>F44*AO44</f>
        <v>0</v>
      </c>
      <c r="AX44" s="28">
        <f>F44*AP44</f>
        <v>0</v>
      </c>
      <c r="AY44" s="29" t="s">
        <v>153</v>
      </c>
      <c r="AZ44" s="29" t="s">
        <v>154</v>
      </c>
      <c r="BA44" s="10" t="s">
        <v>63</v>
      </c>
      <c r="BC44" s="28">
        <f>AW44+AX44</f>
        <v>0</v>
      </c>
      <c r="BD44" s="28">
        <f>G44/(100-BE44)*100</f>
        <v>0</v>
      </c>
      <c r="BE44" s="28">
        <v>0</v>
      </c>
      <c r="BF44" s="28">
        <f>44</f>
        <v>44</v>
      </c>
      <c r="BH44" s="28">
        <f>F44*AO44</f>
        <v>0</v>
      </c>
      <c r="BI44" s="28">
        <f>F44*AP44</f>
        <v>0</v>
      </c>
      <c r="BJ44" s="28">
        <f>F44*G44</f>
        <v>0</v>
      </c>
      <c r="BK44" s="28"/>
      <c r="BL44" s="28">
        <v>33</v>
      </c>
      <c r="BW44" s="28">
        <v>21</v>
      </c>
      <c r="BX44" s="4" t="s">
        <v>152</v>
      </c>
    </row>
    <row r="45" spans="1:76" x14ac:dyDescent="0.25">
      <c r="A45" s="34" t="s">
        <v>155</v>
      </c>
      <c r="B45" s="35" t="s">
        <v>156</v>
      </c>
      <c r="C45" s="245" t="s">
        <v>157</v>
      </c>
      <c r="D45" s="246"/>
      <c r="E45" s="35" t="s">
        <v>67</v>
      </c>
      <c r="F45" s="36">
        <v>10</v>
      </c>
      <c r="G45" s="173">
        <v>0</v>
      </c>
      <c r="H45" s="36">
        <f>F45*AO45</f>
        <v>0</v>
      </c>
      <c r="I45" s="36">
        <f>F45*AP45</f>
        <v>0</v>
      </c>
      <c r="J45" s="36">
        <f>F45*G45</f>
        <v>0</v>
      </c>
      <c r="K45" s="37" t="s">
        <v>60</v>
      </c>
      <c r="Z45" s="28">
        <f>IF(AQ45="5",BJ45,0)</f>
        <v>0</v>
      </c>
      <c r="AB45" s="28">
        <f>IF(AQ45="1",BH45,0)</f>
        <v>0</v>
      </c>
      <c r="AC45" s="28">
        <f>IF(AQ45="1",BI45,0)</f>
        <v>0</v>
      </c>
      <c r="AD45" s="28">
        <f>IF(AQ45="7",BH45,0)</f>
        <v>0</v>
      </c>
      <c r="AE45" s="28">
        <f>IF(AQ45="7",BI45,0)</f>
        <v>0</v>
      </c>
      <c r="AF45" s="28">
        <f>IF(AQ45="2",BH45,0)</f>
        <v>0</v>
      </c>
      <c r="AG45" s="28">
        <f>IF(AQ45="2",BI45,0)</f>
        <v>0</v>
      </c>
      <c r="AH45" s="28">
        <f>IF(AQ45="0",BJ45,0)</f>
        <v>0</v>
      </c>
      <c r="AI45" s="10" t="s">
        <v>53</v>
      </c>
      <c r="AJ45" s="28">
        <f>IF(AN45=0,J45,0)</f>
        <v>0</v>
      </c>
      <c r="AK45" s="28">
        <f>IF(AN45=12,J45,0)</f>
        <v>0</v>
      </c>
      <c r="AL45" s="28">
        <f>IF(AN45=21,J45,0)</f>
        <v>0</v>
      </c>
      <c r="AN45" s="28">
        <v>21</v>
      </c>
      <c r="AO45" s="28">
        <f>G45*0.281499488</f>
        <v>0</v>
      </c>
      <c r="AP45" s="28">
        <f>G45*(1-0.281499488)</f>
        <v>0</v>
      </c>
      <c r="AQ45" s="29" t="s">
        <v>56</v>
      </c>
      <c r="AV45" s="28">
        <f>AW45+AX45</f>
        <v>0</v>
      </c>
      <c r="AW45" s="28">
        <f>F45*AO45</f>
        <v>0</v>
      </c>
      <c r="AX45" s="28">
        <f>F45*AP45</f>
        <v>0</v>
      </c>
      <c r="AY45" s="29" t="s">
        <v>153</v>
      </c>
      <c r="AZ45" s="29" t="s">
        <v>154</v>
      </c>
      <c r="BA45" s="10" t="s">
        <v>63</v>
      </c>
      <c r="BC45" s="28">
        <f>AW45+AX45</f>
        <v>0</v>
      </c>
      <c r="BD45" s="28">
        <f>G45/(100-BE45)*100</f>
        <v>0</v>
      </c>
      <c r="BE45" s="28">
        <v>0</v>
      </c>
      <c r="BF45" s="28">
        <f>45</f>
        <v>45</v>
      </c>
      <c r="BH45" s="28">
        <f>F45*AO45</f>
        <v>0</v>
      </c>
      <c r="BI45" s="28">
        <f>F45*AP45</f>
        <v>0</v>
      </c>
      <c r="BJ45" s="28">
        <f>F45*G45</f>
        <v>0</v>
      </c>
      <c r="BK45" s="28"/>
      <c r="BL45" s="28">
        <v>33</v>
      </c>
      <c r="BW45" s="28">
        <v>21</v>
      </c>
      <c r="BX45" s="4" t="s">
        <v>157</v>
      </c>
    </row>
    <row r="46" spans="1:76" x14ac:dyDescent="0.25">
      <c r="A46" s="34" t="s">
        <v>158</v>
      </c>
      <c r="B46" s="35" t="s">
        <v>159</v>
      </c>
      <c r="C46" s="245" t="s">
        <v>160</v>
      </c>
      <c r="D46" s="246"/>
      <c r="E46" s="35" t="s">
        <v>67</v>
      </c>
      <c r="F46" s="36">
        <v>11</v>
      </c>
      <c r="G46" s="173">
        <v>0</v>
      </c>
      <c r="H46" s="36">
        <f>F46*AO46</f>
        <v>0</v>
      </c>
      <c r="I46" s="36">
        <f>F46*AP46</f>
        <v>0</v>
      </c>
      <c r="J46" s="36">
        <f>F46*G46</f>
        <v>0</v>
      </c>
      <c r="K46" s="37" t="s">
        <v>60</v>
      </c>
      <c r="Z46" s="28">
        <f>IF(AQ46="5",BJ46,0)</f>
        <v>0</v>
      </c>
      <c r="AB46" s="28">
        <f>IF(AQ46="1",BH46,0)</f>
        <v>0</v>
      </c>
      <c r="AC46" s="28">
        <f>IF(AQ46="1",BI46,0)</f>
        <v>0</v>
      </c>
      <c r="AD46" s="28">
        <f>IF(AQ46="7",BH46,0)</f>
        <v>0</v>
      </c>
      <c r="AE46" s="28">
        <f>IF(AQ46="7",BI46,0)</f>
        <v>0</v>
      </c>
      <c r="AF46" s="28">
        <f>IF(AQ46="2",BH46,0)</f>
        <v>0</v>
      </c>
      <c r="AG46" s="28">
        <f>IF(AQ46="2",BI46,0)</f>
        <v>0</v>
      </c>
      <c r="AH46" s="28">
        <f>IF(AQ46="0",BJ46,0)</f>
        <v>0</v>
      </c>
      <c r="AI46" s="10" t="s">
        <v>53</v>
      </c>
      <c r="AJ46" s="28">
        <f>IF(AN46=0,J46,0)</f>
        <v>0</v>
      </c>
      <c r="AK46" s="28">
        <f>IF(AN46=12,J46,0)</f>
        <v>0</v>
      </c>
      <c r="AL46" s="28">
        <f>IF(AN46=21,J46,0)</f>
        <v>0</v>
      </c>
      <c r="AN46" s="28">
        <v>21</v>
      </c>
      <c r="AO46" s="28">
        <f>G46*0.300007489</f>
        <v>0</v>
      </c>
      <c r="AP46" s="28">
        <f>G46*(1-0.300007489)</f>
        <v>0</v>
      </c>
      <c r="AQ46" s="29" t="s">
        <v>56</v>
      </c>
      <c r="AV46" s="28">
        <f>AW46+AX46</f>
        <v>0</v>
      </c>
      <c r="AW46" s="28">
        <f>F46*AO46</f>
        <v>0</v>
      </c>
      <c r="AX46" s="28">
        <f>F46*AP46</f>
        <v>0</v>
      </c>
      <c r="AY46" s="29" t="s">
        <v>153</v>
      </c>
      <c r="AZ46" s="29" t="s">
        <v>154</v>
      </c>
      <c r="BA46" s="10" t="s">
        <v>63</v>
      </c>
      <c r="BC46" s="28">
        <f>AW46+AX46</f>
        <v>0</v>
      </c>
      <c r="BD46" s="28">
        <f>G46/(100-BE46)*100</f>
        <v>0</v>
      </c>
      <c r="BE46" s="28">
        <v>0</v>
      </c>
      <c r="BF46" s="28">
        <f>46</f>
        <v>46</v>
      </c>
      <c r="BH46" s="28">
        <f>F46*AO46</f>
        <v>0</v>
      </c>
      <c r="BI46" s="28">
        <f>F46*AP46</f>
        <v>0</v>
      </c>
      <c r="BJ46" s="28">
        <f>F46*G46</f>
        <v>0</v>
      </c>
      <c r="BK46" s="28"/>
      <c r="BL46" s="28">
        <v>33</v>
      </c>
      <c r="BW46" s="28">
        <v>21</v>
      </c>
      <c r="BX46" s="4" t="s">
        <v>160</v>
      </c>
    </row>
    <row r="47" spans="1:76" x14ac:dyDescent="0.25">
      <c r="A47" s="34" t="s">
        <v>161</v>
      </c>
      <c r="B47" s="35" t="s">
        <v>162</v>
      </c>
      <c r="C47" s="245" t="s">
        <v>163</v>
      </c>
      <c r="D47" s="246"/>
      <c r="E47" s="35" t="s">
        <v>164</v>
      </c>
      <c r="F47" s="36">
        <v>4</v>
      </c>
      <c r="G47" s="173">
        <v>0</v>
      </c>
      <c r="H47" s="36">
        <f>F47*AO47</f>
        <v>0</v>
      </c>
      <c r="I47" s="36">
        <f>F47*AP47</f>
        <v>0</v>
      </c>
      <c r="J47" s="36">
        <f>F47*G47</f>
        <v>0</v>
      </c>
      <c r="K47" s="37" t="s">
        <v>60</v>
      </c>
      <c r="Z47" s="28">
        <f>IF(AQ47="5",BJ47,0)</f>
        <v>0</v>
      </c>
      <c r="AB47" s="28">
        <f>IF(AQ47="1",BH47,0)</f>
        <v>0</v>
      </c>
      <c r="AC47" s="28">
        <f>IF(AQ47="1",BI47,0)</f>
        <v>0</v>
      </c>
      <c r="AD47" s="28">
        <f>IF(AQ47="7",BH47,0)</f>
        <v>0</v>
      </c>
      <c r="AE47" s="28">
        <f>IF(AQ47="7",BI47,0)</f>
        <v>0</v>
      </c>
      <c r="AF47" s="28">
        <f>IF(AQ47="2",BH47,0)</f>
        <v>0</v>
      </c>
      <c r="AG47" s="28">
        <f>IF(AQ47="2",BI47,0)</f>
        <v>0</v>
      </c>
      <c r="AH47" s="28">
        <f>IF(AQ47="0",BJ47,0)</f>
        <v>0</v>
      </c>
      <c r="AI47" s="10" t="s">
        <v>53</v>
      </c>
      <c r="AJ47" s="28">
        <f>IF(AN47=0,J47,0)</f>
        <v>0</v>
      </c>
      <c r="AK47" s="28">
        <f>IF(AN47=12,J47,0)</f>
        <v>0</v>
      </c>
      <c r="AL47" s="28">
        <f>IF(AN47=21,J47,0)</f>
        <v>0</v>
      </c>
      <c r="AN47" s="28">
        <v>21</v>
      </c>
      <c r="AO47" s="28">
        <f>G47*0.416840934</f>
        <v>0</v>
      </c>
      <c r="AP47" s="28">
        <f>G47*(1-0.416840934)</f>
        <v>0</v>
      </c>
      <c r="AQ47" s="29" t="s">
        <v>56</v>
      </c>
      <c r="AV47" s="28">
        <f>AW47+AX47</f>
        <v>0</v>
      </c>
      <c r="AW47" s="28">
        <f>F47*AO47</f>
        <v>0</v>
      </c>
      <c r="AX47" s="28">
        <f>F47*AP47</f>
        <v>0</v>
      </c>
      <c r="AY47" s="29" t="s">
        <v>153</v>
      </c>
      <c r="AZ47" s="29" t="s">
        <v>154</v>
      </c>
      <c r="BA47" s="10" t="s">
        <v>63</v>
      </c>
      <c r="BC47" s="28">
        <f>AW47+AX47</f>
        <v>0</v>
      </c>
      <c r="BD47" s="28">
        <f>G47/(100-BE47)*100</f>
        <v>0</v>
      </c>
      <c r="BE47" s="28">
        <v>0</v>
      </c>
      <c r="BF47" s="28">
        <f>47</f>
        <v>47</v>
      </c>
      <c r="BH47" s="28">
        <f>F47*AO47</f>
        <v>0</v>
      </c>
      <c r="BI47" s="28">
        <f>F47*AP47</f>
        <v>0</v>
      </c>
      <c r="BJ47" s="28">
        <f>F47*G47</f>
        <v>0</v>
      </c>
      <c r="BK47" s="28"/>
      <c r="BL47" s="28">
        <v>33</v>
      </c>
      <c r="BW47" s="28">
        <v>21</v>
      </c>
      <c r="BX47" s="4" t="s">
        <v>163</v>
      </c>
    </row>
    <row r="48" spans="1:76" x14ac:dyDescent="0.25">
      <c r="A48" s="34" t="s">
        <v>165</v>
      </c>
      <c r="B48" s="35" t="s">
        <v>162</v>
      </c>
      <c r="C48" s="245" t="s">
        <v>166</v>
      </c>
      <c r="D48" s="246"/>
      <c r="E48" s="35" t="s">
        <v>164</v>
      </c>
      <c r="F48" s="36">
        <v>5</v>
      </c>
      <c r="G48" s="173">
        <v>0</v>
      </c>
      <c r="H48" s="36">
        <f>F48*AO48</f>
        <v>0</v>
      </c>
      <c r="I48" s="36">
        <f>F48*AP48</f>
        <v>0</v>
      </c>
      <c r="J48" s="36">
        <f>F48*G48</f>
        <v>0</v>
      </c>
      <c r="K48" s="37" t="s">
        <v>60</v>
      </c>
      <c r="Z48" s="28">
        <f>IF(AQ48="5",BJ48,0)</f>
        <v>0</v>
      </c>
      <c r="AB48" s="28">
        <f>IF(AQ48="1",BH48,0)</f>
        <v>0</v>
      </c>
      <c r="AC48" s="28">
        <f>IF(AQ48="1",BI48,0)</f>
        <v>0</v>
      </c>
      <c r="AD48" s="28">
        <f>IF(AQ48="7",BH48,0)</f>
        <v>0</v>
      </c>
      <c r="AE48" s="28">
        <f>IF(AQ48="7",BI48,0)</f>
        <v>0</v>
      </c>
      <c r="AF48" s="28">
        <f>IF(AQ48="2",BH48,0)</f>
        <v>0</v>
      </c>
      <c r="AG48" s="28">
        <f>IF(AQ48="2",BI48,0)</f>
        <v>0</v>
      </c>
      <c r="AH48" s="28">
        <f>IF(AQ48="0",BJ48,0)</f>
        <v>0</v>
      </c>
      <c r="AI48" s="10" t="s">
        <v>53</v>
      </c>
      <c r="AJ48" s="28">
        <f>IF(AN48=0,J48,0)</f>
        <v>0</v>
      </c>
      <c r="AK48" s="28">
        <f>IF(AN48=12,J48,0)</f>
        <v>0</v>
      </c>
      <c r="AL48" s="28">
        <f>IF(AN48=21,J48,0)</f>
        <v>0</v>
      </c>
      <c r="AN48" s="28">
        <v>21</v>
      </c>
      <c r="AO48" s="28">
        <f>G48*0.416840934</f>
        <v>0</v>
      </c>
      <c r="AP48" s="28">
        <f>G48*(1-0.416840934)</f>
        <v>0</v>
      </c>
      <c r="AQ48" s="29" t="s">
        <v>56</v>
      </c>
      <c r="AV48" s="28">
        <f>AW48+AX48</f>
        <v>0</v>
      </c>
      <c r="AW48" s="28">
        <f>F48*AO48</f>
        <v>0</v>
      </c>
      <c r="AX48" s="28">
        <f>F48*AP48</f>
        <v>0</v>
      </c>
      <c r="AY48" s="29" t="s">
        <v>153</v>
      </c>
      <c r="AZ48" s="29" t="s">
        <v>154</v>
      </c>
      <c r="BA48" s="10" t="s">
        <v>63</v>
      </c>
      <c r="BC48" s="28">
        <f>AW48+AX48</f>
        <v>0</v>
      </c>
      <c r="BD48" s="28">
        <f>G48/(100-BE48)*100</f>
        <v>0</v>
      </c>
      <c r="BE48" s="28">
        <v>0</v>
      </c>
      <c r="BF48" s="28">
        <f>48</f>
        <v>48</v>
      </c>
      <c r="BH48" s="28">
        <f>F48*AO48</f>
        <v>0</v>
      </c>
      <c r="BI48" s="28">
        <f>F48*AP48</f>
        <v>0</v>
      </c>
      <c r="BJ48" s="28">
        <f>F48*G48</f>
        <v>0</v>
      </c>
      <c r="BK48" s="28"/>
      <c r="BL48" s="28">
        <v>33</v>
      </c>
      <c r="BW48" s="28">
        <v>21</v>
      </c>
      <c r="BX48" s="4" t="s">
        <v>166</v>
      </c>
    </row>
    <row r="49" spans="1:76" x14ac:dyDescent="0.25">
      <c r="A49" s="38" t="s">
        <v>53</v>
      </c>
      <c r="B49" s="39" t="s">
        <v>167</v>
      </c>
      <c r="C49" s="249" t="s">
        <v>168</v>
      </c>
      <c r="D49" s="250"/>
      <c r="E49" s="40" t="s">
        <v>9</v>
      </c>
      <c r="F49" s="40" t="s">
        <v>9</v>
      </c>
      <c r="G49" s="40" t="s">
        <v>9</v>
      </c>
      <c r="H49" s="41">
        <f>SUM(H50:H51)</f>
        <v>0</v>
      </c>
      <c r="I49" s="41">
        <f>SUM(I50:I51)</f>
        <v>0</v>
      </c>
      <c r="J49" s="41">
        <f>SUM(J50:J51)</f>
        <v>0</v>
      </c>
      <c r="K49" s="42" t="s">
        <v>53</v>
      </c>
      <c r="AI49" s="10" t="s">
        <v>53</v>
      </c>
      <c r="AS49" s="1">
        <f>SUM(AJ50:AJ51)</f>
        <v>0</v>
      </c>
      <c r="AT49" s="1">
        <f>SUM(AK50:AK51)</f>
        <v>0</v>
      </c>
      <c r="AU49" s="1">
        <f>SUM(AL50:AL51)</f>
        <v>0</v>
      </c>
    </row>
    <row r="50" spans="1:76" x14ac:dyDescent="0.25">
      <c r="A50" s="30" t="s">
        <v>169</v>
      </c>
      <c r="B50" s="31" t="s">
        <v>170</v>
      </c>
      <c r="C50" s="239" t="s">
        <v>171</v>
      </c>
      <c r="D50" s="240"/>
      <c r="E50" s="31" t="s">
        <v>59</v>
      </c>
      <c r="F50" s="32">
        <v>1423.8</v>
      </c>
      <c r="G50" s="172">
        <v>0</v>
      </c>
      <c r="H50" s="32">
        <f>F50*AO50</f>
        <v>0</v>
      </c>
      <c r="I50" s="32">
        <f>F50*AP50</f>
        <v>0</v>
      </c>
      <c r="J50" s="32">
        <f>F50*G50</f>
        <v>0</v>
      </c>
      <c r="K50" s="33" t="s">
        <v>60</v>
      </c>
      <c r="Z50" s="28">
        <f>IF(AQ50="5",BJ50,0)</f>
        <v>0</v>
      </c>
      <c r="AB50" s="28">
        <f>IF(AQ50="1",BH50,0)</f>
        <v>0</v>
      </c>
      <c r="AC50" s="28">
        <f>IF(AQ50="1",BI50,0)</f>
        <v>0</v>
      </c>
      <c r="AD50" s="28">
        <f>IF(AQ50="7",BH50,0)</f>
        <v>0</v>
      </c>
      <c r="AE50" s="28">
        <f>IF(AQ50="7",BI50,0)</f>
        <v>0</v>
      </c>
      <c r="AF50" s="28">
        <f>IF(AQ50="2",BH50,0)</f>
        <v>0</v>
      </c>
      <c r="AG50" s="28">
        <f>IF(AQ50="2",BI50,0)</f>
        <v>0</v>
      </c>
      <c r="AH50" s="28">
        <f>IF(AQ50="0",BJ50,0)</f>
        <v>0</v>
      </c>
      <c r="AI50" s="10" t="s">
        <v>53</v>
      </c>
      <c r="AJ50" s="28">
        <f>IF(AN50=0,J50,0)</f>
        <v>0</v>
      </c>
      <c r="AK50" s="28">
        <f>IF(AN50=12,J50,0)</f>
        <v>0</v>
      </c>
      <c r="AL50" s="28">
        <f>IF(AN50=21,J50,0)</f>
        <v>0</v>
      </c>
      <c r="AN50" s="28">
        <v>21</v>
      </c>
      <c r="AO50" s="28">
        <f>G50*0.798277989</f>
        <v>0</v>
      </c>
      <c r="AP50" s="28">
        <f>G50*(1-0.798277989)</f>
        <v>0</v>
      </c>
      <c r="AQ50" s="29" t="s">
        <v>56</v>
      </c>
      <c r="AV50" s="28">
        <f>AW50+AX50</f>
        <v>0</v>
      </c>
      <c r="AW50" s="28">
        <f>F50*AO50</f>
        <v>0</v>
      </c>
      <c r="AX50" s="28">
        <f>F50*AP50</f>
        <v>0</v>
      </c>
      <c r="AY50" s="29" t="s">
        <v>172</v>
      </c>
      <c r="AZ50" s="29" t="s">
        <v>173</v>
      </c>
      <c r="BA50" s="10" t="s">
        <v>63</v>
      </c>
      <c r="BC50" s="28">
        <f>AW50+AX50</f>
        <v>0</v>
      </c>
      <c r="BD50" s="28">
        <f>G50/(100-BE50)*100</f>
        <v>0</v>
      </c>
      <c r="BE50" s="28">
        <v>0</v>
      </c>
      <c r="BF50" s="28">
        <f>50</f>
        <v>50</v>
      </c>
      <c r="BH50" s="28">
        <f>F50*AO50</f>
        <v>0</v>
      </c>
      <c r="BI50" s="28">
        <f>F50*AP50</f>
        <v>0</v>
      </c>
      <c r="BJ50" s="28">
        <f>F50*G50</f>
        <v>0</v>
      </c>
      <c r="BK50" s="28"/>
      <c r="BL50" s="28">
        <v>45</v>
      </c>
      <c r="BW50" s="28">
        <v>21</v>
      </c>
      <c r="BX50" s="4" t="s">
        <v>171</v>
      </c>
    </row>
    <row r="51" spans="1:76" x14ac:dyDescent="0.25">
      <c r="A51" s="34" t="s">
        <v>174</v>
      </c>
      <c r="B51" s="35" t="s">
        <v>175</v>
      </c>
      <c r="C51" s="245" t="s">
        <v>176</v>
      </c>
      <c r="D51" s="246"/>
      <c r="E51" s="35" t="s">
        <v>79</v>
      </c>
      <c r="F51" s="36">
        <v>4.92</v>
      </c>
      <c r="G51" s="173">
        <v>0</v>
      </c>
      <c r="H51" s="36">
        <f>F51*AO51</f>
        <v>0</v>
      </c>
      <c r="I51" s="36">
        <f>F51*AP51</f>
        <v>0</v>
      </c>
      <c r="J51" s="36">
        <f>F51*G51</f>
        <v>0</v>
      </c>
      <c r="K51" s="37" t="s">
        <v>60</v>
      </c>
      <c r="Z51" s="28">
        <f>IF(AQ51="5",BJ51,0)</f>
        <v>0</v>
      </c>
      <c r="AB51" s="28">
        <f>IF(AQ51="1",BH51,0)</f>
        <v>0</v>
      </c>
      <c r="AC51" s="28">
        <f>IF(AQ51="1",BI51,0)</f>
        <v>0</v>
      </c>
      <c r="AD51" s="28">
        <f>IF(AQ51="7",BH51,0)</f>
        <v>0</v>
      </c>
      <c r="AE51" s="28">
        <f>IF(AQ51="7",BI51,0)</f>
        <v>0</v>
      </c>
      <c r="AF51" s="28">
        <f>IF(AQ51="2",BH51,0)</f>
        <v>0</v>
      </c>
      <c r="AG51" s="28">
        <f>IF(AQ51="2",BI51,0)</f>
        <v>0</v>
      </c>
      <c r="AH51" s="28">
        <f>IF(AQ51="0",BJ51,0)</f>
        <v>0</v>
      </c>
      <c r="AI51" s="10" t="s">
        <v>53</v>
      </c>
      <c r="AJ51" s="28">
        <f>IF(AN51=0,J51,0)</f>
        <v>0</v>
      </c>
      <c r="AK51" s="28">
        <f>IF(AN51=12,J51,0)</f>
        <v>0</v>
      </c>
      <c r="AL51" s="28">
        <f>IF(AN51=21,J51,0)</f>
        <v>0</v>
      </c>
      <c r="AN51" s="28">
        <v>21</v>
      </c>
      <c r="AO51" s="28">
        <f>G51*0.813189359</f>
        <v>0</v>
      </c>
      <c r="AP51" s="28">
        <f>G51*(1-0.813189359)</f>
        <v>0</v>
      </c>
      <c r="AQ51" s="29" t="s">
        <v>56</v>
      </c>
      <c r="AV51" s="28">
        <f>AW51+AX51</f>
        <v>0</v>
      </c>
      <c r="AW51" s="28">
        <f>F51*AO51</f>
        <v>0</v>
      </c>
      <c r="AX51" s="28">
        <f>F51*AP51</f>
        <v>0</v>
      </c>
      <c r="AY51" s="29" t="s">
        <v>172</v>
      </c>
      <c r="AZ51" s="29" t="s">
        <v>173</v>
      </c>
      <c r="BA51" s="10" t="s">
        <v>63</v>
      </c>
      <c r="BC51" s="28">
        <f>AW51+AX51</f>
        <v>0</v>
      </c>
      <c r="BD51" s="28">
        <f>G51/(100-BE51)*100</f>
        <v>0</v>
      </c>
      <c r="BE51" s="28">
        <v>0</v>
      </c>
      <c r="BF51" s="28">
        <f>51</f>
        <v>51</v>
      </c>
      <c r="BH51" s="28">
        <f>F51*AO51</f>
        <v>0</v>
      </c>
      <c r="BI51" s="28">
        <f>F51*AP51</f>
        <v>0</v>
      </c>
      <c r="BJ51" s="28">
        <f>F51*G51</f>
        <v>0</v>
      </c>
      <c r="BK51" s="28"/>
      <c r="BL51" s="28">
        <v>45</v>
      </c>
      <c r="BW51" s="28">
        <v>21</v>
      </c>
      <c r="BX51" s="4" t="s">
        <v>176</v>
      </c>
    </row>
    <row r="52" spans="1:76" x14ac:dyDescent="0.25">
      <c r="A52" s="38" t="s">
        <v>53</v>
      </c>
      <c r="B52" s="39" t="s">
        <v>177</v>
      </c>
      <c r="C52" s="249" t="s">
        <v>178</v>
      </c>
      <c r="D52" s="250"/>
      <c r="E52" s="40" t="s">
        <v>9</v>
      </c>
      <c r="F52" s="40" t="s">
        <v>9</v>
      </c>
      <c r="G52" s="40" t="s">
        <v>9</v>
      </c>
      <c r="H52" s="41">
        <f>SUM(H53:H62)</f>
        <v>0</v>
      </c>
      <c r="I52" s="41">
        <f>SUM(I53:I62)</f>
        <v>0</v>
      </c>
      <c r="J52" s="41">
        <f>SUM(J53:J62)</f>
        <v>0</v>
      </c>
      <c r="K52" s="42" t="s">
        <v>53</v>
      </c>
      <c r="AI52" s="10" t="s">
        <v>53</v>
      </c>
      <c r="AS52" s="1">
        <f>SUM(AJ53:AJ62)</f>
        <v>0</v>
      </c>
      <c r="AT52" s="1">
        <f>SUM(AK53:AK62)</f>
        <v>0</v>
      </c>
      <c r="AU52" s="1">
        <f>SUM(AL53:AL62)</f>
        <v>0</v>
      </c>
    </row>
    <row r="53" spans="1:76" x14ac:dyDescent="0.25">
      <c r="A53" s="30" t="s">
        <v>148</v>
      </c>
      <c r="B53" s="31" t="s">
        <v>179</v>
      </c>
      <c r="C53" s="239" t="s">
        <v>180</v>
      </c>
      <c r="D53" s="240"/>
      <c r="E53" s="31" t="s">
        <v>59</v>
      </c>
      <c r="F53" s="32">
        <v>4281.12</v>
      </c>
      <c r="G53" s="172">
        <v>0</v>
      </c>
      <c r="H53" s="32">
        <f t="shared" ref="H53:H62" si="48">F53*AO53</f>
        <v>0</v>
      </c>
      <c r="I53" s="32">
        <f t="shared" ref="I53:I62" si="49">F53*AP53</f>
        <v>0</v>
      </c>
      <c r="J53" s="32">
        <f t="shared" ref="J53:J62" si="50">F53*G53</f>
        <v>0</v>
      </c>
      <c r="K53" s="33" t="s">
        <v>60</v>
      </c>
      <c r="Z53" s="28">
        <f t="shared" ref="Z53:Z62" si="51">IF(AQ53="5",BJ53,0)</f>
        <v>0</v>
      </c>
      <c r="AB53" s="28">
        <f t="shared" ref="AB53:AB62" si="52">IF(AQ53="1",BH53,0)</f>
        <v>0</v>
      </c>
      <c r="AC53" s="28">
        <f t="shared" ref="AC53:AC62" si="53">IF(AQ53="1",BI53,0)</f>
        <v>0</v>
      </c>
      <c r="AD53" s="28">
        <f t="shared" ref="AD53:AD62" si="54">IF(AQ53="7",BH53,0)</f>
        <v>0</v>
      </c>
      <c r="AE53" s="28">
        <f t="shared" ref="AE53:AE62" si="55">IF(AQ53="7",BI53,0)</f>
        <v>0</v>
      </c>
      <c r="AF53" s="28">
        <f t="shared" ref="AF53:AF62" si="56">IF(AQ53="2",BH53,0)</f>
        <v>0</v>
      </c>
      <c r="AG53" s="28">
        <f t="shared" ref="AG53:AG62" si="57">IF(AQ53="2",BI53,0)</f>
        <v>0</v>
      </c>
      <c r="AH53" s="28">
        <f t="shared" ref="AH53:AH62" si="58">IF(AQ53="0",BJ53,0)</f>
        <v>0</v>
      </c>
      <c r="AI53" s="10" t="s">
        <v>53</v>
      </c>
      <c r="AJ53" s="28">
        <f t="shared" ref="AJ53:AJ62" si="59">IF(AN53=0,J53,0)</f>
        <v>0</v>
      </c>
      <c r="AK53" s="28">
        <f t="shared" ref="AK53:AK62" si="60">IF(AN53=12,J53,0)</f>
        <v>0</v>
      </c>
      <c r="AL53" s="28">
        <f t="shared" ref="AL53:AL62" si="61">IF(AN53=21,J53,0)</f>
        <v>0</v>
      </c>
      <c r="AN53" s="28">
        <v>21</v>
      </c>
      <c r="AO53" s="28">
        <f>G53*0.678511245</f>
        <v>0</v>
      </c>
      <c r="AP53" s="28">
        <f>G53*(1-0.678511245)</f>
        <v>0</v>
      </c>
      <c r="AQ53" s="29" t="s">
        <v>56</v>
      </c>
      <c r="AV53" s="28">
        <f t="shared" ref="AV53:AV62" si="62">AW53+AX53</f>
        <v>0</v>
      </c>
      <c r="AW53" s="28">
        <f t="shared" ref="AW53:AW62" si="63">F53*AO53</f>
        <v>0</v>
      </c>
      <c r="AX53" s="28">
        <f t="shared" ref="AX53:AX62" si="64">F53*AP53</f>
        <v>0</v>
      </c>
      <c r="AY53" s="29" t="s">
        <v>181</v>
      </c>
      <c r="AZ53" s="29" t="s">
        <v>182</v>
      </c>
      <c r="BA53" s="10" t="s">
        <v>63</v>
      </c>
      <c r="BC53" s="28">
        <f t="shared" ref="BC53:BC62" si="65">AW53+AX53</f>
        <v>0</v>
      </c>
      <c r="BD53" s="28">
        <f t="shared" ref="BD53:BD62" si="66">G53/(100-BE53)*100</f>
        <v>0</v>
      </c>
      <c r="BE53" s="28">
        <v>0</v>
      </c>
      <c r="BF53" s="28">
        <f>53</f>
        <v>53</v>
      </c>
      <c r="BH53" s="28">
        <f t="shared" ref="BH53:BH62" si="67">F53*AO53</f>
        <v>0</v>
      </c>
      <c r="BI53" s="28">
        <f t="shared" ref="BI53:BI62" si="68">F53*AP53</f>
        <v>0</v>
      </c>
      <c r="BJ53" s="28">
        <f t="shared" ref="BJ53:BJ62" si="69">F53*G53</f>
        <v>0</v>
      </c>
      <c r="BK53" s="28"/>
      <c r="BL53" s="28">
        <v>56</v>
      </c>
      <c r="BW53" s="28">
        <v>21</v>
      </c>
      <c r="BX53" s="4" t="s">
        <v>180</v>
      </c>
    </row>
    <row r="54" spans="1:76" x14ac:dyDescent="0.25">
      <c r="A54" s="34" t="s">
        <v>183</v>
      </c>
      <c r="B54" s="35" t="s">
        <v>184</v>
      </c>
      <c r="C54" s="245" t="s">
        <v>185</v>
      </c>
      <c r="D54" s="246"/>
      <c r="E54" s="35" t="s">
        <v>59</v>
      </c>
      <c r="F54" s="36">
        <v>697.08</v>
      </c>
      <c r="G54" s="173">
        <v>0</v>
      </c>
      <c r="H54" s="36">
        <f t="shared" si="48"/>
        <v>0</v>
      </c>
      <c r="I54" s="36">
        <f t="shared" si="49"/>
        <v>0</v>
      </c>
      <c r="J54" s="36">
        <f t="shared" si="50"/>
        <v>0</v>
      </c>
      <c r="K54" s="37" t="s">
        <v>60</v>
      </c>
      <c r="Z54" s="28">
        <f t="shared" si="51"/>
        <v>0</v>
      </c>
      <c r="AB54" s="28">
        <f t="shared" si="52"/>
        <v>0</v>
      </c>
      <c r="AC54" s="28">
        <f t="shared" si="53"/>
        <v>0</v>
      </c>
      <c r="AD54" s="28">
        <f t="shared" si="54"/>
        <v>0</v>
      </c>
      <c r="AE54" s="28">
        <f t="shared" si="55"/>
        <v>0</v>
      </c>
      <c r="AF54" s="28">
        <f t="shared" si="56"/>
        <v>0</v>
      </c>
      <c r="AG54" s="28">
        <f t="shared" si="57"/>
        <v>0</v>
      </c>
      <c r="AH54" s="28">
        <f t="shared" si="58"/>
        <v>0</v>
      </c>
      <c r="AI54" s="10" t="s">
        <v>53</v>
      </c>
      <c r="AJ54" s="28">
        <f t="shared" si="59"/>
        <v>0</v>
      </c>
      <c r="AK54" s="28">
        <f t="shared" si="60"/>
        <v>0</v>
      </c>
      <c r="AL54" s="28">
        <f t="shared" si="61"/>
        <v>0</v>
      </c>
      <c r="AN54" s="28">
        <v>21</v>
      </c>
      <c r="AO54" s="28">
        <f>G54*0.876124029</f>
        <v>0</v>
      </c>
      <c r="AP54" s="28">
        <f>G54*(1-0.876124029)</f>
        <v>0</v>
      </c>
      <c r="AQ54" s="29" t="s">
        <v>56</v>
      </c>
      <c r="AV54" s="28">
        <f t="shared" si="62"/>
        <v>0</v>
      </c>
      <c r="AW54" s="28">
        <f t="shared" si="63"/>
        <v>0</v>
      </c>
      <c r="AX54" s="28">
        <f t="shared" si="64"/>
        <v>0</v>
      </c>
      <c r="AY54" s="29" t="s">
        <v>181</v>
      </c>
      <c r="AZ54" s="29" t="s">
        <v>182</v>
      </c>
      <c r="BA54" s="10" t="s">
        <v>63</v>
      </c>
      <c r="BC54" s="28">
        <f t="shared" si="65"/>
        <v>0</v>
      </c>
      <c r="BD54" s="28">
        <f t="shared" si="66"/>
        <v>0</v>
      </c>
      <c r="BE54" s="28">
        <v>0</v>
      </c>
      <c r="BF54" s="28">
        <f>54</f>
        <v>54</v>
      </c>
      <c r="BH54" s="28">
        <f t="shared" si="67"/>
        <v>0</v>
      </c>
      <c r="BI54" s="28">
        <f t="shared" si="68"/>
        <v>0</v>
      </c>
      <c r="BJ54" s="28">
        <f t="shared" si="69"/>
        <v>0</v>
      </c>
      <c r="BK54" s="28"/>
      <c r="BL54" s="28">
        <v>56</v>
      </c>
      <c r="BW54" s="28">
        <v>21</v>
      </c>
      <c r="BX54" s="4" t="s">
        <v>185</v>
      </c>
    </row>
    <row r="55" spans="1:76" x14ac:dyDescent="0.25">
      <c r="A55" s="34" t="s">
        <v>186</v>
      </c>
      <c r="B55" s="35" t="s">
        <v>187</v>
      </c>
      <c r="C55" s="245" t="s">
        <v>188</v>
      </c>
      <c r="D55" s="246"/>
      <c r="E55" s="35" t="s">
        <v>59</v>
      </c>
      <c r="F55" s="36">
        <v>697.08</v>
      </c>
      <c r="G55" s="173">
        <v>0</v>
      </c>
      <c r="H55" s="36">
        <f t="shared" si="48"/>
        <v>0</v>
      </c>
      <c r="I55" s="36">
        <f t="shared" si="49"/>
        <v>0</v>
      </c>
      <c r="J55" s="36">
        <f t="shared" si="50"/>
        <v>0</v>
      </c>
      <c r="K55" s="37" t="s">
        <v>60</v>
      </c>
      <c r="Z55" s="28">
        <f t="shared" si="51"/>
        <v>0</v>
      </c>
      <c r="AB55" s="28">
        <f t="shared" si="52"/>
        <v>0</v>
      </c>
      <c r="AC55" s="28">
        <f t="shared" si="53"/>
        <v>0</v>
      </c>
      <c r="AD55" s="28">
        <f t="shared" si="54"/>
        <v>0</v>
      </c>
      <c r="AE55" s="28">
        <f t="shared" si="55"/>
        <v>0</v>
      </c>
      <c r="AF55" s="28">
        <f t="shared" si="56"/>
        <v>0</v>
      </c>
      <c r="AG55" s="28">
        <f t="shared" si="57"/>
        <v>0</v>
      </c>
      <c r="AH55" s="28">
        <f t="shared" si="58"/>
        <v>0</v>
      </c>
      <c r="AI55" s="10" t="s">
        <v>53</v>
      </c>
      <c r="AJ55" s="28">
        <f t="shared" si="59"/>
        <v>0</v>
      </c>
      <c r="AK55" s="28">
        <f t="shared" si="60"/>
        <v>0</v>
      </c>
      <c r="AL55" s="28">
        <f t="shared" si="61"/>
        <v>0</v>
      </c>
      <c r="AN55" s="28">
        <v>21</v>
      </c>
      <c r="AO55" s="28">
        <f>G55*0.801142938</f>
        <v>0</v>
      </c>
      <c r="AP55" s="28">
        <f>G55*(1-0.801142938)</f>
        <v>0</v>
      </c>
      <c r="AQ55" s="29" t="s">
        <v>56</v>
      </c>
      <c r="AV55" s="28">
        <f t="shared" si="62"/>
        <v>0</v>
      </c>
      <c r="AW55" s="28">
        <f t="shared" si="63"/>
        <v>0</v>
      </c>
      <c r="AX55" s="28">
        <f t="shared" si="64"/>
        <v>0</v>
      </c>
      <c r="AY55" s="29" t="s">
        <v>181</v>
      </c>
      <c r="AZ55" s="29" t="s">
        <v>182</v>
      </c>
      <c r="BA55" s="10" t="s">
        <v>63</v>
      </c>
      <c r="BC55" s="28">
        <f t="shared" si="65"/>
        <v>0</v>
      </c>
      <c r="BD55" s="28">
        <f t="shared" si="66"/>
        <v>0</v>
      </c>
      <c r="BE55" s="28">
        <v>0</v>
      </c>
      <c r="BF55" s="28">
        <f>55</f>
        <v>55</v>
      </c>
      <c r="BH55" s="28">
        <f t="shared" si="67"/>
        <v>0</v>
      </c>
      <c r="BI55" s="28">
        <f t="shared" si="68"/>
        <v>0</v>
      </c>
      <c r="BJ55" s="28">
        <f t="shared" si="69"/>
        <v>0</v>
      </c>
      <c r="BK55" s="28"/>
      <c r="BL55" s="28">
        <v>56</v>
      </c>
      <c r="BW55" s="28">
        <v>21</v>
      </c>
      <c r="BX55" s="4" t="s">
        <v>188</v>
      </c>
    </row>
    <row r="56" spans="1:76" x14ac:dyDescent="0.25">
      <c r="A56" s="34" t="s">
        <v>189</v>
      </c>
      <c r="B56" s="35" t="s">
        <v>187</v>
      </c>
      <c r="C56" s="245" t="s">
        <v>190</v>
      </c>
      <c r="D56" s="246"/>
      <c r="E56" s="35" t="s">
        <v>59</v>
      </c>
      <c r="F56" s="36">
        <v>522.80999999999995</v>
      </c>
      <c r="G56" s="173">
        <v>0</v>
      </c>
      <c r="H56" s="36">
        <f t="shared" si="48"/>
        <v>0</v>
      </c>
      <c r="I56" s="36">
        <f t="shared" si="49"/>
        <v>0</v>
      </c>
      <c r="J56" s="36">
        <f t="shared" si="50"/>
        <v>0</v>
      </c>
      <c r="K56" s="37" t="s">
        <v>60</v>
      </c>
      <c r="Z56" s="28">
        <f t="shared" si="51"/>
        <v>0</v>
      </c>
      <c r="AB56" s="28">
        <f t="shared" si="52"/>
        <v>0</v>
      </c>
      <c r="AC56" s="28">
        <f t="shared" si="53"/>
        <v>0</v>
      </c>
      <c r="AD56" s="28">
        <f t="shared" si="54"/>
        <v>0</v>
      </c>
      <c r="AE56" s="28">
        <f t="shared" si="55"/>
        <v>0</v>
      </c>
      <c r="AF56" s="28">
        <f t="shared" si="56"/>
        <v>0</v>
      </c>
      <c r="AG56" s="28">
        <f t="shared" si="57"/>
        <v>0</v>
      </c>
      <c r="AH56" s="28">
        <f t="shared" si="58"/>
        <v>0</v>
      </c>
      <c r="AI56" s="10" t="s">
        <v>53</v>
      </c>
      <c r="AJ56" s="28">
        <f t="shared" si="59"/>
        <v>0</v>
      </c>
      <c r="AK56" s="28">
        <f t="shared" si="60"/>
        <v>0</v>
      </c>
      <c r="AL56" s="28">
        <f t="shared" si="61"/>
        <v>0</v>
      </c>
      <c r="AN56" s="28">
        <v>21</v>
      </c>
      <c r="AO56" s="28">
        <f>G56*0.801142909</f>
        <v>0</v>
      </c>
      <c r="AP56" s="28">
        <f>G56*(1-0.801142909)</f>
        <v>0</v>
      </c>
      <c r="AQ56" s="29" t="s">
        <v>56</v>
      </c>
      <c r="AV56" s="28">
        <f t="shared" si="62"/>
        <v>0</v>
      </c>
      <c r="AW56" s="28">
        <f t="shared" si="63"/>
        <v>0</v>
      </c>
      <c r="AX56" s="28">
        <f t="shared" si="64"/>
        <v>0</v>
      </c>
      <c r="AY56" s="29" t="s">
        <v>181</v>
      </c>
      <c r="AZ56" s="29" t="s">
        <v>182</v>
      </c>
      <c r="BA56" s="10" t="s">
        <v>63</v>
      </c>
      <c r="BC56" s="28">
        <f t="shared" si="65"/>
        <v>0</v>
      </c>
      <c r="BD56" s="28">
        <f t="shared" si="66"/>
        <v>0</v>
      </c>
      <c r="BE56" s="28">
        <v>0</v>
      </c>
      <c r="BF56" s="28">
        <f>56</f>
        <v>56</v>
      </c>
      <c r="BH56" s="28">
        <f t="shared" si="67"/>
        <v>0</v>
      </c>
      <c r="BI56" s="28">
        <f t="shared" si="68"/>
        <v>0</v>
      </c>
      <c r="BJ56" s="28">
        <f t="shared" si="69"/>
        <v>0</v>
      </c>
      <c r="BK56" s="28"/>
      <c r="BL56" s="28">
        <v>56</v>
      </c>
      <c r="BW56" s="28">
        <v>21</v>
      </c>
      <c r="BX56" s="4" t="s">
        <v>190</v>
      </c>
    </row>
    <row r="57" spans="1:76" x14ac:dyDescent="0.25">
      <c r="A57" s="34" t="s">
        <v>191</v>
      </c>
      <c r="B57" s="35" t="s">
        <v>192</v>
      </c>
      <c r="C57" s="245" t="s">
        <v>193</v>
      </c>
      <c r="D57" s="246"/>
      <c r="E57" s="35" t="s">
        <v>59</v>
      </c>
      <c r="F57" s="36">
        <v>1058.31</v>
      </c>
      <c r="G57" s="173">
        <v>0</v>
      </c>
      <c r="H57" s="36">
        <f t="shared" si="48"/>
        <v>0</v>
      </c>
      <c r="I57" s="36">
        <f t="shared" si="49"/>
        <v>0</v>
      </c>
      <c r="J57" s="36">
        <f t="shared" si="50"/>
        <v>0</v>
      </c>
      <c r="K57" s="37" t="s">
        <v>60</v>
      </c>
      <c r="Z57" s="28">
        <f t="shared" si="51"/>
        <v>0</v>
      </c>
      <c r="AB57" s="28">
        <f t="shared" si="52"/>
        <v>0</v>
      </c>
      <c r="AC57" s="28">
        <f t="shared" si="53"/>
        <v>0</v>
      </c>
      <c r="AD57" s="28">
        <f t="shared" si="54"/>
        <v>0</v>
      </c>
      <c r="AE57" s="28">
        <f t="shared" si="55"/>
        <v>0</v>
      </c>
      <c r="AF57" s="28">
        <f t="shared" si="56"/>
        <v>0</v>
      </c>
      <c r="AG57" s="28">
        <f t="shared" si="57"/>
        <v>0</v>
      </c>
      <c r="AH57" s="28">
        <f t="shared" si="58"/>
        <v>0</v>
      </c>
      <c r="AI57" s="10" t="s">
        <v>53</v>
      </c>
      <c r="AJ57" s="28">
        <f t="shared" si="59"/>
        <v>0</v>
      </c>
      <c r="AK57" s="28">
        <f t="shared" si="60"/>
        <v>0</v>
      </c>
      <c r="AL57" s="28">
        <f t="shared" si="61"/>
        <v>0</v>
      </c>
      <c r="AN57" s="28">
        <v>21</v>
      </c>
      <c r="AO57" s="28">
        <f>G57*0.854845344</f>
        <v>0</v>
      </c>
      <c r="AP57" s="28">
        <f>G57*(1-0.854845344)</f>
        <v>0</v>
      </c>
      <c r="AQ57" s="29" t="s">
        <v>56</v>
      </c>
      <c r="AV57" s="28">
        <f t="shared" si="62"/>
        <v>0</v>
      </c>
      <c r="AW57" s="28">
        <f t="shared" si="63"/>
        <v>0</v>
      </c>
      <c r="AX57" s="28">
        <f t="shared" si="64"/>
        <v>0</v>
      </c>
      <c r="AY57" s="29" t="s">
        <v>181</v>
      </c>
      <c r="AZ57" s="29" t="s">
        <v>182</v>
      </c>
      <c r="BA57" s="10" t="s">
        <v>63</v>
      </c>
      <c r="BC57" s="28">
        <f t="shared" si="65"/>
        <v>0</v>
      </c>
      <c r="BD57" s="28">
        <f t="shared" si="66"/>
        <v>0</v>
      </c>
      <c r="BE57" s="28">
        <v>0</v>
      </c>
      <c r="BF57" s="28">
        <f>57</f>
        <v>57</v>
      </c>
      <c r="BH57" s="28">
        <f t="shared" si="67"/>
        <v>0</v>
      </c>
      <c r="BI57" s="28">
        <f t="shared" si="68"/>
        <v>0</v>
      </c>
      <c r="BJ57" s="28">
        <f t="shared" si="69"/>
        <v>0</v>
      </c>
      <c r="BK57" s="28"/>
      <c r="BL57" s="28">
        <v>56</v>
      </c>
      <c r="BW57" s="28">
        <v>21</v>
      </c>
      <c r="BX57" s="4" t="s">
        <v>193</v>
      </c>
    </row>
    <row r="58" spans="1:76" x14ac:dyDescent="0.25">
      <c r="A58" s="34" t="s">
        <v>194</v>
      </c>
      <c r="B58" s="35" t="s">
        <v>195</v>
      </c>
      <c r="C58" s="245" t="s">
        <v>196</v>
      </c>
      <c r="D58" s="246"/>
      <c r="E58" s="35" t="s">
        <v>59</v>
      </c>
      <c r="F58" s="36">
        <v>70</v>
      </c>
      <c r="G58" s="173">
        <v>0</v>
      </c>
      <c r="H58" s="36">
        <f t="shared" si="48"/>
        <v>0</v>
      </c>
      <c r="I58" s="36">
        <f t="shared" si="49"/>
        <v>0</v>
      </c>
      <c r="J58" s="36">
        <f t="shared" si="50"/>
        <v>0</v>
      </c>
      <c r="K58" s="37" t="s">
        <v>60</v>
      </c>
      <c r="Z58" s="28">
        <f t="shared" si="51"/>
        <v>0</v>
      </c>
      <c r="AB58" s="28">
        <f t="shared" si="52"/>
        <v>0</v>
      </c>
      <c r="AC58" s="28">
        <f t="shared" si="53"/>
        <v>0</v>
      </c>
      <c r="AD58" s="28">
        <f t="shared" si="54"/>
        <v>0</v>
      </c>
      <c r="AE58" s="28">
        <f t="shared" si="55"/>
        <v>0</v>
      </c>
      <c r="AF58" s="28">
        <f t="shared" si="56"/>
        <v>0</v>
      </c>
      <c r="AG58" s="28">
        <f t="shared" si="57"/>
        <v>0</v>
      </c>
      <c r="AH58" s="28">
        <f t="shared" si="58"/>
        <v>0</v>
      </c>
      <c r="AI58" s="10" t="s">
        <v>53</v>
      </c>
      <c r="AJ58" s="28">
        <f t="shared" si="59"/>
        <v>0</v>
      </c>
      <c r="AK58" s="28">
        <f t="shared" si="60"/>
        <v>0</v>
      </c>
      <c r="AL58" s="28">
        <f t="shared" si="61"/>
        <v>0</v>
      </c>
      <c r="AN58" s="28">
        <v>21</v>
      </c>
      <c r="AO58" s="28">
        <f>G58*0.768741722</f>
        <v>0</v>
      </c>
      <c r="AP58" s="28">
        <f>G58*(1-0.768741722)</f>
        <v>0</v>
      </c>
      <c r="AQ58" s="29" t="s">
        <v>56</v>
      </c>
      <c r="AV58" s="28">
        <f t="shared" si="62"/>
        <v>0</v>
      </c>
      <c r="AW58" s="28">
        <f t="shared" si="63"/>
        <v>0</v>
      </c>
      <c r="AX58" s="28">
        <f t="shared" si="64"/>
        <v>0</v>
      </c>
      <c r="AY58" s="29" t="s">
        <v>181</v>
      </c>
      <c r="AZ58" s="29" t="s">
        <v>182</v>
      </c>
      <c r="BA58" s="10" t="s">
        <v>63</v>
      </c>
      <c r="BC58" s="28">
        <f t="shared" si="65"/>
        <v>0</v>
      </c>
      <c r="BD58" s="28">
        <f t="shared" si="66"/>
        <v>0</v>
      </c>
      <c r="BE58" s="28">
        <v>0</v>
      </c>
      <c r="BF58" s="28">
        <f>58</f>
        <v>58</v>
      </c>
      <c r="BH58" s="28">
        <f t="shared" si="67"/>
        <v>0</v>
      </c>
      <c r="BI58" s="28">
        <f t="shared" si="68"/>
        <v>0</v>
      </c>
      <c r="BJ58" s="28">
        <f t="shared" si="69"/>
        <v>0</v>
      </c>
      <c r="BK58" s="28"/>
      <c r="BL58" s="28">
        <v>56</v>
      </c>
      <c r="BW58" s="28">
        <v>21</v>
      </c>
      <c r="BX58" s="4" t="s">
        <v>196</v>
      </c>
    </row>
    <row r="59" spans="1:76" x14ac:dyDescent="0.25">
      <c r="A59" s="43" t="s">
        <v>197</v>
      </c>
      <c r="B59" s="44" t="s">
        <v>184</v>
      </c>
      <c r="C59" s="243" t="s">
        <v>198</v>
      </c>
      <c r="D59" s="244"/>
      <c r="E59" s="44" t="s">
        <v>59</v>
      </c>
      <c r="F59" s="45">
        <v>16</v>
      </c>
      <c r="G59" s="174">
        <v>0</v>
      </c>
      <c r="H59" s="45">
        <f t="shared" si="48"/>
        <v>0</v>
      </c>
      <c r="I59" s="45">
        <f t="shared" si="49"/>
        <v>0</v>
      </c>
      <c r="J59" s="45">
        <f t="shared" si="50"/>
        <v>0</v>
      </c>
      <c r="K59" s="46" t="s">
        <v>60</v>
      </c>
      <c r="Z59" s="28">
        <f t="shared" si="51"/>
        <v>0</v>
      </c>
      <c r="AB59" s="28">
        <f t="shared" si="52"/>
        <v>0</v>
      </c>
      <c r="AC59" s="28">
        <f t="shared" si="53"/>
        <v>0</v>
      </c>
      <c r="AD59" s="28">
        <f t="shared" si="54"/>
        <v>0</v>
      </c>
      <c r="AE59" s="28">
        <f t="shared" si="55"/>
        <v>0</v>
      </c>
      <c r="AF59" s="28">
        <f t="shared" si="56"/>
        <v>0</v>
      </c>
      <c r="AG59" s="28">
        <f t="shared" si="57"/>
        <v>0</v>
      </c>
      <c r="AH59" s="28">
        <f t="shared" si="58"/>
        <v>0</v>
      </c>
      <c r="AI59" s="10" t="s">
        <v>53</v>
      </c>
      <c r="AJ59" s="28">
        <f t="shared" si="59"/>
        <v>0</v>
      </c>
      <c r="AK59" s="28">
        <f t="shared" si="60"/>
        <v>0</v>
      </c>
      <c r="AL59" s="28">
        <f t="shared" si="61"/>
        <v>0</v>
      </c>
      <c r="AN59" s="28">
        <v>21</v>
      </c>
      <c r="AO59" s="28">
        <f>G59*0.876124025</f>
        <v>0</v>
      </c>
      <c r="AP59" s="28">
        <f>G59*(1-0.876124025)</f>
        <v>0</v>
      </c>
      <c r="AQ59" s="29" t="s">
        <v>56</v>
      </c>
      <c r="AV59" s="28">
        <f t="shared" si="62"/>
        <v>0</v>
      </c>
      <c r="AW59" s="28">
        <f t="shared" si="63"/>
        <v>0</v>
      </c>
      <c r="AX59" s="28">
        <f t="shared" si="64"/>
        <v>0</v>
      </c>
      <c r="AY59" s="29" t="s">
        <v>181</v>
      </c>
      <c r="AZ59" s="29" t="s">
        <v>182</v>
      </c>
      <c r="BA59" s="10" t="s">
        <v>63</v>
      </c>
      <c r="BC59" s="28">
        <f t="shared" si="65"/>
        <v>0</v>
      </c>
      <c r="BD59" s="28">
        <f t="shared" si="66"/>
        <v>0</v>
      </c>
      <c r="BE59" s="28">
        <v>0</v>
      </c>
      <c r="BF59" s="28">
        <f>59</f>
        <v>59</v>
      </c>
      <c r="BH59" s="28">
        <f t="shared" si="67"/>
        <v>0</v>
      </c>
      <c r="BI59" s="28">
        <f t="shared" si="68"/>
        <v>0</v>
      </c>
      <c r="BJ59" s="28">
        <f t="shared" si="69"/>
        <v>0</v>
      </c>
      <c r="BK59" s="28"/>
      <c r="BL59" s="28">
        <v>56</v>
      </c>
      <c r="BW59" s="28">
        <v>21</v>
      </c>
      <c r="BX59" s="4" t="s">
        <v>198</v>
      </c>
    </row>
    <row r="60" spans="1:76" x14ac:dyDescent="0.25">
      <c r="A60" s="2" t="s">
        <v>199</v>
      </c>
      <c r="B60" s="3" t="s">
        <v>187</v>
      </c>
      <c r="C60" s="181" t="s">
        <v>200</v>
      </c>
      <c r="D60" s="182"/>
      <c r="E60" s="3" t="s">
        <v>59</v>
      </c>
      <c r="F60" s="28">
        <v>16</v>
      </c>
      <c r="G60" s="175">
        <v>0</v>
      </c>
      <c r="H60" s="28">
        <f t="shared" si="48"/>
        <v>0</v>
      </c>
      <c r="I60" s="28">
        <f t="shared" si="49"/>
        <v>0</v>
      </c>
      <c r="J60" s="28">
        <f t="shared" si="50"/>
        <v>0</v>
      </c>
      <c r="K60" s="47" t="s">
        <v>60</v>
      </c>
      <c r="Z60" s="28">
        <f t="shared" si="51"/>
        <v>0</v>
      </c>
      <c r="AB60" s="28">
        <f t="shared" si="52"/>
        <v>0</v>
      </c>
      <c r="AC60" s="28">
        <f t="shared" si="53"/>
        <v>0</v>
      </c>
      <c r="AD60" s="28">
        <f t="shared" si="54"/>
        <v>0</v>
      </c>
      <c r="AE60" s="28">
        <f t="shared" si="55"/>
        <v>0</v>
      </c>
      <c r="AF60" s="28">
        <f t="shared" si="56"/>
        <v>0</v>
      </c>
      <c r="AG60" s="28">
        <f t="shared" si="57"/>
        <v>0</v>
      </c>
      <c r="AH60" s="28">
        <f t="shared" si="58"/>
        <v>0</v>
      </c>
      <c r="AI60" s="10" t="s">
        <v>53</v>
      </c>
      <c r="AJ60" s="28">
        <f t="shared" si="59"/>
        <v>0</v>
      </c>
      <c r="AK60" s="28">
        <f t="shared" si="60"/>
        <v>0</v>
      </c>
      <c r="AL60" s="28">
        <f t="shared" si="61"/>
        <v>0</v>
      </c>
      <c r="AN60" s="28">
        <v>21</v>
      </c>
      <c r="AO60" s="28">
        <f>G60*0.801142945</f>
        <v>0</v>
      </c>
      <c r="AP60" s="28">
        <f>G60*(1-0.801142945)</f>
        <v>0</v>
      </c>
      <c r="AQ60" s="29" t="s">
        <v>56</v>
      </c>
      <c r="AV60" s="28">
        <f t="shared" si="62"/>
        <v>0</v>
      </c>
      <c r="AW60" s="28">
        <f t="shared" si="63"/>
        <v>0</v>
      </c>
      <c r="AX60" s="28">
        <f t="shared" si="64"/>
        <v>0</v>
      </c>
      <c r="AY60" s="29" t="s">
        <v>181</v>
      </c>
      <c r="AZ60" s="29" t="s">
        <v>182</v>
      </c>
      <c r="BA60" s="10" t="s">
        <v>63</v>
      </c>
      <c r="BC60" s="28">
        <f t="shared" si="65"/>
        <v>0</v>
      </c>
      <c r="BD60" s="28">
        <f t="shared" si="66"/>
        <v>0</v>
      </c>
      <c r="BE60" s="28">
        <v>0</v>
      </c>
      <c r="BF60" s="28">
        <f>60</f>
        <v>60</v>
      </c>
      <c r="BH60" s="28">
        <f t="shared" si="67"/>
        <v>0</v>
      </c>
      <c r="BI60" s="28">
        <f t="shared" si="68"/>
        <v>0</v>
      </c>
      <c r="BJ60" s="28">
        <f t="shared" si="69"/>
        <v>0</v>
      </c>
      <c r="BK60" s="28"/>
      <c r="BL60" s="28">
        <v>56</v>
      </c>
      <c r="BW60" s="28">
        <v>21</v>
      </c>
      <c r="BX60" s="4" t="s">
        <v>200</v>
      </c>
    </row>
    <row r="61" spans="1:76" x14ac:dyDescent="0.25">
      <c r="A61" s="2" t="s">
        <v>201</v>
      </c>
      <c r="B61" s="3" t="s">
        <v>187</v>
      </c>
      <c r="C61" s="181" t="s">
        <v>202</v>
      </c>
      <c r="D61" s="182"/>
      <c r="E61" s="3" t="s">
        <v>59</v>
      </c>
      <c r="F61" s="28">
        <v>16</v>
      </c>
      <c r="G61" s="175">
        <v>0</v>
      </c>
      <c r="H61" s="28">
        <f t="shared" si="48"/>
        <v>0</v>
      </c>
      <c r="I61" s="28">
        <f t="shared" si="49"/>
        <v>0</v>
      </c>
      <c r="J61" s="28">
        <f t="shared" si="50"/>
        <v>0</v>
      </c>
      <c r="K61" s="47" t="s">
        <v>60</v>
      </c>
      <c r="Z61" s="28">
        <f t="shared" si="51"/>
        <v>0</v>
      </c>
      <c r="AB61" s="28">
        <f t="shared" si="52"/>
        <v>0</v>
      </c>
      <c r="AC61" s="28">
        <f t="shared" si="53"/>
        <v>0</v>
      </c>
      <c r="AD61" s="28">
        <f t="shared" si="54"/>
        <v>0</v>
      </c>
      <c r="AE61" s="28">
        <f t="shared" si="55"/>
        <v>0</v>
      </c>
      <c r="AF61" s="28">
        <f t="shared" si="56"/>
        <v>0</v>
      </c>
      <c r="AG61" s="28">
        <f t="shared" si="57"/>
        <v>0</v>
      </c>
      <c r="AH61" s="28">
        <f t="shared" si="58"/>
        <v>0</v>
      </c>
      <c r="AI61" s="10" t="s">
        <v>53</v>
      </c>
      <c r="AJ61" s="28">
        <f t="shared" si="59"/>
        <v>0</v>
      </c>
      <c r="AK61" s="28">
        <f t="shared" si="60"/>
        <v>0</v>
      </c>
      <c r="AL61" s="28">
        <f t="shared" si="61"/>
        <v>0</v>
      </c>
      <c r="AN61" s="28">
        <v>21</v>
      </c>
      <c r="AO61" s="28">
        <f>G61*0.801142945</f>
        <v>0</v>
      </c>
      <c r="AP61" s="28">
        <f>G61*(1-0.801142945)</f>
        <v>0</v>
      </c>
      <c r="AQ61" s="29" t="s">
        <v>56</v>
      </c>
      <c r="AV61" s="28">
        <f t="shared" si="62"/>
        <v>0</v>
      </c>
      <c r="AW61" s="28">
        <f t="shared" si="63"/>
        <v>0</v>
      </c>
      <c r="AX61" s="28">
        <f t="shared" si="64"/>
        <v>0</v>
      </c>
      <c r="AY61" s="29" t="s">
        <v>181</v>
      </c>
      <c r="AZ61" s="29" t="s">
        <v>182</v>
      </c>
      <c r="BA61" s="10" t="s">
        <v>63</v>
      </c>
      <c r="BC61" s="28">
        <f t="shared" si="65"/>
        <v>0</v>
      </c>
      <c r="BD61" s="28">
        <f t="shared" si="66"/>
        <v>0</v>
      </c>
      <c r="BE61" s="28">
        <v>0</v>
      </c>
      <c r="BF61" s="28">
        <f>61</f>
        <v>61</v>
      </c>
      <c r="BH61" s="28">
        <f t="shared" si="67"/>
        <v>0</v>
      </c>
      <c r="BI61" s="28">
        <f t="shared" si="68"/>
        <v>0</v>
      </c>
      <c r="BJ61" s="28">
        <f t="shared" si="69"/>
        <v>0</v>
      </c>
      <c r="BK61" s="28"/>
      <c r="BL61" s="28">
        <v>56</v>
      </c>
      <c r="BW61" s="28">
        <v>21</v>
      </c>
      <c r="BX61" s="4" t="s">
        <v>202</v>
      </c>
    </row>
    <row r="62" spans="1:76" x14ac:dyDescent="0.25">
      <c r="A62" s="2" t="s">
        <v>203</v>
      </c>
      <c r="B62" s="3" t="s">
        <v>204</v>
      </c>
      <c r="C62" s="181" t="s">
        <v>205</v>
      </c>
      <c r="D62" s="182"/>
      <c r="E62" s="3" t="s">
        <v>59</v>
      </c>
      <c r="F62" s="28">
        <v>10</v>
      </c>
      <c r="G62" s="175">
        <v>0</v>
      </c>
      <c r="H62" s="28">
        <f t="shared" si="48"/>
        <v>0</v>
      </c>
      <c r="I62" s="28">
        <f t="shared" si="49"/>
        <v>0</v>
      </c>
      <c r="J62" s="28">
        <f t="shared" si="50"/>
        <v>0</v>
      </c>
      <c r="K62" s="47" t="s">
        <v>60</v>
      </c>
      <c r="Z62" s="28">
        <f t="shared" si="51"/>
        <v>0</v>
      </c>
      <c r="AB62" s="28">
        <f t="shared" si="52"/>
        <v>0</v>
      </c>
      <c r="AC62" s="28">
        <f t="shared" si="53"/>
        <v>0</v>
      </c>
      <c r="AD62" s="28">
        <f t="shared" si="54"/>
        <v>0</v>
      </c>
      <c r="AE62" s="28">
        <f t="shared" si="55"/>
        <v>0</v>
      </c>
      <c r="AF62" s="28">
        <f t="shared" si="56"/>
        <v>0</v>
      </c>
      <c r="AG62" s="28">
        <f t="shared" si="57"/>
        <v>0</v>
      </c>
      <c r="AH62" s="28">
        <f t="shared" si="58"/>
        <v>0</v>
      </c>
      <c r="AI62" s="10" t="s">
        <v>53</v>
      </c>
      <c r="AJ62" s="28">
        <f t="shared" si="59"/>
        <v>0</v>
      </c>
      <c r="AK62" s="28">
        <f t="shared" si="60"/>
        <v>0</v>
      </c>
      <c r="AL62" s="28">
        <f t="shared" si="61"/>
        <v>0</v>
      </c>
      <c r="AN62" s="28">
        <v>21</v>
      </c>
      <c r="AO62" s="28">
        <f>G62*0.781372149</f>
        <v>0</v>
      </c>
      <c r="AP62" s="28">
        <f>G62*(1-0.781372149)</f>
        <v>0</v>
      </c>
      <c r="AQ62" s="29" t="s">
        <v>56</v>
      </c>
      <c r="AV62" s="28">
        <f t="shared" si="62"/>
        <v>0</v>
      </c>
      <c r="AW62" s="28">
        <f t="shared" si="63"/>
        <v>0</v>
      </c>
      <c r="AX62" s="28">
        <f t="shared" si="64"/>
        <v>0</v>
      </c>
      <c r="AY62" s="29" t="s">
        <v>181</v>
      </c>
      <c r="AZ62" s="29" t="s">
        <v>182</v>
      </c>
      <c r="BA62" s="10" t="s">
        <v>63</v>
      </c>
      <c r="BC62" s="28">
        <f t="shared" si="65"/>
        <v>0</v>
      </c>
      <c r="BD62" s="28">
        <f t="shared" si="66"/>
        <v>0</v>
      </c>
      <c r="BE62" s="28">
        <v>0</v>
      </c>
      <c r="BF62" s="28">
        <f>62</f>
        <v>62</v>
      </c>
      <c r="BH62" s="28">
        <f t="shared" si="67"/>
        <v>0</v>
      </c>
      <c r="BI62" s="28">
        <f t="shared" si="68"/>
        <v>0</v>
      </c>
      <c r="BJ62" s="28">
        <f t="shared" si="69"/>
        <v>0</v>
      </c>
      <c r="BK62" s="28"/>
      <c r="BL62" s="28">
        <v>56</v>
      </c>
      <c r="BW62" s="28">
        <v>21</v>
      </c>
      <c r="BX62" s="4" t="s">
        <v>205</v>
      </c>
    </row>
    <row r="63" spans="1:76" x14ac:dyDescent="0.25">
      <c r="A63" s="48" t="s">
        <v>53</v>
      </c>
      <c r="B63" s="49" t="s">
        <v>206</v>
      </c>
      <c r="C63" s="233" t="s">
        <v>207</v>
      </c>
      <c r="D63" s="234"/>
      <c r="E63" s="50" t="s">
        <v>9</v>
      </c>
      <c r="F63" s="50" t="s">
        <v>9</v>
      </c>
      <c r="G63" s="50" t="s">
        <v>9</v>
      </c>
      <c r="H63" s="1">
        <f>SUM(H64:H65)</f>
        <v>0</v>
      </c>
      <c r="I63" s="1">
        <f>SUM(I64:I65)</f>
        <v>0</v>
      </c>
      <c r="J63" s="1">
        <f>SUM(J64:J65)</f>
        <v>0</v>
      </c>
      <c r="K63" s="51" t="s">
        <v>53</v>
      </c>
      <c r="AI63" s="10" t="s">
        <v>53</v>
      </c>
      <c r="AS63" s="1">
        <f>SUM(AJ64:AJ65)</f>
        <v>0</v>
      </c>
      <c r="AT63" s="1">
        <f>SUM(AK64:AK65)</f>
        <v>0</v>
      </c>
      <c r="AU63" s="1">
        <f>SUM(AL64:AL65)</f>
        <v>0</v>
      </c>
    </row>
    <row r="64" spans="1:76" x14ac:dyDescent="0.25">
      <c r="A64" s="2" t="s">
        <v>208</v>
      </c>
      <c r="B64" s="3" t="s">
        <v>209</v>
      </c>
      <c r="C64" s="181" t="s">
        <v>210</v>
      </c>
      <c r="D64" s="182"/>
      <c r="E64" s="3" t="s">
        <v>59</v>
      </c>
      <c r="F64" s="28">
        <v>10</v>
      </c>
      <c r="G64" s="175">
        <v>0</v>
      </c>
      <c r="H64" s="28">
        <f>F64*AO64</f>
        <v>0</v>
      </c>
      <c r="I64" s="28">
        <f>F64*AP64</f>
        <v>0</v>
      </c>
      <c r="J64" s="28">
        <f>F64*G64</f>
        <v>0</v>
      </c>
      <c r="K64" s="47" t="s">
        <v>60</v>
      </c>
      <c r="Z64" s="28">
        <f>IF(AQ64="5",BJ64,0)</f>
        <v>0</v>
      </c>
      <c r="AB64" s="28">
        <f>IF(AQ64="1",BH64,0)</f>
        <v>0</v>
      </c>
      <c r="AC64" s="28">
        <f>IF(AQ64="1",BI64,0)</f>
        <v>0</v>
      </c>
      <c r="AD64" s="28">
        <f>IF(AQ64="7",BH64,0)</f>
        <v>0</v>
      </c>
      <c r="AE64" s="28">
        <f>IF(AQ64="7",BI64,0)</f>
        <v>0</v>
      </c>
      <c r="AF64" s="28">
        <f>IF(AQ64="2",BH64,0)</f>
        <v>0</v>
      </c>
      <c r="AG64" s="28">
        <f>IF(AQ64="2",BI64,0)</f>
        <v>0</v>
      </c>
      <c r="AH64" s="28">
        <f>IF(AQ64="0",BJ64,0)</f>
        <v>0</v>
      </c>
      <c r="AI64" s="10" t="s">
        <v>53</v>
      </c>
      <c r="AJ64" s="28">
        <f>IF(AN64=0,J64,0)</f>
        <v>0</v>
      </c>
      <c r="AK64" s="28">
        <f>IF(AN64=12,J64,0)</f>
        <v>0</v>
      </c>
      <c r="AL64" s="28">
        <f>IF(AN64=21,J64,0)</f>
        <v>0</v>
      </c>
      <c r="AN64" s="28">
        <v>21</v>
      </c>
      <c r="AO64" s="28">
        <f>G64*0.907666195</f>
        <v>0</v>
      </c>
      <c r="AP64" s="28">
        <f>G64*(1-0.907666195)</f>
        <v>0</v>
      </c>
      <c r="AQ64" s="29" t="s">
        <v>56</v>
      </c>
      <c r="AV64" s="28">
        <f>AW64+AX64</f>
        <v>0</v>
      </c>
      <c r="AW64" s="28">
        <f>F64*AO64</f>
        <v>0</v>
      </c>
      <c r="AX64" s="28">
        <f>F64*AP64</f>
        <v>0</v>
      </c>
      <c r="AY64" s="29" t="s">
        <v>211</v>
      </c>
      <c r="AZ64" s="29" t="s">
        <v>182</v>
      </c>
      <c r="BA64" s="10" t="s">
        <v>63</v>
      </c>
      <c r="BC64" s="28">
        <f>AW64+AX64</f>
        <v>0</v>
      </c>
      <c r="BD64" s="28">
        <f>G64/(100-BE64)*100</f>
        <v>0</v>
      </c>
      <c r="BE64" s="28">
        <v>0</v>
      </c>
      <c r="BF64" s="28">
        <f>64</f>
        <v>64</v>
      </c>
      <c r="BH64" s="28">
        <f>F64*AO64</f>
        <v>0</v>
      </c>
      <c r="BI64" s="28">
        <f>F64*AP64</f>
        <v>0</v>
      </c>
      <c r="BJ64" s="28">
        <f>F64*G64</f>
        <v>0</v>
      </c>
      <c r="BK64" s="28"/>
      <c r="BL64" s="28">
        <v>57</v>
      </c>
      <c r="BW64" s="28">
        <v>21</v>
      </c>
      <c r="BX64" s="4" t="s">
        <v>210</v>
      </c>
    </row>
    <row r="65" spans="1:76" x14ac:dyDescent="0.25">
      <c r="A65" s="2" t="s">
        <v>212</v>
      </c>
      <c r="B65" s="3" t="s">
        <v>213</v>
      </c>
      <c r="C65" s="181" t="s">
        <v>214</v>
      </c>
      <c r="D65" s="182"/>
      <c r="E65" s="3" t="s">
        <v>59</v>
      </c>
      <c r="F65" s="28">
        <v>10</v>
      </c>
      <c r="G65" s="175">
        <v>0</v>
      </c>
      <c r="H65" s="28">
        <f>F65*AO65</f>
        <v>0</v>
      </c>
      <c r="I65" s="28">
        <f>F65*AP65</f>
        <v>0</v>
      </c>
      <c r="J65" s="28">
        <f>F65*G65</f>
        <v>0</v>
      </c>
      <c r="K65" s="47" t="s">
        <v>60</v>
      </c>
      <c r="Z65" s="28">
        <f>IF(AQ65="5",BJ65,0)</f>
        <v>0</v>
      </c>
      <c r="AB65" s="28">
        <f>IF(AQ65="1",BH65,0)</f>
        <v>0</v>
      </c>
      <c r="AC65" s="28">
        <f>IF(AQ65="1",BI65,0)</f>
        <v>0</v>
      </c>
      <c r="AD65" s="28">
        <f>IF(AQ65="7",BH65,0)</f>
        <v>0</v>
      </c>
      <c r="AE65" s="28">
        <f>IF(AQ65="7",BI65,0)</f>
        <v>0</v>
      </c>
      <c r="AF65" s="28">
        <f>IF(AQ65="2",BH65,0)</f>
        <v>0</v>
      </c>
      <c r="AG65" s="28">
        <f>IF(AQ65="2",BI65,0)</f>
        <v>0</v>
      </c>
      <c r="AH65" s="28">
        <f>IF(AQ65="0",BJ65,0)</f>
        <v>0</v>
      </c>
      <c r="AI65" s="10" t="s">
        <v>53</v>
      </c>
      <c r="AJ65" s="28">
        <f>IF(AN65=0,J65,0)</f>
        <v>0</v>
      </c>
      <c r="AK65" s="28">
        <f>IF(AN65=12,J65,0)</f>
        <v>0</v>
      </c>
      <c r="AL65" s="28">
        <f>IF(AN65=21,J65,0)</f>
        <v>0</v>
      </c>
      <c r="AN65" s="28">
        <v>21</v>
      </c>
      <c r="AO65" s="28">
        <f>G65*0.910397112</f>
        <v>0</v>
      </c>
      <c r="AP65" s="28">
        <f>G65*(1-0.910397112)</f>
        <v>0</v>
      </c>
      <c r="AQ65" s="29" t="s">
        <v>56</v>
      </c>
      <c r="AV65" s="28">
        <f>AW65+AX65</f>
        <v>0</v>
      </c>
      <c r="AW65" s="28">
        <f>F65*AO65</f>
        <v>0</v>
      </c>
      <c r="AX65" s="28">
        <f>F65*AP65</f>
        <v>0</v>
      </c>
      <c r="AY65" s="29" t="s">
        <v>211</v>
      </c>
      <c r="AZ65" s="29" t="s">
        <v>182</v>
      </c>
      <c r="BA65" s="10" t="s">
        <v>63</v>
      </c>
      <c r="BC65" s="28">
        <f>AW65+AX65</f>
        <v>0</v>
      </c>
      <c r="BD65" s="28">
        <f>G65/(100-BE65)*100</f>
        <v>0</v>
      </c>
      <c r="BE65" s="28">
        <v>0</v>
      </c>
      <c r="BF65" s="28">
        <f>65</f>
        <v>65</v>
      </c>
      <c r="BH65" s="28">
        <f>F65*AO65</f>
        <v>0</v>
      </c>
      <c r="BI65" s="28">
        <f>F65*AP65</f>
        <v>0</v>
      </c>
      <c r="BJ65" s="28">
        <f>F65*G65</f>
        <v>0</v>
      </c>
      <c r="BK65" s="28"/>
      <c r="BL65" s="28">
        <v>57</v>
      </c>
      <c r="BW65" s="28">
        <v>21</v>
      </c>
      <c r="BX65" s="4" t="s">
        <v>214</v>
      </c>
    </row>
    <row r="66" spans="1:76" x14ac:dyDescent="0.25">
      <c r="A66" s="52" t="s">
        <v>53</v>
      </c>
      <c r="B66" s="53" t="s">
        <v>215</v>
      </c>
      <c r="C66" s="247" t="s">
        <v>216</v>
      </c>
      <c r="D66" s="248"/>
      <c r="E66" s="54" t="s">
        <v>9</v>
      </c>
      <c r="F66" s="54" t="s">
        <v>9</v>
      </c>
      <c r="G66" s="54" t="s">
        <v>9</v>
      </c>
      <c r="H66" s="55">
        <f>SUM(H67:H71)</f>
        <v>0</v>
      </c>
      <c r="I66" s="55">
        <f>SUM(I67:I71)</f>
        <v>0</v>
      </c>
      <c r="J66" s="55">
        <f>SUM(J67:J71)</f>
        <v>0</v>
      </c>
      <c r="K66" s="56" t="s">
        <v>53</v>
      </c>
      <c r="AI66" s="10" t="s">
        <v>53</v>
      </c>
      <c r="AS66" s="1">
        <f>SUM(AJ67:AJ71)</f>
        <v>0</v>
      </c>
      <c r="AT66" s="1">
        <f>SUM(AK67:AK71)</f>
        <v>0</v>
      </c>
      <c r="AU66" s="1">
        <f>SUM(AL67:AL71)</f>
        <v>0</v>
      </c>
    </row>
    <row r="67" spans="1:76" x14ac:dyDescent="0.25">
      <c r="A67" s="30" t="s">
        <v>167</v>
      </c>
      <c r="B67" s="31" t="s">
        <v>217</v>
      </c>
      <c r="C67" s="239" t="s">
        <v>218</v>
      </c>
      <c r="D67" s="240"/>
      <c r="E67" s="31" t="s">
        <v>59</v>
      </c>
      <c r="F67" s="32">
        <v>1175.9000000000001</v>
      </c>
      <c r="G67" s="172">
        <v>0</v>
      </c>
      <c r="H67" s="32">
        <f>F67*AO67</f>
        <v>0</v>
      </c>
      <c r="I67" s="32">
        <f>F67*AP67</f>
        <v>0</v>
      </c>
      <c r="J67" s="32">
        <f>F67*G67</f>
        <v>0</v>
      </c>
      <c r="K67" s="33" t="s">
        <v>60</v>
      </c>
      <c r="Z67" s="28">
        <f>IF(AQ67="5",BJ67,0)</f>
        <v>0</v>
      </c>
      <c r="AB67" s="28">
        <f>IF(AQ67="1",BH67,0)</f>
        <v>0</v>
      </c>
      <c r="AC67" s="28">
        <f>IF(AQ67="1",BI67,0)</f>
        <v>0</v>
      </c>
      <c r="AD67" s="28">
        <f>IF(AQ67="7",BH67,0)</f>
        <v>0</v>
      </c>
      <c r="AE67" s="28">
        <f>IF(AQ67="7",BI67,0)</f>
        <v>0</v>
      </c>
      <c r="AF67" s="28">
        <f>IF(AQ67="2",BH67,0)</f>
        <v>0</v>
      </c>
      <c r="AG67" s="28">
        <f>IF(AQ67="2",BI67,0)</f>
        <v>0</v>
      </c>
      <c r="AH67" s="28">
        <f>IF(AQ67="0",BJ67,0)</f>
        <v>0</v>
      </c>
      <c r="AI67" s="10" t="s">
        <v>53</v>
      </c>
      <c r="AJ67" s="28">
        <f>IF(AN67=0,J67,0)</f>
        <v>0</v>
      </c>
      <c r="AK67" s="28">
        <f>IF(AN67=12,J67,0)</f>
        <v>0</v>
      </c>
      <c r="AL67" s="28">
        <f>IF(AN67=21,J67,0)</f>
        <v>0</v>
      </c>
      <c r="AN67" s="28">
        <v>21</v>
      </c>
      <c r="AO67" s="28">
        <f>G67*0.136006768</f>
        <v>0</v>
      </c>
      <c r="AP67" s="28">
        <f>G67*(1-0.136006768)</f>
        <v>0</v>
      </c>
      <c r="AQ67" s="29" t="s">
        <v>56</v>
      </c>
      <c r="AV67" s="28">
        <f>AW67+AX67</f>
        <v>0</v>
      </c>
      <c r="AW67" s="28">
        <f>F67*AO67</f>
        <v>0</v>
      </c>
      <c r="AX67" s="28">
        <f>F67*AP67</f>
        <v>0</v>
      </c>
      <c r="AY67" s="29" t="s">
        <v>219</v>
      </c>
      <c r="AZ67" s="29" t="s">
        <v>182</v>
      </c>
      <c r="BA67" s="10" t="s">
        <v>63</v>
      </c>
      <c r="BC67" s="28">
        <f>AW67+AX67</f>
        <v>0</v>
      </c>
      <c r="BD67" s="28">
        <f>G67/(100-BE67)*100</f>
        <v>0</v>
      </c>
      <c r="BE67" s="28">
        <v>0</v>
      </c>
      <c r="BF67" s="28">
        <f>67</f>
        <v>67</v>
      </c>
      <c r="BH67" s="28">
        <f>F67*AO67</f>
        <v>0</v>
      </c>
      <c r="BI67" s="28">
        <f>F67*AP67</f>
        <v>0</v>
      </c>
      <c r="BJ67" s="28">
        <f>F67*G67</f>
        <v>0</v>
      </c>
      <c r="BK67" s="28"/>
      <c r="BL67" s="28">
        <v>59</v>
      </c>
      <c r="BW67" s="28">
        <v>21</v>
      </c>
      <c r="BX67" s="4" t="s">
        <v>218</v>
      </c>
    </row>
    <row r="68" spans="1:76" x14ac:dyDescent="0.25">
      <c r="A68" s="34" t="s">
        <v>220</v>
      </c>
      <c r="B68" s="35" t="s">
        <v>221</v>
      </c>
      <c r="C68" s="245" t="s">
        <v>222</v>
      </c>
      <c r="D68" s="246"/>
      <c r="E68" s="35" t="s">
        <v>59</v>
      </c>
      <c r="F68" s="36">
        <v>580.9</v>
      </c>
      <c r="G68" s="173">
        <v>0</v>
      </c>
      <c r="H68" s="36">
        <f>F68*AO68</f>
        <v>0</v>
      </c>
      <c r="I68" s="36">
        <f>F68*AP68</f>
        <v>0</v>
      </c>
      <c r="J68" s="36">
        <f>F68*G68</f>
        <v>0</v>
      </c>
      <c r="K68" s="37" t="s">
        <v>60</v>
      </c>
      <c r="Z68" s="28">
        <f>IF(AQ68="5",BJ68,0)</f>
        <v>0</v>
      </c>
      <c r="AB68" s="28">
        <f>IF(AQ68="1",BH68,0)</f>
        <v>0</v>
      </c>
      <c r="AC68" s="28">
        <f>IF(AQ68="1",BI68,0)</f>
        <v>0</v>
      </c>
      <c r="AD68" s="28">
        <f>IF(AQ68="7",BH68,0)</f>
        <v>0</v>
      </c>
      <c r="AE68" s="28">
        <f>IF(AQ68="7",BI68,0)</f>
        <v>0</v>
      </c>
      <c r="AF68" s="28">
        <f>IF(AQ68="2",BH68,0)</f>
        <v>0</v>
      </c>
      <c r="AG68" s="28">
        <f>IF(AQ68="2",BI68,0)</f>
        <v>0</v>
      </c>
      <c r="AH68" s="28">
        <f>IF(AQ68="0",BJ68,0)</f>
        <v>0</v>
      </c>
      <c r="AI68" s="10" t="s">
        <v>53</v>
      </c>
      <c r="AJ68" s="28">
        <f>IF(AN68=0,J68,0)</f>
        <v>0</v>
      </c>
      <c r="AK68" s="28">
        <f>IF(AN68=12,J68,0)</f>
        <v>0</v>
      </c>
      <c r="AL68" s="28">
        <f>IF(AN68=21,J68,0)</f>
        <v>0</v>
      </c>
      <c r="AN68" s="28">
        <v>21</v>
      </c>
      <c r="AO68" s="28">
        <f>G68*0.162272727</f>
        <v>0</v>
      </c>
      <c r="AP68" s="28">
        <f>G68*(1-0.162272727)</f>
        <v>0</v>
      </c>
      <c r="AQ68" s="29" t="s">
        <v>56</v>
      </c>
      <c r="AV68" s="28">
        <f>AW68+AX68</f>
        <v>0</v>
      </c>
      <c r="AW68" s="28">
        <f>F68*AO68</f>
        <v>0</v>
      </c>
      <c r="AX68" s="28">
        <f>F68*AP68</f>
        <v>0</v>
      </c>
      <c r="AY68" s="29" t="s">
        <v>219</v>
      </c>
      <c r="AZ68" s="29" t="s">
        <v>182</v>
      </c>
      <c r="BA68" s="10" t="s">
        <v>63</v>
      </c>
      <c r="BC68" s="28">
        <f>AW68+AX68</f>
        <v>0</v>
      </c>
      <c r="BD68" s="28">
        <f>G68/(100-BE68)*100</f>
        <v>0</v>
      </c>
      <c r="BE68" s="28">
        <v>0</v>
      </c>
      <c r="BF68" s="28">
        <f>68</f>
        <v>68</v>
      </c>
      <c r="BH68" s="28">
        <f>F68*AO68</f>
        <v>0</v>
      </c>
      <c r="BI68" s="28">
        <f>F68*AP68</f>
        <v>0</v>
      </c>
      <c r="BJ68" s="28">
        <f>F68*G68</f>
        <v>0</v>
      </c>
      <c r="BK68" s="28"/>
      <c r="BL68" s="28">
        <v>59</v>
      </c>
      <c r="BW68" s="28">
        <v>21</v>
      </c>
      <c r="BX68" s="4" t="s">
        <v>222</v>
      </c>
    </row>
    <row r="69" spans="1:76" x14ac:dyDescent="0.25">
      <c r="A69" s="34" t="s">
        <v>223</v>
      </c>
      <c r="B69" s="35" t="s">
        <v>224</v>
      </c>
      <c r="C69" s="245" t="s">
        <v>225</v>
      </c>
      <c r="D69" s="246"/>
      <c r="E69" s="35" t="s">
        <v>164</v>
      </c>
      <c r="F69" s="36">
        <v>11</v>
      </c>
      <c r="G69" s="173">
        <v>0</v>
      </c>
      <c r="H69" s="36">
        <f>F69*AO69</f>
        <v>0</v>
      </c>
      <c r="I69" s="36">
        <f>F69*AP69</f>
        <v>0</v>
      </c>
      <c r="J69" s="36">
        <f>F69*G69</f>
        <v>0</v>
      </c>
      <c r="K69" s="37" t="s">
        <v>60</v>
      </c>
      <c r="Z69" s="28">
        <f>IF(AQ69="5",BJ69,0)</f>
        <v>0</v>
      </c>
      <c r="AB69" s="28">
        <f>IF(AQ69="1",BH69,0)</f>
        <v>0</v>
      </c>
      <c r="AC69" s="28">
        <f>IF(AQ69="1",BI69,0)</f>
        <v>0</v>
      </c>
      <c r="AD69" s="28">
        <f>IF(AQ69="7",BH69,0)</f>
        <v>0</v>
      </c>
      <c r="AE69" s="28">
        <f>IF(AQ69="7",BI69,0)</f>
        <v>0</v>
      </c>
      <c r="AF69" s="28">
        <f>IF(AQ69="2",BH69,0)</f>
        <v>0</v>
      </c>
      <c r="AG69" s="28">
        <f>IF(AQ69="2",BI69,0)</f>
        <v>0</v>
      </c>
      <c r="AH69" s="28">
        <f>IF(AQ69="0",BJ69,0)</f>
        <v>0</v>
      </c>
      <c r="AI69" s="10" t="s">
        <v>53</v>
      </c>
      <c r="AJ69" s="28">
        <f>IF(AN69=0,J69,0)</f>
        <v>0</v>
      </c>
      <c r="AK69" s="28">
        <f>IF(AN69=12,J69,0)</f>
        <v>0</v>
      </c>
      <c r="AL69" s="28">
        <f>IF(AN69=21,J69,0)</f>
        <v>0</v>
      </c>
      <c r="AN69" s="28">
        <v>21</v>
      </c>
      <c r="AO69" s="28">
        <f>G69*0.901566995</f>
        <v>0</v>
      </c>
      <c r="AP69" s="28">
        <f>G69*(1-0.901566995)</f>
        <v>0</v>
      </c>
      <c r="AQ69" s="29" t="s">
        <v>56</v>
      </c>
      <c r="AV69" s="28">
        <f>AW69+AX69</f>
        <v>0</v>
      </c>
      <c r="AW69" s="28">
        <f>F69*AO69</f>
        <v>0</v>
      </c>
      <c r="AX69" s="28">
        <f>F69*AP69</f>
        <v>0</v>
      </c>
      <c r="AY69" s="29" t="s">
        <v>219</v>
      </c>
      <c r="AZ69" s="29" t="s">
        <v>182</v>
      </c>
      <c r="BA69" s="10" t="s">
        <v>63</v>
      </c>
      <c r="BC69" s="28">
        <f>AW69+AX69</f>
        <v>0</v>
      </c>
      <c r="BD69" s="28">
        <f>G69/(100-BE69)*100</f>
        <v>0</v>
      </c>
      <c r="BE69" s="28">
        <v>0</v>
      </c>
      <c r="BF69" s="28">
        <f>69</f>
        <v>69</v>
      </c>
      <c r="BH69" s="28">
        <f>F69*AO69</f>
        <v>0</v>
      </c>
      <c r="BI69" s="28">
        <f>F69*AP69</f>
        <v>0</v>
      </c>
      <c r="BJ69" s="28">
        <f>F69*G69</f>
        <v>0</v>
      </c>
      <c r="BK69" s="28"/>
      <c r="BL69" s="28">
        <v>59</v>
      </c>
      <c r="BW69" s="28">
        <v>21</v>
      </c>
      <c r="BX69" s="4" t="s">
        <v>225</v>
      </c>
    </row>
    <row r="70" spans="1:76" x14ac:dyDescent="0.25">
      <c r="A70" s="34" t="s">
        <v>226</v>
      </c>
      <c r="B70" s="35" t="s">
        <v>227</v>
      </c>
      <c r="C70" s="245" t="s">
        <v>228</v>
      </c>
      <c r="D70" s="246"/>
      <c r="E70" s="35" t="s">
        <v>164</v>
      </c>
      <c r="F70" s="36">
        <v>1</v>
      </c>
      <c r="G70" s="173">
        <v>0</v>
      </c>
      <c r="H70" s="36">
        <f>F70*AO70</f>
        <v>0</v>
      </c>
      <c r="I70" s="36">
        <f>F70*AP70</f>
        <v>0</v>
      </c>
      <c r="J70" s="36">
        <f>F70*G70</f>
        <v>0</v>
      </c>
      <c r="K70" s="37" t="s">
        <v>60</v>
      </c>
      <c r="Z70" s="28">
        <f>IF(AQ70="5",BJ70,0)</f>
        <v>0</v>
      </c>
      <c r="AB70" s="28">
        <f>IF(AQ70="1",BH70,0)</f>
        <v>0</v>
      </c>
      <c r="AC70" s="28">
        <f>IF(AQ70="1",BI70,0)</f>
        <v>0</v>
      </c>
      <c r="AD70" s="28">
        <f>IF(AQ70="7",BH70,0)</f>
        <v>0</v>
      </c>
      <c r="AE70" s="28">
        <f>IF(AQ70="7",BI70,0)</f>
        <v>0</v>
      </c>
      <c r="AF70" s="28">
        <f>IF(AQ70="2",BH70,0)</f>
        <v>0</v>
      </c>
      <c r="AG70" s="28">
        <f>IF(AQ70="2",BI70,0)</f>
        <v>0</v>
      </c>
      <c r="AH70" s="28">
        <f>IF(AQ70="0",BJ70,0)</f>
        <v>0</v>
      </c>
      <c r="AI70" s="10" t="s">
        <v>53</v>
      </c>
      <c r="AJ70" s="28">
        <f>IF(AN70=0,J70,0)</f>
        <v>0</v>
      </c>
      <c r="AK70" s="28">
        <f>IF(AN70=12,J70,0)</f>
        <v>0</v>
      </c>
      <c r="AL70" s="28">
        <f>IF(AN70=21,J70,0)</f>
        <v>0</v>
      </c>
      <c r="AN70" s="28">
        <v>21</v>
      </c>
      <c r="AO70" s="28">
        <f>G70*0.873265107</f>
        <v>0</v>
      </c>
      <c r="AP70" s="28">
        <f>G70*(1-0.873265107)</f>
        <v>0</v>
      </c>
      <c r="AQ70" s="29" t="s">
        <v>56</v>
      </c>
      <c r="AV70" s="28">
        <f>AW70+AX70</f>
        <v>0</v>
      </c>
      <c r="AW70" s="28">
        <f>F70*AO70</f>
        <v>0</v>
      </c>
      <c r="AX70" s="28">
        <f>F70*AP70</f>
        <v>0</v>
      </c>
      <c r="AY70" s="29" t="s">
        <v>219</v>
      </c>
      <c r="AZ70" s="29" t="s">
        <v>182</v>
      </c>
      <c r="BA70" s="10" t="s">
        <v>63</v>
      </c>
      <c r="BC70" s="28">
        <f>AW70+AX70</f>
        <v>0</v>
      </c>
      <c r="BD70" s="28">
        <f>G70/(100-BE70)*100</f>
        <v>0</v>
      </c>
      <c r="BE70" s="28">
        <v>0</v>
      </c>
      <c r="BF70" s="28">
        <f>70</f>
        <v>70</v>
      </c>
      <c r="BH70" s="28">
        <f>F70*AO70</f>
        <v>0</v>
      </c>
      <c r="BI70" s="28">
        <f>F70*AP70</f>
        <v>0</v>
      </c>
      <c r="BJ70" s="28">
        <f>F70*G70</f>
        <v>0</v>
      </c>
      <c r="BK70" s="28"/>
      <c r="BL70" s="28">
        <v>59</v>
      </c>
      <c r="BW70" s="28">
        <v>21</v>
      </c>
      <c r="BX70" s="4" t="s">
        <v>228</v>
      </c>
    </row>
    <row r="71" spans="1:76" x14ac:dyDescent="0.25">
      <c r="A71" s="34" t="s">
        <v>229</v>
      </c>
      <c r="B71" s="35" t="s">
        <v>230</v>
      </c>
      <c r="C71" s="245" t="s">
        <v>231</v>
      </c>
      <c r="D71" s="246"/>
      <c r="E71" s="35" t="s">
        <v>164</v>
      </c>
      <c r="F71" s="36">
        <v>23</v>
      </c>
      <c r="G71" s="173">
        <v>0</v>
      </c>
      <c r="H71" s="36">
        <f>F71*AO71</f>
        <v>0</v>
      </c>
      <c r="I71" s="36">
        <f>F71*AP71</f>
        <v>0</v>
      </c>
      <c r="J71" s="36">
        <f>F71*G71</f>
        <v>0</v>
      </c>
      <c r="K71" s="37" t="s">
        <v>60</v>
      </c>
      <c r="Z71" s="28">
        <f>IF(AQ71="5",BJ71,0)</f>
        <v>0</v>
      </c>
      <c r="AB71" s="28">
        <f>IF(AQ71="1",BH71,0)</f>
        <v>0</v>
      </c>
      <c r="AC71" s="28">
        <f>IF(AQ71="1",BI71,0)</f>
        <v>0</v>
      </c>
      <c r="AD71" s="28">
        <f>IF(AQ71="7",BH71,0)</f>
        <v>0</v>
      </c>
      <c r="AE71" s="28">
        <f>IF(AQ71="7",BI71,0)</f>
        <v>0</v>
      </c>
      <c r="AF71" s="28">
        <f>IF(AQ71="2",BH71,0)</f>
        <v>0</v>
      </c>
      <c r="AG71" s="28">
        <f>IF(AQ71="2",BI71,0)</f>
        <v>0</v>
      </c>
      <c r="AH71" s="28">
        <f>IF(AQ71="0",BJ71,0)</f>
        <v>0</v>
      </c>
      <c r="AI71" s="10" t="s">
        <v>53</v>
      </c>
      <c r="AJ71" s="28">
        <f>IF(AN71=0,J71,0)</f>
        <v>0</v>
      </c>
      <c r="AK71" s="28">
        <f>IF(AN71=12,J71,0)</f>
        <v>0</v>
      </c>
      <c r="AL71" s="28">
        <f>IF(AN71=21,J71,0)</f>
        <v>0</v>
      </c>
      <c r="AN71" s="28">
        <v>21</v>
      </c>
      <c r="AO71" s="28">
        <f>G71*0.957954545</f>
        <v>0</v>
      </c>
      <c r="AP71" s="28">
        <f>G71*(1-0.957954545)</f>
        <v>0</v>
      </c>
      <c r="AQ71" s="29" t="s">
        <v>56</v>
      </c>
      <c r="AV71" s="28">
        <f>AW71+AX71</f>
        <v>0</v>
      </c>
      <c r="AW71" s="28">
        <f>F71*AO71</f>
        <v>0</v>
      </c>
      <c r="AX71" s="28">
        <f>F71*AP71</f>
        <v>0</v>
      </c>
      <c r="AY71" s="29" t="s">
        <v>219</v>
      </c>
      <c r="AZ71" s="29" t="s">
        <v>182</v>
      </c>
      <c r="BA71" s="10" t="s">
        <v>63</v>
      </c>
      <c r="BC71" s="28">
        <f>AW71+AX71</f>
        <v>0</v>
      </c>
      <c r="BD71" s="28">
        <f>G71/(100-BE71)*100</f>
        <v>0</v>
      </c>
      <c r="BE71" s="28">
        <v>0</v>
      </c>
      <c r="BF71" s="28">
        <f>71</f>
        <v>71</v>
      </c>
      <c r="BH71" s="28">
        <f>F71*AO71</f>
        <v>0</v>
      </c>
      <c r="BI71" s="28">
        <f>F71*AP71</f>
        <v>0</v>
      </c>
      <c r="BJ71" s="28">
        <f>F71*G71</f>
        <v>0</v>
      </c>
      <c r="BK71" s="28"/>
      <c r="BL71" s="28">
        <v>59</v>
      </c>
      <c r="BW71" s="28">
        <v>21</v>
      </c>
      <c r="BX71" s="4" t="s">
        <v>231</v>
      </c>
    </row>
    <row r="72" spans="1:76" x14ac:dyDescent="0.25">
      <c r="A72" s="38" t="s">
        <v>53</v>
      </c>
      <c r="B72" s="39" t="s">
        <v>232</v>
      </c>
      <c r="C72" s="249" t="s">
        <v>233</v>
      </c>
      <c r="D72" s="250"/>
      <c r="E72" s="40" t="s">
        <v>9</v>
      </c>
      <c r="F72" s="40" t="s">
        <v>9</v>
      </c>
      <c r="G72" s="40" t="s">
        <v>9</v>
      </c>
      <c r="H72" s="41">
        <f>SUM(H73:H74)</f>
        <v>0</v>
      </c>
      <c r="I72" s="41">
        <f>SUM(I73:I74)</f>
        <v>0</v>
      </c>
      <c r="J72" s="41">
        <f>SUM(J73:J74)</f>
        <v>0</v>
      </c>
      <c r="K72" s="42" t="s">
        <v>53</v>
      </c>
      <c r="AI72" s="10" t="s">
        <v>53</v>
      </c>
      <c r="AS72" s="1">
        <f>SUM(AJ73:AJ74)</f>
        <v>0</v>
      </c>
      <c r="AT72" s="1">
        <f>SUM(AK73:AK74)</f>
        <v>0</v>
      </c>
      <c r="AU72" s="1">
        <f>SUM(AL73:AL74)</f>
        <v>0</v>
      </c>
    </row>
    <row r="73" spans="1:76" x14ac:dyDescent="0.25">
      <c r="A73" s="30" t="s">
        <v>234</v>
      </c>
      <c r="B73" s="31" t="s">
        <v>235</v>
      </c>
      <c r="C73" s="239" t="s">
        <v>236</v>
      </c>
      <c r="D73" s="240"/>
      <c r="E73" s="31" t="s">
        <v>59</v>
      </c>
      <c r="F73" s="32">
        <v>30.03</v>
      </c>
      <c r="G73" s="172">
        <v>0</v>
      </c>
      <c r="H73" s="32">
        <f>F73*AO73</f>
        <v>0</v>
      </c>
      <c r="I73" s="32">
        <f>F73*AP73</f>
        <v>0</v>
      </c>
      <c r="J73" s="32">
        <f>F73*G73</f>
        <v>0</v>
      </c>
      <c r="K73" s="33" t="s">
        <v>60</v>
      </c>
      <c r="Z73" s="28">
        <f>IF(AQ73="5",BJ73,0)</f>
        <v>0</v>
      </c>
      <c r="AB73" s="28">
        <f>IF(AQ73="1",BH73,0)</f>
        <v>0</v>
      </c>
      <c r="AC73" s="28">
        <f>IF(AQ73="1",BI73,0)</f>
        <v>0</v>
      </c>
      <c r="AD73" s="28">
        <f>IF(AQ73="7",BH73,0)</f>
        <v>0</v>
      </c>
      <c r="AE73" s="28">
        <f>IF(AQ73="7",BI73,0)</f>
        <v>0</v>
      </c>
      <c r="AF73" s="28">
        <f>IF(AQ73="2",BH73,0)</f>
        <v>0</v>
      </c>
      <c r="AG73" s="28">
        <f>IF(AQ73="2",BI73,0)</f>
        <v>0</v>
      </c>
      <c r="AH73" s="28">
        <f>IF(AQ73="0",BJ73,0)</f>
        <v>0</v>
      </c>
      <c r="AI73" s="10" t="s">
        <v>53</v>
      </c>
      <c r="AJ73" s="28">
        <f>IF(AN73=0,J73,0)</f>
        <v>0</v>
      </c>
      <c r="AK73" s="28">
        <f>IF(AN73=12,J73,0)</f>
        <v>0</v>
      </c>
      <c r="AL73" s="28">
        <f>IF(AN73=21,J73,0)</f>
        <v>0</v>
      </c>
      <c r="AN73" s="28">
        <v>21</v>
      </c>
      <c r="AO73" s="28">
        <f>G73*0</f>
        <v>0</v>
      </c>
      <c r="AP73" s="28">
        <f>G73*(1-0)</f>
        <v>0</v>
      </c>
      <c r="AQ73" s="29" t="s">
        <v>56</v>
      </c>
      <c r="AV73" s="28">
        <f>AW73+AX73</f>
        <v>0</v>
      </c>
      <c r="AW73" s="28">
        <f>F73*AO73</f>
        <v>0</v>
      </c>
      <c r="AX73" s="28">
        <f>F73*AP73</f>
        <v>0</v>
      </c>
      <c r="AY73" s="29" t="s">
        <v>237</v>
      </c>
      <c r="AZ73" s="29" t="s">
        <v>238</v>
      </c>
      <c r="BA73" s="10" t="s">
        <v>63</v>
      </c>
      <c r="BC73" s="28">
        <f>AW73+AX73</f>
        <v>0</v>
      </c>
      <c r="BD73" s="28">
        <f>G73/(100-BE73)*100</f>
        <v>0</v>
      </c>
      <c r="BE73" s="28">
        <v>0</v>
      </c>
      <c r="BF73" s="28">
        <f>73</f>
        <v>73</v>
      </c>
      <c r="BH73" s="28">
        <f>F73*AO73</f>
        <v>0</v>
      </c>
      <c r="BI73" s="28">
        <f>F73*AP73</f>
        <v>0</v>
      </c>
      <c r="BJ73" s="28">
        <f>F73*G73</f>
        <v>0</v>
      </c>
      <c r="BK73" s="28"/>
      <c r="BL73" s="28">
        <v>63</v>
      </c>
      <c r="BW73" s="28">
        <v>21</v>
      </c>
      <c r="BX73" s="4" t="s">
        <v>236</v>
      </c>
    </row>
    <row r="74" spans="1:76" x14ac:dyDescent="0.25">
      <c r="A74" s="34" t="s">
        <v>239</v>
      </c>
      <c r="B74" s="35" t="s">
        <v>240</v>
      </c>
      <c r="C74" s="245" t="s">
        <v>241</v>
      </c>
      <c r="D74" s="246"/>
      <c r="E74" s="35" t="s">
        <v>79</v>
      </c>
      <c r="F74" s="36">
        <v>1.6</v>
      </c>
      <c r="G74" s="173">
        <v>0</v>
      </c>
      <c r="H74" s="36">
        <f>F74*AO74</f>
        <v>0</v>
      </c>
      <c r="I74" s="36">
        <f>F74*AP74</f>
        <v>0</v>
      </c>
      <c r="J74" s="36">
        <f>F74*G74</f>
        <v>0</v>
      </c>
      <c r="K74" s="37" t="s">
        <v>60</v>
      </c>
      <c r="Z74" s="28">
        <f>IF(AQ74="5",BJ74,0)</f>
        <v>0</v>
      </c>
      <c r="AB74" s="28">
        <f>IF(AQ74="1",BH74,0)</f>
        <v>0</v>
      </c>
      <c r="AC74" s="28">
        <f>IF(AQ74="1",BI74,0)</f>
        <v>0</v>
      </c>
      <c r="AD74" s="28">
        <f>IF(AQ74="7",BH74,0)</f>
        <v>0</v>
      </c>
      <c r="AE74" s="28">
        <f>IF(AQ74="7",BI74,0)</f>
        <v>0</v>
      </c>
      <c r="AF74" s="28">
        <f>IF(AQ74="2",BH74,0)</f>
        <v>0</v>
      </c>
      <c r="AG74" s="28">
        <f>IF(AQ74="2",BI74,0)</f>
        <v>0</v>
      </c>
      <c r="AH74" s="28">
        <f>IF(AQ74="0",BJ74,0)</f>
        <v>0</v>
      </c>
      <c r="AI74" s="10" t="s">
        <v>53</v>
      </c>
      <c r="AJ74" s="28">
        <f>IF(AN74=0,J74,0)</f>
        <v>0</v>
      </c>
      <c r="AK74" s="28">
        <f>IF(AN74=12,J74,0)</f>
        <v>0</v>
      </c>
      <c r="AL74" s="28">
        <f>IF(AN74=21,J74,0)</f>
        <v>0</v>
      </c>
      <c r="AN74" s="28">
        <v>21</v>
      </c>
      <c r="AO74" s="28">
        <f>G74*0.753865327</f>
        <v>0</v>
      </c>
      <c r="AP74" s="28">
        <f>G74*(1-0.753865327)</f>
        <v>0</v>
      </c>
      <c r="AQ74" s="29" t="s">
        <v>56</v>
      </c>
      <c r="AV74" s="28">
        <f>AW74+AX74</f>
        <v>0</v>
      </c>
      <c r="AW74" s="28">
        <f>F74*AO74</f>
        <v>0</v>
      </c>
      <c r="AX74" s="28">
        <f>F74*AP74</f>
        <v>0</v>
      </c>
      <c r="AY74" s="29" t="s">
        <v>237</v>
      </c>
      <c r="AZ74" s="29" t="s">
        <v>238</v>
      </c>
      <c r="BA74" s="10" t="s">
        <v>63</v>
      </c>
      <c r="BC74" s="28">
        <f>AW74+AX74</f>
        <v>0</v>
      </c>
      <c r="BD74" s="28">
        <f>G74/(100-BE74)*100</f>
        <v>0</v>
      </c>
      <c r="BE74" s="28">
        <v>0</v>
      </c>
      <c r="BF74" s="28">
        <f>74</f>
        <v>74</v>
      </c>
      <c r="BH74" s="28">
        <f>F74*AO74</f>
        <v>0</v>
      </c>
      <c r="BI74" s="28">
        <f>F74*AP74</f>
        <v>0</v>
      </c>
      <c r="BJ74" s="28">
        <f>F74*G74</f>
        <v>0</v>
      </c>
      <c r="BK74" s="28"/>
      <c r="BL74" s="28">
        <v>63</v>
      </c>
      <c r="BW74" s="28">
        <v>21</v>
      </c>
      <c r="BX74" s="4" t="s">
        <v>241</v>
      </c>
    </row>
    <row r="75" spans="1:76" x14ac:dyDescent="0.25">
      <c r="A75" s="38" t="s">
        <v>53</v>
      </c>
      <c r="B75" s="39" t="s">
        <v>242</v>
      </c>
      <c r="C75" s="249" t="s">
        <v>243</v>
      </c>
      <c r="D75" s="250"/>
      <c r="E75" s="40" t="s">
        <v>9</v>
      </c>
      <c r="F75" s="40" t="s">
        <v>9</v>
      </c>
      <c r="G75" s="40" t="s">
        <v>9</v>
      </c>
      <c r="H75" s="41">
        <f>SUM(H76:H76)</f>
        <v>0</v>
      </c>
      <c r="I75" s="41">
        <f>SUM(I76:I76)</f>
        <v>0</v>
      </c>
      <c r="J75" s="41">
        <f>SUM(J76:J76)</f>
        <v>0</v>
      </c>
      <c r="K75" s="42" t="s">
        <v>53</v>
      </c>
      <c r="AI75" s="10" t="s">
        <v>53</v>
      </c>
      <c r="AS75" s="1">
        <f>SUM(AJ76:AJ76)</f>
        <v>0</v>
      </c>
      <c r="AT75" s="1">
        <f>SUM(AK76:AK76)</f>
        <v>0</v>
      </c>
      <c r="AU75" s="1">
        <f>SUM(AL76:AL76)</f>
        <v>0</v>
      </c>
    </row>
    <row r="76" spans="1:76" x14ac:dyDescent="0.25">
      <c r="A76" s="30" t="s">
        <v>244</v>
      </c>
      <c r="B76" s="31" t="s">
        <v>245</v>
      </c>
      <c r="C76" s="239" t="s">
        <v>246</v>
      </c>
      <c r="D76" s="240"/>
      <c r="E76" s="31" t="s">
        <v>67</v>
      </c>
      <c r="F76" s="32">
        <v>13</v>
      </c>
      <c r="G76" s="172">
        <v>0</v>
      </c>
      <c r="H76" s="32">
        <f>F76*AO76</f>
        <v>0</v>
      </c>
      <c r="I76" s="32">
        <f>F76*AP76</f>
        <v>0</v>
      </c>
      <c r="J76" s="32">
        <f>F76*G76</f>
        <v>0</v>
      </c>
      <c r="K76" s="33" t="s">
        <v>60</v>
      </c>
      <c r="Z76" s="28">
        <f>IF(AQ76="5",BJ76,0)</f>
        <v>0</v>
      </c>
      <c r="AB76" s="28">
        <f>IF(AQ76="1",BH76,0)</f>
        <v>0</v>
      </c>
      <c r="AC76" s="28">
        <f>IF(AQ76="1",BI76,0)</f>
        <v>0</v>
      </c>
      <c r="AD76" s="28">
        <f>IF(AQ76="7",BH76,0)</f>
        <v>0</v>
      </c>
      <c r="AE76" s="28">
        <f>IF(AQ76="7",BI76,0)</f>
        <v>0</v>
      </c>
      <c r="AF76" s="28">
        <f>IF(AQ76="2",BH76,0)</f>
        <v>0</v>
      </c>
      <c r="AG76" s="28">
        <f>IF(AQ76="2",BI76,0)</f>
        <v>0</v>
      </c>
      <c r="AH76" s="28">
        <f>IF(AQ76="0",BJ76,0)</f>
        <v>0</v>
      </c>
      <c r="AI76" s="10" t="s">
        <v>53</v>
      </c>
      <c r="AJ76" s="28">
        <f>IF(AN76=0,J76,0)</f>
        <v>0</v>
      </c>
      <c r="AK76" s="28">
        <f>IF(AN76=12,J76,0)</f>
        <v>0</v>
      </c>
      <c r="AL76" s="28">
        <f>IF(AN76=21,J76,0)</f>
        <v>0</v>
      </c>
      <c r="AN76" s="28">
        <v>21</v>
      </c>
      <c r="AO76" s="28">
        <f>G76*0.032418953</f>
        <v>0</v>
      </c>
      <c r="AP76" s="28">
        <f>G76*(1-0.032418953)</f>
        <v>0</v>
      </c>
      <c r="AQ76" s="29" t="s">
        <v>84</v>
      </c>
      <c r="AV76" s="28">
        <f>AW76+AX76</f>
        <v>0</v>
      </c>
      <c r="AW76" s="28">
        <f>F76*AO76</f>
        <v>0</v>
      </c>
      <c r="AX76" s="28">
        <f>F76*AP76</f>
        <v>0</v>
      </c>
      <c r="AY76" s="29" t="s">
        <v>247</v>
      </c>
      <c r="AZ76" s="29" t="s">
        <v>248</v>
      </c>
      <c r="BA76" s="10" t="s">
        <v>63</v>
      </c>
      <c r="BC76" s="28">
        <f>AW76+AX76</f>
        <v>0</v>
      </c>
      <c r="BD76" s="28">
        <f>G76/(100-BE76)*100</f>
        <v>0</v>
      </c>
      <c r="BE76" s="28">
        <v>0</v>
      </c>
      <c r="BF76" s="28">
        <f>76</f>
        <v>76</v>
      </c>
      <c r="BH76" s="28">
        <f>F76*AO76</f>
        <v>0</v>
      </c>
      <c r="BI76" s="28">
        <f>F76*AP76</f>
        <v>0</v>
      </c>
      <c r="BJ76" s="28">
        <f>F76*G76</f>
        <v>0</v>
      </c>
      <c r="BK76" s="28"/>
      <c r="BL76" s="28">
        <v>762</v>
      </c>
      <c r="BW76" s="28">
        <v>21</v>
      </c>
      <c r="BX76" s="4" t="s">
        <v>246</v>
      </c>
    </row>
    <row r="77" spans="1:76" x14ac:dyDescent="0.25">
      <c r="A77" s="38" t="s">
        <v>53</v>
      </c>
      <c r="B77" s="39" t="s">
        <v>249</v>
      </c>
      <c r="C77" s="249" t="s">
        <v>250</v>
      </c>
      <c r="D77" s="250"/>
      <c r="E77" s="40" t="s">
        <v>9</v>
      </c>
      <c r="F77" s="40" t="s">
        <v>9</v>
      </c>
      <c r="G77" s="40" t="s">
        <v>9</v>
      </c>
      <c r="H77" s="41">
        <f>SUM(H78:H78)</f>
        <v>0</v>
      </c>
      <c r="I77" s="41">
        <f>SUM(I78:I78)</f>
        <v>0</v>
      </c>
      <c r="J77" s="41">
        <f>SUM(J78:J78)</f>
        <v>0</v>
      </c>
      <c r="K77" s="42" t="s">
        <v>53</v>
      </c>
      <c r="AI77" s="10" t="s">
        <v>53</v>
      </c>
      <c r="AS77" s="1">
        <f>SUM(AJ78:AJ78)</f>
        <v>0</v>
      </c>
      <c r="AT77" s="1">
        <f>SUM(AK78:AK78)</f>
        <v>0</v>
      </c>
      <c r="AU77" s="1">
        <f>SUM(AL78:AL78)</f>
        <v>0</v>
      </c>
    </row>
    <row r="78" spans="1:76" x14ac:dyDescent="0.25">
      <c r="A78" s="30" t="s">
        <v>251</v>
      </c>
      <c r="B78" s="31" t="s">
        <v>252</v>
      </c>
      <c r="C78" s="239" t="s">
        <v>253</v>
      </c>
      <c r="D78" s="240"/>
      <c r="E78" s="31" t="s">
        <v>67</v>
      </c>
      <c r="F78" s="32">
        <v>13.7</v>
      </c>
      <c r="G78" s="172">
        <v>0</v>
      </c>
      <c r="H78" s="32">
        <f>F78*AO78</f>
        <v>0</v>
      </c>
      <c r="I78" s="32">
        <f>F78*AP78</f>
        <v>0</v>
      </c>
      <c r="J78" s="32">
        <f>F78*G78</f>
        <v>0</v>
      </c>
      <c r="K78" s="33" t="s">
        <v>60</v>
      </c>
      <c r="Z78" s="28">
        <f>IF(AQ78="5",BJ78,0)</f>
        <v>0</v>
      </c>
      <c r="AB78" s="28">
        <f>IF(AQ78="1",BH78,0)</f>
        <v>0</v>
      </c>
      <c r="AC78" s="28">
        <f>IF(AQ78="1",BI78,0)</f>
        <v>0</v>
      </c>
      <c r="AD78" s="28">
        <f>IF(AQ78="7",BH78,0)</f>
        <v>0</v>
      </c>
      <c r="AE78" s="28">
        <f>IF(AQ78="7",BI78,0)</f>
        <v>0</v>
      </c>
      <c r="AF78" s="28">
        <f>IF(AQ78="2",BH78,0)</f>
        <v>0</v>
      </c>
      <c r="AG78" s="28">
        <f>IF(AQ78="2",BI78,0)</f>
        <v>0</v>
      </c>
      <c r="AH78" s="28">
        <f>IF(AQ78="0",BJ78,0)</f>
        <v>0</v>
      </c>
      <c r="AI78" s="10" t="s">
        <v>53</v>
      </c>
      <c r="AJ78" s="28">
        <f>IF(AN78=0,J78,0)</f>
        <v>0</v>
      </c>
      <c r="AK78" s="28">
        <f>IF(AN78=12,J78,0)</f>
        <v>0</v>
      </c>
      <c r="AL78" s="28">
        <f>IF(AN78=21,J78,0)</f>
        <v>0</v>
      </c>
      <c r="AN78" s="28">
        <v>21</v>
      </c>
      <c r="AO78" s="28">
        <f>G78*0</f>
        <v>0</v>
      </c>
      <c r="AP78" s="28">
        <f>G78*(1-0)</f>
        <v>0</v>
      </c>
      <c r="AQ78" s="29" t="s">
        <v>84</v>
      </c>
      <c r="AV78" s="28">
        <f>AW78+AX78</f>
        <v>0</v>
      </c>
      <c r="AW78" s="28">
        <f>F78*AO78</f>
        <v>0</v>
      </c>
      <c r="AX78" s="28">
        <f>F78*AP78</f>
        <v>0</v>
      </c>
      <c r="AY78" s="29" t="s">
        <v>254</v>
      </c>
      <c r="AZ78" s="29" t="s">
        <v>248</v>
      </c>
      <c r="BA78" s="10" t="s">
        <v>63</v>
      </c>
      <c r="BC78" s="28">
        <f>AW78+AX78</f>
        <v>0</v>
      </c>
      <c r="BD78" s="28">
        <f>G78/(100-BE78)*100</f>
        <v>0</v>
      </c>
      <c r="BE78" s="28">
        <v>0</v>
      </c>
      <c r="BF78" s="28">
        <f>78</f>
        <v>78</v>
      </c>
      <c r="BH78" s="28">
        <f>F78*AO78</f>
        <v>0</v>
      </c>
      <c r="BI78" s="28">
        <f>F78*AP78</f>
        <v>0</v>
      </c>
      <c r="BJ78" s="28">
        <f>F78*G78</f>
        <v>0</v>
      </c>
      <c r="BK78" s="28"/>
      <c r="BL78" s="28">
        <v>767</v>
      </c>
      <c r="BW78" s="28">
        <v>21</v>
      </c>
      <c r="BX78" s="4" t="s">
        <v>253</v>
      </c>
    </row>
    <row r="79" spans="1:76" x14ac:dyDescent="0.25">
      <c r="A79" s="38" t="s">
        <v>53</v>
      </c>
      <c r="B79" s="39" t="s">
        <v>255</v>
      </c>
      <c r="C79" s="249" t="s">
        <v>256</v>
      </c>
      <c r="D79" s="250"/>
      <c r="E79" s="40" t="s">
        <v>9</v>
      </c>
      <c r="F79" s="40" t="s">
        <v>9</v>
      </c>
      <c r="G79" s="40" t="s">
        <v>9</v>
      </c>
      <c r="H79" s="41">
        <f>SUM(H80:H83)</f>
        <v>0</v>
      </c>
      <c r="I79" s="41">
        <f>SUM(I80:I83)</f>
        <v>0</v>
      </c>
      <c r="J79" s="41">
        <f>SUM(J80:J83)</f>
        <v>0</v>
      </c>
      <c r="K79" s="42" t="s">
        <v>53</v>
      </c>
      <c r="AI79" s="10" t="s">
        <v>53</v>
      </c>
      <c r="AS79" s="1">
        <f>SUM(AJ80:AJ83)</f>
        <v>0</v>
      </c>
      <c r="AT79" s="1">
        <f>SUM(AK80:AK83)</f>
        <v>0</v>
      </c>
      <c r="AU79" s="1">
        <f>SUM(AL80:AL83)</f>
        <v>0</v>
      </c>
    </row>
    <row r="80" spans="1:76" x14ac:dyDescent="0.25">
      <c r="A80" s="30" t="s">
        <v>257</v>
      </c>
      <c r="B80" s="31" t="s">
        <v>258</v>
      </c>
      <c r="C80" s="239" t="s">
        <v>259</v>
      </c>
      <c r="D80" s="240"/>
      <c r="E80" s="31" t="s">
        <v>164</v>
      </c>
      <c r="F80" s="32">
        <v>20</v>
      </c>
      <c r="G80" s="172">
        <v>0</v>
      </c>
      <c r="H80" s="32">
        <f>F80*AO80</f>
        <v>0</v>
      </c>
      <c r="I80" s="32">
        <f>F80*AP80</f>
        <v>0</v>
      </c>
      <c r="J80" s="32">
        <f>F80*G80</f>
        <v>0</v>
      </c>
      <c r="K80" s="33" t="s">
        <v>60</v>
      </c>
      <c r="Z80" s="28">
        <f>IF(AQ80="5",BJ80,0)</f>
        <v>0</v>
      </c>
      <c r="AB80" s="28">
        <f>IF(AQ80="1",BH80,0)</f>
        <v>0</v>
      </c>
      <c r="AC80" s="28">
        <f>IF(AQ80="1",BI80,0)</f>
        <v>0</v>
      </c>
      <c r="AD80" s="28">
        <f>IF(AQ80="7",BH80,0)</f>
        <v>0</v>
      </c>
      <c r="AE80" s="28">
        <f>IF(AQ80="7",BI80,0)</f>
        <v>0</v>
      </c>
      <c r="AF80" s="28">
        <f>IF(AQ80="2",BH80,0)</f>
        <v>0</v>
      </c>
      <c r="AG80" s="28">
        <f>IF(AQ80="2",BI80,0)</f>
        <v>0</v>
      </c>
      <c r="AH80" s="28">
        <f>IF(AQ80="0",BJ80,0)</f>
        <v>0</v>
      </c>
      <c r="AI80" s="10" t="s">
        <v>53</v>
      </c>
      <c r="AJ80" s="28">
        <f>IF(AN80=0,J80,0)</f>
        <v>0</v>
      </c>
      <c r="AK80" s="28">
        <f>IF(AN80=12,J80,0)</f>
        <v>0</v>
      </c>
      <c r="AL80" s="28">
        <f>IF(AN80=21,J80,0)</f>
        <v>0</v>
      </c>
      <c r="AN80" s="28">
        <v>21</v>
      </c>
      <c r="AO80" s="28">
        <f>G80*0.323783217</f>
        <v>0</v>
      </c>
      <c r="AP80" s="28">
        <f>G80*(1-0.323783217)</f>
        <v>0</v>
      </c>
      <c r="AQ80" s="29" t="s">
        <v>56</v>
      </c>
      <c r="AV80" s="28">
        <f>AW80+AX80</f>
        <v>0</v>
      </c>
      <c r="AW80" s="28">
        <f>F80*AO80</f>
        <v>0</v>
      </c>
      <c r="AX80" s="28">
        <f>F80*AP80</f>
        <v>0</v>
      </c>
      <c r="AY80" s="29" t="s">
        <v>260</v>
      </c>
      <c r="AZ80" s="29" t="s">
        <v>261</v>
      </c>
      <c r="BA80" s="10" t="s">
        <v>63</v>
      </c>
      <c r="BC80" s="28">
        <f>AW80+AX80</f>
        <v>0</v>
      </c>
      <c r="BD80" s="28">
        <f>G80/(100-BE80)*100</f>
        <v>0</v>
      </c>
      <c r="BE80" s="28">
        <v>0</v>
      </c>
      <c r="BF80" s="28">
        <f>80</f>
        <v>80</v>
      </c>
      <c r="BH80" s="28">
        <f>F80*AO80</f>
        <v>0</v>
      </c>
      <c r="BI80" s="28">
        <f>F80*AP80</f>
        <v>0</v>
      </c>
      <c r="BJ80" s="28">
        <f>F80*G80</f>
        <v>0</v>
      </c>
      <c r="BK80" s="28"/>
      <c r="BL80" s="28">
        <v>89</v>
      </c>
      <c r="BW80" s="28">
        <v>21</v>
      </c>
      <c r="BX80" s="4" t="s">
        <v>259</v>
      </c>
    </row>
    <row r="81" spans="1:76" x14ac:dyDescent="0.25">
      <c r="A81" s="34" t="s">
        <v>262</v>
      </c>
      <c r="B81" s="35" t="s">
        <v>263</v>
      </c>
      <c r="C81" s="245" t="s">
        <v>264</v>
      </c>
      <c r="D81" s="246"/>
      <c r="E81" s="35" t="s">
        <v>164</v>
      </c>
      <c r="F81" s="36">
        <v>1</v>
      </c>
      <c r="G81" s="173">
        <v>0</v>
      </c>
      <c r="H81" s="36">
        <f>F81*AO81</f>
        <v>0</v>
      </c>
      <c r="I81" s="36">
        <f>F81*AP81</f>
        <v>0</v>
      </c>
      <c r="J81" s="36">
        <f>F81*G81</f>
        <v>0</v>
      </c>
      <c r="K81" s="37" t="s">
        <v>60</v>
      </c>
      <c r="Z81" s="28">
        <f>IF(AQ81="5",BJ81,0)</f>
        <v>0</v>
      </c>
      <c r="AB81" s="28">
        <f>IF(AQ81="1",BH81,0)</f>
        <v>0</v>
      </c>
      <c r="AC81" s="28">
        <f>IF(AQ81="1",BI81,0)</f>
        <v>0</v>
      </c>
      <c r="AD81" s="28">
        <f>IF(AQ81="7",BH81,0)</f>
        <v>0</v>
      </c>
      <c r="AE81" s="28">
        <f>IF(AQ81="7",BI81,0)</f>
        <v>0</v>
      </c>
      <c r="AF81" s="28">
        <f>IF(AQ81="2",BH81,0)</f>
        <v>0</v>
      </c>
      <c r="AG81" s="28">
        <f>IF(AQ81="2",BI81,0)</f>
        <v>0</v>
      </c>
      <c r="AH81" s="28">
        <f>IF(AQ81="0",BJ81,0)</f>
        <v>0</v>
      </c>
      <c r="AI81" s="10" t="s">
        <v>53</v>
      </c>
      <c r="AJ81" s="28">
        <f>IF(AN81=0,J81,0)</f>
        <v>0</v>
      </c>
      <c r="AK81" s="28">
        <f>IF(AN81=12,J81,0)</f>
        <v>0</v>
      </c>
      <c r="AL81" s="28">
        <f>IF(AN81=21,J81,0)</f>
        <v>0</v>
      </c>
      <c r="AN81" s="28">
        <v>21</v>
      </c>
      <c r="AO81" s="28">
        <f>G81*0.76210254</f>
        <v>0</v>
      </c>
      <c r="AP81" s="28">
        <f>G81*(1-0.76210254)</f>
        <v>0</v>
      </c>
      <c r="AQ81" s="29" t="s">
        <v>56</v>
      </c>
      <c r="AV81" s="28">
        <f>AW81+AX81</f>
        <v>0</v>
      </c>
      <c r="AW81" s="28">
        <f>F81*AO81</f>
        <v>0</v>
      </c>
      <c r="AX81" s="28">
        <f>F81*AP81</f>
        <v>0</v>
      </c>
      <c r="AY81" s="29" t="s">
        <v>260</v>
      </c>
      <c r="AZ81" s="29" t="s">
        <v>261</v>
      </c>
      <c r="BA81" s="10" t="s">
        <v>63</v>
      </c>
      <c r="BC81" s="28">
        <f>AW81+AX81</f>
        <v>0</v>
      </c>
      <c r="BD81" s="28">
        <f>G81/(100-BE81)*100</f>
        <v>0</v>
      </c>
      <c r="BE81" s="28">
        <v>0</v>
      </c>
      <c r="BF81" s="28">
        <f>81</f>
        <v>81</v>
      </c>
      <c r="BH81" s="28">
        <f>F81*AO81</f>
        <v>0</v>
      </c>
      <c r="BI81" s="28">
        <f>F81*AP81</f>
        <v>0</v>
      </c>
      <c r="BJ81" s="28">
        <f>F81*G81</f>
        <v>0</v>
      </c>
      <c r="BK81" s="28"/>
      <c r="BL81" s="28">
        <v>89</v>
      </c>
      <c r="BW81" s="28">
        <v>21</v>
      </c>
      <c r="BX81" s="4" t="s">
        <v>264</v>
      </c>
    </row>
    <row r="82" spans="1:76" x14ac:dyDescent="0.25">
      <c r="A82" s="57" t="s">
        <v>177</v>
      </c>
      <c r="B82" s="58" t="s">
        <v>265</v>
      </c>
      <c r="C82" s="251" t="s">
        <v>266</v>
      </c>
      <c r="D82" s="252"/>
      <c r="E82" s="58" t="s">
        <v>164</v>
      </c>
      <c r="F82" s="59">
        <v>1</v>
      </c>
      <c r="G82" s="176">
        <v>0</v>
      </c>
      <c r="H82" s="59">
        <f>F82*AO82</f>
        <v>0</v>
      </c>
      <c r="I82" s="59">
        <f>F82*AP82</f>
        <v>0</v>
      </c>
      <c r="J82" s="59">
        <f>F82*G82</f>
        <v>0</v>
      </c>
      <c r="K82" s="60" t="s">
        <v>60</v>
      </c>
      <c r="Z82" s="28">
        <f>IF(AQ82="5",BJ82,0)</f>
        <v>0</v>
      </c>
      <c r="AB82" s="28">
        <f>IF(AQ82="1",BH82,0)</f>
        <v>0</v>
      </c>
      <c r="AC82" s="28">
        <f>IF(AQ82="1",BI82,0)</f>
        <v>0</v>
      </c>
      <c r="AD82" s="28">
        <f>IF(AQ82="7",BH82,0)</f>
        <v>0</v>
      </c>
      <c r="AE82" s="28">
        <f>IF(AQ82="7",BI82,0)</f>
        <v>0</v>
      </c>
      <c r="AF82" s="28">
        <f>IF(AQ82="2",BH82,0)</f>
        <v>0</v>
      </c>
      <c r="AG82" s="28">
        <f>IF(AQ82="2",BI82,0)</f>
        <v>0</v>
      </c>
      <c r="AH82" s="28">
        <f>IF(AQ82="0",BJ82,0)</f>
        <v>0</v>
      </c>
      <c r="AI82" s="10" t="s">
        <v>53</v>
      </c>
      <c r="AJ82" s="28">
        <f>IF(AN82=0,J82,0)</f>
        <v>0</v>
      </c>
      <c r="AK82" s="28">
        <f>IF(AN82=12,J82,0)</f>
        <v>0</v>
      </c>
      <c r="AL82" s="28">
        <f>IF(AN82=21,J82,0)</f>
        <v>0</v>
      </c>
      <c r="AN82" s="28">
        <v>21</v>
      </c>
      <c r="AO82" s="28">
        <f>G82*0.717615942</f>
        <v>0</v>
      </c>
      <c r="AP82" s="28">
        <f>G82*(1-0.717615942)</f>
        <v>0</v>
      </c>
      <c r="AQ82" s="29" t="s">
        <v>56</v>
      </c>
      <c r="AV82" s="28">
        <f>AW82+AX82</f>
        <v>0</v>
      </c>
      <c r="AW82" s="28">
        <f>F82*AO82</f>
        <v>0</v>
      </c>
      <c r="AX82" s="28">
        <f>F82*AP82</f>
        <v>0</v>
      </c>
      <c r="AY82" s="29" t="s">
        <v>260</v>
      </c>
      <c r="AZ82" s="29" t="s">
        <v>261</v>
      </c>
      <c r="BA82" s="10" t="s">
        <v>63</v>
      </c>
      <c r="BC82" s="28">
        <f>AW82+AX82</f>
        <v>0</v>
      </c>
      <c r="BD82" s="28">
        <f>G82/(100-BE82)*100</f>
        <v>0</v>
      </c>
      <c r="BE82" s="28">
        <v>0</v>
      </c>
      <c r="BF82" s="28">
        <f>82</f>
        <v>82</v>
      </c>
      <c r="BH82" s="28">
        <f>F82*AO82</f>
        <v>0</v>
      </c>
      <c r="BI82" s="28">
        <f>F82*AP82</f>
        <v>0</v>
      </c>
      <c r="BJ82" s="28">
        <f>F82*G82</f>
        <v>0</v>
      </c>
      <c r="BK82" s="28"/>
      <c r="BL82" s="28">
        <v>89</v>
      </c>
      <c r="BW82" s="28">
        <v>21</v>
      </c>
      <c r="BX82" s="4" t="s">
        <v>266</v>
      </c>
    </row>
    <row r="83" spans="1:76" x14ac:dyDescent="0.25">
      <c r="A83" s="30" t="s">
        <v>206</v>
      </c>
      <c r="B83" s="31" t="s">
        <v>267</v>
      </c>
      <c r="C83" s="239" t="s">
        <v>268</v>
      </c>
      <c r="D83" s="240"/>
      <c r="E83" s="31" t="s">
        <v>164</v>
      </c>
      <c r="F83" s="32">
        <v>40</v>
      </c>
      <c r="G83" s="172">
        <v>0</v>
      </c>
      <c r="H83" s="32">
        <f>F83*AO83</f>
        <v>0</v>
      </c>
      <c r="I83" s="32">
        <f>F83*AP83</f>
        <v>0</v>
      </c>
      <c r="J83" s="32">
        <f>F83*G83</f>
        <v>0</v>
      </c>
      <c r="K83" s="33" t="s">
        <v>60</v>
      </c>
      <c r="Z83" s="28">
        <f>IF(AQ83="5",BJ83,0)</f>
        <v>0</v>
      </c>
      <c r="AB83" s="28">
        <f>IF(AQ83="1",BH83,0)</f>
        <v>0</v>
      </c>
      <c r="AC83" s="28">
        <f>IF(AQ83="1",BI83,0)</f>
        <v>0</v>
      </c>
      <c r="AD83" s="28">
        <f>IF(AQ83="7",BH83,0)</f>
        <v>0</v>
      </c>
      <c r="AE83" s="28">
        <f>IF(AQ83="7",BI83,0)</f>
        <v>0</v>
      </c>
      <c r="AF83" s="28">
        <f>IF(AQ83="2",BH83,0)</f>
        <v>0</v>
      </c>
      <c r="AG83" s="28">
        <f>IF(AQ83="2",BI83,0)</f>
        <v>0</v>
      </c>
      <c r="AH83" s="28">
        <f>IF(AQ83="0",BJ83,0)</f>
        <v>0</v>
      </c>
      <c r="AI83" s="10" t="s">
        <v>53</v>
      </c>
      <c r="AJ83" s="28">
        <f>IF(AN83=0,J83,0)</f>
        <v>0</v>
      </c>
      <c r="AK83" s="28">
        <f>IF(AN83=12,J83,0)</f>
        <v>0</v>
      </c>
      <c r="AL83" s="28">
        <f>IF(AN83=21,J83,0)</f>
        <v>0</v>
      </c>
      <c r="AN83" s="28">
        <v>21</v>
      </c>
      <c r="AO83" s="28">
        <f>G83*0.477432343</f>
        <v>0</v>
      </c>
      <c r="AP83" s="28">
        <f>G83*(1-0.477432343)</f>
        <v>0</v>
      </c>
      <c r="AQ83" s="29" t="s">
        <v>56</v>
      </c>
      <c r="AV83" s="28">
        <f>AW83+AX83</f>
        <v>0</v>
      </c>
      <c r="AW83" s="28">
        <f>F83*AO83</f>
        <v>0</v>
      </c>
      <c r="AX83" s="28">
        <f>F83*AP83</f>
        <v>0</v>
      </c>
      <c r="AY83" s="29" t="s">
        <v>260</v>
      </c>
      <c r="AZ83" s="29" t="s">
        <v>261</v>
      </c>
      <c r="BA83" s="10" t="s">
        <v>63</v>
      </c>
      <c r="BC83" s="28">
        <f>AW83+AX83</f>
        <v>0</v>
      </c>
      <c r="BD83" s="28">
        <f>G83/(100-BE83)*100</f>
        <v>0</v>
      </c>
      <c r="BE83" s="28">
        <v>0</v>
      </c>
      <c r="BF83" s="28">
        <f>83</f>
        <v>83</v>
      </c>
      <c r="BH83" s="28">
        <f>F83*AO83</f>
        <v>0</v>
      </c>
      <c r="BI83" s="28">
        <f>F83*AP83</f>
        <v>0</v>
      </c>
      <c r="BJ83" s="28">
        <f>F83*G83</f>
        <v>0</v>
      </c>
      <c r="BK83" s="28"/>
      <c r="BL83" s="28">
        <v>89</v>
      </c>
      <c r="BW83" s="28">
        <v>21</v>
      </c>
      <c r="BX83" s="4" t="s">
        <v>268</v>
      </c>
    </row>
    <row r="84" spans="1:76" x14ac:dyDescent="0.25">
      <c r="A84" s="38" t="s">
        <v>53</v>
      </c>
      <c r="B84" s="39" t="s">
        <v>269</v>
      </c>
      <c r="C84" s="249" t="s">
        <v>270</v>
      </c>
      <c r="D84" s="250"/>
      <c r="E84" s="40" t="s">
        <v>9</v>
      </c>
      <c r="F84" s="40" t="s">
        <v>9</v>
      </c>
      <c r="G84" s="40" t="s">
        <v>9</v>
      </c>
      <c r="H84" s="41">
        <f>SUM(H85:H94)</f>
        <v>0</v>
      </c>
      <c r="I84" s="41">
        <f>SUM(I85:I94)</f>
        <v>0</v>
      </c>
      <c r="J84" s="41">
        <f>SUM(J85:J94)</f>
        <v>0</v>
      </c>
      <c r="K84" s="42" t="s">
        <v>53</v>
      </c>
      <c r="AI84" s="10" t="s">
        <v>53</v>
      </c>
      <c r="AS84" s="1">
        <f>SUM(AJ85:AJ94)</f>
        <v>0</v>
      </c>
      <c r="AT84" s="1">
        <f>SUM(AK85:AK94)</f>
        <v>0</v>
      </c>
      <c r="AU84" s="1">
        <f>SUM(AL85:AL94)</f>
        <v>0</v>
      </c>
    </row>
    <row r="85" spans="1:76" x14ac:dyDescent="0.25">
      <c r="A85" s="30" t="s">
        <v>271</v>
      </c>
      <c r="B85" s="31" t="s">
        <v>272</v>
      </c>
      <c r="C85" s="239" t="s">
        <v>273</v>
      </c>
      <c r="D85" s="240"/>
      <c r="E85" s="31" t="s">
        <v>67</v>
      </c>
      <c r="F85" s="32">
        <v>1160</v>
      </c>
      <c r="G85" s="172">
        <v>0</v>
      </c>
      <c r="H85" s="32">
        <f t="shared" ref="H85:H94" si="70">F85*AO85</f>
        <v>0</v>
      </c>
      <c r="I85" s="32">
        <f t="shared" ref="I85:I94" si="71">F85*AP85</f>
        <v>0</v>
      </c>
      <c r="J85" s="32">
        <f t="shared" ref="J85:J94" si="72">F85*G85</f>
        <v>0</v>
      </c>
      <c r="K85" s="33" t="s">
        <v>60</v>
      </c>
      <c r="Z85" s="28">
        <f t="shared" ref="Z85:Z94" si="73">IF(AQ85="5",BJ85,0)</f>
        <v>0</v>
      </c>
      <c r="AB85" s="28">
        <f t="shared" ref="AB85:AB94" si="74">IF(AQ85="1",BH85,0)</f>
        <v>0</v>
      </c>
      <c r="AC85" s="28">
        <f t="shared" ref="AC85:AC94" si="75">IF(AQ85="1",BI85,0)</f>
        <v>0</v>
      </c>
      <c r="AD85" s="28">
        <f t="shared" ref="AD85:AD94" si="76">IF(AQ85="7",BH85,0)</f>
        <v>0</v>
      </c>
      <c r="AE85" s="28">
        <f t="shared" ref="AE85:AE94" si="77">IF(AQ85="7",BI85,0)</f>
        <v>0</v>
      </c>
      <c r="AF85" s="28">
        <f t="shared" ref="AF85:AF94" si="78">IF(AQ85="2",BH85,0)</f>
        <v>0</v>
      </c>
      <c r="AG85" s="28">
        <f t="shared" ref="AG85:AG94" si="79">IF(AQ85="2",BI85,0)</f>
        <v>0</v>
      </c>
      <c r="AH85" s="28">
        <f t="shared" ref="AH85:AH94" si="80">IF(AQ85="0",BJ85,0)</f>
        <v>0</v>
      </c>
      <c r="AI85" s="10" t="s">
        <v>53</v>
      </c>
      <c r="AJ85" s="28">
        <f t="shared" ref="AJ85:AJ94" si="81">IF(AN85=0,J85,0)</f>
        <v>0</v>
      </c>
      <c r="AK85" s="28">
        <f t="shared" ref="AK85:AK94" si="82">IF(AN85=12,J85,0)</f>
        <v>0</v>
      </c>
      <c r="AL85" s="28">
        <f t="shared" ref="AL85:AL94" si="83">IF(AN85=21,J85,0)</f>
        <v>0</v>
      </c>
      <c r="AN85" s="28">
        <v>21</v>
      </c>
      <c r="AO85" s="28">
        <f>G85*0.596432432</f>
        <v>0</v>
      </c>
      <c r="AP85" s="28">
        <f>G85*(1-0.596432432)</f>
        <v>0</v>
      </c>
      <c r="AQ85" s="29" t="s">
        <v>56</v>
      </c>
      <c r="AV85" s="28">
        <f t="shared" ref="AV85:AV94" si="84">AW85+AX85</f>
        <v>0</v>
      </c>
      <c r="AW85" s="28">
        <f t="shared" ref="AW85:AW94" si="85">F85*AO85</f>
        <v>0</v>
      </c>
      <c r="AX85" s="28">
        <f t="shared" ref="AX85:AX94" si="86">F85*AP85</f>
        <v>0</v>
      </c>
      <c r="AY85" s="29" t="s">
        <v>274</v>
      </c>
      <c r="AZ85" s="29" t="s">
        <v>275</v>
      </c>
      <c r="BA85" s="10" t="s">
        <v>63</v>
      </c>
      <c r="BC85" s="28">
        <f t="shared" ref="BC85:BC94" si="87">AW85+AX85</f>
        <v>0</v>
      </c>
      <c r="BD85" s="28">
        <f t="shared" ref="BD85:BD94" si="88">G85/(100-BE85)*100</f>
        <v>0</v>
      </c>
      <c r="BE85" s="28">
        <v>0</v>
      </c>
      <c r="BF85" s="28">
        <f>85</f>
        <v>85</v>
      </c>
      <c r="BH85" s="28">
        <f t="shared" ref="BH85:BH94" si="89">F85*AO85</f>
        <v>0</v>
      </c>
      <c r="BI85" s="28">
        <f t="shared" ref="BI85:BI94" si="90">F85*AP85</f>
        <v>0</v>
      </c>
      <c r="BJ85" s="28">
        <f t="shared" ref="BJ85:BJ94" si="91">F85*G85</f>
        <v>0</v>
      </c>
      <c r="BK85" s="28"/>
      <c r="BL85" s="28">
        <v>91</v>
      </c>
      <c r="BW85" s="28">
        <v>21</v>
      </c>
      <c r="BX85" s="4" t="s">
        <v>273</v>
      </c>
    </row>
    <row r="86" spans="1:76" x14ac:dyDescent="0.25">
      <c r="A86" s="34" t="s">
        <v>215</v>
      </c>
      <c r="B86" s="35" t="s">
        <v>272</v>
      </c>
      <c r="C86" s="245" t="s">
        <v>276</v>
      </c>
      <c r="D86" s="246"/>
      <c r="E86" s="35" t="s">
        <v>67</v>
      </c>
      <c r="F86" s="36">
        <v>1201</v>
      </c>
      <c r="G86" s="173">
        <v>0</v>
      </c>
      <c r="H86" s="36">
        <f t="shared" si="70"/>
        <v>0</v>
      </c>
      <c r="I86" s="36">
        <f t="shared" si="71"/>
        <v>0</v>
      </c>
      <c r="J86" s="36">
        <f t="shared" si="72"/>
        <v>0</v>
      </c>
      <c r="K86" s="37" t="s">
        <v>60</v>
      </c>
      <c r="Z86" s="28">
        <f t="shared" si="73"/>
        <v>0</v>
      </c>
      <c r="AB86" s="28">
        <f t="shared" si="74"/>
        <v>0</v>
      </c>
      <c r="AC86" s="28">
        <f t="shared" si="75"/>
        <v>0</v>
      </c>
      <c r="AD86" s="28">
        <f t="shared" si="76"/>
        <v>0</v>
      </c>
      <c r="AE86" s="28">
        <f t="shared" si="77"/>
        <v>0</v>
      </c>
      <c r="AF86" s="28">
        <f t="shared" si="78"/>
        <v>0</v>
      </c>
      <c r="AG86" s="28">
        <f t="shared" si="79"/>
        <v>0</v>
      </c>
      <c r="AH86" s="28">
        <f t="shared" si="80"/>
        <v>0</v>
      </c>
      <c r="AI86" s="10" t="s">
        <v>53</v>
      </c>
      <c r="AJ86" s="28">
        <f t="shared" si="81"/>
        <v>0</v>
      </c>
      <c r="AK86" s="28">
        <f t="shared" si="82"/>
        <v>0</v>
      </c>
      <c r="AL86" s="28">
        <f t="shared" si="83"/>
        <v>0</v>
      </c>
      <c r="AN86" s="28">
        <v>21</v>
      </c>
      <c r="AO86" s="28">
        <f>G86*0.596432432</f>
        <v>0</v>
      </c>
      <c r="AP86" s="28">
        <f>G86*(1-0.596432432)</f>
        <v>0</v>
      </c>
      <c r="AQ86" s="29" t="s">
        <v>56</v>
      </c>
      <c r="AV86" s="28">
        <f t="shared" si="84"/>
        <v>0</v>
      </c>
      <c r="AW86" s="28">
        <f t="shared" si="85"/>
        <v>0</v>
      </c>
      <c r="AX86" s="28">
        <f t="shared" si="86"/>
        <v>0</v>
      </c>
      <c r="AY86" s="29" t="s">
        <v>274</v>
      </c>
      <c r="AZ86" s="29" t="s">
        <v>275</v>
      </c>
      <c r="BA86" s="10" t="s">
        <v>63</v>
      </c>
      <c r="BC86" s="28">
        <f t="shared" si="87"/>
        <v>0</v>
      </c>
      <c r="BD86" s="28">
        <f t="shared" si="88"/>
        <v>0</v>
      </c>
      <c r="BE86" s="28">
        <v>0</v>
      </c>
      <c r="BF86" s="28">
        <f>86</f>
        <v>86</v>
      </c>
      <c r="BH86" s="28">
        <f t="shared" si="89"/>
        <v>0</v>
      </c>
      <c r="BI86" s="28">
        <f t="shared" si="90"/>
        <v>0</v>
      </c>
      <c r="BJ86" s="28">
        <f t="shared" si="91"/>
        <v>0</v>
      </c>
      <c r="BK86" s="28"/>
      <c r="BL86" s="28">
        <v>91</v>
      </c>
      <c r="BW86" s="28">
        <v>21</v>
      </c>
      <c r="BX86" s="4" t="s">
        <v>276</v>
      </c>
    </row>
    <row r="87" spans="1:76" x14ac:dyDescent="0.25">
      <c r="A87" s="34" t="s">
        <v>277</v>
      </c>
      <c r="B87" s="35" t="s">
        <v>278</v>
      </c>
      <c r="C87" s="245" t="s">
        <v>279</v>
      </c>
      <c r="D87" s="246"/>
      <c r="E87" s="35" t="s">
        <v>79</v>
      </c>
      <c r="F87" s="36">
        <v>53.03</v>
      </c>
      <c r="G87" s="173">
        <v>0</v>
      </c>
      <c r="H87" s="36">
        <f t="shared" si="70"/>
        <v>0</v>
      </c>
      <c r="I87" s="36">
        <f t="shared" si="71"/>
        <v>0</v>
      </c>
      <c r="J87" s="36">
        <f t="shared" si="72"/>
        <v>0</v>
      </c>
      <c r="K87" s="37" t="s">
        <v>60</v>
      </c>
      <c r="Z87" s="28">
        <f t="shared" si="73"/>
        <v>0</v>
      </c>
      <c r="AB87" s="28">
        <f t="shared" si="74"/>
        <v>0</v>
      </c>
      <c r="AC87" s="28">
        <f t="shared" si="75"/>
        <v>0</v>
      </c>
      <c r="AD87" s="28">
        <f t="shared" si="76"/>
        <v>0</v>
      </c>
      <c r="AE87" s="28">
        <f t="shared" si="77"/>
        <v>0</v>
      </c>
      <c r="AF87" s="28">
        <f t="shared" si="78"/>
        <v>0</v>
      </c>
      <c r="AG87" s="28">
        <f t="shared" si="79"/>
        <v>0</v>
      </c>
      <c r="AH87" s="28">
        <f t="shared" si="80"/>
        <v>0</v>
      </c>
      <c r="AI87" s="10" t="s">
        <v>53</v>
      </c>
      <c r="AJ87" s="28">
        <f t="shared" si="81"/>
        <v>0</v>
      </c>
      <c r="AK87" s="28">
        <f t="shared" si="82"/>
        <v>0</v>
      </c>
      <c r="AL87" s="28">
        <f t="shared" si="83"/>
        <v>0</v>
      </c>
      <c r="AN87" s="28">
        <v>21</v>
      </c>
      <c r="AO87" s="28">
        <f>G87*0.80300271</f>
        <v>0</v>
      </c>
      <c r="AP87" s="28">
        <f>G87*(1-0.80300271)</f>
        <v>0</v>
      </c>
      <c r="AQ87" s="29" t="s">
        <v>56</v>
      </c>
      <c r="AV87" s="28">
        <f t="shared" si="84"/>
        <v>0</v>
      </c>
      <c r="AW87" s="28">
        <f t="shared" si="85"/>
        <v>0</v>
      </c>
      <c r="AX87" s="28">
        <f t="shared" si="86"/>
        <v>0</v>
      </c>
      <c r="AY87" s="29" t="s">
        <v>274</v>
      </c>
      <c r="AZ87" s="29" t="s">
        <v>275</v>
      </c>
      <c r="BA87" s="10" t="s">
        <v>63</v>
      </c>
      <c r="BC87" s="28">
        <f t="shared" si="87"/>
        <v>0</v>
      </c>
      <c r="BD87" s="28">
        <f t="shared" si="88"/>
        <v>0</v>
      </c>
      <c r="BE87" s="28">
        <v>0</v>
      </c>
      <c r="BF87" s="28">
        <f>87</f>
        <v>87</v>
      </c>
      <c r="BH87" s="28">
        <f t="shared" si="89"/>
        <v>0</v>
      </c>
      <c r="BI87" s="28">
        <f t="shared" si="90"/>
        <v>0</v>
      </c>
      <c r="BJ87" s="28">
        <f t="shared" si="91"/>
        <v>0</v>
      </c>
      <c r="BK87" s="28"/>
      <c r="BL87" s="28">
        <v>91</v>
      </c>
      <c r="BW87" s="28">
        <v>21</v>
      </c>
      <c r="BX87" s="4" t="s">
        <v>279</v>
      </c>
    </row>
    <row r="88" spans="1:76" x14ac:dyDescent="0.25">
      <c r="A88" s="34" t="s">
        <v>280</v>
      </c>
      <c r="B88" s="35" t="s">
        <v>281</v>
      </c>
      <c r="C88" s="245" t="s">
        <v>282</v>
      </c>
      <c r="D88" s="246"/>
      <c r="E88" s="35" t="s">
        <v>164</v>
      </c>
      <c r="F88" s="36">
        <v>2</v>
      </c>
      <c r="G88" s="173">
        <v>0</v>
      </c>
      <c r="H88" s="36">
        <f t="shared" si="70"/>
        <v>0</v>
      </c>
      <c r="I88" s="36">
        <f t="shared" si="71"/>
        <v>0</v>
      </c>
      <c r="J88" s="36">
        <f t="shared" si="72"/>
        <v>0</v>
      </c>
      <c r="K88" s="37" t="s">
        <v>60</v>
      </c>
      <c r="Z88" s="28">
        <f t="shared" si="73"/>
        <v>0</v>
      </c>
      <c r="AB88" s="28">
        <f t="shared" si="74"/>
        <v>0</v>
      </c>
      <c r="AC88" s="28">
        <f t="shared" si="75"/>
        <v>0</v>
      </c>
      <c r="AD88" s="28">
        <f t="shared" si="76"/>
        <v>0</v>
      </c>
      <c r="AE88" s="28">
        <f t="shared" si="77"/>
        <v>0</v>
      </c>
      <c r="AF88" s="28">
        <f t="shared" si="78"/>
        <v>0</v>
      </c>
      <c r="AG88" s="28">
        <f t="shared" si="79"/>
        <v>0</v>
      </c>
      <c r="AH88" s="28">
        <f t="shared" si="80"/>
        <v>0</v>
      </c>
      <c r="AI88" s="10" t="s">
        <v>53</v>
      </c>
      <c r="AJ88" s="28">
        <f t="shared" si="81"/>
        <v>0</v>
      </c>
      <c r="AK88" s="28">
        <f t="shared" si="82"/>
        <v>0</v>
      </c>
      <c r="AL88" s="28">
        <f t="shared" si="83"/>
        <v>0</v>
      </c>
      <c r="AN88" s="28">
        <v>21</v>
      </c>
      <c r="AO88" s="28">
        <f>G88*0.514310954</f>
        <v>0</v>
      </c>
      <c r="AP88" s="28">
        <f>G88*(1-0.514310954)</f>
        <v>0</v>
      </c>
      <c r="AQ88" s="29" t="s">
        <v>56</v>
      </c>
      <c r="AV88" s="28">
        <f t="shared" si="84"/>
        <v>0</v>
      </c>
      <c r="AW88" s="28">
        <f t="shared" si="85"/>
        <v>0</v>
      </c>
      <c r="AX88" s="28">
        <f t="shared" si="86"/>
        <v>0</v>
      </c>
      <c r="AY88" s="29" t="s">
        <v>274</v>
      </c>
      <c r="AZ88" s="29" t="s">
        <v>275</v>
      </c>
      <c r="BA88" s="10" t="s">
        <v>63</v>
      </c>
      <c r="BC88" s="28">
        <f t="shared" si="87"/>
        <v>0</v>
      </c>
      <c r="BD88" s="28">
        <f t="shared" si="88"/>
        <v>0</v>
      </c>
      <c r="BE88" s="28">
        <v>0</v>
      </c>
      <c r="BF88" s="28">
        <f>88</f>
        <v>88</v>
      </c>
      <c r="BH88" s="28">
        <f t="shared" si="89"/>
        <v>0</v>
      </c>
      <c r="BI88" s="28">
        <f t="shared" si="90"/>
        <v>0</v>
      </c>
      <c r="BJ88" s="28">
        <f t="shared" si="91"/>
        <v>0</v>
      </c>
      <c r="BK88" s="28"/>
      <c r="BL88" s="28">
        <v>91</v>
      </c>
      <c r="BW88" s="28">
        <v>21</v>
      </c>
      <c r="BX88" s="4" t="s">
        <v>282</v>
      </c>
    </row>
    <row r="89" spans="1:76" x14ac:dyDescent="0.25">
      <c r="A89" s="34" t="s">
        <v>283</v>
      </c>
      <c r="B89" s="35" t="s">
        <v>284</v>
      </c>
      <c r="C89" s="245" t="s">
        <v>285</v>
      </c>
      <c r="D89" s="246"/>
      <c r="E89" s="35" t="s">
        <v>67</v>
      </c>
      <c r="F89" s="36">
        <v>450</v>
      </c>
      <c r="G89" s="173">
        <v>0</v>
      </c>
      <c r="H89" s="36">
        <f t="shared" si="70"/>
        <v>0</v>
      </c>
      <c r="I89" s="36">
        <f t="shared" si="71"/>
        <v>0</v>
      </c>
      <c r="J89" s="36">
        <f t="shared" si="72"/>
        <v>0</v>
      </c>
      <c r="K89" s="37" t="s">
        <v>60</v>
      </c>
      <c r="Z89" s="28">
        <f t="shared" si="73"/>
        <v>0</v>
      </c>
      <c r="AB89" s="28">
        <f t="shared" si="74"/>
        <v>0</v>
      </c>
      <c r="AC89" s="28">
        <f t="shared" si="75"/>
        <v>0</v>
      </c>
      <c r="AD89" s="28">
        <f t="shared" si="76"/>
        <v>0</v>
      </c>
      <c r="AE89" s="28">
        <f t="shared" si="77"/>
        <v>0</v>
      </c>
      <c r="AF89" s="28">
        <f t="shared" si="78"/>
        <v>0</v>
      </c>
      <c r="AG89" s="28">
        <f t="shared" si="79"/>
        <v>0</v>
      </c>
      <c r="AH89" s="28">
        <f t="shared" si="80"/>
        <v>0</v>
      </c>
      <c r="AI89" s="10" t="s">
        <v>53</v>
      </c>
      <c r="AJ89" s="28">
        <f t="shared" si="81"/>
        <v>0</v>
      </c>
      <c r="AK89" s="28">
        <f t="shared" si="82"/>
        <v>0</v>
      </c>
      <c r="AL89" s="28">
        <f t="shared" si="83"/>
        <v>0</v>
      </c>
      <c r="AN89" s="28">
        <v>21</v>
      </c>
      <c r="AO89" s="28">
        <f>G89*0.092537313</f>
        <v>0</v>
      </c>
      <c r="AP89" s="28">
        <f>G89*(1-0.092537313)</f>
        <v>0</v>
      </c>
      <c r="AQ89" s="29" t="s">
        <v>56</v>
      </c>
      <c r="AV89" s="28">
        <f t="shared" si="84"/>
        <v>0</v>
      </c>
      <c r="AW89" s="28">
        <f t="shared" si="85"/>
        <v>0</v>
      </c>
      <c r="AX89" s="28">
        <f t="shared" si="86"/>
        <v>0</v>
      </c>
      <c r="AY89" s="29" t="s">
        <v>274</v>
      </c>
      <c r="AZ89" s="29" t="s">
        <v>275</v>
      </c>
      <c r="BA89" s="10" t="s">
        <v>63</v>
      </c>
      <c r="BC89" s="28">
        <f t="shared" si="87"/>
        <v>0</v>
      </c>
      <c r="BD89" s="28">
        <f t="shared" si="88"/>
        <v>0</v>
      </c>
      <c r="BE89" s="28">
        <v>0</v>
      </c>
      <c r="BF89" s="28">
        <f>89</f>
        <v>89</v>
      </c>
      <c r="BH89" s="28">
        <f t="shared" si="89"/>
        <v>0</v>
      </c>
      <c r="BI89" s="28">
        <f t="shared" si="90"/>
        <v>0</v>
      </c>
      <c r="BJ89" s="28">
        <f t="shared" si="91"/>
        <v>0</v>
      </c>
      <c r="BK89" s="28"/>
      <c r="BL89" s="28">
        <v>91</v>
      </c>
      <c r="BW89" s="28">
        <v>21</v>
      </c>
      <c r="BX89" s="4" t="s">
        <v>285</v>
      </c>
    </row>
    <row r="90" spans="1:76" x14ac:dyDescent="0.25">
      <c r="A90" s="34" t="s">
        <v>232</v>
      </c>
      <c r="B90" s="35" t="s">
        <v>284</v>
      </c>
      <c r="C90" s="245" t="s">
        <v>286</v>
      </c>
      <c r="D90" s="246"/>
      <c r="E90" s="35" t="s">
        <v>67</v>
      </c>
      <c r="F90" s="36">
        <v>185</v>
      </c>
      <c r="G90" s="173">
        <v>0</v>
      </c>
      <c r="H90" s="36">
        <f t="shared" si="70"/>
        <v>0</v>
      </c>
      <c r="I90" s="36">
        <f t="shared" si="71"/>
        <v>0</v>
      </c>
      <c r="J90" s="36">
        <f t="shared" si="72"/>
        <v>0</v>
      </c>
      <c r="K90" s="37" t="s">
        <v>60</v>
      </c>
      <c r="Z90" s="28">
        <f t="shared" si="73"/>
        <v>0</v>
      </c>
      <c r="AB90" s="28">
        <f t="shared" si="74"/>
        <v>0</v>
      </c>
      <c r="AC90" s="28">
        <f t="shared" si="75"/>
        <v>0</v>
      </c>
      <c r="AD90" s="28">
        <f t="shared" si="76"/>
        <v>0</v>
      </c>
      <c r="AE90" s="28">
        <f t="shared" si="77"/>
        <v>0</v>
      </c>
      <c r="AF90" s="28">
        <f t="shared" si="78"/>
        <v>0</v>
      </c>
      <c r="AG90" s="28">
        <f t="shared" si="79"/>
        <v>0</v>
      </c>
      <c r="AH90" s="28">
        <f t="shared" si="80"/>
        <v>0</v>
      </c>
      <c r="AI90" s="10" t="s">
        <v>53</v>
      </c>
      <c r="AJ90" s="28">
        <f t="shared" si="81"/>
        <v>0</v>
      </c>
      <c r="AK90" s="28">
        <f t="shared" si="82"/>
        <v>0</v>
      </c>
      <c r="AL90" s="28">
        <f t="shared" si="83"/>
        <v>0</v>
      </c>
      <c r="AN90" s="28">
        <v>21</v>
      </c>
      <c r="AO90" s="28">
        <f>G90*0.092537313</f>
        <v>0</v>
      </c>
      <c r="AP90" s="28">
        <f>G90*(1-0.092537313)</f>
        <v>0</v>
      </c>
      <c r="AQ90" s="29" t="s">
        <v>56</v>
      </c>
      <c r="AV90" s="28">
        <f t="shared" si="84"/>
        <v>0</v>
      </c>
      <c r="AW90" s="28">
        <f t="shared" si="85"/>
        <v>0</v>
      </c>
      <c r="AX90" s="28">
        <f t="shared" si="86"/>
        <v>0</v>
      </c>
      <c r="AY90" s="29" t="s">
        <v>274</v>
      </c>
      <c r="AZ90" s="29" t="s">
        <v>275</v>
      </c>
      <c r="BA90" s="10" t="s">
        <v>63</v>
      </c>
      <c r="BC90" s="28">
        <f t="shared" si="87"/>
        <v>0</v>
      </c>
      <c r="BD90" s="28">
        <f t="shared" si="88"/>
        <v>0</v>
      </c>
      <c r="BE90" s="28">
        <v>0</v>
      </c>
      <c r="BF90" s="28">
        <f>90</f>
        <v>90</v>
      </c>
      <c r="BH90" s="28">
        <f t="shared" si="89"/>
        <v>0</v>
      </c>
      <c r="BI90" s="28">
        <f t="shared" si="90"/>
        <v>0</v>
      </c>
      <c r="BJ90" s="28">
        <f t="shared" si="91"/>
        <v>0</v>
      </c>
      <c r="BK90" s="28"/>
      <c r="BL90" s="28">
        <v>91</v>
      </c>
      <c r="BW90" s="28">
        <v>21</v>
      </c>
      <c r="BX90" s="4" t="s">
        <v>286</v>
      </c>
    </row>
    <row r="91" spans="1:76" x14ac:dyDescent="0.25">
      <c r="A91" s="34" t="s">
        <v>287</v>
      </c>
      <c r="B91" s="35" t="s">
        <v>288</v>
      </c>
      <c r="C91" s="245" t="s">
        <v>289</v>
      </c>
      <c r="D91" s="246"/>
      <c r="E91" s="35" t="s">
        <v>59</v>
      </c>
      <c r="F91" s="36">
        <v>10</v>
      </c>
      <c r="G91" s="173">
        <v>0</v>
      </c>
      <c r="H91" s="36">
        <f t="shared" si="70"/>
        <v>0</v>
      </c>
      <c r="I91" s="36">
        <f t="shared" si="71"/>
        <v>0</v>
      </c>
      <c r="J91" s="36">
        <f t="shared" si="72"/>
        <v>0</v>
      </c>
      <c r="K91" s="37" t="s">
        <v>60</v>
      </c>
      <c r="Z91" s="28">
        <f t="shared" si="73"/>
        <v>0</v>
      </c>
      <c r="AB91" s="28">
        <f t="shared" si="74"/>
        <v>0</v>
      </c>
      <c r="AC91" s="28">
        <f t="shared" si="75"/>
        <v>0</v>
      </c>
      <c r="AD91" s="28">
        <f t="shared" si="76"/>
        <v>0</v>
      </c>
      <c r="AE91" s="28">
        <f t="shared" si="77"/>
        <v>0</v>
      </c>
      <c r="AF91" s="28">
        <f t="shared" si="78"/>
        <v>0</v>
      </c>
      <c r="AG91" s="28">
        <f t="shared" si="79"/>
        <v>0</v>
      </c>
      <c r="AH91" s="28">
        <f t="shared" si="80"/>
        <v>0</v>
      </c>
      <c r="AI91" s="10" t="s">
        <v>53</v>
      </c>
      <c r="AJ91" s="28">
        <f t="shared" si="81"/>
        <v>0</v>
      </c>
      <c r="AK91" s="28">
        <f t="shared" si="82"/>
        <v>0</v>
      </c>
      <c r="AL91" s="28">
        <f t="shared" si="83"/>
        <v>0</v>
      </c>
      <c r="AN91" s="28">
        <v>21</v>
      </c>
      <c r="AO91" s="28">
        <f>G91*0.005046523</f>
        <v>0</v>
      </c>
      <c r="AP91" s="28">
        <f>G91*(1-0.005046523)</f>
        <v>0</v>
      </c>
      <c r="AQ91" s="29" t="s">
        <v>56</v>
      </c>
      <c r="AV91" s="28">
        <f t="shared" si="84"/>
        <v>0</v>
      </c>
      <c r="AW91" s="28">
        <f t="shared" si="85"/>
        <v>0</v>
      </c>
      <c r="AX91" s="28">
        <f t="shared" si="86"/>
        <v>0</v>
      </c>
      <c r="AY91" s="29" t="s">
        <v>274</v>
      </c>
      <c r="AZ91" s="29" t="s">
        <v>275</v>
      </c>
      <c r="BA91" s="10" t="s">
        <v>63</v>
      </c>
      <c r="BC91" s="28">
        <f t="shared" si="87"/>
        <v>0</v>
      </c>
      <c r="BD91" s="28">
        <f t="shared" si="88"/>
        <v>0</v>
      </c>
      <c r="BE91" s="28">
        <v>0</v>
      </c>
      <c r="BF91" s="28">
        <f>91</f>
        <v>91</v>
      </c>
      <c r="BH91" s="28">
        <f t="shared" si="89"/>
        <v>0</v>
      </c>
      <c r="BI91" s="28">
        <f t="shared" si="90"/>
        <v>0</v>
      </c>
      <c r="BJ91" s="28">
        <f t="shared" si="91"/>
        <v>0</v>
      </c>
      <c r="BK91" s="28"/>
      <c r="BL91" s="28">
        <v>91</v>
      </c>
      <c r="BW91" s="28">
        <v>21</v>
      </c>
      <c r="BX91" s="4" t="s">
        <v>289</v>
      </c>
    </row>
    <row r="92" spans="1:76" x14ac:dyDescent="0.25">
      <c r="A92" s="43" t="s">
        <v>290</v>
      </c>
      <c r="B92" s="44" t="s">
        <v>291</v>
      </c>
      <c r="C92" s="243" t="s">
        <v>292</v>
      </c>
      <c r="D92" s="244"/>
      <c r="E92" s="44" t="s">
        <v>67</v>
      </c>
      <c r="F92" s="45">
        <v>100</v>
      </c>
      <c r="G92" s="174">
        <v>0</v>
      </c>
      <c r="H92" s="45">
        <f t="shared" si="70"/>
        <v>0</v>
      </c>
      <c r="I92" s="45">
        <f t="shared" si="71"/>
        <v>0</v>
      </c>
      <c r="J92" s="45">
        <f t="shared" si="72"/>
        <v>0</v>
      </c>
      <c r="K92" s="46" t="s">
        <v>60</v>
      </c>
      <c r="Z92" s="28">
        <f t="shared" si="73"/>
        <v>0</v>
      </c>
      <c r="AB92" s="28">
        <f t="shared" si="74"/>
        <v>0</v>
      </c>
      <c r="AC92" s="28">
        <f t="shared" si="75"/>
        <v>0</v>
      </c>
      <c r="AD92" s="28">
        <f t="shared" si="76"/>
        <v>0</v>
      </c>
      <c r="AE92" s="28">
        <f t="shared" si="77"/>
        <v>0</v>
      </c>
      <c r="AF92" s="28">
        <f t="shared" si="78"/>
        <v>0</v>
      </c>
      <c r="AG92" s="28">
        <f t="shared" si="79"/>
        <v>0</v>
      </c>
      <c r="AH92" s="28">
        <f t="shared" si="80"/>
        <v>0</v>
      </c>
      <c r="AI92" s="10" t="s">
        <v>53</v>
      </c>
      <c r="AJ92" s="28">
        <f t="shared" si="81"/>
        <v>0</v>
      </c>
      <c r="AK92" s="28">
        <f t="shared" si="82"/>
        <v>0</v>
      </c>
      <c r="AL92" s="28">
        <f t="shared" si="83"/>
        <v>0</v>
      </c>
      <c r="AN92" s="28">
        <v>21</v>
      </c>
      <c r="AO92" s="28">
        <f>G92*0.623611111</f>
        <v>0</v>
      </c>
      <c r="AP92" s="28">
        <f>G92*(1-0.623611111)</f>
        <v>0</v>
      </c>
      <c r="AQ92" s="29" t="s">
        <v>56</v>
      </c>
      <c r="AV92" s="28">
        <f t="shared" si="84"/>
        <v>0</v>
      </c>
      <c r="AW92" s="28">
        <f t="shared" si="85"/>
        <v>0</v>
      </c>
      <c r="AX92" s="28">
        <f t="shared" si="86"/>
        <v>0</v>
      </c>
      <c r="AY92" s="29" t="s">
        <v>274</v>
      </c>
      <c r="AZ92" s="29" t="s">
        <v>275</v>
      </c>
      <c r="BA92" s="10" t="s">
        <v>63</v>
      </c>
      <c r="BC92" s="28">
        <f t="shared" si="87"/>
        <v>0</v>
      </c>
      <c r="BD92" s="28">
        <f t="shared" si="88"/>
        <v>0</v>
      </c>
      <c r="BE92" s="28">
        <v>0</v>
      </c>
      <c r="BF92" s="28">
        <f>92</f>
        <v>92</v>
      </c>
      <c r="BH92" s="28">
        <f t="shared" si="89"/>
        <v>0</v>
      </c>
      <c r="BI92" s="28">
        <f t="shared" si="90"/>
        <v>0</v>
      </c>
      <c r="BJ92" s="28">
        <f t="shared" si="91"/>
        <v>0</v>
      </c>
      <c r="BK92" s="28"/>
      <c r="BL92" s="28">
        <v>91</v>
      </c>
      <c r="BW92" s="28">
        <v>21</v>
      </c>
      <c r="BX92" s="4" t="s">
        <v>292</v>
      </c>
    </row>
    <row r="93" spans="1:76" x14ac:dyDescent="0.25">
      <c r="A93" s="2" t="s">
        <v>293</v>
      </c>
      <c r="B93" s="3" t="s">
        <v>294</v>
      </c>
      <c r="C93" s="181" t="s">
        <v>295</v>
      </c>
      <c r="D93" s="182"/>
      <c r="E93" s="3" t="s">
        <v>67</v>
      </c>
      <c r="F93" s="28">
        <v>85</v>
      </c>
      <c r="G93" s="175">
        <v>0</v>
      </c>
      <c r="H93" s="28">
        <f t="shared" si="70"/>
        <v>0</v>
      </c>
      <c r="I93" s="28">
        <f t="shared" si="71"/>
        <v>0</v>
      </c>
      <c r="J93" s="28">
        <f t="shared" si="72"/>
        <v>0</v>
      </c>
      <c r="K93" s="47" t="s">
        <v>60</v>
      </c>
      <c r="Z93" s="28">
        <f t="shared" si="73"/>
        <v>0</v>
      </c>
      <c r="AB93" s="28">
        <f t="shared" si="74"/>
        <v>0</v>
      </c>
      <c r="AC93" s="28">
        <f t="shared" si="75"/>
        <v>0</v>
      </c>
      <c r="AD93" s="28">
        <f t="shared" si="76"/>
        <v>0</v>
      </c>
      <c r="AE93" s="28">
        <f t="shared" si="77"/>
        <v>0</v>
      </c>
      <c r="AF93" s="28">
        <f t="shared" si="78"/>
        <v>0</v>
      </c>
      <c r="AG93" s="28">
        <f t="shared" si="79"/>
        <v>0</v>
      </c>
      <c r="AH93" s="28">
        <f t="shared" si="80"/>
        <v>0</v>
      </c>
      <c r="AI93" s="10" t="s">
        <v>53</v>
      </c>
      <c r="AJ93" s="28">
        <f t="shared" si="81"/>
        <v>0</v>
      </c>
      <c r="AK93" s="28">
        <f t="shared" si="82"/>
        <v>0</v>
      </c>
      <c r="AL93" s="28">
        <f t="shared" si="83"/>
        <v>0</v>
      </c>
      <c r="AN93" s="28">
        <v>21</v>
      </c>
      <c r="AO93" s="28">
        <f>G93*0.711181703</f>
        <v>0</v>
      </c>
      <c r="AP93" s="28">
        <f>G93*(1-0.711181703)</f>
        <v>0</v>
      </c>
      <c r="AQ93" s="29" t="s">
        <v>56</v>
      </c>
      <c r="AV93" s="28">
        <f t="shared" si="84"/>
        <v>0</v>
      </c>
      <c r="AW93" s="28">
        <f t="shared" si="85"/>
        <v>0</v>
      </c>
      <c r="AX93" s="28">
        <f t="shared" si="86"/>
        <v>0</v>
      </c>
      <c r="AY93" s="29" t="s">
        <v>274</v>
      </c>
      <c r="AZ93" s="29" t="s">
        <v>275</v>
      </c>
      <c r="BA93" s="10" t="s">
        <v>63</v>
      </c>
      <c r="BC93" s="28">
        <f t="shared" si="87"/>
        <v>0</v>
      </c>
      <c r="BD93" s="28">
        <f t="shared" si="88"/>
        <v>0</v>
      </c>
      <c r="BE93" s="28">
        <v>0</v>
      </c>
      <c r="BF93" s="28">
        <f>93</f>
        <v>93</v>
      </c>
      <c r="BH93" s="28">
        <f t="shared" si="89"/>
        <v>0</v>
      </c>
      <c r="BI93" s="28">
        <f t="shared" si="90"/>
        <v>0</v>
      </c>
      <c r="BJ93" s="28">
        <f t="shared" si="91"/>
        <v>0</v>
      </c>
      <c r="BK93" s="28"/>
      <c r="BL93" s="28">
        <v>91</v>
      </c>
      <c r="BW93" s="28">
        <v>21</v>
      </c>
      <c r="BX93" s="4" t="s">
        <v>295</v>
      </c>
    </row>
    <row r="94" spans="1:76" x14ac:dyDescent="0.25">
      <c r="A94" s="2" t="s">
        <v>296</v>
      </c>
      <c r="B94" s="3" t="s">
        <v>297</v>
      </c>
      <c r="C94" s="181" t="s">
        <v>298</v>
      </c>
      <c r="D94" s="182"/>
      <c r="E94" s="3" t="s">
        <v>59</v>
      </c>
      <c r="F94" s="28">
        <v>10</v>
      </c>
      <c r="G94" s="175">
        <v>0</v>
      </c>
      <c r="H94" s="28">
        <f t="shared" si="70"/>
        <v>0</v>
      </c>
      <c r="I94" s="28">
        <f t="shared" si="71"/>
        <v>0</v>
      </c>
      <c r="J94" s="28">
        <f t="shared" si="72"/>
        <v>0</v>
      </c>
      <c r="K94" s="47" t="s">
        <v>60</v>
      </c>
      <c r="Z94" s="28">
        <f t="shared" si="73"/>
        <v>0</v>
      </c>
      <c r="AB94" s="28">
        <f t="shared" si="74"/>
        <v>0</v>
      </c>
      <c r="AC94" s="28">
        <f t="shared" si="75"/>
        <v>0</v>
      </c>
      <c r="AD94" s="28">
        <f t="shared" si="76"/>
        <v>0</v>
      </c>
      <c r="AE94" s="28">
        <f t="shared" si="77"/>
        <v>0</v>
      </c>
      <c r="AF94" s="28">
        <f t="shared" si="78"/>
        <v>0</v>
      </c>
      <c r="AG94" s="28">
        <f t="shared" si="79"/>
        <v>0</v>
      </c>
      <c r="AH94" s="28">
        <f t="shared" si="80"/>
        <v>0</v>
      </c>
      <c r="AI94" s="10" t="s">
        <v>53</v>
      </c>
      <c r="AJ94" s="28">
        <f t="shared" si="81"/>
        <v>0</v>
      </c>
      <c r="AK94" s="28">
        <f t="shared" si="82"/>
        <v>0</v>
      </c>
      <c r="AL94" s="28">
        <f t="shared" si="83"/>
        <v>0</v>
      </c>
      <c r="AN94" s="28">
        <v>21</v>
      </c>
      <c r="AO94" s="28">
        <f>G94*0.440579596</f>
        <v>0</v>
      </c>
      <c r="AP94" s="28">
        <f>G94*(1-0.440579596)</f>
        <v>0</v>
      </c>
      <c r="AQ94" s="29" t="s">
        <v>56</v>
      </c>
      <c r="AV94" s="28">
        <f t="shared" si="84"/>
        <v>0</v>
      </c>
      <c r="AW94" s="28">
        <f t="shared" si="85"/>
        <v>0</v>
      </c>
      <c r="AX94" s="28">
        <f t="shared" si="86"/>
        <v>0</v>
      </c>
      <c r="AY94" s="29" t="s">
        <v>274</v>
      </c>
      <c r="AZ94" s="29" t="s">
        <v>275</v>
      </c>
      <c r="BA94" s="10" t="s">
        <v>63</v>
      </c>
      <c r="BC94" s="28">
        <f t="shared" si="87"/>
        <v>0</v>
      </c>
      <c r="BD94" s="28">
        <f t="shared" si="88"/>
        <v>0</v>
      </c>
      <c r="BE94" s="28">
        <v>0</v>
      </c>
      <c r="BF94" s="28">
        <f>94</f>
        <v>94</v>
      </c>
      <c r="BH94" s="28">
        <f t="shared" si="89"/>
        <v>0</v>
      </c>
      <c r="BI94" s="28">
        <f t="shared" si="90"/>
        <v>0</v>
      </c>
      <c r="BJ94" s="28">
        <f t="shared" si="91"/>
        <v>0</v>
      </c>
      <c r="BK94" s="28"/>
      <c r="BL94" s="28">
        <v>91</v>
      </c>
      <c r="BW94" s="28">
        <v>21</v>
      </c>
      <c r="BX94" s="4" t="s">
        <v>298</v>
      </c>
    </row>
    <row r="95" spans="1:76" x14ac:dyDescent="0.25">
      <c r="A95" s="52" t="s">
        <v>53</v>
      </c>
      <c r="B95" s="53" t="s">
        <v>299</v>
      </c>
      <c r="C95" s="247" t="s">
        <v>300</v>
      </c>
      <c r="D95" s="248"/>
      <c r="E95" s="54" t="s">
        <v>9</v>
      </c>
      <c r="F95" s="54" t="s">
        <v>9</v>
      </c>
      <c r="G95" s="54" t="s">
        <v>9</v>
      </c>
      <c r="H95" s="55">
        <f>SUM(H96:H96)</f>
        <v>0</v>
      </c>
      <c r="I95" s="55">
        <f>SUM(I96:I96)</f>
        <v>0</v>
      </c>
      <c r="J95" s="55">
        <f>SUM(J96:J96)</f>
        <v>0</v>
      </c>
      <c r="K95" s="56" t="s">
        <v>53</v>
      </c>
      <c r="AI95" s="10" t="s">
        <v>53</v>
      </c>
      <c r="AS95" s="1">
        <f>SUM(AJ96:AJ96)</f>
        <v>0</v>
      </c>
      <c r="AT95" s="1">
        <f>SUM(AK96:AK96)</f>
        <v>0</v>
      </c>
      <c r="AU95" s="1">
        <f>SUM(AL96:AL96)</f>
        <v>0</v>
      </c>
    </row>
    <row r="96" spans="1:76" x14ac:dyDescent="0.25">
      <c r="A96" s="30" t="s">
        <v>301</v>
      </c>
      <c r="B96" s="31" t="s">
        <v>302</v>
      </c>
      <c r="C96" s="239" t="s">
        <v>303</v>
      </c>
      <c r="D96" s="240"/>
      <c r="E96" s="31" t="s">
        <v>164</v>
      </c>
      <c r="F96" s="32">
        <v>7</v>
      </c>
      <c r="G96" s="172">
        <v>0</v>
      </c>
      <c r="H96" s="32">
        <f>F96*AO96</f>
        <v>0</v>
      </c>
      <c r="I96" s="32">
        <f>F96*AP96</f>
        <v>0</v>
      </c>
      <c r="J96" s="32">
        <f>F96*G96</f>
        <v>0</v>
      </c>
      <c r="K96" s="33" t="s">
        <v>60</v>
      </c>
      <c r="Z96" s="28">
        <f>IF(AQ96="5",BJ96,0)</f>
        <v>0</v>
      </c>
      <c r="AB96" s="28">
        <f>IF(AQ96="1",BH96,0)</f>
        <v>0</v>
      </c>
      <c r="AC96" s="28">
        <f>IF(AQ96="1",BI96,0)</f>
        <v>0</v>
      </c>
      <c r="AD96" s="28">
        <f>IF(AQ96="7",BH96,0)</f>
        <v>0</v>
      </c>
      <c r="AE96" s="28">
        <f>IF(AQ96="7",BI96,0)</f>
        <v>0</v>
      </c>
      <c r="AF96" s="28">
        <f>IF(AQ96="2",BH96,0)</f>
        <v>0</v>
      </c>
      <c r="AG96" s="28">
        <f>IF(AQ96="2",BI96,0)</f>
        <v>0</v>
      </c>
      <c r="AH96" s="28">
        <f>IF(AQ96="0",BJ96,0)</f>
        <v>0</v>
      </c>
      <c r="AI96" s="10" t="s">
        <v>53</v>
      </c>
      <c r="AJ96" s="28">
        <f>IF(AN96=0,J96,0)</f>
        <v>0</v>
      </c>
      <c r="AK96" s="28">
        <f>IF(AN96=12,J96,0)</f>
        <v>0</v>
      </c>
      <c r="AL96" s="28">
        <f>IF(AN96=21,J96,0)</f>
        <v>0</v>
      </c>
      <c r="AN96" s="28">
        <v>21</v>
      </c>
      <c r="AO96" s="28">
        <f>G96*0.025273982</f>
        <v>0</v>
      </c>
      <c r="AP96" s="28">
        <f>G96*(1-0.025273982)</f>
        <v>0</v>
      </c>
      <c r="AQ96" s="29" t="s">
        <v>56</v>
      </c>
      <c r="AV96" s="28">
        <f>AW96+AX96</f>
        <v>0</v>
      </c>
      <c r="AW96" s="28">
        <f>F96*AO96</f>
        <v>0</v>
      </c>
      <c r="AX96" s="28">
        <f>F96*AP96</f>
        <v>0</v>
      </c>
      <c r="AY96" s="29" t="s">
        <v>304</v>
      </c>
      <c r="AZ96" s="29" t="s">
        <v>275</v>
      </c>
      <c r="BA96" s="10" t="s">
        <v>63</v>
      </c>
      <c r="BC96" s="28">
        <f>AW96+AX96</f>
        <v>0</v>
      </c>
      <c r="BD96" s="28">
        <f>G96/(100-BE96)*100</f>
        <v>0</v>
      </c>
      <c r="BE96" s="28">
        <v>0</v>
      </c>
      <c r="BF96" s="28">
        <f>96</f>
        <v>96</v>
      </c>
      <c r="BH96" s="28">
        <f>F96*AO96</f>
        <v>0</v>
      </c>
      <c r="BI96" s="28">
        <f>F96*AP96</f>
        <v>0</v>
      </c>
      <c r="BJ96" s="28">
        <f>F96*G96</f>
        <v>0</v>
      </c>
      <c r="BK96" s="28"/>
      <c r="BL96" s="28">
        <v>93</v>
      </c>
      <c r="BW96" s="28">
        <v>21</v>
      </c>
      <c r="BX96" s="4" t="s">
        <v>303</v>
      </c>
    </row>
    <row r="97" spans="1:76" x14ac:dyDescent="0.25">
      <c r="A97" s="38" t="s">
        <v>53</v>
      </c>
      <c r="B97" s="39" t="s">
        <v>305</v>
      </c>
      <c r="C97" s="249" t="s">
        <v>306</v>
      </c>
      <c r="D97" s="250"/>
      <c r="E97" s="40" t="s">
        <v>9</v>
      </c>
      <c r="F97" s="40" t="s">
        <v>9</v>
      </c>
      <c r="G97" s="40" t="s">
        <v>9</v>
      </c>
      <c r="H97" s="41">
        <f>SUM(H98:H101)</f>
        <v>0</v>
      </c>
      <c r="I97" s="41">
        <f>SUM(I98:I101)</f>
        <v>0</v>
      </c>
      <c r="J97" s="41">
        <f>SUM(J98:J101)</f>
        <v>0</v>
      </c>
      <c r="K97" s="42" t="s">
        <v>53</v>
      </c>
      <c r="AI97" s="10" t="s">
        <v>53</v>
      </c>
      <c r="AS97" s="1">
        <f>SUM(AJ98:AJ101)</f>
        <v>0</v>
      </c>
      <c r="AT97" s="1">
        <f>SUM(AK98:AK101)</f>
        <v>0</v>
      </c>
      <c r="AU97" s="1">
        <f>SUM(AL98:AL101)</f>
        <v>0</v>
      </c>
    </row>
    <row r="98" spans="1:76" x14ac:dyDescent="0.25">
      <c r="A98" s="30" t="s">
        <v>307</v>
      </c>
      <c r="B98" s="31" t="s">
        <v>308</v>
      </c>
      <c r="C98" s="239" t="s">
        <v>309</v>
      </c>
      <c r="D98" s="240"/>
      <c r="E98" s="31" t="s">
        <v>67</v>
      </c>
      <c r="F98" s="32">
        <v>10</v>
      </c>
      <c r="G98" s="172">
        <v>0</v>
      </c>
      <c r="H98" s="32">
        <f>F98*AO98</f>
        <v>0</v>
      </c>
      <c r="I98" s="32">
        <f>F98*AP98</f>
        <v>0</v>
      </c>
      <c r="J98" s="32">
        <f>F98*G98</f>
        <v>0</v>
      </c>
      <c r="K98" s="33" t="s">
        <v>60</v>
      </c>
      <c r="Z98" s="28">
        <f>IF(AQ98="5",BJ98,0)</f>
        <v>0</v>
      </c>
      <c r="AB98" s="28">
        <f>IF(AQ98="1",BH98,0)</f>
        <v>0</v>
      </c>
      <c r="AC98" s="28">
        <f>IF(AQ98="1",BI98,0)</f>
        <v>0</v>
      </c>
      <c r="AD98" s="28">
        <f>IF(AQ98="7",BH98,0)</f>
        <v>0</v>
      </c>
      <c r="AE98" s="28">
        <f>IF(AQ98="7",BI98,0)</f>
        <v>0</v>
      </c>
      <c r="AF98" s="28">
        <f>IF(AQ98="2",BH98,0)</f>
        <v>0</v>
      </c>
      <c r="AG98" s="28">
        <f>IF(AQ98="2",BI98,0)</f>
        <v>0</v>
      </c>
      <c r="AH98" s="28">
        <f>IF(AQ98="0",BJ98,0)</f>
        <v>0</v>
      </c>
      <c r="AI98" s="10" t="s">
        <v>53</v>
      </c>
      <c r="AJ98" s="28">
        <f>IF(AN98=0,J98,0)</f>
        <v>0</v>
      </c>
      <c r="AK98" s="28">
        <f>IF(AN98=12,J98,0)</f>
        <v>0</v>
      </c>
      <c r="AL98" s="28">
        <f>IF(AN98=21,J98,0)</f>
        <v>0</v>
      </c>
      <c r="AN98" s="28">
        <v>21</v>
      </c>
      <c r="AO98" s="28">
        <f>G98*0</f>
        <v>0</v>
      </c>
      <c r="AP98" s="28">
        <f>G98*(1-0)</f>
        <v>0</v>
      </c>
      <c r="AQ98" s="29" t="s">
        <v>56</v>
      </c>
      <c r="AV98" s="28">
        <f>AW98+AX98</f>
        <v>0</v>
      </c>
      <c r="AW98" s="28">
        <f>F98*AO98</f>
        <v>0</v>
      </c>
      <c r="AX98" s="28">
        <f>F98*AP98</f>
        <v>0</v>
      </c>
      <c r="AY98" s="29" t="s">
        <v>310</v>
      </c>
      <c r="AZ98" s="29" t="s">
        <v>275</v>
      </c>
      <c r="BA98" s="10" t="s">
        <v>63</v>
      </c>
      <c r="BC98" s="28">
        <f>AW98+AX98</f>
        <v>0</v>
      </c>
      <c r="BD98" s="28">
        <f>G98/(100-BE98)*100</f>
        <v>0</v>
      </c>
      <c r="BE98" s="28">
        <v>0</v>
      </c>
      <c r="BF98" s="28">
        <f>98</f>
        <v>98</v>
      </c>
      <c r="BH98" s="28">
        <f>F98*AO98</f>
        <v>0</v>
      </c>
      <c r="BI98" s="28">
        <f>F98*AP98</f>
        <v>0</v>
      </c>
      <c r="BJ98" s="28">
        <f>F98*G98</f>
        <v>0</v>
      </c>
      <c r="BK98" s="28"/>
      <c r="BL98" s="28">
        <v>96</v>
      </c>
      <c r="BW98" s="28">
        <v>21</v>
      </c>
      <c r="BX98" s="4" t="s">
        <v>309</v>
      </c>
    </row>
    <row r="99" spans="1:76" x14ac:dyDescent="0.25">
      <c r="A99" s="34" t="s">
        <v>311</v>
      </c>
      <c r="B99" s="35" t="s">
        <v>312</v>
      </c>
      <c r="C99" s="245" t="s">
        <v>313</v>
      </c>
      <c r="D99" s="246"/>
      <c r="E99" s="35" t="s">
        <v>67</v>
      </c>
      <c r="F99" s="36">
        <v>25.9</v>
      </c>
      <c r="G99" s="173">
        <v>0</v>
      </c>
      <c r="H99" s="36">
        <f>F99*AO99</f>
        <v>0</v>
      </c>
      <c r="I99" s="36">
        <f>F99*AP99</f>
        <v>0</v>
      </c>
      <c r="J99" s="36">
        <f>F99*G99</f>
        <v>0</v>
      </c>
      <c r="K99" s="37" t="s">
        <v>60</v>
      </c>
      <c r="Z99" s="28">
        <f>IF(AQ99="5",BJ99,0)</f>
        <v>0</v>
      </c>
      <c r="AB99" s="28">
        <f>IF(AQ99="1",BH99,0)</f>
        <v>0</v>
      </c>
      <c r="AC99" s="28">
        <f>IF(AQ99="1",BI99,0)</f>
        <v>0</v>
      </c>
      <c r="AD99" s="28">
        <f>IF(AQ99="7",BH99,0)</f>
        <v>0</v>
      </c>
      <c r="AE99" s="28">
        <f>IF(AQ99="7",BI99,0)</f>
        <v>0</v>
      </c>
      <c r="AF99" s="28">
        <f>IF(AQ99="2",BH99,0)</f>
        <v>0</v>
      </c>
      <c r="AG99" s="28">
        <f>IF(AQ99="2",BI99,0)</f>
        <v>0</v>
      </c>
      <c r="AH99" s="28">
        <f>IF(AQ99="0",BJ99,0)</f>
        <v>0</v>
      </c>
      <c r="AI99" s="10" t="s">
        <v>53</v>
      </c>
      <c r="AJ99" s="28">
        <f>IF(AN99=0,J99,0)</f>
        <v>0</v>
      </c>
      <c r="AK99" s="28">
        <f>IF(AN99=12,J99,0)</f>
        <v>0</v>
      </c>
      <c r="AL99" s="28">
        <f>IF(AN99=21,J99,0)</f>
        <v>0</v>
      </c>
      <c r="AN99" s="28">
        <v>21</v>
      </c>
      <c r="AO99" s="28">
        <f>G99*0</f>
        <v>0</v>
      </c>
      <c r="AP99" s="28">
        <f>G99*(1-0)</f>
        <v>0</v>
      </c>
      <c r="AQ99" s="29" t="s">
        <v>56</v>
      </c>
      <c r="AV99" s="28">
        <f>AW99+AX99</f>
        <v>0</v>
      </c>
      <c r="AW99" s="28">
        <f>F99*AO99</f>
        <v>0</v>
      </c>
      <c r="AX99" s="28">
        <f>F99*AP99</f>
        <v>0</v>
      </c>
      <c r="AY99" s="29" t="s">
        <v>310</v>
      </c>
      <c r="AZ99" s="29" t="s">
        <v>275</v>
      </c>
      <c r="BA99" s="10" t="s">
        <v>63</v>
      </c>
      <c r="BC99" s="28">
        <f>AW99+AX99</f>
        <v>0</v>
      </c>
      <c r="BD99" s="28">
        <f>G99/(100-BE99)*100</f>
        <v>0</v>
      </c>
      <c r="BE99" s="28">
        <v>0</v>
      </c>
      <c r="BF99" s="28">
        <f>99</f>
        <v>99</v>
      </c>
      <c r="BH99" s="28">
        <f>F99*AO99</f>
        <v>0</v>
      </c>
      <c r="BI99" s="28">
        <f>F99*AP99</f>
        <v>0</v>
      </c>
      <c r="BJ99" s="28">
        <f>F99*G99</f>
        <v>0</v>
      </c>
      <c r="BK99" s="28"/>
      <c r="BL99" s="28">
        <v>96</v>
      </c>
      <c r="BW99" s="28">
        <v>21</v>
      </c>
      <c r="BX99" s="4" t="s">
        <v>313</v>
      </c>
    </row>
    <row r="100" spans="1:76" x14ac:dyDescent="0.25">
      <c r="A100" s="34" t="s">
        <v>314</v>
      </c>
      <c r="B100" s="35" t="s">
        <v>315</v>
      </c>
      <c r="C100" s="245" t="s">
        <v>316</v>
      </c>
      <c r="D100" s="246"/>
      <c r="E100" s="35" t="s">
        <v>164</v>
      </c>
      <c r="F100" s="36">
        <v>1</v>
      </c>
      <c r="G100" s="173">
        <v>0</v>
      </c>
      <c r="H100" s="36">
        <f>F100*AO100</f>
        <v>0</v>
      </c>
      <c r="I100" s="36">
        <f>F100*AP100</f>
        <v>0</v>
      </c>
      <c r="J100" s="36">
        <f>F100*G100</f>
        <v>0</v>
      </c>
      <c r="K100" s="37" t="s">
        <v>60</v>
      </c>
      <c r="Z100" s="28">
        <f>IF(AQ100="5",BJ100,0)</f>
        <v>0</v>
      </c>
      <c r="AB100" s="28">
        <f>IF(AQ100="1",BH100,0)</f>
        <v>0</v>
      </c>
      <c r="AC100" s="28">
        <f>IF(AQ100="1",BI100,0)</f>
        <v>0</v>
      </c>
      <c r="AD100" s="28">
        <f>IF(AQ100="7",BH100,0)</f>
        <v>0</v>
      </c>
      <c r="AE100" s="28">
        <f>IF(AQ100="7",BI100,0)</f>
        <v>0</v>
      </c>
      <c r="AF100" s="28">
        <f>IF(AQ100="2",BH100,0)</f>
        <v>0</v>
      </c>
      <c r="AG100" s="28">
        <f>IF(AQ100="2",BI100,0)</f>
        <v>0</v>
      </c>
      <c r="AH100" s="28">
        <f>IF(AQ100="0",BJ100,0)</f>
        <v>0</v>
      </c>
      <c r="AI100" s="10" t="s">
        <v>53</v>
      </c>
      <c r="AJ100" s="28">
        <f>IF(AN100=0,J100,0)</f>
        <v>0</v>
      </c>
      <c r="AK100" s="28">
        <f>IF(AN100=12,J100,0)</f>
        <v>0</v>
      </c>
      <c r="AL100" s="28">
        <f>IF(AN100=21,J100,0)</f>
        <v>0</v>
      </c>
      <c r="AN100" s="28">
        <v>21</v>
      </c>
      <c r="AO100" s="28">
        <f>G100*0</f>
        <v>0</v>
      </c>
      <c r="AP100" s="28">
        <f>G100*(1-0)</f>
        <v>0</v>
      </c>
      <c r="AQ100" s="29" t="s">
        <v>56</v>
      </c>
      <c r="AV100" s="28">
        <f>AW100+AX100</f>
        <v>0</v>
      </c>
      <c r="AW100" s="28">
        <f>F100*AO100</f>
        <v>0</v>
      </c>
      <c r="AX100" s="28">
        <f>F100*AP100</f>
        <v>0</v>
      </c>
      <c r="AY100" s="29" t="s">
        <v>310</v>
      </c>
      <c r="AZ100" s="29" t="s">
        <v>275</v>
      </c>
      <c r="BA100" s="10" t="s">
        <v>63</v>
      </c>
      <c r="BC100" s="28">
        <f>AW100+AX100</f>
        <v>0</v>
      </c>
      <c r="BD100" s="28">
        <f>G100/(100-BE100)*100</f>
        <v>0</v>
      </c>
      <c r="BE100" s="28">
        <v>0</v>
      </c>
      <c r="BF100" s="28">
        <f>100</f>
        <v>100</v>
      </c>
      <c r="BH100" s="28">
        <f>F100*AO100</f>
        <v>0</v>
      </c>
      <c r="BI100" s="28">
        <f>F100*AP100</f>
        <v>0</v>
      </c>
      <c r="BJ100" s="28">
        <f>F100*G100</f>
        <v>0</v>
      </c>
      <c r="BK100" s="28"/>
      <c r="BL100" s="28">
        <v>96</v>
      </c>
      <c r="BW100" s="28">
        <v>21</v>
      </c>
      <c r="BX100" s="4" t="s">
        <v>316</v>
      </c>
    </row>
    <row r="101" spans="1:76" x14ac:dyDescent="0.25">
      <c r="A101" s="34" t="s">
        <v>317</v>
      </c>
      <c r="B101" s="35" t="s">
        <v>318</v>
      </c>
      <c r="C101" s="245" t="s">
        <v>319</v>
      </c>
      <c r="D101" s="246"/>
      <c r="E101" s="35" t="s">
        <v>164</v>
      </c>
      <c r="F101" s="36">
        <v>5</v>
      </c>
      <c r="G101" s="173">
        <v>0</v>
      </c>
      <c r="H101" s="36">
        <f>F101*AO101</f>
        <v>0</v>
      </c>
      <c r="I101" s="36">
        <f>F101*AP101</f>
        <v>0</v>
      </c>
      <c r="J101" s="36">
        <f>F101*G101</f>
        <v>0</v>
      </c>
      <c r="K101" s="37" t="s">
        <v>60</v>
      </c>
      <c r="Z101" s="28">
        <f>IF(AQ101="5",BJ101,0)</f>
        <v>0</v>
      </c>
      <c r="AB101" s="28">
        <f>IF(AQ101="1",BH101,0)</f>
        <v>0</v>
      </c>
      <c r="AC101" s="28">
        <f>IF(AQ101="1",BI101,0)</f>
        <v>0</v>
      </c>
      <c r="AD101" s="28">
        <f>IF(AQ101="7",BH101,0)</f>
        <v>0</v>
      </c>
      <c r="AE101" s="28">
        <f>IF(AQ101="7",BI101,0)</f>
        <v>0</v>
      </c>
      <c r="AF101" s="28">
        <f>IF(AQ101="2",BH101,0)</f>
        <v>0</v>
      </c>
      <c r="AG101" s="28">
        <f>IF(AQ101="2",BI101,0)</f>
        <v>0</v>
      </c>
      <c r="AH101" s="28">
        <f>IF(AQ101="0",BJ101,0)</f>
        <v>0</v>
      </c>
      <c r="AI101" s="10" t="s">
        <v>53</v>
      </c>
      <c r="AJ101" s="28">
        <f>IF(AN101=0,J101,0)</f>
        <v>0</v>
      </c>
      <c r="AK101" s="28">
        <f>IF(AN101=12,J101,0)</f>
        <v>0</v>
      </c>
      <c r="AL101" s="28">
        <f>IF(AN101=21,J101,0)</f>
        <v>0</v>
      </c>
      <c r="AN101" s="28">
        <v>21</v>
      </c>
      <c r="AO101" s="28">
        <f>G101*0</f>
        <v>0</v>
      </c>
      <c r="AP101" s="28">
        <f>G101*(1-0)</f>
        <v>0</v>
      </c>
      <c r="AQ101" s="29" t="s">
        <v>56</v>
      </c>
      <c r="AV101" s="28">
        <f>AW101+AX101</f>
        <v>0</v>
      </c>
      <c r="AW101" s="28">
        <f>F101*AO101</f>
        <v>0</v>
      </c>
      <c r="AX101" s="28">
        <f>F101*AP101</f>
        <v>0</v>
      </c>
      <c r="AY101" s="29" t="s">
        <v>310</v>
      </c>
      <c r="AZ101" s="29" t="s">
        <v>275</v>
      </c>
      <c r="BA101" s="10" t="s">
        <v>63</v>
      </c>
      <c r="BC101" s="28">
        <f>AW101+AX101</f>
        <v>0</v>
      </c>
      <c r="BD101" s="28">
        <f>G101/(100-BE101)*100</f>
        <v>0</v>
      </c>
      <c r="BE101" s="28">
        <v>0</v>
      </c>
      <c r="BF101" s="28">
        <f>101</f>
        <v>101</v>
      </c>
      <c r="BH101" s="28">
        <f>F101*AO101</f>
        <v>0</v>
      </c>
      <c r="BI101" s="28">
        <f>F101*AP101</f>
        <v>0</v>
      </c>
      <c r="BJ101" s="28">
        <f>F101*G101</f>
        <v>0</v>
      </c>
      <c r="BK101" s="28"/>
      <c r="BL101" s="28">
        <v>96</v>
      </c>
      <c r="BW101" s="28">
        <v>21</v>
      </c>
      <c r="BX101" s="4" t="s">
        <v>319</v>
      </c>
    </row>
    <row r="102" spans="1:76" x14ac:dyDescent="0.25">
      <c r="A102" s="38" t="s">
        <v>53</v>
      </c>
      <c r="B102" s="39" t="s">
        <v>320</v>
      </c>
      <c r="C102" s="249" t="s">
        <v>321</v>
      </c>
      <c r="D102" s="250"/>
      <c r="E102" s="40" t="s">
        <v>9</v>
      </c>
      <c r="F102" s="40" t="s">
        <v>9</v>
      </c>
      <c r="G102" s="40" t="s">
        <v>9</v>
      </c>
      <c r="H102" s="41">
        <f>SUM(H103:H103)</f>
        <v>0</v>
      </c>
      <c r="I102" s="41">
        <f>SUM(I103:I103)</f>
        <v>0</v>
      </c>
      <c r="J102" s="41">
        <f>SUM(J103:J103)</f>
        <v>0</v>
      </c>
      <c r="K102" s="42" t="s">
        <v>53</v>
      </c>
      <c r="AI102" s="10" t="s">
        <v>53</v>
      </c>
      <c r="AS102" s="1">
        <f>SUM(AJ103:AJ103)</f>
        <v>0</v>
      </c>
      <c r="AT102" s="1">
        <f>SUM(AK103:AK103)</f>
        <v>0</v>
      </c>
      <c r="AU102" s="1">
        <f>SUM(AL103:AL103)</f>
        <v>0</v>
      </c>
    </row>
    <row r="103" spans="1:76" x14ac:dyDescent="0.25">
      <c r="A103" s="30" t="s">
        <v>322</v>
      </c>
      <c r="B103" s="31" t="s">
        <v>323</v>
      </c>
      <c r="C103" s="239" t="s">
        <v>324</v>
      </c>
      <c r="D103" s="240"/>
      <c r="E103" s="31" t="s">
        <v>122</v>
      </c>
      <c r="F103" s="32">
        <v>2822.16</v>
      </c>
      <c r="G103" s="172">
        <v>0</v>
      </c>
      <c r="H103" s="32">
        <f>F103*AO103</f>
        <v>0</v>
      </c>
      <c r="I103" s="32">
        <f>F103*AP103</f>
        <v>0</v>
      </c>
      <c r="J103" s="32">
        <f>F103*G103</f>
        <v>0</v>
      </c>
      <c r="K103" s="33" t="s">
        <v>60</v>
      </c>
      <c r="Z103" s="28">
        <f>IF(AQ103="5",BJ103,0)</f>
        <v>0</v>
      </c>
      <c r="AB103" s="28">
        <f>IF(AQ103="1",BH103,0)</f>
        <v>0</v>
      </c>
      <c r="AC103" s="28">
        <f>IF(AQ103="1",BI103,0)</f>
        <v>0</v>
      </c>
      <c r="AD103" s="28">
        <f>IF(AQ103="7",BH103,0)</f>
        <v>0</v>
      </c>
      <c r="AE103" s="28">
        <f>IF(AQ103="7",BI103,0)</f>
        <v>0</v>
      </c>
      <c r="AF103" s="28">
        <f>IF(AQ103="2",BH103,0)</f>
        <v>0</v>
      </c>
      <c r="AG103" s="28">
        <f>IF(AQ103="2",BI103,0)</f>
        <v>0</v>
      </c>
      <c r="AH103" s="28">
        <f>IF(AQ103="0",BJ103,0)</f>
        <v>0</v>
      </c>
      <c r="AI103" s="10" t="s">
        <v>53</v>
      </c>
      <c r="AJ103" s="28">
        <f>IF(AN103=0,J103,0)</f>
        <v>0</v>
      </c>
      <c r="AK103" s="28">
        <f>IF(AN103=12,J103,0)</f>
        <v>0</v>
      </c>
      <c r="AL103" s="28">
        <f>IF(AN103=21,J103,0)</f>
        <v>0</v>
      </c>
      <c r="AN103" s="28">
        <v>21</v>
      </c>
      <c r="AO103" s="28">
        <f>G103*0</f>
        <v>0</v>
      </c>
      <c r="AP103" s="28">
        <f>G103*(1-0)</f>
        <v>0</v>
      </c>
      <c r="AQ103" s="29" t="s">
        <v>76</v>
      </c>
      <c r="AV103" s="28">
        <f>AW103+AX103</f>
        <v>0</v>
      </c>
      <c r="AW103" s="28">
        <f>F103*AO103</f>
        <v>0</v>
      </c>
      <c r="AX103" s="28">
        <f>F103*AP103</f>
        <v>0</v>
      </c>
      <c r="AY103" s="29" t="s">
        <v>325</v>
      </c>
      <c r="AZ103" s="29" t="s">
        <v>275</v>
      </c>
      <c r="BA103" s="10" t="s">
        <v>63</v>
      </c>
      <c r="BC103" s="28">
        <f>AW103+AX103</f>
        <v>0</v>
      </c>
      <c r="BD103" s="28">
        <f>G103/(100-BE103)*100</f>
        <v>0</v>
      </c>
      <c r="BE103" s="28">
        <v>0</v>
      </c>
      <c r="BF103" s="28">
        <f>103</f>
        <v>103</v>
      </c>
      <c r="BH103" s="28">
        <f>F103*AO103</f>
        <v>0</v>
      </c>
      <c r="BI103" s="28">
        <f>F103*AP103</f>
        <v>0</v>
      </c>
      <c r="BJ103" s="28">
        <f>F103*G103</f>
        <v>0</v>
      </c>
      <c r="BK103" s="28"/>
      <c r="BL103" s="28"/>
      <c r="BW103" s="28">
        <v>21</v>
      </c>
      <c r="BX103" s="4" t="s">
        <v>324</v>
      </c>
    </row>
    <row r="104" spans="1:76" x14ac:dyDescent="0.25">
      <c r="A104" s="38" t="s">
        <v>53</v>
      </c>
      <c r="B104" s="39" t="s">
        <v>326</v>
      </c>
      <c r="C104" s="249" t="s">
        <v>327</v>
      </c>
      <c r="D104" s="250"/>
      <c r="E104" s="40" t="s">
        <v>9</v>
      </c>
      <c r="F104" s="40" t="s">
        <v>9</v>
      </c>
      <c r="G104" s="40" t="s">
        <v>9</v>
      </c>
      <c r="H104" s="41">
        <f>SUM(H105:H107)</f>
        <v>0</v>
      </c>
      <c r="I104" s="41">
        <f>SUM(I105:I107)</f>
        <v>0</v>
      </c>
      <c r="J104" s="41">
        <f>SUM(J105:J107)</f>
        <v>0</v>
      </c>
      <c r="K104" s="42" t="s">
        <v>53</v>
      </c>
      <c r="AI104" s="10" t="s">
        <v>53</v>
      </c>
      <c r="AS104" s="1">
        <f>SUM(AJ105:AJ107)</f>
        <v>0</v>
      </c>
      <c r="AT104" s="1">
        <f>SUM(AK105:AK107)</f>
        <v>0</v>
      </c>
      <c r="AU104" s="1">
        <f>SUM(AL105:AL107)</f>
        <v>0</v>
      </c>
    </row>
    <row r="105" spans="1:76" x14ac:dyDescent="0.25">
      <c r="A105" s="30" t="s">
        <v>328</v>
      </c>
      <c r="B105" s="31" t="s">
        <v>329</v>
      </c>
      <c r="C105" s="239" t="s">
        <v>330</v>
      </c>
      <c r="D105" s="240"/>
      <c r="E105" s="31" t="s">
        <v>122</v>
      </c>
      <c r="F105" s="32">
        <v>192.6</v>
      </c>
      <c r="G105" s="172">
        <v>0</v>
      </c>
      <c r="H105" s="32">
        <f>F105*AO105</f>
        <v>0</v>
      </c>
      <c r="I105" s="32">
        <f>F105*AP105</f>
        <v>0</v>
      </c>
      <c r="J105" s="32">
        <f>F105*G105</f>
        <v>0</v>
      </c>
      <c r="K105" s="33" t="s">
        <v>60</v>
      </c>
      <c r="Z105" s="28">
        <f>IF(AQ105="5",BJ105,0)</f>
        <v>0</v>
      </c>
      <c r="AB105" s="28">
        <f>IF(AQ105="1",BH105,0)</f>
        <v>0</v>
      </c>
      <c r="AC105" s="28">
        <f>IF(AQ105="1",BI105,0)</f>
        <v>0</v>
      </c>
      <c r="AD105" s="28">
        <f>IF(AQ105="7",BH105,0)</f>
        <v>0</v>
      </c>
      <c r="AE105" s="28">
        <f>IF(AQ105="7",BI105,0)</f>
        <v>0</v>
      </c>
      <c r="AF105" s="28">
        <f>IF(AQ105="2",BH105,0)</f>
        <v>0</v>
      </c>
      <c r="AG105" s="28">
        <f>IF(AQ105="2",BI105,0)</f>
        <v>0</v>
      </c>
      <c r="AH105" s="28">
        <f>IF(AQ105="0",BJ105,0)</f>
        <v>0</v>
      </c>
      <c r="AI105" s="10" t="s">
        <v>53</v>
      </c>
      <c r="AJ105" s="28">
        <f>IF(AN105=0,J105,0)</f>
        <v>0</v>
      </c>
      <c r="AK105" s="28">
        <f>IF(AN105=12,J105,0)</f>
        <v>0</v>
      </c>
      <c r="AL105" s="28">
        <f>IF(AN105=21,J105,0)</f>
        <v>0</v>
      </c>
      <c r="AN105" s="28">
        <v>21</v>
      </c>
      <c r="AO105" s="28">
        <f>G105*0.010795588</f>
        <v>0</v>
      </c>
      <c r="AP105" s="28">
        <f>G105*(1-0.010795588)</f>
        <v>0</v>
      </c>
      <c r="AQ105" s="29" t="s">
        <v>76</v>
      </c>
      <c r="AV105" s="28">
        <f>AW105+AX105</f>
        <v>0</v>
      </c>
      <c r="AW105" s="28">
        <f>F105*AO105</f>
        <v>0</v>
      </c>
      <c r="AX105" s="28">
        <f>F105*AP105</f>
        <v>0</v>
      </c>
      <c r="AY105" s="29" t="s">
        <v>331</v>
      </c>
      <c r="AZ105" s="29" t="s">
        <v>275</v>
      </c>
      <c r="BA105" s="10" t="s">
        <v>63</v>
      </c>
      <c r="BC105" s="28">
        <f>AW105+AX105</f>
        <v>0</v>
      </c>
      <c r="BD105" s="28">
        <f>G105/(100-BE105)*100</f>
        <v>0</v>
      </c>
      <c r="BE105" s="28">
        <v>0</v>
      </c>
      <c r="BF105" s="28">
        <f>105</f>
        <v>105</v>
      </c>
      <c r="BH105" s="28">
        <f>F105*AO105</f>
        <v>0</v>
      </c>
      <c r="BI105" s="28">
        <f>F105*AP105</f>
        <v>0</v>
      </c>
      <c r="BJ105" s="28">
        <f>F105*G105</f>
        <v>0</v>
      </c>
      <c r="BK105" s="28"/>
      <c r="BL105" s="28"/>
      <c r="BW105" s="28">
        <v>21</v>
      </c>
      <c r="BX105" s="4" t="s">
        <v>330</v>
      </c>
    </row>
    <row r="106" spans="1:76" x14ac:dyDescent="0.25">
      <c r="A106" s="34" t="s">
        <v>332</v>
      </c>
      <c r="B106" s="35" t="s">
        <v>333</v>
      </c>
      <c r="C106" s="245" t="s">
        <v>334</v>
      </c>
      <c r="D106" s="246"/>
      <c r="E106" s="35" t="s">
        <v>122</v>
      </c>
      <c r="F106" s="36">
        <v>1155.5999999999999</v>
      </c>
      <c r="G106" s="173">
        <v>0</v>
      </c>
      <c r="H106" s="36">
        <f>F106*AO106</f>
        <v>0</v>
      </c>
      <c r="I106" s="36">
        <f>F106*AP106</f>
        <v>0</v>
      </c>
      <c r="J106" s="36">
        <f>F106*G106</f>
        <v>0</v>
      </c>
      <c r="K106" s="37" t="s">
        <v>60</v>
      </c>
      <c r="Z106" s="28">
        <f>IF(AQ106="5",BJ106,0)</f>
        <v>0</v>
      </c>
      <c r="AB106" s="28">
        <f>IF(AQ106="1",BH106,0)</f>
        <v>0</v>
      </c>
      <c r="AC106" s="28">
        <f>IF(AQ106="1",BI106,0)</f>
        <v>0</v>
      </c>
      <c r="AD106" s="28">
        <f>IF(AQ106="7",BH106,0)</f>
        <v>0</v>
      </c>
      <c r="AE106" s="28">
        <f>IF(AQ106="7",BI106,0)</f>
        <v>0</v>
      </c>
      <c r="AF106" s="28">
        <f>IF(AQ106="2",BH106,0)</f>
        <v>0</v>
      </c>
      <c r="AG106" s="28">
        <f>IF(AQ106="2",BI106,0)</f>
        <v>0</v>
      </c>
      <c r="AH106" s="28">
        <f>IF(AQ106="0",BJ106,0)</f>
        <v>0</v>
      </c>
      <c r="AI106" s="10" t="s">
        <v>53</v>
      </c>
      <c r="AJ106" s="28">
        <f>IF(AN106=0,J106,0)</f>
        <v>0</v>
      </c>
      <c r="AK106" s="28">
        <f>IF(AN106=12,J106,0)</f>
        <v>0</v>
      </c>
      <c r="AL106" s="28">
        <f>IF(AN106=21,J106,0)</f>
        <v>0</v>
      </c>
      <c r="AN106" s="28">
        <v>21</v>
      </c>
      <c r="AO106" s="28">
        <f>G106*0</f>
        <v>0</v>
      </c>
      <c r="AP106" s="28">
        <f>G106*(1-0)</f>
        <v>0</v>
      </c>
      <c r="AQ106" s="29" t="s">
        <v>76</v>
      </c>
      <c r="AV106" s="28">
        <f>AW106+AX106</f>
        <v>0</v>
      </c>
      <c r="AW106" s="28">
        <f>F106*AO106</f>
        <v>0</v>
      </c>
      <c r="AX106" s="28">
        <f>F106*AP106</f>
        <v>0</v>
      </c>
      <c r="AY106" s="29" t="s">
        <v>331</v>
      </c>
      <c r="AZ106" s="29" t="s">
        <v>275</v>
      </c>
      <c r="BA106" s="10" t="s">
        <v>63</v>
      </c>
      <c r="BC106" s="28">
        <f>AW106+AX106</f>
        <v>0</v>
      </c>
      <c r="BD106" s="28">
        <f>G106/(100-BE106)*100</f>
        <v>0</v>
      </c>
      <c r="BE106" s="28">
        <v>0</v>
      </c>
      <c r="BF106" s="28">
        <f>106</f>
        <v>106</v>
      </c>
      <c r="BH106" s="28">
        <f>F106*AO106</f>
        <v>0</v>
      </c>
      <c r="BI106" s="28">
        <f>F106*AP106</f>
        <v>0</v>
      </c>
      <c r="BJ106" s="28">
        <f>F106*G106</f>
        <v>0</v>
      </c>
      <c r="BK106" s="28"/>
      <c r="BL106" s="28"/>
      <c r="BW106" s="28">
        <v>21</v>
      </c>
      <c r="BX106" s="4" t="s">
        <v>334</v>
      </c>
    </row>
    <row r="107" spans="1:76" ht="25.5" x14ac:dyDescent="0.25">
      <c r="A107" s="43" t="s">
        <v>335</v>
      </c>
      <c r="B107" s="44" t="s">
        <v>336</v>
      </c>
      <c r="C107" s="243" t="s">
        <v>337</v>
      </c>
      <c r="D107" s="244"/>
      <c r="E107" s="44" t="s">
        <v>122</v>
      </c>
      <c r="F107" s="45">
        <v>192.6</v>
      </c>
      <c r="G107" s="174">
        <v>0</v>
      </c>
      <c r="H107" s="45">
        <f>F107*AO107</f>
        <v>0</v>
      </c>
      <c r="I107" s="45">
        <f>F107*AP107</f>
        <v>0</v>
      </c>
      <c r="J107" s="45">
        <f>F107*G107</f>
        <v>0</v>
      </c>
      <c r="K107" s="46" t="s">
        <v>60</v>
      </c>
      <c r="Z107" s="28">
        <f>IF(AQ107="5",BJ107,0)</f>
        <v>0</v>
      </c>
      <c r="AB107" s="28">
        <f>IF(AQ107="1",BH107,0)</f>
        <v>0</v>
      </c>
      <c r="AC107" s="28">
        <f>IF(AQ107="1",BI107,0)</f>
        <v>0</v>
      </c>
      <c r="AD107" s="28">
        <f>IF(AQ107="7",BH107,0)</f>
        <v>0</v>
      </c>
      <c r="AE107" s="28">
        <f>IF(AQ107="7",BI107,0)</f>
        <v>0</v>
      </c>
      <c r="AF107" s="28">
        <f>IF(AQ107="2",BH107,0)</f>
        <v>0</v>
      </c>
      <c r="AG107" s="28">
        <f>IF(AQ107="2",BI107,0)</f>
        <v>0</v>
      </c>
      <c r="AH107" s="28">
        <f>IF(AQ107="0",BJ107,0)</f>
        <v>0</v>
      </c>
      <c r="AI107" s="10" t="s">
        <v>53</v>
      </c>
      <c r="AJ107" s="28">
        <f>IF(AN107=0,J107,0)</f>
        <v>0</v>
      </c>
      <c r="AK107" s="28">
        <f>IF(AN107=12,J107,0)</f>
        <v>0</v>
      </c>
      <c r="AL107" s="28">
        <f>IF(AN107=21,J107,0)</f>
        <v>0</v>
      </c>
      <c r="AN107" s="28">
        <v>21</v>
      </c>
      <c r="AO107" s="28">
        <f>G107*0</f>
        <v>0</v>
      </c>
      <c r="AP107" s="28">
        <f>G107*(1-0)</f>
        <v>0</v>
      </c>
      <c r="AQ107" s="29" t="s">
        <v>76</v>
      </c>
      <c r="AV107" s="28">
        <f>AW107+AX107</f>
        <v>0</v>
      </c>
      <c r="AW107" s="28">
        <f>F107*AO107</f>
        <v>0</v>
      </c>
      <c r="AX107" s="28">
        <f>F107*AP107</f>
        <v>0</v>
      </c>
      <c r="AY107" s="29" t="s">
        <v>331</v>
      </c>
      <c r="AZ107" s="29" t="s">
        <v>275</v>
      </c>
      <c r="BA107" s="10" t="s">
        <v>63</v>
      </c>
      <c r="BC107" s="28">
        <f>AW107+AX107</f>
        <v>0</v>
      </c>
      <c r="BD107" s="28">
        <f>G107/(100-BE107)*100</f>
        <v>0</v>
      </c>
      <c r="BE107" s="28">
        <v>0</v>
      </c>
      <c r="BF107" s="28">
        <f>107</f>
        <v>107</v>
      </c>
      <c r="BH107" s="28">
        <f>F107*AO107</f>
        <v>0</v>
      </c>
      <c r="BI107" s="28">
        <f>F107*AP107</f>
        <v>0</v>
      </c>
      <c r="BJ107" s="28">
        <f>F107*G107</f>
        <v>0</v>
      </c>
      <c r="BK107" s="28"/>
      <c r="BL107" s="28"/>
      <c r="BW107" s="28">
        <v>21</v>
      </c>
      <c r="BX107" s="4" t="s">
        <v>337</v>
      </c>
    </row>
    <row r="108" spans="1:76" x14ac:dyDescent="0.25">
      <c r="A108" s="52" t="s">
        <v>53</v>
      </c>
      <c r="B108" s="53" t="s">
        <v>338</v>
      </c>
      <c r="C108" s="247" t="s">
        <v>339</v>
      </c>
      <c r="D108" s="248"/>
      <c r="E108" s="54" t="s">
        <v>9</v>
      </c>
      <c r="F108" s="54" t="s">
        <v>9</v>
      </c>
      <c r="G108" s="54" t="s">
        <v>9</v>
      </c>
      <c r="H108" s="55">
        <f>SUM(H109:H131)</f>
        <v>0</v>
      </c>
      <c r="I108" s="55">
        <f>SUM(I109:I131)</f>
        <v>0</v>
      </c>
      <c r="J108" s="55">
        <f>SUM(J109:J131)</f>
        <v>0</v>
      </c>
      <c r="K108" s="56" t="s">
        <v>53</v>
      </c>
      <c r="AI108" s="10" t="s">
        <v>53</v>
      </c>
      <c r="AS108" s="1">
        <f>SUM(AJ109:AJ131)</f>
        <v>0</v>
      </c>
      <c r="AT108" s="1">
        <f>SUM(AK109:AK131)</f>
        <v>0</v>
      </c>
      <c r="AU108" s="1">
        <f>SUM(AL109:AL131)</f>
        <v>0</v>
      </c>
    </row>
    <row r="109" spans="1:76" x14ac:dyDescent="0.25">
      <c r="A109" s="30" t="s">
        <v>340</v>
      </c>
      <c r="B109" s="31" t="s">
        <v>341</v>
      </c>
      <c r="C109" s="239" t="s">
        <v>342</v>
      </c>
      <c r="D109" s="240"/>
      <c r="E109" s="31" t="s">
        <v>164</v>
      </c>
      <c r="F109" s="32">
        <v>848</v>
      </c>
      <c r="G109" s="172">
        <v>0</v>
      </c>
      <c r="H109" s="32">
        <f t="shared" ref="H109:H131" si="92">F109*AO109</f>
        <v>0</v>
      </c>
      <c r="I109" s="32">
        <f t="shared" ref="I109:I131" si="93">F109*AP109</f>
        <v>0</v>
      </c>
      <c r="J109" s="32">
        <f t="shared" ref="J109:J131" si="94">F109*G109</f>
        <v>0</v>
      </c>
      <c r="K109" s="33" t="s">
        <v>60</v>
      </c>
      <c r="Z109" s="28">
        <f t="shared" ref="Z109:Z131" si="95">IF(AQ109="5",BJ109,0)</f>
        <v>0</v>
      </c>
      <c r="AB109" s="28">
        <f t="shared" ref="AB109:AB131" si="96">IF(AQ109="1",BH109,0)</f>
        <v>0</v>
      </c>
      <c r="AC109" s="28">
        <f t="shared" ref="AC109:AC131" si="97">IF(AQ109="1",BI109,0)</f>
        <v>0</v>
      </c>
      <c r="AD109" s="28">
        <f t="shared" ref="AD109:AD131" si="98">IF(AQ109="7",BH109,0)</f>
        <v>0</v>
      </c>
      <c r="AE109" s="28">
        <f t="shared" ref="AE109:AE131" si="99">IF(AQ109="7",BI109,0)</f>
        <v>0</v>
      </c>
      <c r="AF109" s="28">
        <f t="shared" ref="AF109:AF131" si="100">IF(AQ109="2",BH109,0)</f>
        <v>0</v>
      </c>
      <c r="AG109" s="28">
        <f t="shared" ref="AG109:AG131" si="101">IF(AQ109="2",BI109,0)</f>
        <v>0</v>
      </c>
      <c r="AH109" s="28">
        <f t="shared" ref="AH109:AH131" si="102">IF(AQ109="0",BJ109,0)</f>
        <v>0</v>
      </c>
      <c r="AI109" s="10" t="s">
        <v>53</v>
      </c>
      <c r="AJ109" s="28">
        <f t="shared" ref="AJ109:AJ131" si="103">IF(AN109=0,J109,0)</f>
        <v>0</v>
      </c>
      <c r="AK109" s="28">
        <f t="shared" ref="AK109:AK131" si="104">IF(AN109=12,J109,0)</f>
        <v>0</v>
      </c>
      <c r="AL109" s="28">
        <f t="shared" ref="AL109:AL131" si="105">IF(AN109=21,J109,0)</f>
        <v>0</v>
      </c>
      <c r="AN109" s="28">
        <v>21</v>
      </c>
      <c r="AO109" s="28">
        <f t="shared" ref="AO109:AO131" si="106">G109*1</f>
        <v>0</v>
      </c>
      <c r="AP109" s="28">
        <f t="shared" ref="AP109:AP131" si="107">G109*(1-1)</f>
        <v>0</v>
      </c>
      <c r="AQ109" s="29" t="s">
        <v>343</v>
      </c>
      <c r="AV109" s="28">
        <f t="shared" ref="AV109:AV131" si="108">AW109+AX109</f>
        <v>0</v>
      </c>
      <c r="AW109" s="28">
        <f t="shared" ref="AW109:AW131" si="109">F109*AO109</f>
        <v>0</v>
      </c>
      <c r="AX109" s="28">
        <f t="shared" ref="AX109:AX131" si="110">F109*AP109</f>
        <v>0</v>
      </c>
      <c r="AY109" s="29" t="s">
        <v>344</v>
      </c>
      <c r="AZ109" s="29" t="s">
        <v>345</v>
      </c>
      <c r="BA109" s="10" t="s">
        <v>63</v>
      </c>
      <c r="BC109" s="28">
        <f t="shared" ref="BC109:BC131" si="111">AW109+AX109</f>
        <v>0</v>
      </c>
      <c r="BD109" s="28">
        <f t="shared" ref="BD109:BD131" si="112">G109/(100-BE109)*100</f>
        <v>0</v>
      </c>
      <c r="BE109" s="28">
        <v>0</v>
      </c>
      <c r="BF109" s="28">
        <f>109</f>
        <v>109</v>
      </c>
      <c r="BH109" s="28">
        <f t="shared" ref="BH109:BH131" si="113">F109*AO109</f>
        <v>0</v>
      </c>
      <c r="BI109" s="28">
        <f t="shared" ref="BI109:BI131" si="114">F109*AP109</f>
        <v>0</v>
      </c>
      <c r="BJ109" s="28">
        <f t="shared" ref="BJ109:BJ131" si="115">F109*G109</f>
        <v>0</v>
      </c>
      <c r="BK109" s="28"/>
      <c r="BL109" s="28"/>
      <c r="BW109" s="28">
        <v>21</v>
      </c>
      <c r="BX109" s="4" t="s">
        <v>342</v>
      </c>
    </row>
    <row r="110" spans="1:76" x14ac:dyDescent="0.25">
      <c r="A110" s="34" t="s">
        <v>346</v>
      </c>
      <c r="B110" s="35" t="s">
        <v>347</v>
      </c>
      <c r="C110" s="245" t="s">
        <v>348</v>
      </c>
      <c r="D110" s="246"/>
      <c r="E110" s="35" t="s">
        <v>164</v>
      </c>
      <c r="F110" s="36">
        <v>23</v>
      </c>
      <c r="G110" s="173">
        <v>0</v>
      </c>
      <c r="H110" s="36">
        <f t="shared" si="92"/>
        <v>0</v>
      </c>
      <c r="I110" s="36">
        <f t="shared" si="93"/>
        <v>0</v>
      </c>
      <c r="J110" s="36">
        <f t="shared" si="94"/>
        <v>0</v>
      </c>
      <c r="K110" s="37" t="s">
        <v>60</v>
      </c>
      <c r="Z110" s="28">
        <f t="shared" si="95"/>
        <v>0</v>
      </c>
      <c r="AB110" s="28">
        <f t="shared" si="96"/>
        <v>0</v>
      </c>
      <c r="AC110" s="28">
        <f t="shared" si="97"/>
        <v>0</v>
      </c>
      <c r="AD110" s="28">
        <f t="shared" si="98"/>
        <v>0</v>
      </c>
      <c r="AE110" s="28">
        <f t="shared" si="99"/>
        <v>0</v>
      </c>
      <c r="AF110" s="28">
        <f t="shared" si="100"/>
        <v>0</v>
      </c>
      <c r="AG110" s="28">
        <f t="shared" si="101"/>
        <v>0</v>
      </c>
      <c r="AH110" s="28">
        <f t="shared" si="102"/>
        <v>0</v>
      </c>
      <c r="AI110" s="10" t="s">
        <v>53</v>
      </c>
      <c r="AJ110" s="28">
        <f t="shared" si="103"/>
        <v>0</v>
      </c>
      <c r="AK110" s="28">
        <f t="shared" si="104"/>
        <v>0</v>
      </c>
      <c r="AL110" s="28">
        <f t="shared" si="105"/>
        <v>0</v>
      </c>
      <c r="AN110" s="28">
        <v>21</v>
      </c>
      <c r="AO110" s="28">
        <f t="shared" si="106"/>
        <v>0</v>
      </c>
      <c r="AP110" s="28">
        <f t="shared" si="107"/>
        <v>0</v>
      </c>
      <c r="AQ110" s="29" t="s">
        <v>343</v>
      </c>
      <c r="AV110" s="28">
        <f t="shared" si="108"/>
        <v>0</v>
      </c>
      <c r="AW110" s="28">
        <f t="shared" si="109"/>
        <v>0</v>
      </c>
      <c r="AX110" s="28">
        <f t="shared" si="110"/>
        <v>0</v>
      </c>
      <c r="AY110" s="29" t="s">
        <v>344</v>
      </c>
      <c r="AZ110" s="29" t="s">
        <v>345</v>
      </c>
      <c r="BA110" s="10" t="s">
        <v>63</v>
      </c>
      <c r="BC110" s="28">
        <f t="shared" si="111"/>
        <v>0</v>
      </c>
      <c r="BD110" s="28">
        <f t="shared" si="112"/>
        <v>0</v>
      </c>
      <c r="BE110" s="28">
        <v>0</v>
      </c>
      <c r="BF110" s="28">
        <f>110</f>
        <v>110</v>
      </c>
      <c r="BH110" s="28">
        <f t="shared" si="113"/>
        <v>0</v>
      </c>
      <c r="BI110" s="28">
        <f t="shared" si="114"/>
        <v>0</v>
      </c>
      <c r="BJ110" s="28">
        <f t="shared" si="115"/>
        <v>0</v>
      </c>
      <c r="BK110" s="28"/>
      <c r="BL110" s="28"/>
      <c r="BW110" s="28">
        <v>21</v>
      </c>
      <c r="BX110" s="4" t="s">
        <v>348</v>
      </c>
    </row>
    <row r="111" spans="1:76" x14ac:dyDescent="0.25">
      <c r="A111" s="34" t="s">
        <v>349</v>
      </c>
      <c r="B111" s="35" t="s">
        <v>350</v>
      </c>
      <c r="C111" s="245" t="s">
        <v>351</v>
      </c>
      <c r="D111" s="246"/>
      <c r="E111" s="35" t="s">
        <v>164</v>
      </c>
      <c r="F111" s="36">
        <v>23</v>
      </c>
      <c r="G111" s="173">
        <v>0</v>
      </c>
      <c r="H111" s="36">
        <f t="shared" si="92"/>
        <v>0</v>
      </c>
      <c r="I111" s="36">
        <f t="shared" si="93"/>
        <v>0</v>
      </c>
      <c r="J111" s="36">
        <f t="shared" si="94"/>
        <v>0</v>
      </c>
      <c r="K111" s="37" t="s">
        <v>60</v>
      </c>
      <c r="Z111" s="28">
        <f t="shared" si="95"/>
        <v>0</v>
      </c>
      <c r="AB111" s="28">
        <f t="shared" si="96"/>
        <v>0</v>
      </c>
      <c r="AC111" s="28">
        <f t="shared" si="97"/>
        <v>0</v>
      </c>
      <c r="AD111" s="28">
        <f t="shared" si="98"/>
        <v>0</v>
      </c>
      <c r="AE111" s="28">
        <f t="shared" si="99"/>
        <v>0</v>
      </c>
      <c r="AF111" s="28">
        <f t="shared" si="100"/>
        <v>0</v>
      </c>
      <c r="AG111" s="28">
        <f t="shared" si="101"/>
        <v>0</v>
      </c>
      <c r="AH111" s="28">
        <f t="shared" si="102"/>
        <v>0</v>
      </c>
      <c r="AI111" s="10" t="s">
        <v>53</v>
      </c>
      <c r="AJ111" s="28">
        <f t="shared" si="103"/>
        <v>0</v>
      </c>
      <c r="AK111" s="28">
        <f t="shared" si="104"/>
        <v>0</v>
      </c>
      <c r="AL111" s="28">
        <f t="shared" si="105"/>
        <v>0</v>
      </c>
      <c r="AN111" s="28">
        <v>21</v>
      </c>
      <c r="AO111" s="28">
        <f t="shared" si="106"/>
        <v>0</v>
      </c>
      <c r="AP111" s="28">
        <f t="shared" si="107"/>
        <v>0</v>
      </c>
      <c r="AQ111" s="29" t="s">
        <v>343</v>
      </c>
      <c r="AV111" s="28">
        <f t="shared" si="108"/>
        <v>0</v>
      </c>
      <c r="AW111" s="28">
        <f t="shared" si="109"/>
        <v>0</v>
      </c>
      <c r="AX111" s="28">
        <f t="shared" si="110"/>
        <v>0</v>
      </c>
      <c r="AY111" s="29" t="s">
        <v>344</v>
      </c>
      <c r="AZ111" s="29" t="s">
        <v>345</v>
      </c>
      <c r="BA111" s="10" t="s">
        <v>63</v>
      </c>
      <c r="BC111" s="28">
        <f t="shared" si="111"/>
        <v>0</v>
      </c>
      <c r="BD111" s="28">
        <f t="shared" si="112"/>
        <v>0</v>
      </c>
      <c r="BE111" s="28">
        <v>0</v>
      </c>
      <c r="BF111" s="28">
        <f>111</f>
        <v>111</v>
      </c>
      <c r="BH111" s="28">
        <f t="shared" si="113"/>
        <v>0</v>
      </c>
      <c r="BI111" s="28">
        <f t="shared" si="114"/>
        <v>0</v>
      </c>
      <c r="BJ111" s="28">
        <f t="shared" si="115"/>
        <v>0</v>
      </c>
      <c r="BK111" s="28"/>
      <c r="BL111" s="28"/>
      <c r="BW111" s="28">
        <v>21</v>
      </c>
      <c r="BX111" s="4" t="s">
        <v>351</v>
      </c>
    </row>
    <row r="112" spans="1:76" x14ac:dyDescent="0.25">
      <c r="A112" s="34" t="s">
        <v>352</v>
      </c>
      <c r="B112" s="35" t="s">
        <v>353</v>
      </c>
      <c r="C112" s="245" t="s">
        <v>354</v>
      </c>
      <c r="D112" s="246"/>
      <c r="E112" s="35" t="s">
        <v>164</v>
      </c>
      <c r="F112" s="36">
        <v>259</v>
      </c>
      <c r="G112" s="173">
        <v>0</v>
      </c>
      <c r="H112" s="36">
        <f t="shared" si="92"/>
        <v>0</v>
      </c>
      <c r="I112" s="36">
        <f t="shared" si="93"/>
        <v>0</v>
      </c>
      <c r="J112" s="36">
        <f t="shared" si="94"/>
        <v>0</v>
      </c>
      <c r="K112" s="37" t="s">
        <v>60</v>
      </c>
      <c r="Z112" s="28">
        <f t="shared" si="95"/>
        <v>0</v>
      </c>
      <c r="AB112" s="28">
        <f t="shared" si="96"/>
        <v>0</v>
      </c>
      <c r="AC112" s="28">
        <f t="shared" si="97"/>
        <v>0</v>
      </c>
      <c r="AD112" s="28">
        <f t="shared" si="98"/>
        <v>0</v>
      </c>
      <c r="AE112" s="28">
        <f t="shared" si="99"/>
        <v>0</v>
      </c>
      <c r="AF112" s="28">
        <f t="shared" si="100"/>
        <v>0</v>
      </c>
      <c r="AG112" s="28">
        <f t="shared" si="101"/>
        <v>0</v>
      </c>
      <c r="AH112" s="28">
        <f t="shared" si="102"/>
        <v>0</v>
      </c>
      <c r="AI112" s="10" t="s">
        <v>53</v>
      </c>
      <c r="AJ112" s="28">
        <f t="shared" si="103"/>
        <v>0</v>
      </c>
      <c r="AK112" s="28">
        <f t="shared" si="104"/>
        <v>0</v>
      </c>
      <c r="AL112" s="28">
        <f t="shared" si="105"/>
        <v>0</v>
      </c>
      <c r="AN112" s="28">
        <v>21</v>
      </c>
      <c r="AO112" s="28">
        <f t="shared" si="106"/>
        <v>0</v>
      </c>
      <c r="AP112" s="28">
        <f t="shared" si="107"/>
        <v>0</v>
      </c>
      <c r="AQ112" s="29" t="s">
        <v>343</v>
      </c>
      <c r="AV112" s="28">
        <f t="shared" si="108"/>
        <v>0</v>
      </c>
      <c r="AW112" s="28">
        <f t="shared" si="109"/>
        <v>0</v>
      </c>
      <c r="AX112" s="28">
        <f t="shared" si="110"/>
        <v>0</v>
      </c>
      <c r="AY112" s="29" t="s">
        <v>344</v>
      </c>
      <c r="AZ112" s="29" t="s">
        <v>345</v>
      </c>
      <c r="BA112" s="10" t="s">
        <v>63</v>
      </c>
      <c r="BC112" s="28">
        <f t="shared" si="111"/>
        <v>0</v>
      </c>
      <c r="BD112" s="28">
        <f t="shared" si="112"/>
        <v>0</v>
      </c>
      <c r="BE112" s="28">
        <v>0</v>
      </c>
      <c r="BF112" s="28">
        <f>112</f>
        <v>112</v>
      </c>
      <c r="BH112" s="28">
        <f t="shared" si="113"/>
        <v>0</v>
      </c>
      <c r="BI112" s="28">
        <f t="shared" si="114"/>
        <v>0</v>
      </c>
      <c r="BJ112" s="28">
        <f t="shared" si="115"/>
        <v>0</v>
      </c>
      <c r="BK112" s="28"/>
      <c r="BL112" s="28"/>
      <c r="BW112" s="28">
        <v>21</v>
      </c>
      <c r="BX112" s="4" t="s">
        <v>354</v>
      </c>
    </row>
    <row r="113" spans="1:76" x14ac:dyDescent="0.25">
      <c r="A113" s="34" t="s">
        <v>355</v>
      </c>
      <c r="B113" s="35" t="s">
        <v>356</v>
      </c>
      <c r="C113" s="245" t="s">
        <v>357</v>
      </c>
      <c r="D113" s="246"/>
      <c r="E113" s="35" t="s">
        <v>164</v>
      </c>
      <c r="F113" s="36">
        <v>2402</v>
      </c>
      <c r="G113" s="173">
        <v>0</v>
      </c>
      <c r="H113" s="36">
        <f t="shared" si="92"/>
        <v>0</v>
      </c>
      <c r="I113" s="36">
        <f t="shared" si="93"/>
        <v>0</v>
      </c>
      <c r="J113" s="36">
        <f t="shared" si="94"/>
        <v>0</v>
      </c>
      <c r="K113" s="37" t="s">
        <v>60</v>
      </c>
      <c r="Z113" s="28">
        <f t="shared" si="95"/>
        <v>0</v>
      </c>
      <c r="AB113" s="28">
        <f t="shared" si="96"/>
        <v>0</v>
      </c>
      <c r="AC113" s="28">
        <f t="shared" si="97"/>
        <v>0</v>
      </c>
      <c r="AD113" s="28">
        <f t="shared" si="98"/>
        <v>0</v>
      </c>
      <c r="AE113" s="28">
        <f t="shared" si="99"/>
        <v>0</v>
      </c>
      <c r="AF113" s="28">
        <f t="shared" si="100"/>
        <v>0</v>
      </c>
      <c r="AG113" s="28">
        <f t="shared" si="101"/>
        <v>0</v>
      </c>
      <c r="AH113" s="28">
        <f t="shared" si="102"/>
        <v>0</v>
      </c>
      <c r="AI113" s="10" t="s">
        <v>53</v>
      </c>
      <c r="AJ113" s="28">
        <f t="shared" si="103"/>
        <v>0</v>
      </c>
      <c r="AK113" s="28">
        <f t="shared" si="104"/>
        <v>0</v>
      </c>
      <c r="AL113" s="28">
        <f t="shared" si="105"/>
        <v>0</v>
      </c>
      <c r="AN113" s="28">
        <v>21</v>
      </c>
      <c r="AO113" s="28">
        <f t="shared" si="106"/>
        <v>0</v>
      </c>
      <c r="AP113" s="28">
        <f t="shared" si="107"/>
        <v>0</v>
      </c>
      <c r="AQ113" s="29" t="s">
        <v>343</v>
      </c>
      <c r="AV113" s="28">
        <f t="shared" si="108"/>
        <v>0</v>
      </c>
      <c r="AW113" s="28">
        <f t="shared" si="109"/>
        <v>0</v>
      </c>
      <c r="AX113" s="28">
        <f t="shared" si="110"/>
        <v>0</v>
      </c>
      <c r="AY113" s="29" t="s">
        <v>344</v>
      </c>
      <c r="AZ113" s="29" t="s">
        <v>345</v>
      </c>
      <c r="BA113" s="10" t="s">
        <v>63</v>
      </c>
      <c r="BC113" s="28">
        <f t="shared" si="111"/>
        <v>0</v>
      </c>
      <c r="BD113" s="28">
        <f t="shared" si="112"/>
        <v>0</v>
      </c>
      <c r="BE113" s="28">
        <v>0</v>
      </c>
      <c r="BF113" s="28">
        <f>113</f>
        <v>113</v>
      </c>
      <c r="BH113" s="28">
        <f t="shared" si="113"/>
        <v>0</v>
      </c>
      <c r="BI113" s="28">
        <f t="shared" si="114"/>
        <v>0</v>
      </c>
      <c r="BJ113" s="28">
        <f t="shared" si="115"/>
        <v>0</v>
      </c>
      <c r="BK113" s="28"/>
      <c r="BL113" s="28"/>
      <c r="BW113" s="28">
        <v>21</v>
      </c>
      <c r="BX113" s="4" t="s">
        <v>357</v>
      </c>
    </row>
    <row r="114" spans="1:76" x14ac:dyDescent="0.25">
      <c r="A114" s="34" t="s">
        <v>358</v>
      </c>
      <c r="B114" s="35" t="s">
        <v>359</v>
      </c>
      <c r="C114" s="245" t="s">
        <v>360</v>
      </c>
      <c r="D114" s="246"/>
      <c r="E114" s="35" t="s">
        <v>59</v>
      </c>
      <c r="F114" s="36">
        <v>1154.9000000000001</v>
      </c>
      <c r="G114" s="173">
        <v>0</v>
      </c>
      <c r="H114" s="36">
        <f t="shared" si="92"/>
        <v>0</v>
      </c>
      <c r="I114" s="36">
        <f t="shared" si="93"/>
        <v>0</v>
      </c>
      <c r="J114" s="36">
        <f t="shared" si="94"/>
        <v>0</v>
      </c>
      <c r="K114" s="37" t="s">
        <v>60</v>
      </c>
      <c r="Z114" s="28">
        <f t="shared" si="95"/>
        <v>0</v>
      </c>
      <c r="AB114" s="28">
        <f t="shared" si="96"/>
        <v>0</v>
      </c>
      <c r="AC114" s="28">
        <f t="shared" si="97"/>
        <v>0</v>
      </c>
      <c r="AD114" s="28">
        <f t="shared" si="98"/>
        <v>0</v>
      </c>
      <c r="AE114" s="28">
        <f t="shared" si="99"/>
        <v>0</v>
      </c>
      <c r="AF114" s="28">
        <f t="shared" si="100"/>
        <v>0</v>
      </c>
      <c r="AG114" s="28">
        <f t="shared" si="101"/>
        <v>0</v>
      </c>
      <c r="AH114" s="28">
        <f t="shared" si="102"/>
        <v>0</v>
      </c>
      <c r="AI114" s="10" t="s">
        <v>53</v>
      </c>
      <c r="AJ114" s="28">
        <f t="shared" si="103"/>
        <v>0</v>
      </c>
      <c r="AK114" s="28">
        <f t="shared" si="104"/>
        <v>0</v>
      </c>
      <c r="AL114" s="28">
        <f t="shared" si="105"/>
        <v>0</v>
      </c>
      <c r="AN114" s="28">
        <v>21</v>
      </c>
      <c r="AO114" s="28">
        <f t="shared" si="106"/>
        <v>0</v>
      </c>
      <c r="AP114" s="28">
        <f t="shared" si="107"/>
        <v>0</v>
      </c>
      <c r="AQ114" s="29" t="s">
        <v>343</v>
      </c>
      <c r="AV114" s="28">
        <f t="shared" si="108"/>
        <v>0</v>
      </c>
      <c r="AW114" s="28">
        <f t="shared" si="109"/>
        <v>0</v>
      </c>
      <c r="AX114" s="28">
        <f t="shared" si="110"/>
        <v>0</v>
      </c>
      <c r="AY114" s="29" t="s">
        <v>344</v>
      </c>
      <c r="AZ114" s="29" t="s">
        <v>345</v>
      </c>
      <c r="BA114" s="10" t="s">
        <v>63</v>
      </c>
      <c r="BC114" s="28">
        <f t="shared" si="111"/>
        <v>0</v>
      </c>
      <c r="BD114" s="28">
        <f t="shared" si="112"/>
        <v>0</v>
      </c>
      <c r="BE114" s="28">
        <v>0</v>
      </c>
      <c r="BF114" s="28">
        <f>114</f>
        <v>114</v>
      </c>
      <c r="BH114" s="28">
        <f t="shared" si="113"/>
        <v>0</v>
      </c>
      <c r="BI114" s="28">
        <f t="shared" si="114"/>
        <v>0</v>
      </c>
      <c r="BJ114" s="28">
        <f t="shared" si="115"/>
        <v>0</v>
      </c>
      <c r="BK114" s="28"/>
      <c r="BL114" s="28"/>
      <c r="BW114" s="28">
        <v>21</v>
      </c>
      <c r="BX114" s="4" t="s">
        <v>360</v>
      </c>
    </row>
    <row r="115" spans="1:76" x14ac:dyDescent="0.25">
      <c r="A115" s="34" t="s">
        <v>361</v>
      </c>
      <c r="B115" s="35" t="s">
        <v>362</v>
      </c>
      <c r="C115" s="245" t="s">
        <v>363</v>
      </c>
      <c r="D115" s="246"/>
      <c r="E115" s="35" t="s">
        <v>59</v>
      </c>
      <c r="F115" s="36">
        <v>47.4</v>
      </c>
      <c r="G115" s="173">
        <v>0</v>
      </c>
      <c r="H115" s="36">
        <f t="shared" si="92"/>
        <v>0</v>
      </c>
      <c r="I115" s="36">
        <f t="shared" si="93"/>
        <v>0</v>
      </c>
      <c r="J115" s="36">
        <f t="shared" si="94"/>
        <v>0</v>
      </c>
      <c r="K115" s="37" t="s">
        <v>60</v>
      </c>
      <c r="Z115" s="28">
        <f t="shared" si="95"/>
        <v>0</v>
      </c>
      <c r="AB115" s="28">
        <f t="shared" si="96"/>
        <v>0</v>
      </c>
      <c r="AC115" s="28">
        <f t="shared" si="97"/>
        <v>0</v>
      </c>
      <c r="AD115" s="28">
        <f t="shared" si="98"/>
        <v>0</v>
      </c>
      <c r="AE115" s="28">
        <f t="shared" si="99"/>
        <v>0</v>
      </c>
      <c r="AF115" s="28">
        <f t="shared" si="100"/>
        <v>0</v>
      </c>
      <c r="AG115" s="28">
        <f t="shared" si="101"/>
        <v>0</v>
      </c>
      <c r="AH115" s="28">
        <f t="shared" si="102"/>
        <v>0</v>
      </c>
      <c r="AI115" s="10" t="s">
        <v>53</v>
      </c>
      <c r="AJ115" s="28">
        <f t="shared" si="103"/>
        <v>0</v>
      </c>
      <c r="AK115" s="28">
        <f t="shared" si="104"/>
        <v>0</v>
      </c>
      <c r="AL115" s="28">
        <f t="shared" si="105"/>
        <v>0</v>
      </c>
      <c r="AN115" s="28">
        <v>21</v>
      </c>
      <c r="AO115" s="28">
        <f t="shared" si="106"/>
        <v>0</v>
      </c>
      <c r="AP115" s="28">
        <f t="shared" si="107"/>
        <v>0</v>
      </c>
      <c r="AQ115" s="29" t="s">
        <v>343</v>
      </c>
      <c r="AV115" s="28">
        <f t="shared" si="108"/>
        <v>0</v>
      </c>
      <c r="AW115" s="28">
        <f t="shared" si="109"/>
        <v>0</v>
      </c>
      <c r="AX115" s="28">
        <f t="shared" si="110"/>
        <v>0</v>
      </c>
      <c r="AY115" s="29" t="s">
        <v>344</v>
      </c>
      <c r="AZ115" s="29" t="s">
        <v>345</v>
      </c>
      <c r="BA115" s="10" t="s">
        <v>63</v>
      </c>
      <c r="BC115" s="28">
        <f t="shared" si="111"/>
        <v>0</v>
      </c>
      <c r="BD115" s="28">
        <f t="shared" si="112"/>
        <v>0</v>
      </c>
      <c r="BE115" s="28">
        <v>0</v>
      </c>
      <c r="BF115" s="28">
        <f>115</f>
        <v>115</v>
      </c>
      <c r="BH115" s="28">
        <f t="shared" si="113"/>
        <v>0</v>
      </c>
      <c r="BI115" s="28">
        <f t="shared" si="114"/>
        <v>0</v>
      </c>
      <c r="BJ115" s="28">
        <f t="shared" si="115"/>
        <v>0</v>
      </c>
      <c r="BK115" s="28"/>
      <c r="BL115" s="28"/>
      <c r="BW115" s="28">
        <v>21</v>
      </c>
      <c r="BX115" s="4" t="s">
        <v>363</v>
      </c>
    </row>
    <row r="116" spans="1:76" x14ac:dyDescent="0.25">
      <c r="A116" s="34" t="s">
        <v>364</v>
      </c>
      <c r="B116" s="35" t="s">
        <v>365</v>
      </c>
      <c r="C116" s="245" t="s">
        <v>366</v>
      </c>
      <c r="D116" s="246"/>
      <c r="E116" s="35" t="s">
        <v>59</v>
      </c>
      <c r="F116" s="36">
        <v>533.5</v>
      </c>
      <c r="G116" s="173">
        <v>0</v>
      </c>
      <c r="H116" s="36">
        <f t="shared" si="92"/>
        <v>0</v>
      </c>
      <c r="I116" s="36">
        <f t="shared" si="93"/>
        <v>0</v>
      </c>
      <c r="J116" s="36">
        <f t="shared" si="94"/>
        <v>0</v>
      </c>
      <c r="K116" s="37" t="s">
        <v>60</v>
      </c>
      <c r="Z116" s="28">
        <f t="shared" si="95"/>
        <v>0</v>
      </c>
      <c r="AB116" s="28">
        <f t="shared" si="96"/>
        <v>0</v>
      </c>
      <c r="AC116" s="28">
        <f t="shared" si="97"/>
        <v>0</v>
      </c>
      <c r="AD116" s="28">
        <f t="shared" si="98"/>
        <v>0</v>
      </c>
      <c r="AE116" s="28">
        <f t="shared" si="99"/>
        <v>0</v>
      </c>
      <c r="AF116" s="28">
        <f t="shared" si="100"/>
        <v>0</v>
      </c>
      <c r="AG116" s="28">
        <f t="shared" si="101"/>
        <v>0</v>
      </c>
      <c r="AH116" s="28">
        <f t="shared" si="102"/>
        <v>0</v>
      </c>
      <c r="AI116" s="10" t="s">
        <v>53</v>
      </c>
      <c r="AJ116" s="28">
        <f t="shared" si="103"/>
        <v>0</v>
      </c>
      <c r="AK116" s="28">
        <f t="shared" si="104"/>
        <v>0</v>
      </c>
      <c r="AL116" s="28">
        <f t="shared" si="105"/>
        <v>0</v>
      </c>
      <c r="AN116" s="28">
        <v>21</v>
      </c>
      <c r="AO116" s="28">
        <f t="shared" si="106"/>
        <v>0</v>
      </c>
      <c r="AP116" s="28">
        <f t="shared" si="107"/>
        <v>0</v>
      </c>
      <c r="AQ116" s="29" t="s">
        <v>343</v>
      </c>
      <c r="AV116" s="28">
        <f t="shared" si="108"/>
        <v>0</v>
      </c>
      <c r="AW116" s="28">
        <f t="shared" si="109"/>
        <v>0</v>
      </c>
      <c r="AX116" s="28">
        <f t="shared" si="110"/>
        <v>0</v>
      </c>
      <c r="AY116" s="29" t="s">
        <v>344</v>
      </c>
      <c r="AZ116" s="29" t="s">
        <v>345</v>
      </c>
      <c r="BA116" s="10" t="s">
        <v>63</v>
      </c>
      <c r="BC116" s="28">
        <f t="shared" si="111"/>
        <v>0</v>
      </c>
      <c r="BD116" s="28">
        <f t="shared" si="112"/>
        <v>0</v>
      </c>
      <c r="BE116" s="28">
        <v>0</v>
      </c>
      <c r="BF116" s="28">
        <f>116</f>
        <v>116</v>
      </c>
      <c r="BH116" s="28">
        <f t="shared" si="113"/>
        <v>0</v>
      </c>
      <c r="BI116" s="28">
        <f t="shared" si="114"/>
        <v>0</v>
      </c>
      <c r="BJ116" s="28">
        <f t="shared" si="115"/>
        <v>0</v>
      </c>
      <c r="BK116" s="28"/>
      <c r="BL116" s="28"/>
      <c r="BW116" s="28">
        <v>21</v>
      </c>
      <c r="BX116" s="4" t="s">
        <v>366</v>
      </c>
    </row>
    <row r="117" spans="1:76" x14ac:dyDescent="0.25">
      <c r="A117" s="34" t="s">
        <v>367</v>
      </c>
      <c r="B117" s="35" t="s">
        <v>368</v>
      </c>
      <c r="C117" s="245" t="s">
        <v>369</v>
      </c>
      <c r="D117" s="246"/>
      <c r="E117" s="35" t="s">
        <v>59</v>
      </c>
      <c r="F117" s="36">
        <v>21</v>
      </c>
      <c r="G117" s="173">
        <v>0</v>
      </c>
      <c r="H117" s="36">
        <f t="shared" si="92"/>
        <v>0</v>
      </c>
      <c r="I117" s="36">
        <f t="shared" si="93"/>
        <v>0</v>
      </c>
      <c r="J117" s="36">
        <f t="shared" si="94"/>
        <v>0</v>
      </c>
      <c r="K117" s="37" t="s">
        <v>60</v>
      </c>
      <c r="Z117" s="28">
        <f t="shared" si="95"/>
        <v>0</v>
      </c>
      <c r="AB117" s="28">
        <f t="shared" si="96"/>
        <v>0</v>
      </c>
      <c r="AC117" s="28">
        <f t="shared" si="97"/>
        <v>0</v>
      </c>
      <c r="AD117" s="28">
        <f t="shared" si="98"/>
        <v>0</v>
      </c>
      <c r="AE117" s="28">
        <f t="shared" si="99"/>
        <v>0</v>
      </c>
      <c r="AF117" s="28">
        <f t="shared" si="100"/>
        <v>0</v>
      </c>
      <c r="AG117" s="28">
        <f t="shared" si="101"/>
        <v>0</v>
      </c>
      <c r="AH117" s="28">
        <f t="shared" si="102"/>
        <v>0</v>
      </c>
      <c r="AI117" s="10" t="s">
        <v>53</v>
      </c>
      <c r="AJ117" s="28">
        <f t="shared" si="103"/>
        <v>0</v>
      </c>
      <c r="AK117" s="28">
        <f t="shared" si="104"/>
        <v>0</v>
      </c>
      <c r="AL117" s="28">
        <f t="shared" si="105"/>
        <v>0</v>
      </c>
      <c r="AN117" s="28">
        <v>21</v>
      </c>
      <c r="AO117" s="28">
        <f t="shared" si="106"/>
        <v>0</v>
      </c>
      <c r="AP117" s="28">
        <f t="shared" si="107"/>
        <v>0</v>
      </c>
      <c r="AQ117" s="29" t="s">
        <v>343</v>
      </c>
      <c r="AV117" s="28">
        <f t="shared" si="108"/>
        <v>0</v>
      </c>
      <c r="AW117" s="28">
        <f t="shared" si="109"/>
        <v>0</v>
      </c>
      <c r="AX117" s="28">
        <f t="shared" si="110"/>
        <v>0</v>
      </c>
      <c r="AY117" s="29" t="s">
        <v>344</v>
      </c>
      <c r="AZ117" s="29" t="s">
        <v>345</v>
      </c>
      <c r="BA117" s="10" t="s">
        <v>63</v>
      </c>
      <c r="BC117" s="28">
        <f t="shared" si="111"/>
        <v>0</v>
      </c>
      <c r="BD117" s="28">
        <f t="shared" si="112"/>
        <v>0</v>
      </c>
      <c r="BE117" s="28">
        <v>0</v>
      </c>
      <c r="BF117" s="28">
        <f>117</f>
        <v>117</v>
      </c>
      <c r="BH117" s="28">
        <f t="shared" si="113"/>
        <v>0</v>
      </c>
      <c r="BI117" s="28">
        <f t="shared" si="114"/>
        <v>0</v>
      </c>
      <c r="BJ117" s="28">
        <f t="shared" si="115"/>
        <v>0</v>
      </c>
      <c r="BK117" s="28"/>
      <c r="BL117" s="28"/>
      <c r="BW117" s="28">
        <v>21</v>
      </c>
      <c r="BX117" s="4" t="s">
        <v>369</v>
      </c>
    </row>
    <row r="118" spans="1:76" x14ac:dyDescent="0.25">
      <c r="A118" s="34" t="s">
        <v>370</v>
      </c>
      <c r="B118" s="35" t="s">
        <v>371</v>
      </c>
      <c r="C118" s="245" t="s">
        <v>372</v>
      </c>
      <c r="D118" s="246"/>
      <c r="E118" s="35" t="s">
        <v>164</v>
      </c>
      <c r="F118" s="36">
        <v>58</v>
      </c>
      <c r="G118" s="173">
        <v>0</v>
      </c>
      <c r="H118" s="36">
        <f t="shared" si="92"/>
        <v>0</v>
      </c>
      <c r="I118" s="36">
        <f t="shared" si="93"/>
        <v>0</v>
      </c>
      <c r="J118" s="36">
        <f t="shared" si="94"/>
        <v>0</v>
      </c>
      <c r="K118" s="37" t="s">
        <v>60</v>
      </c>
      <c r="Z118" s="28">
        <f t="shared" si="95"/>
        <v>0</v>
      </c>
      <c r="AB118" s="28">
        <f t="shared" si="96"/>
        <v>0</v>
      </c>
      <c r="AC118" s="28">
        <f t="shared" si="97"/>
        <v>0</v>
      </c>
      <c r="AD118" s="28">
        <f t="shared" si="98"/>
        <v>0</v>
      </c>
      <c r="AE118" s="28">
        <f t="shared" si="99"/>
        <v>0</v>
      </c>
      <c r="AF118" s="28">
        <f t="shared" si="100"/>
        <v>0</v>
      </c>
      <c r="AG118" s="28">
        <f t="shared" si="101"/>
        <v>0</v>
      </c>
      <c r="AH118" s="28">
        <f t="shared" si="102"/>
        <v>0</v>
      </c>
      <c r="AI118" s="10" t="s">
        <v>53</v>
      </c>
      <c r="AJ118" s="28">
        <f t="shared" si="103"/>
        <v>0</v>
      </c>
      <c r="AK118" s="28">
        <f t="shared" si="104"/>
        <v>0</v>
      </c>
      <c r="AL118" s="28">
        <f t="shared" si="105"/>
        <v>0</v>
      </c>
      <c r="AN118" s="28">
        <v>21</v>
      </c>
      <c r="AO118" s="28">
        <f t="shared" si="106"/>
        <v>0</v>
      </c>
      <c r="AP118" s="28">
        <f t="shared" si="107"/>
        <v>0</v>
      </c>
      <c r="AQ118" s="29" t="s">
        <v>343</v>
      </c>
      <c r="AV118" s="28">
        <f t="shared" si="108"/>
        <v>0</v>
      </c>
      <c r="AW118" s="28">
        <f t="shared" si="109"/>
        <v>0</v>
      </c>
      <c r="AX118" s="28">
        <f t="shared" si="110"/>
        <v>0</v>
      </c>
      <c r="AY118" s="29" t="s">
        <v>344</v>
      </c>
      <c r="AZ118" s="29" t="s">
        <v>345</v>
      </c>
      <c r="BA118" s="10" t="s">
        <v>63</v>
      </c>
      <c r="BC118" s="28">
        <f t="shared" si="111"/>
        <v>0</v>
      </c>
      <c r="BD118" s="28">
        <f t="shared" si="112"/>
        <v>0</v>
      </c>
      <c r="BE118" s="28">
        <v>0</v>
      </c>
      <c r="BF118" s="28">
        <f>118</f>
        <v>118</v>
      </c>
      <c r="BH118" s="28">
        <f t="shared" si="113"/>
        <v>0</v>
      </c>
      <c r="BI118" s="28">
        <f t="shared" si="114"/>
        <v>0</v>
      </c>
      <c r="BJ118" s="28">
        <f t="shared" si="115"/>
        <v>0</v>
      </c>
      <c r="BK118" s="28"/>
      <c r="BL118" s="28"/>
      <c r="BW118" s="28">
        <v>21</v>
      </c>
      <c r="BX118" s="4" t="s">
        <v>372</v>
      </c>
    </row>
    <row r="119" spans="1:76" x14ac:dyDescent="0.25">
      <c r="A119" s="34" t="s">
        <v>373</v>
      </c>
      <c r="B119" s="35" t="s">
        <v>374</v>
      </c>
      <c r="C119" s="245" t="s">
        <v>375</v>
      </c>
      <c r="D119" s="246"/>
      <c r="E119" s="35" t="s">
        <v>164</v>
      </c>
      <c r="F119" s="36">
        <v>53</v>
      </c>
      <c r="G119" s="173">
        <v>0</v>
      </c>
      <c r="H119" s="36">
        <f t="shared" si="92"/>
        <v>0</v>
      </c>
      <c r="I119" s="36">
        <f t="shared" si="93"/>
        <v>0</v>
      </c>
      <c r="J119" s="36">
        <f t="shared" si="94"/>
        <v>0</v>
      </c>
      <c r="K119" s="37" t="s">
        <v>60</v>
      </c>
      <c r="Z119" s="28">
        <f t="shared" si="95"/>
        <v>0</v>
      </c>
      <c r="AB119" s="28">
        <f t="shared" si="96"/>
        <v>0</v>
      </c>
      <c r="AC119" s="28">
        <f t="shared" si="97"/>
        <v>0</v>
      </c>
      <c r="AD119" s="28">
        <f t="shared" si="98"/>
        <v>0</v>
      </c>
      <c r="AE119" s="28">
        <f t="shared" si="99"/>
        <v>0</v>
      </c>
      <c r="AF119" s="28">
        <f t="shared" si="100"/>
        <v>0</v>
      </c>
      <c r="AG119" s="28">
        <f t="shared" si="101"/>
        <v>0</v>
      </c>
      <c r="AH119" s="28">
        <f t="shared" si="102"/>
        <v>0</v>
      </c>
      <c r="AI119" s="10" t="s">
        <v>53</v>
      </c>
      <c r="AJ119" s="28">
        <f t="shared" si="103"/>
        <v>0</v>
      </c>
      <c r="AK119" s="28">
        <f t="shared" si="104"/>
        <v>0</v>
      </c>
      <c r="AL119" s="28">
        <f t="shared" si="105"/>
        <v>0</v>
      </c>
      <c r="AN119" s="28">
        <v>21</v>
      </c>
      <c r="AO119" s="28">
        <f t="shared" si="106"/>
        <v>0</v>
      </c>
      <c r="AP119" s="28">
        <f t="shared" si="107"/>
        <v>0</v>
      </c>
      <c r="AQ119" s="29" t="s">
        <v>343</v>
      </c>
      <c r="AV119" s="28">
        <f t="shared" si="108"/>
        <v>0</v>
      </c>
      <c r="AW119" s="28">
        <f t="shared" si="109"/>
        <v>0</v>
      </c>
      <c r="AX119" s="28">
        <f t="shared" si="110"/>
        <v>0</v>
      </c>
      <c r="AY119" s="29" t="s">
        <v>344</v>
      </c>
      <c r="AZ119" s="29" t="s">
        <v>345</v>
      </c>
      <c r="BA119" s="10" t="s">
        <v>63</v>
      </c>
      <c r="BC119" s="28">
        <f t="shared" si="111"/>
        <v>0</v>
      </c>
      <c r="BD119" s="28">
        <f t="shared" si="112"/>
        <v>0</v>
      </c>
      <c r="BE119" s="28">
        <v>0</v>
      </c>
      <c r="BF119" s="28">
        <f>119</f>
        <v>119</v>
      </c>
      <c r="BH119" s="28">
        <f t="shared" si="113"/>
        <v>0</v>
      </c>
      <c r="BI119" s="28">
        <f t="shared" si="114"/>
        <v>0</v>
      </c>
      <c r="BJ119" s="28">
        <f t="shared" si="115"/>
        <v>0</v>
      </c>
      <c r="BK119" s="28"/>
      <c r="BL119" s="28"/>
      <c r="BW119" s="28">
        <v>21</v>
      </c>
      <c r="BX119" s="4" t="s">
        <v>375</v>
      </c>
    </row>
    <row r="120" spans="1:76" x14ac:dyDescent="0.25">
      <c r="A120" s="34" t="s">
        <v>376</v>
      </c>
      <c r="B120" s="35" t="s">
        <v>377</v>
      </c>
      <c r="C120" s="245" t="s">
        <v>378</v>
      </c>
      <c r="D120" s="246"/>
      <c r="E120" s="35" t="s">
        <v>164</v>
      </c>
      <c r="F120" s="36">
        <v>40</v>
      </c>
      <c r="G120" s="173">
        <v>0</v>
      </c>
      <c r="H120" s="36">
        <f t="shared" si="92"/>
        <v>0</v>
      </c>
      <c r="I120" s="36">
        <f t="shared" si="93"/>
        <v>0</v>
      </c>
      <c r="J120" s="36">
        <f t="shared" si="94"/>
        <v>0</v>
      </c>
      <c r="K120" s="37" t="s">
        <v>60</v>
      </c>
      <c r="Z120" s="28">
        <f t="shared" si="95"/>
        <v>0</v>
      </c>
      <c r="AB120" s="28">
        <f t="shared" si="96"/>
        <v>0</v>
      </c>
      <c r="AC120" s="28">
        <f t="shared" si="97"/>
        <v>0</v>
      </c>
      <c r="AD120" s="28">
        <f t="shared" si="98"/>
        <v>0</v>
      </c>
      <c r="AE120" s="28">
        <f t="shared" si="99"/>
        <v>0</v>
      </c>
      <c r="AF120" s="28">
        <f t="shared" si="100"/>
        <v>0</v>
      </c>
      <c r="AG120" s="28">
        <f t="shared" si="101"/>
        <v>0</v>
      </c>
      <c r="AH120" s="28">
        <f t="shared" si="102"/>
        <v>0</v>
      </c>
      <c r="AI120" s="10" t="s">
        <v>53</v>
      </c>
      <c r="AJ120" s="28">
        <f t="shared" si="103"/>
        <v>0</v>
      </c>
      <c r="AK120" s="28">
        <f t="shared" si="104"/>
        <v>0</v>
      </c>
      <c r="AL120" s="28">
        <f t="shared" si="105"/>
        <v>0</v>
      </c>
      <c r="AN120" s="28">
        <v>21</v>
      </c>
      <c r="AO120" s="28">
        <f t="shared" si="106"/>
        <v>0</v>
      </c>
      <c r="AP120" s="28">
        <f t="shared" si="107"/>
        <v>0</v>
      </c>
      <c r="AQ120" s="29" t="s">
        <v>343</v>
      </c>
      <c r="AV120" s="28">
        <f t="shared" si="108"/>
        <v>0</v>
      </c>
      <c r="AW120" s="28">
        <f t="shared" si="109"/>
        <v>0</v>
      </c>
      <c r="AX120" s="28">
        <f t="shared" si="110"/>
        <v>0</v>
      </c>
      <c r="AY120" s="29" t="s">
        <v>344</v>
      </c>
      <c r="AZ120" s="29" t="s">
        <v>345</v>
      </c>
      <c r="BA120" s="10" t="s">
        <v>63</v>
      </c>
      <c r="BC120" s="28">
        <f t="shared" si="111"/>
        <v>0</v>
      </c>
      <c r="BD120" s="28">
        <f t="shared" si="112"/>
        <v>0</v>
      </c>
      <c r="BE120" s="28">
        <v>0</v>
      </c>
      <c r="BF120" s="28">
        <f>120</f>
        <v>120</v>
      </c>
      <c r="BH120" s="28">
        <f t="shared" si="113"/>
        <v>0</v>
      </c>
      <c r="BI120" s="28">
        <f t="shared" si="114"/>
        <v>0</v>
      </c>
      <c r="BJ120" s="28">
        <f t="shared" si="115"/>
        <v>0</v>
      </c>
      <c r="BK120" s="28"/>
      <c r="BL120" s="28"/>
      <c r="BW120" s="28">
        <v>21</v>
      </c>
      <c r="BX120" s="4" t="s">
        <v>378</v>
      </c>
    </row>
    <row r="121" spans="1:76" x14ac:dyDescent="0.25">
      <c r="A121" s="43" t="s">
        <v>255</v>
      </c>
      <c r="B121" s="44" t="s">
        <v>379</v>
      </c>
      <c r="C121" s="243" t="s">
        <v>380</v>
      </c>
      <c r="D121" s="244"/>
      <c r="E121" s="44" t="s">
        <v>164</v>
      </c>
      <c r="F121" s="45">
        <v>12</v>
      </c>
      <c r="G121" s="174">
        <v>0</v>
      </c>
      <c r="H121" s="45">
        <f t="shared" si="92"/>
        <v>0</v>
      </c>
      <c r="I121" s="45">
        <f t="shared" si="93"/>
        <v>0</v>
      </c>
      <c r="J121" s="45">
        <f t="shared" si="94"/>
        <v>0</v>
      </c>
      <c r="K121" s="46" t="s">
        <v>60</v>
      </c>
      <c r="Z121" s="28">
        <f t="shared" si="95"/>
        <v>0</v>
      </c>
      <c r="AB121" s="28">
        <f t="shared" si="96"/>
        <v>0</v>
      </c>
      <c r="AC121" s="28">
        <f t="shared" si="97"/>
        <v>0</v>
      </c>
      <c r="AD121" s="28">
        <f t="shared" si="98"/>
        <v>0</v>
      </c>
      <c r="AE121" s="28">
        <f t="shared" si="99"/>
        <v>0</v>
      </c>
      <c r="AF121" s="28">
        <f t="shared" si="100"/>
        <v>0</v>
      </c>
      <c r="AG121" s="28">
        <f t="shared" si="101"/>
        <v>0</v>
      </c>
      <c r="AH121" s="28">
        <f t="shared" si="102"/>
        <v>0</v>
      </c>
      <c r="AI121" s="10" t="s">
        <v>53</v>
      </c>
      <c r="AJ121" s="28">
        <f t="shared" si="103"/>
        <v>0</v>
      </c>
      <c r="AK121" s="28">
        <f t="shared" si="104"/>
        <v>0</v>
      </c>
      <c r="AL121" s="28">
        <f t="shared" si="105"/>
        <v>0</v>
      </c>
      <c r="AN121" s="28">
        <v>21</v>
      </c>
      <c r="AO121" s="28">
        <f t="shared" si="106"/>
        <v>0</v>
      </c>
      <c r="AP121" s="28">
        <f t="shared" si="107"/>
        <v>0</v>
      </c>
      <c r="AQ121" s="29" t="s">
        <v>343</v>
      </c>
      <c r="AV121" s="28">
        <f t="shared" si="108"/>
        <v>0</v>
      </c>
      <c r="AW121" s="28">
        <f t="shared" si="109"/>
        <v>0</v>
      </c>
      <c r="AX121" s="28">
        <f t="shared" si="110"/>
        <v>0</v>
      </c>
      <c r="AY121" s="29" t="s">
        <v>344</v>
      </c>
      <c r="AZ121" s="29" t="s">
        <v>345</v>
      </c>
      <c r="BA121" s="10" t="s">
        <v>63</v>
      </c>
      <c r="BC121" s="28">
        <f t="shared" si="111"/>
        <v>0</v>
      </c>
      <c r="BD121" s="28">
        <f t="shared" si="112"/>
        <v>0</v>
      </c>
      <c r="BE121" s="28">
        <v>0</v>
      </c>
      <c r="BF121" s="28">
        <f>121</f>
        <v>121</v>
      </c>
      <c r="BH121" s="28">
        <f t="shared" si="113"/>
        <v>0</v>
      </c>
      <c r="BI121" s="28">
        <f t="shared" si="114"/>
        <v>0</v>
      </c>
      <c r="BJ121" s="28">
        <f t="shared" si="115"/>
        <v>0</v>
      </c>
      <c r="BK121" s="28"/>
      <c r="BL121" s="28"/>
      <c r="BW121" s="28">
        <v>21</v>
      </c>
      <c r="BX121" s="4" t="s">
        <v>380</v>
      </c>
    </row>
    <row r="122" spans="1:76" x14ac:dyDescent="0.25">
      <c r="A122" s="2" t="s">
        <v>381</v>
      </c>
      <c r="B122" s="3" t="s">
        <v>382</v>
      </c>
      <c r="C122" s="181" t="s">
        <v>383</v>
      </c>
      <c r="D122" s="182"/>
      <c r="E122" s="3" t="s">
        <v>164</v>
      </c>
      <c r="F122" s="28">
        <v>1</v>
      </c>
      <c r="G122" s="175">
        <v>0</v>
      </c>
      <c r="H122" s="28">
        <f t="shared" si="92"/>
        <v>0</v>
      </c>
      <c r="I122" s="28">
        <f t="shared" si="93"/>
        <v>0</v>
      </c>
      <c r="J122" s="28">
        <f t="shared" si="94"/>
        <v>0</v>
      </c>
      <c r="K122" s="47" t="s">
        <v>60</v>
      </c>
      <c r="Z122" s="28">
        <f t="shared" si="95"/>
        <v>0</v>
      </c>
      <c r="AB122" s="28">
        <f t="shared" si="96"/>
        <v>0</v>
      </c>
      <c r="AC122" s="28">
        <f t="shared" si="97"/>
        <v>0</v>
      </c>
      <c r="AD122" s="28">
        <f t="shared" si="98"/>
        <v>0</v>
      </c>
      <c r="AE122" s="28">
        <f t="shared" si="99"/>
        <v>0</v>
      </c>
      <c r="AF122" s="28">
        <f t="shared" si="100"/>
        <v>0</v>
      </c>
      <c r="AG122" s="28">
        <f t="shared" si="101"/>
        <v>0</v>
      </c>
      <c r="AH122" s="28">
        <f t="shared" si="102"/>
        <v>0</v>
      </c>
      <c r="AI122" s="10" t="s">
        <v>53</v>
      </c>
      <c r="AJ122" s="28">
        <f t="shared" si="103"/>
        <v>0</v>
      </c>
      <c r="AK122" s="28">
        <f t="shared" si="104"/>
        <v>0</v>
      </c>
      <c r="AL122" s="28">
        <f t="shared" si="105"/>
        <v>0</v>
      </c>
      <c r="AN122" s="28">
        <v>21</v>
      </c>
      <c r="AO122" s="28">
        <f t="shared" si="106"/>
        <v>0</v>
      </c>
      <c r="AP122" s="28">
        <f t="shared" si="107"/>
        <v>0</v>
      </c>
      <c r="AQ122" s="29" t="s">
        <v>343</v>
      </c>
      <c r="AV122" s="28">
        <f t="shared" si="108"/>
        <v>0</v>
      </c>
      <c r="AW122" s="28">
        <f t="shared" si="109"/>
        <v>0</v>
      </c>
      <c r="AX122" s="28">
        <f t="shared" si="110"/>
        <v>0</v>
      </c>
      <c r="AY122" s="29" t="s">
        <v>344</v>
      </c>
      <c r="AZ122" s="29" t="s">
        <v>345</v>
      </c>
      <c r="BA122" s="10" t="s">
        <v>63</v>
      </c>
      <c r="BC122" s="28">
        <f t="shared" si="111"/>
        <v>0</v>
      </c>
      <c r="BD122" s="28">
        <f t="shared" si="112"/>
        <v>0</v>
      </c>
      <c r="BE122" s="28">
        <v>0</v>
      </c>
      <c r="BF122" s="28">
        <f>122</f>
        <v>122</v>
      </c>
      <c r="BH122" s="28">
        <f t="shared" si="113"/>
        <v>0</v>
      </c>
      <c r="BI122" s="28">
        <f t="shared" si="114"/>
        <v>0</v>
      </c>
      <c r="BJ122" s="28">
        <f t="shared" si="115"/>
        <v>0</v>
      </c>
      <c r="BK122" s="28"/>
      <c r="BL122" s="28"/>
      <c r="BW122" s="28">
        <v>21</v>
      </c>
      <c r="BX122" s="4" t="s">
        <v>383</v>
      </c>
    </row>
    <row r="123" spans="1:76" x14ac:dyDescent="0.25">
      <c r="A123" s="2" t="s">
        <v>269</v>
      </c>
      <c r="B123" s="3" t="s">
        <v>384</v>
      </c>
      <c r="C123" s="181" t="s">
        <v>385</v>
      </c>
      <c r="D123" s="182"/>
      <c r="E123" s="3" t="s">
        <v>164</v>
      </c>
      <c r="F123" s="28">
        <v>1</v>
      </c>
      <c r="G123" s="175">
        <v>0</v>
      </c>
      <c r="H123" s="28">
        <f t="shared" si="92"/>
        <v>0</v>
      </c>
      <c r="I123" s="28">
        <f t="shared" si="93"/>
        <v>0</v>
      </c>
      <c r="J123" s="28">
        <f t="shared" si="94"/>
        <v>0</v>
      </c>
      <c r="K123" s="47" t="s">
        <v>60</v>
      </c>
      <c r="Z123" s="28">
        <f t="shared" si="95"/>
        <v>0</v>
      </c>
      <c r="AB123" s="28">
        <f t="shared" si="96"/>
        <v>0</v>
      </c>
      <c r="AC123" s="28">
        <f t="shared" si="97"/>
        <v>0</v>
      </c>
      <c r="AD123" s="28">
        <f t="shared" si="98"/>
        <v>0</v>
      </c>
      <c r="AE123" s="28">
        <f t="shared" si="99"/>
        <v>0</v>
      </c>
      <c r="AF123" s="28">
        <f t="shared" si="100"/>
        <v>0</v>
      </c>
      <c r="AG123" s="28">
        <f t="shared" si="101"/>
        <v>0</v>
      </c>
      <c r="AH123" s="28">
        <f t="shared" si="102"/>
        <v>0</v>
      </c>
      <c r="AI123" s="10" t="s">
        <v>53</v>
      </c>
      <c r="AJ123" s="28">
        <f t="shared" si="103"/>
        <v>0</v>
      </c>
      <c r="AK123" s="28">
        <f t="shared" si="104"/>
        <v>0</v>
      </c>
      <c r="AL123" s="28">
        <f t="shared" si="105"/>
        <v>0</v>
      </c>
      <c r="AN123" s="28">
        <v>21</v>
      </c>
      <c r="AO123" s="28">
        <f t="shared" si="106"/>
        <v>0</v>
      </c>
      <c r="AP123" s="28">
        <f t="shared" si="107"/>
        <v>0</v>
      </c>
      <c r="AQ123" s="29" t="s">
        <v>343</v>
      </c>
      <c r="AV123" s="28">
        <f t="shared" si="108"/>
        <v>0</v>
      </c>
      <c r="AW123" s="28">
        <f t="shared" si="109"/>
        <v>0</v>
      </c>
      <c r="AX123" s="28">
        <f t="shared" si="110"/>
        <v>0</v>
      </c>
      <c r="AY123" s="29" t="s">
        <v>344</v>
      </c>
      <c r="AZ123" s="29" t="s">
        <v>345</v>
      </c>
      <c r="BA123" s="10" t="s">
        <v>63</v>
      </c>
      <c r="BC123" s="28">
        <f t="shared" si="111"/>
        <v>0</v>
      </c>
      <c r="BD123" s="28">
        <f t="shared" si="112"/>
        <v>0</v>
      </c>
      <c r="BE123" s="28">
        <v>0</v>
      </c>
      <c r="BF123" s="28">
        <f>123</f>
        <v>123</v>
      </c>
      <c r="BH123" s="28">
        <f t="shared" si="113"/>
        <v>0</v>
      </c>
      <c r="BI123" s="28">
        <f t="shared" si="114"/>
        <v>0</v>
      </c>
      <c r="BJ123" s="28">
        <f t="shared" si="115"/>
        <v>0</v>
      </c>
      <c r="BK123" s="28"/>
      <c r="BL123" s="28"/>
      <c r="BW123" s="28">
        <v>21</v>
      </c>
      <c r="BX123" s="4" t="s">
        <v>385</v>
      </c>
    </row>
    <row r="124" spans="1:76" x14ac:dyDescent="0.25">
      <c r="A124" s="2" t="s">
        <v>386</v>
      </c>
      <c r="B124" s="3" t="s">
        <v>387</v>
      </c>
      <c r="C124" s="181" t="s">
        <v>388</v>
      </c>
      <c r="D124" s="182"/>
      <c r="E124" s="3" t="s">
        <v>164</v>
      </c>
      <c r="F124" s="28">
        <v>1</v>
      </c>
      <c r="G124" s="175">
        <v>0</v>
      </c>
      <c r="H124" s="28">
        <f t="shared" si="92"/>
        <v>0</v>
      </c>
      <c r="I124" s="28">
        <f t="shared" si="93"/>
        <v>0</v>
      </c>
      <c r="J124" s="28">
        <f t="shared" si="94"/>
        <v>0</v>
      </c>
      <c r="K124" s="47" t="s">
        <v>60</v>
      </c>
      <c r="Z124" s="28">
        <f t="shared" si="95"/>
        <v>0</v>
      </c>
      <c r="AB124" s="28">
        <f t="shared" si="96"/>
        <v>0</v>
      </c>
      <c r="AC124" s="28">
        <f t="shared" si="97"/>
        <v>0</v>
      </c>
      <c r="AD124" s="28">
        <f t="shared" si="98"/>
        <v>0</v>
      </c>
      <c r="AE124" s="28">
        <f t="shared" si="99"/>
        <v>0</v>
      </c>
      <c r="AF124" s="28">
        <f t="shared" si="100"/>
        <v>0</v>
      </c>
      <c r="AG124" s="28">
        <f t="shared" si="101"/>
        <v>0</v>
      </c>
      <c r="AH124" s="28">
        <f t="shared" si="102"/>
        <v>0</v>
      </c>
      <c r="AI124" s="10" t="s">
        <v>53</v>
      </c>
      <c r="AJ124" s="28">
        <f t="shared" si="103"/>
        <v>0</v>
      </c>
      <c r="AK124" s="28">
        <f t="shared" si="104"/>
        <v>0</v>
      </c>
      <c r="AL124" s="28">
        <f t="shared" si="105"/>
        <v>0</v>
      </c>
      <c r="AN124" s="28">
        <v>21</v>
      </c>
      <c r="AO124" s="28">
        <f t="shared" si="106"/>
        <v>0</v>
      </c>
      <c r="AP124" s="28">
        <f t="shared" si="107"/>
        <v>0</v>
      </c>
      <c r="AQ124" s="29" t="s">
        <v>343</v>
      </c>
      <c r="AV124" s="28">
        <f t="shared" si="108"/>
        <v>0</v>
      </c>
      <c r="AW124" s="28">
        <f t="shared" si="109"/>
        <v>0</v>
      </c>
      <c r="AX124" s="28">
        <f t="shared" si="110"/>
        <v>0</v>
      </c>
      <c r="AY124" s="29" t="s">
        <v>344</v>
      </c>
      <c r="AZ124" s="29" t="s">
        <v>345</v>
      </c>
      <c r="BA124" s="10" t="s">
        <v>63</v>
      </c>
      <c r="BC124" s="28">
        <f t="shared" si="111"/>
        <v>0</v>
      </c>
      <c r="BD124" s="28">
        <f t="shared" si="112"/>
        <v>0</v>
      </c>
      <c r="BE124" s="28">
        <v>0</v>
      </c>
      <c r="BF124" s="28">
        <f>124</f>
        <v>124</v>
      </c>
      <c r="BH124" s="28">
        <f t="shared" si="113"/>
        <v>0</v>
      </c>
      <c r="BI124" s="28">
        <f t="shared" si="114"/>
        <v>0</v>
      </c>
      <c r="BJ124" s="28">
        <f t="shared" si="115"/>
        <v>0</v>
      </c>
      <c r="BK124" s="28"/>
      <c r="BL124" s="28"/>
      <c r="BW124" s="28">
        <v>21</v>
      </c>
      <c r="BX124" s="4" t="s">
        <v>388</v>
      </c>
    </row>
    <row r="125" spans="1:76" x14ac:dyDescent="0.25">
      <c r="A125" s="2" t="s">
        <v>299</v>
      </c>
      <c r="B125" s="3" t="s">
        <v>389</v>
      </c>
      <c r="C125" s="181" t="s">
        <v>390</v>
      </c>
      <c r="D125" s="182"/>
      <c r="E125" s="3" t="s">
        <v>164</v>
      </c>
      <c r="F125" s="28">
        <v>1</v>
      </c>
      <c r="G125" s="175">
        <v>0</v>
      </c>
      <c r="H125" s="28">
        <f t="shared" si="92"/>
        <v>0</v>
      </c>
      <c r="I125" s="28">
        <f t="shared" si="93"/>
        <v>0</v>
      </c>
      <c r="J125" s="28">
        <f t="shared" si="94"/>
        <v>0</v>
      </c>
      <c r="K125" s="47" t="s">
        <v>60</v>
      </c>
      <c r="Z125" s="28">
        <f t="shared" si="95"/>
        <v>0</v>
      </c>
      <c r="AB125" s="28">
        <f t="shared" si="96"/>
        <v>0</v>
      </c>
      <c r="AC125" s="28">
        <f t="shared" si="97"/>
        <v>0</v>
      </c>
      <c r="AD125" s="28">
        <f t="shared" si="98"/>
        <v>0</v>
      </c>
      <c r="AE125" s="28">
        <f t="shared" si="99"/>
        <v>0</v>
      </c>
      <c r="AF125" s="28">
        <f t="shared" si="100"/>
        <v>0</v>
      </c>
      <c r="AG125" s="28">
        <f t="shared" si="101"/>
        <v>0</v>
      </c>
      <c r="AH125" s="28">
        <f t="shared" si="102"/>
        <v>0</v>
      </c>
      <c r="AI125" s="10" t="s">
        <v>53</v>
      </c>
      <c r="AJ125" s="28">
        <f t="shared" si="103"/>
        <v>0</v>
      </c>
      <c r="AK125" s="28">
        <f t="shared" si="104"/>
        <v>0</v>
      </c>
      <c r="AL125" s="28">
        <f t="shared" si="105"/>
        <v>0</v>
      </c>
      <c r="AN125" s="28">
        <v>21</v>
      </c>
      <c r="AO125" s="28">
        <f t="shared" si="106"/>
        <v>0</v>
      </c>
      <c r="AP125" s="28">
        <f t="shared" si="107"/>
        <v>0</v>
      </c>
      <c r="AQ125" s="29" t="s">
        <v>343</v>
      </c>
      <c r="AV125" s="28">
        <f t="shared" si="108"/>
        <v>0</v>
      </c>
      <c r="AW125" s="28">
        <f t="shared" si="109"/>
        <v>0</v>
      </c>
      <c r="AX125" s="28">
        <f t="shared" si="110"/>
        <v>0</v>
      </c>
      <c r="AY125" s="29" t="s">
        <v>344</v>
      </c>
      <c r="AZ125" s="29" t="s">
        <v>345</v>
      </c>
      <c r="BA125" s="10" t="s">
        <v>63</v>
      </c>
      <c r="BC125" s="28">
        <f t="shared" si="111"/>
        <v>0</v>
      </c>
      <c r="BD125" s="28">
        <f t="shared" si="112"/>
        <v>0</v>
      </c>
      <c r="BE125" s="28">
        <v>0</v>
      </c>
      <c r="BF125" s="28">
        <f>125</f>
        <v>125</v>
      </c>
      <c r="BH125" s="28">
        <f t="shared" si="113"/>
        <v>0</v>
      </c>
      <c r="BI125" s="28">
        <f t="shared" si="114"/>
        <v>0</v>
      </c>
      <c r="BJ125" s="28">
        <f t="shared" si="115"/>
        <v>0</v>
      </c>
      <c r="BK125" s="28"/>
      <c r="BL125" s="28"/>
      <c r="BW125" s="28">
        <v>21</v>
      </c>
      <c r="BX125" s="4" t="s">
        <v>390</v>
      </c>
    </row>
    <row r="126" spans="1:76" x14ac:dyDescent="0.25">
      <c r="A126" s="24" t="s">
        <v>391</v>
      </c>
      <c r="B126" s="25" t="s">
        <v>392</v>
      </c>
      <c r="C126" s="237" t="s">
        <v>393</v>
      </c>
      <c r="D126" s="238"/>
      <c r="E126" s="25" t="s">
        <v>164</v>
      </c>
      <c r="F126" s="26">
        <v>1</v>
      </c>
      <c r="G126" s="171">
        <v>0</v>
      </c>
      <c r="H126" s="26">
        <f t="shared" si="92"/>
        <v>0</v>
      </c>
      <c r="I126" s="26">
        <f t="shared" si="93"/>
        <v>0</v>
      </c>
      <c r="J126" s="26">
        <f t="shared" si="94"/>
        <v>0</v>
      </c>
      <c r="K126" s="27" t="s">
        <v>60</v>
      </c>
      <c r="Z126" s="28">
        <f t="shared" si="95"/>
        <v>0</v>
      </c>
      <c r="AB126" s="28">
        <f t="shared" si="96"/>
        <v>0</v>
      </c>
      <c r="AC126" s="28">
        <f t="shared" si="97"/>
        <v>0</v>
      </c>
      <c r="AD126" s="28">
        <f t="shared" si="98"/>
        <v>0</v>
      </c>
      <c r="AE126" s="28">
        <f t="shared" si="99"/>
        <v>0</v>
      </c>
      <c r="AF126" s="28">
        <f t="shared" si="100"/>
        <v>0</v>
      </c>
      <c r="AG126" s="28">
        <f t="shared" si="101"/>
        <v>0</v>
      </c>
      <c r="AH126" s="28">
        <f t="shared" si="102"/>
        <v>0</v>
      </c>
      <c r="AI126" s="10" t="s">
        <v>53</v>
      </c>
      <c r="AJ126" s="28">
        <f t="shared" si="103"/>
        <v>0</v>
      </c>
      <c r="AK126" s="28">
        <f t="shared" si="104"/>
        <v>0</v>
      </c>
      <c r="AL126" s="28">
        <f t="shared" si="105"/>
        <v>0</v>
      </c>
      <c r="AN126" s="28">
        <v>21</v>
      </c>
      <c r="AO126" s="28">
        <f t="shared" si="106"/>
        <v>0</v>
      </c>
      <c r="AP126" s="28">
        <f t="shared" si="107"/>
        <v>0</v>
      </c>
      <c r="AQ126" s="29" t="s">
        <v>343</v>
      </c>
      <c r="AV126" s="28">
        <f t="shared" si="108"/>
        <v>0</v>
      </c>
      <c r="AW126" s="28">
        <f t="shared" si="109"/>
        <v>0</v>
      </c>
      <c r="AX126" s="28">
        <f t="shared" si="110"/>
        <v>0</v>
      </c>
      <c r="AY126" s="29" t="s">
        <v>344</v>
      </c>
      <c r="AZ126" s="29" t="s">
        <v>345</v>
      </c>
      <c r="BA126" s="10" t="s">
        <v>63</v>
      </c>
      <c r="BC126" s="28">
        <f t="shared" si="111"/>
        <v>0</v>
      </c>
      <c r="BD126" s="28">
        <f t="shared" si="112"/>
        <v>0</v>
      </c>
      <c r="BE126" s="28">
        <v>0</v>
      </c>
      <c r="BF126" s="28">
        <f>126</f>
        <v>126</v>
      </c>
      <c r="BH126" s="28">
        <f t="shared" si="113"/>
        <v>0</v>
      </c>
      <c r="BI126" s="28">
        <f t="shared" si="114"/>
        <v>0</v>
      </c>
      <c r="BJ126" s="28">
        <f t="shared" si="115"/>
        <v>0</v>
      </c>
      <c r="BK126" s="28"/>
      <c r="BL126" s="28"/>
      <c r="BW126" s="28">
        <v>21</v>
      </c>
      <c r="BX126" s="4" t="s">
        <v>393</v>
      </c>
    </row>
    <row r="127" spans="1:76" x14ac:dyDescent="0.25">
      <c r="A127" s="30" t="s">
        <v>394</v>
      </c>
      <c r="B127" s="31" t="s">
        <v>395</v>
      </c>
      <c r="C127" s="239" t="s">
        <v>396</v>
      </c>
      <c r="D127" s="240"/>
      <c r="E127" s="31" t="s">
        <v>164</v>
      </c>
      <c r="F127" s="32">
        <v>1</v>
      </c>
      <c r="G127" s="172">
        <v>0</v>
      </c>
      <c r="H127" s="32">
        <f t="shared" si="92"/>
        <v>0</v>
      </c>
      <c r="I127" s="32">
        <f t="shared" si="93"/>
        <v>0</v>
      </c>
      <c r="J127" s="32">
        <f t="shared" si="94"/>
        <v>0</v>
      </c>
      <c r="K127" s="33" t="s">
        <v>60</v>
      </c>
      <c r="Z127" s="28">
        <f t="shared" si="95"/>
        <v>0</v>
      </c>
      <c r="AB127" s="28">
        <f t="shared" si="96"/>
        <v>0</v>
      </c>
      <c r="AC127" s="28">
        <f t="shared" si="97"/>
        <v>0</v>
      </c>
      <c r="AD127" s="28">
        <f t="shared" si="98"/>
        <v>0</v>
      </c>
      <c r="AE127" s="28">
        <f t="shared" si="99"/>
        <v>0</v>
      </c>
      <c r="AF127" s="28">
        <f t="shared" si="100"/>
        <v>0</v>
      </c>
      <c r="AG127" s="28">
        <f t="shared" si="101"/>
        <v>0</v>
      </c>
      <c r="AH127" s="28">
        <f t="shared" si="102"/>
        <v>0</v>
      </c>
      <c r="AI127" s="10" t="s">
        <v>53</v>
      </c>
      <c r="AJ127" s="28">
        <f t="shared" si="103"/>
        <v>0</v>
      </c>
      <c r="AK127" s="28">
        <f t="shared" si="104"/>
        <v>0</v>
      </c>
      <c r="AL127" s="28">
        <f t="shared" si="105"/>
        <v>0</v>
      </c>
      <c r="AN127" s="28">
        <v>21</v>
      </c>
      <c r="AO127" s="28">
        <f t="shared" si="106"/>
        <v>0</v>
      </c>
      <c r="AP127" s="28">
        <f t="shared" si="107"/>
        <v>0</v>
      </c>
      <c r="AQ127" s="29" t="s">
        <v>343</v>
      </c>
      <c r="AV127" s="28">
        <f t="shared" si="108"/>
        <v>0</v>
      </c>
      <c r="AW127" s="28">
        <f t="shared" si="109"/>
        <v>0</v>
      </c>
      <c r="AX127" s="28">
        <f t="shared" si="110"/>
        <v>0</v>
      </c>
      <c r="AY127" s="29" t="s">
        <v>344</v>
      </c>
      <c r="AZ127" s="29" t="s">
        <v>345</v>
      </c>
      <c r="BA127" s="10" t="s">
        <v>63</v>
      </c>
      <c r="BC127" s="28">
        <f t="shared" si="111"/>
        <v>0</v>
      </c>
      <c r="BD127" s="28">
        <f t="shared" si="112"/>
        <v>0</v>
      </c>
      <c r="BE127" s="28">
        <v>0</v>
      </c>
      <c r="BF127" s="28">
        <f>127</f>
        <v>127</v>
      </c>
      <c r="BH127" s="28">
        <f t="shared" si="113"/>
        <v>0</v>
      </c>
      <c r="BI127" s="28">
        <f t="shared" si="114"/>
        <v>0</v>
      </c>
      <c r="BJ127" s="28">
        <f t="shared" si="115"/>
        <v>0</v>
      </c>
      <c r="BK127" s="28"/>
      <c r="BL127" s="28"/>
      <c r="BW127" s="28">
        <v>21</v>
      </c>
      <c r="BX127" s="4" t="s">
        <v>396</v>
      </c>
    </row>
    <row r="128" spans="1:76" x14ac:dyDescent="0.25">
      <c r="A128" s="43" t="s">
        <v>305</v>
      </c>
      <c r="B128" s="44" t="s">
        <v>397</v>
      </c>
      <c r="C128" s="243" t="s">
        <v>398</v>
      </c>
      <c r="D128" s="244"/>
      <c r="E128" s="44" t="s">
        <v>164</v>
      </c>
      <c r="F128" s="45">
        <v>4</v>
      </c>
      <c r="G128" s="174">
        <v>0</v>
      </c>
      <c r="H128" s="45">
        <f t="shared" si="92"/>
        <v>0</v>
      </c>
      <c r="I128" s="45">
        <f t="shared" si="93"/>
        <v>0</v>
      </c>
      <c r="J128" s="45">
        <f t="shared" si="94"/>
        <v>0</v>
      </c>
      <c r="K128" s="46" t="s">
        <v>53</v>
      </c>
      <c r="Z128" s="28">
        <f t="shared" si="95"/>
        <v>0</v>
      </c>
      <c r="AB128" s="28">
        <f t="shared" si="96"/>
        <v>0</v>
      </c>
      <c r="AC128" s="28">
        <f t="shared" si="97"/>
        <v>0</v>
      </c>
      <c r="AD128" s="28">
        <f t="shared" si="98"/>
        <v>0</v>
      </c>
      <c r="AE128" s="28">
        <f t="shared" si="99"/>
        <v>0</v>
      </c>
      <c r="AF128" s="28">
        <f t="shared" si="100"/>
        <v>0</v>
      </c>
      <c r="AG128" s="28">
        <f t="shared" si="101"/>
        <v>0</v>
      </c>
      <c r="AH128" s="28">
        <f t="shared" si="102"/>
        <v>0</v>
      </c>
      <c r="AI128" s="10" t="s">
        <v>53</v>
      </c>
      <c r="AJ128" s="28">
        <f t="shared" si="103"/>
        <v>0</v>
      </c>
      <c r="AK128" s="28">
        <f t="shared" si="104"/>
        <v>0</v>
      </c>
      <c r="AL128" s="28">
        <f t="shared" si="105"/>
        <v>0</v>
      </c>
      <c r="AN128" s="28">
        <v>21</v>
      </c>
      <c r="AO128" s="28">
        <f t="shared" si="106"/>
        <v>0</v>
      </c>
      <c r="AP128" s="28">
        <f t="shared" si="107"/>
        <v>0</v>
      </c>
      <c r="AQ128" s="29" t="s">
        <v>343</v>
      </c>
      <c r="AV128" s="28">
        <f t="shared" si="108"/>
        <v>0</v>
      </c>
      <c r="AW128" s="28">
        <f t="shared" si="109"/>
        <v>0</v>
      </c>
      <c r="AX128" s="28">
        <f t="shared" si="110"/>
        <v>0</v>
      </c>
      <c r="AY128" s="29" t="s">
        <v>344</v>
      </c>
      <c r="AZ128" s="29" t="s">
        <v>345</v>
      </c>
      <c r="BA128" s="10" t="s">
        <v>63</v>
      </c>
      <c r="BC128" s="28">
        <f t="shared" si="111"/>
        <v>0</v>
      </c>
      <c r="BD128" s="28">
        <f t="shared" si="112"/>
        <v>0</v>
      </c>
      <c r="BE128" s="28">
        <v>0</v>
      </c>
      <c r="BF128" s="28">
        <f>128</f>
        <v>128</v>
      </c>
      <c r="BH128" s="28">
        <f t="shared" si="113"/>
        <v>0</v>
      </c>
      <c r="BI128" s="28">
        <f t="shared" si="114"/>
        <v>0</v>
      </c>
      <c r="BJ128" s="28">
        <f t="shared" si="115"/>
        <v>0</v>
      </c>
      <c r="BK128" s="28"/>
      <c r="BL128" s="28"/>
      <c r="BW128" s="28">
        <v>21</v>
      </c>
      <c r="BX128" s="4" t="s">
        <v>398</v>
      </c>
    </row>
    <row r="129" spans="1:76" x14ac:dyDescent="0.25">
      <c r="A129" s="2" t="s">
        <v>399</v>
      </c>
      <c r="B129" s="3" t="s">
        <v>400</v>
      </c>
      <c r="C129" s="181" t="s">
        <v>401</v>
      </c>
      <c r="D129" s="182"/>
      <c r="E129" s="3" t="s">
        <v>164</v>
      </c>
      <c r="F129" s="28">
        <v>4</v>
      </c>
      <c r="G129" s="175">
        <v>0</v>
      </c>
      <c r="H129" s="28">
        <f t="shared" si="92"/>
        <v>0</v>
      </c>
      <c r="I129" s="28">
        <f t="shared" si="93"/>
        <v>0</v>
      </c>
      <c r="J129" s="28">
        <f t="shared" si="94"/>
        <v>0</v>
      </c>
      <c r="K129" s="47" t="s">
        <v>53</v>
      </c>
      <c r="Z129" s="28">
        <f t="shared" si="95"/>
        <v>0</v>
      </c>
      <c r="AB129" s="28">
        <f t="shared" si="96"/>
        <v>0</v>
      </c>
      <c r="AC129" s="28">
        <f t="shared" si="97"/>
        <v>0</v>
      </c>
      <c r="AD129" s="28">
        <f t="shared" si="98"/>
        <v>0</v>
      </c>
      <c r="AE129" s="28">
        <f t="shared" si="99"/>
        <v>0</v>
      </c>
      <c r="AF129" s="28">
        <f t="shared" si="100"/>
        <v>0</v>
      </c>
      <c r="AG129" s="28">
        <f t="shared" si="101"/>
        <v>0</v>
      </c>
      <c r="AH129" s="28">
        <f t="shared" si="102"/>
        <v>0</v>
      </c>
      <c r="AI129" s="10" t="s">
        <v>53</v>
      </c>
      <c r="AJ129" s="28">
        <f t="shared" si="103"/>
        <v>0</v>
      </c>
      <c r="AK129" s="28">
        <f t="shared" si="104"/>
        <v>0</v>
      </c>
      <c r="AL129" s="28">
        <f t="shared" si="105"/>
        <v>0</v>
      </c>
      <c r="AN129" s="28">
        <v>21</v>
      </c>
      <c r="AO129" s="28">
        <f t="shared" si="106"/>
        <v>0</v>
      </c>
      <c r="AP129" s="28">
        <f t="shared" si="107"/>
        <v>0</v>
      </c>
      <c r="AQ129" s="29" t="s">
        <v>343</v>
      </c>
      <c r="AV129" s="28">
        <f t="shared" si="108"/>
        <v>0</v>
      </c>
      <c r="AW129" s="28">
        <f t="shared" si="109"/>
        <v>0</v>
      </c>
      <c r="AX129" s="28">
        <f t="shared" si="110"/>
        <v>0</v>
      </c>
      <c r="AY129" s="29" t="s">
        <v>344</v>
      </c>
      <c r="AZ129" s="29" t="s">
        <v>345</v>
      </c>
      <c r="BA129" s="10" t="s">
        <v>63</v>
      </c>
      <c r="BC129" s="28">
        <f t="shared" si="111"/>
        <v>0</v>
      </c>
      <c r="BD129" s="28">
        <f t="shared" si="112"/>
        <v>0</v>
      </c>
      <c r="BE129" s="28">
        <v>0</v>
      </c>
      <c r="BF129" s="28">
        <f>129</f>
        <v>129</v>
      </c>
      <c r="BH129" s="28">
        <f t="shared" si="113"/>
        <v>0</v>
      </c>
      <c r="BI129" s="28">
        <f t="shared" si="114"/>
        <v>0</v>
      </c>
      <c r="BJ129" s="28">
        <f t="shared" si="115"/>
        <v>0</v>
      </c>
      <c r="BK129" s="28"/>
      <c r="BL129" s="28"/>
      <c r="BW129" s="28">
        <v>21</v>
      </c>
      <c r="BX129" s="4" t="s">
        <v>401</v>
      </c>
    </row>
    <row r="130" spans="1:76" x14ac:dyDescent="0.25">
      <c r="A130" s="24" t="s">
        <v>402</v>
      </c>
      <c r="B130" s="25" t="s">
        <v>403</v>
      </c>
      <c r="C130" s="237" t="s">
        <v>404</v>
      </c>
      <c r="D130" s="238"/>
      <c r="E130" s="25" t="s">
        <v>67</v>
      </c>
      <c r="F130" s="26">
        <v>13</v>
      </c>
      <c r="G130" s="171">
        <v>0</v>
      </c>
      <c r="H130" s="26">
        <f t="shared" si="92"/>
        <v>0</v>
      </c>
      <c r="I130" s="26">
        <f t="shared" si="93"/>
        <v>0</v>
      </c>
      <c r="J130" s="26">
        <f t="shared" si="94"/>
        <v>0</v>
      </c>
      <c r="K130" s="27" t="s">
        <v>60</v>
      </c>
      <c r="Z130" s="28">
        <f t="shared" si="95"/>
        <v>0</v>
      </c>
      <c r="AB130" s="28">
        <f t="shared" si="96"/>
        <v>0</v>
      </c>
      <c r="AC130" s="28">
        <f t="shared" si="97"/>
        <v>0</v>
      </c>
      <c r="AD130" s="28">
        <f t="shared" si="98"/>
        <v>0</v>
      </c>
      <c r="AE130" s="28">
        <f t="shared" si="99"/>
        <v>0</v>
      </c>
      <c r="AF130" s="28">
        <f t="shared" si="100"/>
        <v>0</v>
      </c>
      <c r="AG130" s="28">
        <f t="shared" si="101"/>
        <v>0</v>
      </c>
      <c r="AH130" s="28">
        <f t="shared" si="102"/>
        <v>0</v>
      </c>
      <c r="AI130" s="10" t="s">
        <v>53</v>
      </c>
      <c r="AJ130" s="28">
        <f t="shared" si="103"/>
        <v>0</v>
      </c>
      <c r="AK130" s="28">
        <f t="shared" si="104"/>
        <v>0</v>
      </c>
      <c r="AL130" s="28">
        <f t="shared" si="105"/>
        <v>0</v>
      </c>
      <c r="AN130" s="28">
        <v>21</v>
      </c>
      <c r="AO130" s="28">
        <f t="shared" si="106"/>
        <v>0</v>
      </c>
      <c r="AP130" s="28">
        <f t="shared" si="107"/>
        <v>0</v>
      </c>
      <c r="AQ130" s="29" t="s">
        <v>343</v>
      </c>
      <c r="AV130" s="28">
        <f t="shared" si="108"/>
        <v>0</v>
      </c>
      <c r="AW130" s="28">
        <f t="shared" si="109"/>
        <v>0</v>
      </c>
      <c r="AX130" s="28">
        <f t="shared" si="110"/>
        <v>0</v>
      </c>
      <c r="AY130" s="29" t="s">
        <v>344</v>
      </c>
      <c r="AZ130" s="29" t="s">
        <v>345</v>
      </c>
      <c r="BA130" s="10" t="s">
        <v>63</v>
      </c>
      <c r="BC130" s="28">
        <f t="shared" si="111"/>
        <v>0</v>
      </c>
      <c r="BD130" s="28">
        <f t="shared" si="112"/>
        <v>0</v>
      </c>
      <c r="BE130" s="28">
        <v>0</v>
      </c>
      <c r="BF130" s="28">
        <f>130</f>
        <v>130</v>
      </c>
      <c r="BH130" s="28">
        <f t="shared" si="113"/>
        <v>0</v>
      </c>
      <c r="BI130" s="28">
        <f t="shared" si="114"/>
        <v>0</v>
      </c>
      <c r="BJ130" s="28">
        <f t="shared" si="115"/>
        <v>0</v>
      </c>
      <c r="BK130" s="28"/>
      <c r="BL130" s="28"/>
      <c r="BW130" s="28">
        <v>21</v>
      </c>
      <c r="BX130" s="4" t="s">
        <v>404</v>
      </c>
    </row>
    <row r="131" spans="1:76" x14ac:dyDescent="0.25">
      <c r="A131" s="30" t="s">
        <v>405</v>
      </c>
      <c r="B131" s="31" t="s">
        <v>406</v>
      </c>
      <c r="C131" s="239" t="s">
        <v>407</v>
      </c>
      <c r="D131" s="240"/>
      <c r="E131" s="31" t="s">
        <v>408</v>
      </c>
      <c r="F131" s="32">
        <v>6.82</v>
      </c>
      <c r="G131" s="172">
        <v>0</v>
      </c>
      <c r="H131" s="32">
        <f t="shared" si="92"/>
        <v>0</v>
      </c>
      <c r="I131" s="32">
        <f t="shared" si="93"/>
        <v>0</v>
      </c>
      <c r="J131" s="32">
        <f t="shared" si="94"/>
        <v>0</v>
      </c>
      <c r="K131" s="33" t="s">
        <v>60</v>
      </c>
      <c r="Z131" s="28">
        <f t="shared" si="95"/>
        <v>0</v>
      </c>
      <c r="AB131" s="28">
        <f t="shared" si="96"/>
        <v>0</v>
      </c>
      <c r="AC131" s="28">
        <f t="shared" si="97"/>
        <v>0</v>
      </c>
      <c r="AD131" s="28">
        <f t="shared" si="98"/>
        <v>0</v>
      </c>
      <c r="AE131" s="28">
        <f t="shared" si="99"/>
        <v>0</v>
      </c>
      <c r="AF131" s="28">
        <f t="shared" si="100"/>
        <v>0</v>
      </c>
      <c r="AG131" s="28">
        <f t="shared" si="101"/>
        <v>0</v>
      </c>
      <c r="AH131" s="28">
        <f t="shared" si="102"/>
        <v>0</v>
      </c>
      <c r="AI131" s="10" t="s">
        <v>53</v>
      </c>
      <c r="AJ131" s="28">
        <f t="shared" si="103"/>
        <v>0</v>
      </c>
      <c r="AK131" s="28">
        <f t="shared" si="104"/>
        <v>0</v>
      </c>
      <c r="AL131" s="28">
        <f t="shared" si="105"/>
        <v>0</v>
      </c>
      <c r="AN131" s="28">
        <v>21</v>
      </c>
      <c r="AO131" s="28">
        <f t="shared" si="106"/>
        <v>0</v>
      </c>
      <c r="AP131" s="28">
        <f t="shared" si="107"/>
        <v>0</v>
      </c>
      <c r="AQ131" s="29" t="s">
        <v>343</v>
      </c>
      <c r="AV131" s="28">
        <f t="shared" si="108"/>
        <v>0</v>
      </c>
      <c r="AW131" s="28">
        <f t="shared" si="109"/>
        <v>0</v>
      </c>
      <c r="AX131" s="28">
        <f t="shared" si="110"/>
        <v>0</v>
      </c>
      <c r="AY131" s="29" t="s">
        <v>344</v>
      </c>
      <c r="AZ131" s="29" t="s">
        <v>345</v>
      </c>
      <c r="BA131" s="10" t="s">
        <v>63</v>
      </c>
      <c r="BC131" s="28">
        <f t="shared" si="111"/>
        <v>0</v>
      </c>
      <c r="BD131" s="28">
        <f t="shared" si="112"/>
        <v>0</v>
      </c>
      <c r="BE131" s="28">
        <v>0</v>
      </c>
      <c r="BF131" s="28">
        <f>131</f>
        <v>131</v>
      </c>
      <c r="BH131" s="28">
        <f t="shared" si="113"/>
        <v>0</v>
      </c>
      <c r="BI131" s="28">
        <f t="shared" si="114"/>
        <v>0</v>
      </c>
      <c r="BJ131" s="28">
        <f t="shared" si="115"/>
        <v>0</v>
      </c>
      <c r="BK131" s="28"/>
      <c r="BL131" s="28"/>
      <c r="BW131" s="28">
        <v>21</v>
      </c>
      <c r="BX131" s="4" t="s">
        <v>407</v>
      </c>
    </row>
    <row r="132" spans="1:76" x14ac:dyDescent="0.25">
      <c r="A132" s="61" t="s">
        <v>53</v>
      </c>
      <c r="B132" s="62" t="s">
        <v>409</v>
      </c>
      <c r="C132" s="241" t="s">
        <v>410</v>
      </c>
      <c r="D132" s="242"/>
      <c r="E132" s="63" t="s">
        <v>9</v>
      </c>
      <c r="F132" s="63" t="s">
        <v>9</v>
      </c>
      <c r="G132" s="63" t="s">
        <v>9</v>
      </c>
      <c r="H132" s="64">
        <f>H133+H135+H137</f>
        <v>0</v>
      </c>
      <c r="I132" s="64">
        <f>I133+I135+I137</f>
        <v>0</v>
      </c>
      <c r="J132" s="64">
        <f>J133+J135+J137</f>
        <v>0</v>
      </c>
      <c r="K132" s="65" t="s">
        <v>53</v>
      </c>
      <c r="AI132" s="10" t="s">
        <v>53</v>
      </c>
    </row>
    <row r="133" spans="1:76" x14ac:dyDescent="0.25">
      <c r="A133" s="48" t="s">
        <v>53</v>
      </c>
      <c r="B133" s="49" t="s">
        <v>411</v>
      </c>
      <c r="C133" s="233" t="s">
        <v>412</v>
      </c>
      <c r="D133" s="234"/>
      <c r="E133" s="50" t="s">
        <v>9</v>
      </c>
      <c r="F133" s="50" t="s">
        <v>9</v>
      </c>
      <c r="G133" s="50" t="s">
        <v>9</v>
      </c>
      <c r="H133" s="1">
        <f>SUM(H134:H134)</f>
        <v>0</v>
      </c>
      <c r="I133" s="1">
        <f>SUM(I134:I134)</f>
        <v>0</v>
      </c>
      <c r="J133" s="1">
        <f>SUM(J134:J134)</f>
        <v>0</v>
      </c>
      <c r="K133" s="51" t="s">
        <v>53</v>
      </c>
      <c r="AI133" s="10" t="s">
        <v>53</v>
      </c>
      <c r="AS133" s="1">
        <f>SUM(AJ134:AJ134)</f>
        <v>0</v>
      </c>
      <c r="AT133" s="1">
        <f>SUM(AK134:AK134)</f>
        <v>0</v>
      </c>
      <c r="AU133" s="1">
        <f>SUM(AL134:AL134)</f>
        <v>0</v>
      </c>
    </row>
    <row r="134" spans="1:76" x14ac:dyDescent="0.25">
      <c r="A134" s="2" t="s">
        <v>413</v>
      </c>
      <c r="B134" s="3" t="s">
        <v>414</v>
      </c>
      <c r="C134" s="181" t="s">
        <v>415</v>
      </c>
      <c r="D134" s="182"/>
      <c r="E134" s="3" t="s">
        <v>416</v>
      </c>
      <c r="F134" s="28">
        <v>1</v>
      </c>
      <c r="G134" s="175">
        <v>0</v>
      </c>
      <c r="H134" s="28">
        <f>F134*AO134</f>
        <v>0</v>
      </c>
      <c r="I134" s="28">
        <f>F134*AP134</f>
        <v>0</v>
      </c>
      <c r="J134" s="28">
        <f>F134*G134</f>
        <v>0</v>
      </c>
      <c r="K134" s="47" t="s">
        <v>53</v>
      </c>
      <c r="Z134" s="28">
        <f>IF(AQ134="5",BJ134,0)</f>
        <v>0</v>
      </c>
      <c r="AB134" s="28">
        <f>IF(AQ134="1",BH134,0)</f>
        <v>0</v>
      </c>
      <c r="AC134" s="28">
        <f>IF(AQ134="1",BI134,0)</f>
        <v>0</v>
      </c>
      <c r="AD134" s="28">
        <f>IF(AQ134="7",BH134,0)</f>
        <v>0</v>
      </c>
      <c r="AE134" s="28">
        <f>IF(AQ134="7",BI134,0)</f>
        <v>0</v>
      </c>
      <c r="AF134" s="28">
        <f>IF(AQ134="2",BH134,0)</f>
        <v>0</v>
      </c>
      <c r="AG134" s="28">
        <f>IF(AQ134="2",BI134,0)</f>
        <v>0</v>
      </c>
      <c r="AH134" s="28">
        <f>IF(AQ134="0",BJ134,0)</f>
        <v>0</v>
      </c>
      <c r="AI134" s="10" t="s">
        <v>53</v>
      </c>
      <c r="AJ134" s="28">
        <f>IF(AN134=0,J134,0)</f>
        <v>0</v>
      </c>
      <c r="AK134" s="28">
        <f>IF(AN134=12,J134,0)</f>
        <v>0</v>
      </c>
      <c r="AL134" s="28">
        <f>IF(AN134=21,J134,0)</f>
        <v>0</v>
      </c>
      <c r="AN134" s="28">
        <v>21</v>
      </c>
      <c r="AO134" s="28">
        <f>G134*0</f>
        <v>0</v>
      </c>
      <c r="AP134" s="28">
        <f>G134*(1-0)</f>
        <v>0</v>
      </c>
      <c r="AQ134" s="29" t="s">
        <v>405</v>
      </c>
      <c r="AV134" s="28">
        <f>AW134+AX134</f>
        <v>0</v>
      </c>
      <c r="AW134" s="28">
        <f>F134*AO134</f>
        <v>0</v>
      </c>
      <c r="AX134" s="28">
        <f>F134*AP134</f>
        <v>0</v>
      </c>
      <c r="AY134" s="29" t="s">
        <v>417</v>
      </c>
      <c r="AZ134" s="29" t="s">
        <v>418</v>
      </c>
      <c r="BA134" s="10" t="s">
        <v>63</v>
      </c>
      <c r="BC134" s="28">
        <f>AW134+AX134</f>
        <v>0</v>
      </c>
      <c r="BD134" s="28">
        <f>G134/(100-BE134)*100</f>
        <v>0</v>
      </c>
      <c r="BE134" s="28">
        <v>0</v>
      </c>
      <c r="BF134" s="28">
        <f>134</f>
        <v>134</v>
      </c>
      <c r="BH134" s="28">
        <f>F134*AO134</f>
        <v>0</v>
      </c>
      <c r="BI134" s="28">
        <f>F134*AP134</f>
        <v>0</v>
      </c>
      <c r="BJ134" s="28">
        <f>F134*G134</f>
        <v>0</v>
      </c>
      <c r="BK134" s="28"/>
      <c r="BL134" s="28"/>
      <c r="BM134" s="28">
        <f>F134*G134</f>
        <v>0</v>
      </c>
      <c r="BW134" s="28">
        <v>21</v>
      </c>
      <c r="BX134" s="4" t="s">
        <v>415</v>
      </c>
    </row>
    <row r="135" spans="1:76" x14ac:dyDescent="0.25">
      <c r="A135" s="48" t="s">
        <v>53</v>
      </c>
      <c r="B135" s="49" t="s">
        <v>419</v>
      </c>
      <c r="C135" s="233" t="s">
        <v>420</v>
      </c>
      <c r="D135" s="234"/>
      <c r="E135" s="50" t="s">
        <v>9</v>
      </c>
      <c r="F135" s="50" t="s">
        <v>9</v>
      </c>
      <c r="G135" s="50" t="s">
        <v>9</v>
      </c>
      <c r="H135" s="1">
        <f>SUM(H136:H136)</f>
        <v>0</v>
      </c>
      <c r="I135" s="1">
        <f>SUM(I136:I136)</f>
        <v>0</v>
      </c>
      <c r="J135" s="1">
        <f>SUM(J136:J136)</f>
        <v>0</v>
      </c>
      <c r="K135" s="51" t="s">
        <v>53</v>
      </c>
      <c r="AI135" s="10" t="s">
        <v>53</v>
      </c>
      <c r="AS135" s="1">
        <f>SUM(AJ136:AJ136)</f>
        <v>0</v>
      </c>
      <c r="AT135" s="1">
        <f>SUM(AK136:AK136)</f>
        <v>0</v>
      </c>
      <c r="AU135" s="1">
        <f>SUM(AL136:AL136)</f>
        <v>0</v>
      </c>
    </row>
    <row r="136" spans="1:76" x14ac:dyDescent="0.25">
      <c r="A136" s="2" t="s">
        <v>421</v>
      </c>
      <c r="B136" s="3" t="s">
        <v>422</v>
      </c>
      <c r="C136" s="181" t="s">
        <v>420</v>
      </c>
      <c r="D136" s="182"/>
      <c r="E136" s="3" t="s">
        <v>416</v>
      </c>
      <c r="F136" s="28">
        <v>1</v>
      </c>
      <c r="G136" s="175">
        <v>0</v>
      </c>
      <c r="H136" s="28">
        <f>F136*AO136</f>
        <v>0</v>
      </c>
      <c r="I136" s="28">
        <f>F136*AP136</f>
        <v>0</v>
      </c>
      <c r="J136" s="28">
        <f>F136*G136</f>
        <v>0</v>
      </c>
      <c r="K136" s="47" t="s">
        <v>53</v>
      </c>
      <c r="Z136" s="28">
        <f>IF(AQ136="5",BJ136,0)</f>
        <v>0</v>
      </c>
      <c r="AB136" s="28">
        <f>IF(AQ136="1",BH136,0)</f>
        <v>0</v>
      </c>
      <c r="AC136" s="28">
        <f>IF(AQ136="1",BI136,0)</f>
        <v>0</v>
      </c>
      <c r="AD136" s="28">
        <f>IF(AQ136="7",BH136,0)</f>
        <v>0</v>
      </c>
      <c r="AE136" s="28">
        <f>IF(AQ136="7",BI136,0)</f>
        <v>0</v>
      </c>
      <c r="AF136" s="28">
        <f>IF(AQ136="2",BH136,0)</f>
        <v>0</v>
      </c>
      <c r="AG136" s="28">
        <f>IF(AQ136="2",BI136,0)</f>
        <v>0</v>
      </c>
      <c r="AH136" s="28">
        <f>IF(AQ136="0",BJ136,0)</f>
        <v>0</v>
      </c>
      <c r="AI136" s="10" t="s">
        <v>53</v>
      </c>
      <c r="AJ136" s="28">
        <f>IF(AN136=0,J136,0)</f>
        <v>0</v>
      </c>
      <c r="AK136" s="28">
        <f>IF(AN136=12,J136,0)</f>
        <v>0</v>
      </c>
      <c r="AL136" s="28">
        <f>IF(AN136=21,J136,0)</f>
        <v>0</v>
      </c>
      <c r="AN136" s="28">
        <v>21</v>
      </c>
      <c r="AO136" s="28">
        <f>G136*0</f>
        <v>0</v>
      </c>
      <c r="AP136" s="28">
        <f>G136*(1-0)</f>
        <v>0</v>
      </c>
      <c r="AQ136" s="29" t="s">
        <v>405</v>
      </c>
      <c r="AV136" s="28">
        <f>AW136+AX136</f>
        <v>0</v>
      </c>
      <c r="AW136" s="28">
        <f>F136*AO136</f>
        <v>0</v>
      </c>
      <c r="AX136" s="28">
        <f>F136*AP136</f>
        <v>0</v>
      </c>
      <c r="AY136" s="29" t="s">
        <v>423</v>
      </c>
      <c r="AZ136" s="29" t="s">
        <v>418</v>
      </c>
      <c r="BA136" s="10" t="s">
        <v>63</v>
      </c>
      <c r="BC136" s="28">
        <f>AW136+AX136</f>
        <v>0</v>
      </c>
      <c r="BD136" s="28">
        <f>G136/(100-BE136)*100</f>
        <v>0</v>
      </c>
      <c r="BE136" s="28">
        <v>0</v>
      </c>
      <c r="BF136" s="28">
        <f>136</f>
        <v>136</v>
      </c>
      <c r="BH136" s="28">
        <f>F136*AO136</f>
        <v>0</v>
      </c>
      <c r="BI136" s="28">
        <f>F136*AP136</f>
        <v>0</v>
      </c>
      <c r="BJ136" s="28">
        <f>F136*G136</f>
        <v>0</v>
      </c>
      <c r="BK136" s="28"/>
      <c r="BL136" s="28"/>
      <c r="BO136" s="28">
        <f>F136*G136</f>
        <v>0</v>
      </c>
      <c r="BW136" s="28">
        <v>21</v>
      </c>
      <c r="BX136" s="4" t="s">
        <v>420</v>
      </c>
    </row>
    <row r="137" spans="1:76" x14ac:dyDescent="0.25">
      <c r="A137" s="48" t="s">
        <v>53</v>
      </c>
      <c r="B137" s="49" t="s">
        <v>424</v>
      </c>
      <c r="C137" s="233" t="s">
        <v>425</v>
      </c>
      <c r="D137" s="234"/>
      <c r="E137" s="50" t="s">
        <v>9</v>
      </c>
      <c r="F137" s="50" t="s">
        <v>9</v>
      </c>
      <c r="G137" s="50" t="s">
        <v>9</v>
      </c>
      <c r="H137" s="1">
        <f>SUM(H138:H138)</f>
        <v>0</v>
      </c>
      <c r="I137" s="1">
        <f>SUM(I138:I138)</f>
        <v>0</v>
      </c>
      <c r="J137" s="1">
        <f>SUM(J138:J138)</f>
        <v>0</v>
      </c>
      <c r="K137" s="51" t="s">
        <v>53</v>
      </c>
      <c r="AI137" s="10" t="s">
        <v>53</v>
      </c>
      <c r="AS137" s="1">
        <f>SUM(AJ138:AJ138)</f>
        <v>0</v>
      </c>
      <c r="AT137" s="1">
        <f>SUM(AK138:AK138)</f>
        <v>0</v>
      </c>
      <c r="AU137" s="1">
        <f>SUM(AL138:AL138)</f>
        <v>0</v>
      </c>
    </row>
    <row r="138" spans="1:76" x14ac:dyDescent="0.25">
      <c r="A138" s="66" t="s">
        <v>426</v>
      </c>
      <c r="B138" s="67" t="s">
        <v>427</v>
      </c>
      <c r="C138" s="235" t="s">
        <v>428</v>
      </c>
      <c r="D138" s="218"/>
      <c r="E138" s="67" t="s">
        <v>416</v>
      </c>
      <c r="F138" s="68">
        <v>1</v>
      </c>
      <c r="G138" s="177">
        <v>0</v>
      </c>
      <c r="H138" s="68">
        <f>F138*AO138</f>
        <v>0</v>
      </c>
      <c r="I138" s="68">
        <f>F138*AP138</f>
        <v>0</v>
      </c>
      <c r="J138" s="68">
        <f>F138*G138</f>
        <v>0</v>
      </c>
      <c r="K138" s="69" t="s">
        <v>53</v>
      </c>
      <c r="Z138" s="28">
        <f>IF(AQ138="5",BJ138,0)</f>
        <v>0</v>
      </c>
      <c r="AB138" s="28">
        <f>IF(AQ138="1",BH138,0)</f>
        <v>0</v>
      </c>
      <c r="AC138" s="28">
        <f>IF(AQ138="1",BI138,0)</f>
        <v>0</v>
      </c>
      <c r="AD138" s="28">
        <f>IF(AQ138="7",BH138,0)</f>
        <v>0</v>
      </c>
      <c r="AE138" s="28">
        <f>IF(AQ138="7",BI138,0)</f>
        <v>0</v>
      </c>
      <c r="AF138" s="28">
        <f>IF(AQ138="2",BH138,0)</f>
        <v>0</v>
      </c>
      <c r="AG138" s="28">
        <f>IF(AQ138="2",BI138,0)</f>
        <v>0</v>
      </c>
      <c r="AH138" s="28">
        <f>IF(AQ138="0",BJ138,0)</f>
        <v>0</v>
      </c>
      <c r="AI138" s="10" t="s">
        <v>53</v>
      </c>
      <c r="AJ138" s="28">
        <f>IF(AN138=0,J138,0)</f>
        <v>0</v>
      </c>
      <c r="AK138" s="28">
        <f>IF(AN138=12,J138,0)</f>
        <v>0</v>
      </c>
      <c r="AL138" s="28">
        <f>IF(AN138=21,J138,0)</f>
        <v>0</v>
      </c>
      <c r="AN138" s="28">
        <v>21</v>
      </c>
      <c r="AO138" s="28">
        <f>G138*0</f>
        <v>0</v>
      </c>
      <c r="AP138" s="28">
        <f>G138*(1-0)</f>
        <v>0</v>
      </c>
      <c r="AQ138" s="29" t="s">
        <v>405</v>
      </c>
      <c r="AV138" s="28">
        <f>AW138+AX138</f>
        <v>0</v>
      </c>
      <c r="AW138" s="28">
        <f>F138*AO138</f>
        <v>0</v>
      </c>
      <c r="AX138" s="28">
        <f>F138*AP138</f>
        <v>0</v>
      </c>
      <c r="AY138" s="29" t="s">
        <v>429</v>
      </c>
      <c r="AZ138" s="29" t="s">
        <v>418</v>
      </c>
      <c r="BA138" s="10" t="s">
        <v>63</v>
      </c>
      <c r="BC138" s="28">
        <f>AW138+AX138</f>
        <v>0</v>
      </c>
      <c r="BD138" s="28">
        <f>G138/(100-BE138)*100</f>
        <v>0</v>
      </c>
      <c r="BE138" s="28">
        <v>0</v>
      </c>
      <c r="BF138" s="28">
        <f>138</f>
        <v>138</v>
      </c>
      <c r="BH138" s="28">
        <f>F138*AO138</f>
        <v>0</v>
      </c>
      <c r="BI138" s="28">
        <f>F138*AP138</f>
        <v>0</v>
      </c>
      <c r="BJ138" s="28">
        <f>F138*G138</f>
        <v>0</v>
      </c>
      <c r="BK138" s="28"/>
      <c r="BL138" s="28"/>
      <c r="BR138" s="28">
        <f>F138*G138</f>
        <v>0</v>
      </c>
      <c r="BW138" s="28">
        <v>21</v>
      </c>
      <c r="BX138" s="4" t="s">
        <v>428</v>
      </c>
    </row>
    <row r="139" spans="1:76" x14ac:dyDescent="0.25">
      <c r="H139" s="236" t="s">
        <v>430</v>
      </c>
      <c r="I139" s="236"/>
      <c r="J139" s="70">
        <f>ROUND(J12+J17+J24+J26+J34+J38+J43+J49+J52+J63+J66+J72+J75+J77+J79+J84+J95+J97+J102+J104+J108+J133+J135+J137,0)</f>
        <v>0</v>
      </c>
    </row>
    <row r="140" spans="1:76" x14ac:dyDescent="0.25">
      <c r="A140" s="71" t="s">
        <v>431</v>
      </c>
    </row>
    <row r="141" spans="1:76" ht="12.75" customHeight="1" x14ac:dyDescent="0.25">
      <c r="A141" s="181" t="s">
        <v>53</v>
      </c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</row>
  </sheetData>
  <mergeCells count="157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15:D15"/>
    <mergeCell ref="C16:D16"/>
    <mergeCell ref="C17:D17"/>
    <mergeCell ref="C18:D18"/>
    <mergeCell ref="C19:D19"/>
    <mergeCell ref="C11:D11"/>
    <mergeCell ref="H10:J10"/>
    <mergeCell ref="C12:D12"/>
    <mergeCell ref="C13:D13"/>
    <mergeCell ref="C14:D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104:D104"/>
    <mergeCell ref="C115:D115"/>
    <mergeCell ref="C116:D116"/>
    <mergeCell ref="C117:D117"/>
    <mergeCell ref="C118:D118"/>
    <mergeCell ref="C119:D119"/>
    <mergeCell ref="C110:D110"/>
    <mergeCell ref="C111:D111"/>
    <mergeCell ref="C112:D112"/>
    <mergeCell ref="C113:D113"/>
    <mergeCell ref="C114:D114"/>
    <mergeCell ref="C125:D125"/>
    <mergeCell ref="C126:D126"/>
    <mergeCell ref="C127:D127"/>
    <mergeCell ref="C128:D128"/>
    <mergeCell ref="C129:D129"/>
    <mergeCell ref="C120:D120"/>
    <mergeCell ref="C121:D121"/>
    <mergeCell ref="C122:D122"/>
    <mergeCell ref="C123:D123"/>
    <mergeCell ref="C124:D124"/>
    <mergeCell ref="A141:K141"/>
    <mergeCell ref="C135:D135"/>
    <mergeCell ref="C136:D136"/>
    <mergeCell ref="C137:D137"/>
    <mergeCell ref="C138:D138"/>
    <mergeCell ref="H139:I139"/>
    <mergeCell ref="C130:D130"/>
    <mergeCell ref="C131:D131"/>
    <mergeCell ref="C132:D132"/>
    <mergeCell ref="C133:D133"/>
    <mergeCell ref="C134:D134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F14" sqref="F14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224" t="s">
        <v>478</v>
      </c>
      <c r="B1" s="225"/>
      <c r="C1" s="225"/>
      <c r="D1" s="225"/>
      <c r="E1" s="225"/>
      <c r="F1" s="225"/>
      <c r="G1" s="225"/>
      <c r="H1" s="225"/>
      <c r="I1" s="225"/>
    </row>
    <row r="2" spans="1:9" x14ac:dyDescent="0.25">
      <c r="A2" s="226" t="s">
        <v>1</v>
      </c>
      <c r="B2" s="227"/>
      <c r="C2" s="228" t="str">
        <f>'SO-101'!C2</f>
        <v>NEDRAŽICE - CHODNÍKY A ÚPRAVY VNITŘNÍCH PROSTOR OBCE</v>
      </c>
      <c r="D2" s="229"/>
      <c r="E2" s="231" t="s">
        <v>5</v>
      </c>
      <c r="F2" s="231" t="str">
        <f>'SO-101'!I2</f>
        <v>Obec Kostelec, Kostelec 34, 349 01 Stříbro</v>
      </c>
      <c r="G2" s="227"/>
      <c r="H2" s="231" t="s">
        <v>479</v>
      </c>
      <c r="I2" s="232" t="s">
        <v>480</v>
      </c>
    </row>
    <row r="3" spans="1:9" ht="15" customHeight="1" x14ac:dyDescent="0.25">
      <c r="A3" s="221"/>
      <c r="B3" s="182"/>
      <c r="C3" s="230"/>
      <c r="D3" s="230"/>
      <c r="E3" s="182"/>
      <c r="F3" s="182"/>
      <c r="G3" s="182"/>
      <c r="H3" s="182"/>
      <c r="I3" s="223"/>
    </row>
    <row r="4" spans="1:9" x14ac:dyDescent="0.25">
      <c r="A4" s="216" t="s">
        <v>7</v>
      </c>
      <c r="B4" s="182"/>
      <c r="C4" s="181" t="str">
        <f>'SO-101'!C4</f>
        <v>SO-101 Chodníky a sjezdy u silnice III/19336</v>
      </c>
      <c r="D4" s="182"/>
      <c r="E4" s="181" t="s">
        <v>10</v>
      </c>
      <c r="F4" s="181" t="str">
        <f>'SO-101'!I4</f>
        <v>ing. Rudolf Moses, Zárečná 1521, 347 01 Tachov</v>
      </c>
      <c r="G4" s="182"/>
      <c r="H4" s="181" t="s">
        <v>479</v>
      </c>
      <c r="I4" s="223" t="s">
        <v>481</v>
      </c>
    </row>
    <row r="5" spans="1:9" ht="15" customHeight="1" x14ac:dyDescent="0.25">
      <c r="A5" s="221"/>
      <c r="B5" s="182"/>
      <c r="C5" s="182"/>
      <c r="D5" s="182"/>
      <c r="E5" s="182"/>
      <c r="F5" s="182"/>
      <c r="G5" s="182"/>
      <c r="H5" s="182"/>
      <c r="I5" s="223"/>
    </row>
    <row r="6" spans="1:9" x14ac:dyDescent="0.25">
      <c r="A6" s="216" t="s">
        <v>12</v>
      </c>
      <c r="B6" s="182"/>
      <c r="C6" s="181" t="str">
        <f>'SO-101'!C6</f>
        <v>Nedražice</v>
      </c>
      <c r="D6" s="182"/>
      <c r="E6" s="181" t="s">
        <v>16</v>
      </c>
      <c r="F6" s="181" t="str">
        <f>'SO-101'!I6</f>
        <v>dle výběr. řízení</v>
      </c>
      <c r="G6" s="182"/>
      <c r="H6" s="181" t="s">
        <v>479</v>
      </c>
      <c r="I6" s="223" t="s">
        <v>482</v>
      </c>
    </row>
    <row r="7" spans="1:9" ht="15" customHeight="1" x14ac:dyDescent="0.25">
      <c r="A7" s="221"/>
      <c r="B7" s="182"/>
      <c r="C7" s="182"/>
      <c r="D7" s="182"/>
      <c r="E7" s="182"/>
      <c r="F7" s="182"/>
      <c r="G7" s="182"/>
      <c r="H7" s="182"/>
      <c r="I7" s="223"/>
    </row>
    <row r="8" spans="1:9" x14ac:dyDescent="0.25">
      <c r="A8" s="216" t="s">
        <v>8</v>
      </c>
      <c r="B8" s="182"/>
      <c r="C8" s="181" t="str">
        <f>'SO-101'!G4</f>
        <v xml:space="preserve"> </v>
      </c>
      <c r="D8" s="182"/>
      <c r="E8" s="181" t="s">
        <v>14</v>
      </c>
      <c r="F8" s="181" t="str">
        <f>'SO-101'!G6</f>
        <v>31.10.2025</v>
      </c>
      <c r="G8" s="182"/>
      <c r="H8" s="182" t="s">
        <v>483</v>
      </c>
      <c r="I8" s="222">
        <v>102</v>
      </c>
    </row>
    <row r="9" spans="1:9" x14ac:dyDescent="0.25">
      <c r="A9" s="221"/>
      <c r="B9" s="182"/>
      <c r="C9" s="182"/>
      <c r="D9" s="182"/>
      <c r="E9" s="182"/>
      <c r="F9" s="182"/>
      <c r="G9" s="182"/>
      <c r="H9" s="182"/>
      <c r="I9" s="223"/>
    </row>
    <row r="10" spans="1:9" x14ac:dyDescent="0.25">
      <c r="A10" s="216" t="s">
        <v>18</v>
      </c>
      <c r="B10" s="182"/>
      <c r="C10" s="181" t="str">
        <f>'SO-101'!C8</f>
        <v>8222931</v>
      </c>
      <c r="D10" s="182"/>
      <c r="E10" s="181" t="s">
        <v>22</v>
      </c>
      <c r="F10" s="181" t="str">
        <f>'SO-101'!I8</f>
        <v>Ing. Moses</v>
      </c>
      <c r="G10" s="182"/>
      <c r="H10" s="182" t="s">
        <v>484</v>
      </c>
      <c r="I10" s="219" t="str">
        <f>'SO-101'!G8</f>
        <v>21.10.2024</v>
      </c>
    </row>
    <row r="11" spans="1:9" x14ac:dyDescent="0.25">
      <c r="A11" s="217"/>
      <c r="B11" s="218"/>
      <c r="C11" s="218"/>
      <c r="D11" s="218"/>
      <c r="E11" s="218"/>
      <c r="F11" s="218"/>
      <c r="G11" s="218"/>
      <c r="H11" s="218"/>
      <c r="I11" s="220"/>
    </row>
    <row r="12" spans="1:9" ht="23.25" x14ac:dyDescent="0.25">
      <c r="A12" s="213" t="s">
        <v>485</v>
      </c>
      <c r="B12" s="213"/>
      <c r="C12" s="213"/>
      <c r="D12" s="213"/>
      <c r="E12" s="213"/>
      <c r="F12" s="213"/>
      <c r="G12" s="213"/>
      <c r="H12" s="213"/>
      <c r="I12" s="213"/>
    </row>
    <row r="13" spans="1:9" ht="26.25" customHeight="1" x14ac:dyDescent="0.25">
      <c r="A13" s="87" t="s">
        <v>486</v>
      </c>
      <c r="B13" s="214" t="s">
        <v>487</v>
      </c>
      <c r="C13" s="215"/>
      <c r="D13" s="88" t="s">
        <v>488</v>
      </c>
      <c r="E13" s="214" t="s">
        <v>489</v>
      </c>
      <c r="F13" s="215"/>
      <c r="G13" s="88" t="s">
        <v>490</v>
      </c>
      <c r="H13" s="214" t="s">
        <v>491</v>
      </c>
      <c r="I13" s="215"/>
    </row>
    <row r="14" spans="1:9" ht="15.75" x14ac:dyDescent="0.25">
      <c r="A14" s="89" t="s">
        <v>492</v>
      </c>
      <c r="B14" s="90" t="s">
        <v>493</v>
      </c>
      <c r="C14" s="91">
        <f>SUM('SO-101'!AB12:AB138)</f>
        <v>0</v>
      </c>
      <c r="D14" s="211" t="s">
        <v>494</v>
      </c>
      <c r="E14" s="212"/>
      <c r="F14" s="91">
        <f>VORN!I15</f>
        <v>0</v>
      </c>
      <c r="G14" s="211" t="s">
        <v>420</v>
      </c>
      <c r="H14" s="212"/>
      <c r="I14" s="92">
        <f>VORN!I21</f>
        <v>0</v>
      </c>
    </row>
    <row r="15" spans="1:9" ht="15.75" x14ac:dyDescent="0.25">
      <c r="A15" s="93" t="s">
        <v>53</v>
      </c>
      <c r="B15" s="90" t="s">
        <v>38</v>
      </c>
      <c r="C15" s="91">
        <f>SUM('SO-101'!AC12:AC138)</f>
        <v>0</v>
      </c>
      <c r="D15" s="211" t="s">
        <v>495</v>
      </c>
      <c r="E15" s="212"/>
      <c r="F15" s="91">
        <f>VORN!I16</f>
        <v>0</v>
      </c>
      <c r="G15" s="211" t="s">
        <v>496</v>
      </c>
      <c r="H15" s="212"/>
      <c r="I15" s="92">
        <f>VORN!I22</f>
        <v>0</v>
      </c>
    </row>
    <row r="16" spans="1:9" ht="15.75" x14ac:dyDescent="0.25">
      <c r="A16" s="89" t="s">
        <v>497</v>
      </c>
      <c r="B16" s="90" t="s">
        <v>493</v>
      </c>
      <c r="C16" s="91">
        <f>SUM('SO-101'!AD12:AD138)</f>
        <v>0</v>
      </c>
      <c r="D16" s="211" t="s">
        <v>498</v>
      </c>
      <c r="E16" s="212"/>
      <c r="F16" s="91">
        <f>VORN!I17</f>
        <v>0</v>
      </c>
      <c r="G16" s="211" t="s">
        <v>425</v>
      </c>
      <c r="H16" s="212"/>
      <c r="I16" s="92">
        <f>VORN!I23</f>
        <v>0</v>
      </c>
    </row>
    <row r="17" spans="1:9" ht="15.75" x14ac:dyDescent="0.25">
      <c r="A17" s="93" t="s">
        <v>53</v>
      </c>
      <c r="B17" s="90" t="s">
        <v>38</v>
      </c>
      <c r="C17" s="91">
        <f>SUM('SO-101'!AE12:AE138)</f>
        <v>0</v>
      </c>
      <c r="D17" s="211" t="s">
        <v>53</v>
      </c>
      <c r="E17" s="212"/>
      <c r="F17" s="92" t="s">
        <v>53</v>
      </c>
      <c r="G17" s="211" t="s">
        <v>499</v>
      </c>
      <c r="H17" s="212"/>
      <c r="I17" s="92">
        <f>VORN!I24</f>
        <v>0</v>
      </c>
    </row>
    <row r="18" spans="1:9" ht="15.75" x14ac:dyDescent="0.25">
      <c r="A18" s="89" t="s">
        <v>500</v>
      </c>
      <c r="B18" s="90" t="s">
        <v>493</v>
      </c>
      <c r="C18" s="91">
        <f>SUM('SO-101'!AF12:AF138)</f>
        <v>0</v>
      </c>
      <c r="D18" s="211" t="s">
        <v>53</v>
      </c>
      <c r="E18" s="212"/>
      <c r="F18" s="92" t="s">
        <v>53</v>
      </c>
      <c r="G18" s="211" t="s">
        <v>501</v>
      </c>
      <c r="H18" s="212"/>
      <c r="I18" s="92">
        <f>VORN!I25</f>
        <v>0</v>
      </c>
    </row>
    <row r="19" spans="1:9" ht="15.75" x14ac:dyDescent="0.25">
      <c r="A19" s="93" t="s">
        <v>53</v>
      </c>
      <c r="B19" s="90" t="s">
        <v>38</v>
      </c>
      <c r="C19" s="91">
        <f>SUM('SO-101'!AG12:AG138)</f>
        <v>0</v>
      </c>
      <c r="D19" s="211" t="s">
        <v>53</v>
      </c>
      <c r="E19" s="212"/>
      <c r="F19" s="92" t="s">
        <v>53</v>
      </c>
      <c r="G19" s="211" t="s">
        <v>502</v>
      </c>
      <c r="H19" s="212"/>
      <c r="I19" s="92">
        <f>VORN!I26</f>
        <v>0</v>
      </c>
    </row>
    <row r="20" spans="1:9" ht="15.75" x14ac:dyDescent="0.25">
      <c r="A20" s="198" t="s">
        <v>339</v>
      </c>
      <c r="B20" s="199"/>
      <c r="C20" s="91">
        <f>SUM('SO-101'!AH12:AH138)</f>
        <v>0</v>
      </c>
      <c r="D20" s="211" t="s">
        <v>53</v>
      </c>
      <c r="E20" s="212"/>
      <c r="F20" s="92" t="s">
        <v>53</v>
      </c>
      <c r="G20" s="211" t="s">
        <v>53</v>
      </c>
      <c r="H20" s="212"/>
      <c r="I20" s="92" t="s">
        <v>53</v>
      </c>
    </row>
    <row r="21" spans="1:9" ht="15.75" x14ac:dyDescent="0.25">
      <c r="A21" s="204" t="s">
        <v>503</v>
      </c>
      <c r="B21" s="205"/>
      <c r="C21" s="94">
        <f>SUM('SO-101'!Z12:Z138)</f>
        <v>0</v>
      </c>
      <c r="D21" s="206" t="s">
        <v>53</v>
      </c>
      <c r="E21" s="207"/>
      <c r="F21" s="95" t="s">
        <v>53</v>
      </c>
      <c r="G21" s="206" t="s">
        <v>53</v>
      </c>
      <c r="H21" s="207"/>
      <c r="I21" s="95" t="s">
        <v>53</v>
      </c>
    </row>
    <row r="22" spans="1:9" ht="16.5" customHeight="1" x14ac:dyDescent="0.25">
      <c r="A22" s="208" t="s">
        <v>504</v>
      </c>
      <c r="B22" s="209"/>
      <c r="C22" s="96">
        <f>ROUND(SUM(C14:C21),0)</f>
        <v>0</v>
      </c>
      <c r="D22" s="210" t="s">
        <v>505</v>
      </c>
      <c r="E22" s="209"/>
      <c r="F22" s="96">
        <f>SUM(F14:F21)</f>
        <v>0</v>
      </c>
      <c r="G22" s="210" t="s">
        <v>506</v>
      </c>
      <c r="H22" s="209"/>
      <c r="I22" s="96">
        <f>SUM(I14:I21)</f>
        <v>0</v>
      </c>
    </row>
    <row r="23" spans="1:9" ht="15.75" x14ac:dyDescent="0.25">
      <c r="D23" s="198" t="s">
        <v>507</v>
      </c>
      <c r="E23" s="199"/>
      <c r="F23" s="97">
        <v>0</v>
      </c>
      <c r="G23" s="200" t="s">
        <v>508</v>
      </c>
      <c r="H23" s="199"/>
      <c r="I23" s="91">
        <v>0</v>
      </c>
    </row>
    <row r="24" spans="1:9" ht="15.75" x14ac:dyDescent="0.25">
      <c r="G24" s="198" t="s">
        <v>509</v>
      </c>
      <c r="H24" s="199"/>
      <c r="I24" s="94">
        <f>vorn_sum</f>
        <v>0</v>
      </c>
    </row>
    <row r="25" spans="1:9" ht="15.75" x14ac:dyDescent="0.25">
      <c r="G25" s="198" t="s">
        <v>510</v>
      </c>
      <c r="H25" s="199"/>
      <c r="I25" s="96">
        <v>0</v>
      </c>
    </row>
    <row r="27" spans="1:9" ht="15.75" x14ac:dyDescent="0.25">
      <c r="A27" s="201" t="s">
        <v>511</v>
      </c>
      <c r="B27" s="202"/>
      <c r="C27" s="98">
        <f>ROUND(SUM('SO-101'!AJ12:AJ138),0)</f>
        <v>0</v>
      </c>
    </row>
    <row r="28" spans="1:9" ht="15.75" x14ac:dyDescent="0.25">
      <c r="A28" s="191" t="s">
        <v>512</v>
      </c>
      <c r="B28" s="192"/>
      <c r="C28" s="99">
        <f>ROUND(SUM('SO-101'!AK12:AK138),0)</f>
        <v>0</v>
      </c>
      <c r="D28" s="203" t="s">
        <v>513</v>
      </c>
      <c r="E28" s="202"/>
      <c r="F28" s="98">
        <f>ROUND(C28*(12/100),2)</f>
        <v>0</v>
      </c>
      <c r="G28" s="203" t="s">
        <v>514</v>
      </c>
      <c r="H28" s="202"/>
      <c r="I28" s="98">
        <f>ROUND(SUM(C27:C29),0)</f>
        <v>0</v>
      </c>
    </row>
    <row r="29" spans="1:9" ht="15.75" x14ac:dyDescent="0.25">
      <c r="A29" s="191" t="s">
        <v>515</v>
      </c>
      <c r="B29" s="192"/>
      <c r="C29" s="99">
        <f>ROUND(SUM('SO-101'!AL12:AL138),0)</f>
        <v>0</v>
      </c>
      <c r="D29" s="193" t="s">
        <v>516</v>
      </c>
      <c r="E29" s="192"/>
      <c r="F29" s="99">
        <f>ROUND(C29*(21/100),2)</f>
        <v>0</v>
      </c>
      <c r="G29" s="193" t="s">
        <v>517</v>
      </c>
      <c r="H29" s="192"/>
      <c r="I29" s="99">
        <f>ROUND(SUM(F28:F29)+I28,0)</f>
        <v>0</v>
      </c>
    </row>
    <row r="31" spans="1:9" x14ac:dyDescent="0.25">
      <c r="A31" s="194" t="s">
        <v>518</v>
      </c>
      <c r="B31" s="195"/>
      <c r="C31" s="196"/>
      <c r="D31" s="197" t="s">
        <v>519</v>
      </c>
      <c r="E31" s="195"/>
      <c r="F31" s="196"/>
      <c r="G31" s="197" t="s">
        <v>520</v>
      </c>
      <c r="H31" s="195"/>
      <c r="I31" s="196"/>
    </row>
    <row r="32" spans="1:9" x14ac:dyDescent="0.25">
      <c r="A32" s="183" t="s">
        <v>53</v>
      </c>
      <c r="B32" s="184"/>
      <c r="C32" s="185"/>
      <c r="D32" s="186" t="s">
        <v>53</v>
      </c>
      <c r="E32" s="184"/>
      <c r="F32" s="185"/>
      <c r="G32" s="186" t="s">
        <v>53</v>
      </c>
      <c r="H32" s="184"/>
      <c r="I32" s="185"/>
    </row>
    <row r="33" spans="1:9" x14ac:dyDescent="0.25">
      <c r="A33" s="183" t="s">
        <v>53</v>
      </c>
      <c r="B33" s="184"/>
      <c r="C33" s="185"/>
      <c r="D33" s="186" t="s">
        <v>53</v>
      </c>
      <c r="E33" s="184"/>
      <c r="F33" s="185"/>
      <c r="G33" s="186" t="s">
        <v>53</v>
      </c>
      <c r="H33" s="184"/>
      <c r="I33" s="185"/>
    </row>
    <row r="34" spans="1:9" x14ac:dyDescent="0.25">
      <c r="A34" s="183" t="s">
        <v>53</v>
      </c>
      <c r="B34" s="184"/>
      <c r="C34" s="185"/>
      <c r="D34" s="186" t="s">
        <v>53</v>
      </c>
      <c r="E34" s="184"/>
      <c r="F34" s="185"/>
      <c r="G34" s="186" t="s">
        <v>53</v>
      </c>
      <c r="H34" s="184"/>
      <c r="I34" s="185"/>
    </row>
    <row r="35" spans="1:9" x14ac:dyDescent="0.25">
      <c r="A35" s="187" t="s">
        <v>521</v>
      </c>
      <c r="B35" s="188"/>
      <c r="C35" s="189"/>
      <c r="D35" s="190" t="s">
        <v>521</v>
      </c>
      <c r="E35" s="188"/>
      <c r="F35" s="189"/>
      <c r="G35" s="190" t="s">
        <v>521</v>
      </c>
      <c r="H35" s="188"/>
      <c r="I35" s="189"/>
    </row>
    <row r="36" spans="1:9" x14ac:dyDescent="0.25">
      <c r="A36" s="100" t="s">
        <v>431</v>
      </c>
    </row>
    <row r="37" spans="1:9" ht="12.75" customHeight="1" x14ac:dyDescent="0.25">
      <c r="A37" s="181" t="s">
        <v>53</v>
      </c>
      <c r="B37" s="182"/>
      <c r="C37" s="182"/>
      <c r="D37" s="182"/>
      <c r="E37" s="182"/>
      <c r="F37" s="182"/>
      <c r="G37" s="182"/>
      <c r="H37" s="182"/>
      <c r="I37" s="182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6"/>
  <sheetViews>
    <sheetView workbookViewId="0">
      <selection activeCell="L27" sqref="L27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73.7109375" customWidth="1"/>
    <col min="5" max="5" width="14.2851562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225" t="s">
        <v>432</v>
      </c>
      <c r="B1" s="225"/>
      <c r="C1" s="225"/>
      <c r="D1" s="225"/>
      <c r="E1" s="225"/>
      <c r="F1" s="225"/>
      <c r="G1" s="225"/>
      <c r="H1" s="225"/>
    </row>
    <row r="2" spans="1:8" x14ac:dyDescent="0.25">
      <c r="A2" s="226" t="s">
        <v>1</v>
      </c>
      <c r="B2" s="227"/>
      <c r="C2" s="228" t="str">
        <f>'SO-101'!C2</f>
        <v>NEDRAŽICE - CHODNÍKY A ÚPRAVY VNITŘNÍCH PROSTOR OBCE</v>
      </c>
      <c r="D2" s="229"/>
      <c r="E2" s="231" t="s">
        <v>5</v>
      </c>
      <c r="F2" s="231" t="str">
        <f>'SO-101'!I2</f>
        <v>Obec Kostelec, Kostelec 34, 349 01 Stříbro</v>
      </c>
      <c r="G2" s="227"/>
      <c r="H2" s="232"/>
    </row>
    <row r="3" spans="1:8" ht="15" customHeight="1" x14ac:dyDescent="0.25">
      <c r="A3" s="221"/>
      <c r="B3" s="182"/>
      <c r="C3" s="230"/>
      <c r="D3" s="230"/>
      <c r="E3" s="182"/>
      <c r="F3" s="182"/>
      <c r="G3" s="182"/>
      <c r="H3" s="223"/>
    </row>
    <row r="4" spans="1:8" x14ac:dyDescent="0.25">
      <c r="A4" s="216" t="s">
        <v>7</v>
      </c>
      <c r="B4" s="182"/>
      <c r="C4" s="181" t="str">
        <f>'SO-101'!C4</f>
        <v>SO-101 Chodníky a sjezdy u silnice III/19336</v>
      </c>
      <c r="D4" s="182"/>
      <c r="E4" s="181" t="s">
        <v>10</v>
      </c>
      <c r="F4" s="181" t="str">
        <f>'SO-101'!I4</f>
        <v>ing. Rudolf Moses, Zárečná 1521, 347 01 Tachov</v>
      </c>
      <c r="G4" s="182"/>
      <c r="H4" s="223"/>
    </row>
    <row r="5" spans="1:8" ht="15" customHeight="1" x14ac:dyDescent="0.25">
      <c r="A5" s="221"/>
      <c r="B5" s="182"/>
      <c r="C5" s="182"/>
      <c r="D5" s="182"/>
      <c r="E5" s="182"/>
      <c r="F5" s="182"/>
      <c r="G5" s="182"/>
      <c r="H5" s="223"/>
    </row>
    <row r="6" spans="1:8" x14ac:dyDescent="0.25">
      <c r="A6" s="216" t="s">
        <v>12</v>
      </c>
      <c r="B6" s="182"/>
      <c r="C6" s="181" t="str">
        <f>'SO-101'!C6</f>
        <v>Nedražice</v>
      </c>
      <c r="D6" s="182"/>
      <c r="E6" s="181" t="s">
        <v>16</v>
      </c>
      <c r="F6" s="181" t="str">
        <f>'SO-101'!I6</f>
        <v>dle výběr. řízení</v>
      </c>
      <c r="G6" s="182"/>
      <c r="H6" s="223"/>
    </row>
    <row r="7" spans="1:8" ht="15" customHeight="1" x14ac:dyDescent="0.25">
      <c r="A7" s="221"/>
      <c r="B7" s="182"/>
      <c r="C7" s="182"/>
      <c r="D7" s="182"/>
      <c r="E7" s="182"/>
      <c r="F7" s="182"/>
      <c r="G7" s="182"/>
      <c r="H7" s="223"/>
    </row>
    <row r="8" spans="1:8" x14ac:dyDescent="0.25">
      <c r="A8" s="216" t="s">
        <v>22</v>
      </c>
      <c r="B8" s="182"/>
      <c r="C8" s="181" t="str">
        <f>'SO-101'!I8</f>
        <v>Ing. Moses</v>
      </c>
      <c r="D8" s="182"/>
      <c r="E8" s="181" t="s">
        <v>20</v>
      </c>
      <c r="F8" s="181" t="str">
        <f>'SO-101'!G8</f>
        <v>21.10.2024</v>
      </c>
      <c r="G8" s="182"/>
      <c r="H8" s="223"/>
    </row>
    <row r="9" spans="1:8" x14ac:dyDescent="0.25">
      <c r="A9" s="264"/>
      <c r="B9" s="260"/>
      <c r="C9" s="260"/>
      <c r="D9" s="260"/>
      <c r="E9" s="260"/>
      <c r="F9" s="260"/>
      <c r="G9" s="260"/>
      <c r="H9" s="261"/>
    </row>
    <row r="10" spans="1:8" x14ac:dyDescent="0.25">
      <c r="A10" s="72" t="s">
        <v>24</v>
      </c>
      <c r="B10" s="73" t="s">
        <v>433</v>
      </c>
      <c r="C10" s="73" t="s">
        <v>25</v>
      </c>
      <c r="D10" s="267" t="s">
        <v>26</v>
      </c>
      <c r="E10" s="268"/>
      <c r="F10" s="73" t="s">
        <v>27</v>
      </c>
      <c r="G10" s="74" t="s">
        <v>28</v>
      </c>
      <c r="H10" s="75" t="s">
        <v>434</v>
      </c>
    </row>
    <row r="11" spans="1:8" x14ac:dyDescent="0.25">
      <c r="A11" s="76" t="s">
        <v>56</v>
      </c>
      <c r="B11" s="77" t="s">
        <v>53</v>
      </c>
      <c r="C11" s="77" t="s">
        <v>65</v>
      </c>
      <c r="D11" s="269" t="s">
        <v>66</v>
      </c>
      <c r="E11" s="269"/>
      <c r="F11" s="77" t="s">
        <v>67</v>
      </c>
      <c r="G11" s="78">
        <v>67</v>
      </c>
      <c r="H11" s="79">
        <v>0</v>
      </c>
    </row>
    <row r="12" spans="1:8" x14ac:dyDescent="0.25">
      <c r="A12" s="80"/>
      <c r="D12" s="81" t="s">
        <v>435</v>
      </c>
      <c r="E12" s="265" t="s">
        <v>53</v>
      </c>
      <c r="F12" s="265"/>
      <c r="G12" s="82">
        <v>67</v>
      </c>
      <c r="H12" s="83"/>
    </row>
    <row r="13" spans="1:8" x14ac:dyDescent="0.25">
      <c r="A13" s="2" t="s">
        <v>64</v>
      </c>
      <c r="B13" s="3" t="s">
        <v>53</v>
      </c>
      <c r="C13" s="3" t="s">
        <v>69</v>
      </c>
      <c r="D13" s="182" t="s">
        <v>70</v>
      </c>
      <c r="E13" s="182"/>
      <c r="F13" s="3" t="s">
        <v>59</v>
      </c>
      <c r="G13" s="28">
        <v>20</v>
      </c>
      <c r="H13" s="84">
        <v>0</v>
      </c>
    </row>
    <row r="14" spans="1:8" x14ac:dyDescent="0.25">
      <c r="A14" s="80"/>
      <c r="D14" s="81" t="s">
        <v>128</v>
      </c>
      <c r="E14" s="265" t="s">
        <v>53</v>
      </c>
      <c r="F14" s="265"/>
      <c r="G14" s="82">
        <v>20</v>
      </c>
      <c r="H14" s="83"/>
    </row>
    <row r="15" spans="1:8" x14ac:dyDescent="0.25">
      <c r="A15" s="2" t="s">
        <v>68</v>
      </c>
      <c r="B15" s="3" t="s">
        <v>53</v>
      </c>
      <c r="C15" s="3" t="s">
        <v>72</v>
      </c>
      <c r="D15" s="182" t="s">
        <v>73</v>
      </c>
      <c r="E15" s="182"/>
      <c r="F15" s="3" t="s">
        <v>59</v>
      </c>
      <c r="G15" s="28">
        <v>70</v>
      </c>
      <c r="H15" s="84">
        <v>0</v>
      </c>
    </row>
    <row r="16" spans="1:8" x14ac:dyDescent="0.25">
      <c r="A16" s="80"/>
      <c r="D16" s="81" t="s">
        <v>311</v>
      </c>
      <c r="E16" s="265" t="s">
        <v>53</v>
      </c>
      <c r="F16" s="265"/>
      <c r="G16" s="82">
        <v>70</v>
      </c>
      <c r="H16" s="83"/>
    </row>
    <row r="17" spans="1:8" x14ac:dyDescent="0.25">
      <c r="A17" s="2" t="s">
        <v>71</v>
      </c>
      <c r="B17" s="3" t="s">
        <v>53</v>
      </c>
      <c r="C17" s="3" t="s">
        <v>77</v>
      </c>
      <c r="D17" s="182" t="s">
        <v>78</v>
      </c>
      <c r="E17" s="182"/>
      <c r="F17" s="3" t="s">
        <v>79</v>
      </c>
      <c r="G17" s="28">
        <v>135</v>
      </c>
      <c r="H17" s="84">
        <v>0</v>
      </c>
    </row>
    <row r="18" spans="1:8" x14ac:dyDescent="0.25">
      <c r="A18" s="80"/>
      <c r="D18" s="81" t="s">
        <v>436</v>
      </c>
      <c r="E18" s="265" t="s">
        <v>53</v>
      </c>
      <c r="F18" s="265"/>
      <c r="G18" s="82">
        <v>135</v>
      </c>
      <c r="H18" s="83"/>
    </row>
    <row r="19" spans="1:8" x14ac:dyDescent="0.25">
      <c r="A19" s="2" t="s">
        <v>76</v>
      </c>
      <c r="B19" s="3" t="s">
        <v>53</v>
      </c>
      <c r="C19" s="3" t="s">
        <v>82</v>
      </c>
      <c r="D19" s="182" t="s">
        <v>83</v>
      </c>
      <c r="E19" s="182"/>
      <c r="F19" s="3" t="s">
        <v>79</v>
      </c>
      <c r="G19" s="28">
        <v>124</v>
      </c>
      <c r="H19" s="84">
        <v>0</v>
      </c>
    </row>
    <row r="20" spans="1:8" x14ac:dyDescent="0.25">
      <c r="A20" s="80"/>
      <c r="D20" s="81" t="s">
        <v>437</v>
      </c>
      <c r="E20" s="265" t="s">
        <v>53</v>
      </c>
      <c r="F20" s="265"/>
      <c r="G20" s="82">
        <v>124</v>
      </c>
      <c r="H20" s="83"/>
    </row>
    <row r="21" spans="1:8" x14ac:dyDescent="0.25">
      <c r="A21" s="2" t="s">
        <v>81</v>
      </c>
      <c r="B21" s="3" t="s">
        <v>53</v>
      </c>
      <c r="C21" s="3" t="s">
        <v>85</v>
      </c>
      <c r="D21" s="182" t="s">
        <v>86</v>
      </c>
      <c r="E21" s="182"/>
      <c r="F21" s="3" t="s">
        <v>79</v>
      </c>
      <c r="G21" s="28">
        <v>620.48</v>
      </c>
      <c r="H21" s="84">
        <v>0</v>
      </c>
    </row>
    <row r="22" spans="1:8" x14ac:dyDescent="0.25">
      <c r="A22" s="80"/>
      <c r="D22" s="81" t="s">
        <v>438</v>
      </c>
      <c r="E22" s="265" t="s">
        <v>53</v>
      </c>
      <c r="F22" s="265"/>
      <c r="G22" s="82">
        <v>620.48</v>
      </c>
      <c r="H22" s="83"/>
    </row>
    <row r="23" spans="1:8" x14ac:dyDescent="0.25">
      <c r="A23" s="2" t="s">
        <v>84</v>
      </c>
      <c r="B23" s="3" t="s">
        <v>53</v>
      </c>
      <c r="C23" s="3" t="s">
        <v>88</v>
      </c>
      <c r="D23" s="182" t="s">
        <v>89</v>
      </c>
      <c r="E23" s="182"/>
      <c r="F23" s="3" t="s">
        <v>79</v>
      </c>
      <c r="G23" s="28">
        <v>2</v>
      </c>
      <c r="H23" s="84">
        <v>0</v>
      </c>
    </row>
    <row r="24" spans="1:8" x14ac:dyDescent="0.25">
      <c r="A24" s="80"/>
      <c r="D24" s="81" t="s">
        <v>439</v>
      </c>
      <c r="E24" s="265" t="s">
        <v>53</v>
      </c>
      <c r="F24" s="265"/>
      <c r="G24" s="82">
        <v>2</v>
      </c>
      <c r="H24" s="83"/>
    </row>
    <row r="25" spans="1:8" x14ac:dyDescent="0.25">
      <c r="A25" s="2" t="s">
        <v>87</v>
      </c>
      <c r="B25" s="3" t="s">
        <v>53</v>
      </c>
      <c r="C25" s="3" t="s">
        <v>91</v>
      </c>
      <c r="D25" s="182" t="s">
        <v>92</v>
      </c>
      <c r="E25" s="182"/>
      <c r="F25" s="3" t="s">
        <v>79</v>
      </c>
      <c r="G25" s="28">
        <v>1.5</v>
      </c>
      <c r="H25" s="84">
        <v>0</v>
      </c>
    </row>
    <row r="26" spans="1:8" x14ac:dyDescent="0.25">
      <c r="A26" s="80"/>
      <c r="D26" s="81" t="s">
        <v>440</v>
      </c>
      <c r="E26" s="265" t="s">
        <v>53</v>
      </c>
      <c r="F26" s="265"/>
      <c r="G26" s="82">
        <v>1.5</v>
      </c>
      <c r="H26" s="83"/>
    </row>
    <row r="27" spans="1:8" x14ac:dyDescent="0.25">
      <c r="A27" s="2" t="s">
        <v>90</v>
      </c>
      <c r="B27" s="3" t="s">
        <v>53</v>
      </c>
      <c r="C27" s="3" t="s">
        <v>94</v>
      </c>
      <c r="D27" s="182" t="s">
        <v>95</v>
      </c>
      <c r="E27" s="182"/>
      <c r="F27" s="3" t="s">
        <v>79</v>
      </c>
      <c r="G27" s="28">
        <v>2.7</v>
      </c>
      <c r="H27" s="84">
        <v>0</v>
      </c>
    </row>
    <row r="28" spans="1:8" x14ac:dyDescent="0.25">
      <c r="A28" s="80"/>
      <c r="D28" s="81" t="s">
        <v>441</v>
      </c>
      <c r="E28" s="265" t="s">
        <v>53</v>
      </c>
      <c r="F28" s="265"/>
      <c r="G28" s="82">
        <v>2.7</v>
      </c>
      <c r="H28" s="83"/>
    </row>
    <row r="29" spans="1:8" x14ac:dyDescent="0.25">
      <c r="A29" s="2" t="s">
        <v>93</v>
      </c>
      <c r="B29" s="3" t="s">
        <v>53</v>
      </c>
      <c r="C29" s="3" t="s">
        <v>98</v>
      </c>
      <c r="D29" s="182" t="s">
        <v>99</v>
      </c>
      <c r="E29" s="182"/>
      <c r="F29" s="3" t="s">
        <v>79</v>
      </c>
      <c r="G29" s="28">
        <v>47.15</v>
      </c>
      <c r="H29" s="84">
        <v>0</v>
      </c>
    </row>
    <row r="30" spans="1:8" x14ac:dyDescent="0.25">
      <c r="A30" s="80"/>
      <c r="D30" s="81" t="s">
        <v>442</v>
      </c>
      <c r="E30" s="265" t="s">
        <v>53</v>
      </c>
      <c r="F30" s="265"/>
      <c r="G30" s="82">
        <v>47.15</v>
      </c>
      <c r="H30" s="83"/>
    </row>
    <row r="31" spans="1:8" x14ac:dyDescent="0.25">
      <c r="A31" s="2" t="s">
        <v>54</v>
      </c>
      <c r="B31" s="3" t="s">
        <v>53</v>
      </c>
      <c r="C31" s="3" t="s">
        <v>103</v>
      </c>
      <c r="D31" s="182" t="s">
        <v>104</v>
      </c>
      <c r="E31" s="182"/>
      <c r="F31" s="3" t="s">
        <v>79</v>
      </c>
      <c r="G31" s="28">
        <v>45</v>
      </c>
      <c r="H31" s="84">
        <v>0</v>
      </c>
    </row>
    <row r="32" spans="1:8" x14ac:dyDescent="0.25">
      <c r="A32" s="80"/>
      <c r="D32" s="81" t="s">
        <v>167</v>
      </c>
      <c r="E32" s="265" t="s">
        <v>53</v>
      </c>
      <c r="F32" s="265"/>
      <c r="G32" s="82">
        <v>45</v>
      </c>
      <c r="H32" s="83"/>
    </row>
    <row r="33" spans="1:8" x14ac:dyDescent="0.25">
      <c r="A33" s="2" t="s">
        <v>74</v>
      </c>
      <c r="B33" s="3" t="s">
        <v>53</v>
      </c>
      <c r="C33" s="3" t="s">
        <v>106</v>
      </c>
      <c r="D33" s="182" t="s">
        <v>107</v>
      </c>
      <c r="E33" s="182"/>
      <c r="F33" s="3" t="s">
        <v>79</v>
      </c>
      <c r="G33" s="28">
        <v>556</v>
      </c>
      <c r="H33" s="84">
        <v>0</v>
      </c>
    </row>
    <row r="34" spans="1:8" x14ac:dyDescent="0.25">
      <c r="A34" s="80"/>
      <c r="D34" s="81" t="s">
        <v>443</v>
      </c>
      <c r="E34" s="265" t="s">
        <v>53</v>
      </c>
      <c r="F34" s="265"/>
      <c r="G34" s="82">
        <v>556</v>
      </c>
      <c r="H34" s="83"/>
    </row>
    <row r="35" spans="1:8" x14ac:dyDescent="0.25">
      <c r="A35" s="2" t="s">
        <v>96</v>
      </c>
      <c r="B35" s="3" t="s">
        <v>53</v>
      </c>
      <c r="C35" s="3" t="s">
        <v>109</v>
      </c>
      <c r="D35" s="182" t="s">
        <v>110</v>
      </c>
      <c r="E35" s="182"/>
      <c r="F35" s="3" t="s">
        <v>79</v>
      </c>
      <c r="G35" s="28">
        <v>45</v>
      </c>
      <c r="H35" s="84">
        <v>0</v>
      </c>
    </row>
    <row r="36" spans="1:8" x14ac:dyDescent="0.25">
      <c r="A36" s="80"/>
      <c r="D36" s="81" t="s">
        <v>167</v>
      </c>
      <c r="E36" s="265" t="s">
        <v>53</v>
      </c>
      <c r="F36" s="265"/>
      <c r="G36" s="82">
        <v>45</v>
      </c>
      <c r="H36" s="83"/>
    </row>
    <row r="37" spans="1:8" x14ac:dyDescent="0.25">
      <c r="A37" s="2" t="s">
        <v>108</v>
      </c>
      <c r="B37" s="3" t="s">
        <v>53</v>
      </c>
      <c r="C37" s="3" t="s">
        <v>112</v>
      </c>
      <c r="D37" s="182" t="s">
        <v>113</v>
      </c>
      <c r="E37" s="182"/>
      <c r="F37" s="3" t="s">
        <v>79</v>
      </c>
      <c r="G37" s="28">
        <v>20</v>
      </c>
      <c r="H37" s="84">
        <v>0</v>
      </c>
    </row>
    <row r="38" spans="1:8" x14ac:dyDescent="0.25">
      <c r="A38" s="80"/>
      <c r="D38" s="81" t="s">
        <v>128</v>
      </c>
      <c r="E38" s="265" t="s">
        <v>53</v>
      </c>
      <c r="F38" s="265"/>
      <c r="G38" s="82">
        <v>20</v>
      </c>
      <c r="H38" s="83"/>
    </row>
    <row r="39" spans="1:8" x14ac:dyDescent="0.25">
      <c r="A39" s="2" t="s">
        <v>111</v>
      </c>
      <c r="B39" s="3" t="s">
        <v>53</v>
      </c>
      <c r="C39" s="3" t="s">
        <v>129</v>
      </c>
      <c r="D39" s="182" t="s">
        <v>130</v>
      </c>
      <c r="E39" s="182"/>
      <c r="F39" s="3" t="s">
        <v>79</v>
      </c>
      <c r="G39" s="28">
        <v>44</v>
      </c>
      <c r="H39" s="84">
        <v>0</v>
      </c>
    </row>
    <row r="40" spans="1:8" x14ac:dyDescent="0.25">
      <c r="A40" s="80"/>
      <c r="D40" s="81" t="s">
        <v>212</v>
      </c>
      <c r="E40" s="265" t="s">
        <v>53</v>
      </c>
      <c r="F40" s="265"/>
      <c r="G40" s="82">
        <v>44</v>
      </c>
      <c r="H40" s="83"/>
    </row>
    <row r="41" spans="1:8" x14ac:dyDescent="0.25">
      <c r="A41" s="2" t="s">
        <v>101</v>
      </c>
      <c r="B41" s="3" t="s">
        <v>53</v>
      </c>
      <c r="C41" s="3" t="s">
        <v>132</v>
      </c>
      <c r="D41" s="182" t="s">
        <v>133</v>
      </c>
      <c r="E41" s="182"/>
      <c r="F41" s="3" t="s">
        <v>79</v>
      </c>
      <c r="G41" s="28">
        <v>20</v>
      </c>
      <c r="H41" s="84">
        <v>0</v>
      </c>
    </row>
    <row r="42" spans="1:8" x14ac:dyDescent="0.25">
      <c r="A42" s="80"/>
      <c r="D42" s="81" t="s">
        <v>128</v>
      </c>
      <c r="E42" s="265" t="s">
        <v>53</v>
      </c>
      <c r="F42" s="265"/>
      <c r="G42" s="82">
        <v>20</v>
      </c>
      <c r="H42" s="83"/>
    </row>
    <row r="43" spans="1:8" x14ac:dyDescent="0.25">
      <c r="A43" s="2" t="s">
        <v>116</v>
      </c>
      <c r="B43" s="3" t="s">
        <v>53</v>
      </c>
      <c r="C43" s="3" t="s">
        <v>136</v>
      </c>
      <c r="D43" s="182" t="s">
        <v>137</v>
      </c>
      <c r="E43" s="182"/>
      <c r="F43" s="3" t="s">
        <v>59</v>
      </c>
      <c r="G43" s="28">
        <v>3399.84</v>
      </c>
      <c r="H43" s="84">
        <v>0</v>
      </c>
    </row>
    <row r="44" spans="1:8" x14ac:dyDescent="0.25">
      <c r="A44" s="80"/>
      <c r="D44" s="81" t="s">
        <v>444</v>
      </c>
      <c r="E44" s="265" t="s">
        <v>53</v>
      </c>
      <c r="F44" s="265"/>
      <c r="G44" s="82">
        <v>3399.84</v>
      </c>
      <c r="H44" s="83"/>
    </row>
    <row r="45" spans="1:8" x14ac:dyDescent="0.25">
      <c r="A45" s="2" t="s">
        <v>119</v>
      </c>
      <c r="B45" s="3" t="s">
        <v>53</v>
      </c>
      <c r="C45" s="3" t="s">
        <v>140</v>
      </c>
      <c r="D45" s="182" t="s">
        <v>141</v>
      </c>
      <c r="E45" s="182"/>
      <c r="F45" s="3" t="s">
        <v>59</v>
      </c>
      <c r="G45" s="28">
        <v>900</v>
      </c>
      <c r="H45" s="84">
        <v>0</v>
      </c>
    </row>
    <row r="46" spans="1:8" x14ac:dyDescent="0.25">
      <c r="A46" s="80"/>
      <c r="D46" s="81" t="s">
        <v>445</v>
      </c>
      <c r="E46" s="265" t="s">
        <v>53</v>
      </c>
      <c r="F46" s="265"/>
      <c r="G46" s="82">
        <v>900</v>
      </c>
      <c r="H46" s="83"/>
    </row>
    <row r="47" spans="1:8" x14ac:dyDescent="0.25">
      <c r="A47" s="2" t="s">
        <v>124</v>
      </c>
      <c r="B47" s="3" t="s">
        <v>53</v>
      </c>
      <c r="C47" s="3" t="s">
        <v>143</v>
      </c>
      <c r="D47" s="182" t="s">
        <v>144</v>
      </c>
      <c r="E47" s="182"/>
      <c r="F47" s="3" t="s">
        <v>59</v>
      </c>
      <c r="G47" s="28">
        <v>900</v>
      </c>
      <c r="H47" s="84">
        <v>0</v>
      </c>
    </row>
    <row r="48" spans="1:8" x14ac:dyDescent="0.25">
      <c r="A48" s="80"/>
      <c r="D48" s="81" t="s">
        <v>445</v>
      </c>
      <c r="E48" s="265" t="s">
        <v>53</v>
      </c>
      <c r="F48" s="265"/>
      <c r="G48" s="82">
        <v>900</v>
      </c>
      <c r="H48" s="83"/>
    </row>
    <row r="49" spans="1:8" x14ac:dyDescent="0.25">
      <c r="A49" s="2" t="s">
        <v>128</v>
      </c>
      <c r="B49" s="3" t="s">
        <v>53</v>
      </c>
      <c r="C49" s="3" t="s">
        <v>146</v>
      </c>
      <c r="D49" s="182" t="s">
        <v>147</v>
      </c>
      <c r="E49" s="182"/>
      <c r="F49" s="3" t="s">
        <v>59</v>
      </c>
      <c r="G49" s="28">
        <v>900</v>
      </c>
      <c r="H49" s="84">
        <v>0</v>
      </c>
    </row>
    <row r="50" spans="1:8" x14ac:dyDescent="0.25">
      <c r="A50" s="80"/>
      <c r="D50" s="81" t="s">
        <v>445</v>
      </c>
      <c r="E50" s="265" t="s">
        <v>53</v>
      </c>
      <c r="F50" s="265"/>
      <c r="G50" s="82">
        <v>900</v>
      </c>
      <c r="H50" s="83"/>
    </row>
    <row r="51" spans="1:8" x14ac:dyDescent="0.25">
      <c r="A51" s="2" t="s">
        <v>131</v>
      </c>
      <c r="B51" s="3" t="s">
        <v>53</v>
      </c>
      <c r="C51" s="3" t="s">
        <v>151</v>
      </c>
      <c r="D51" s="182" t="s">
        <v>152</v>
      </c>
      <c r="E51" s="182"/>
      <c r="F51" s="3" t="s">
        <v>67</v>
      </c>
      <c r="G51" s="28">
        <v>7.6</v>
      </c>
      <c r="H51" s="84">
        <v>0</v>
      </c>
    </row>
    <row r="52" spans="1:8" x14ac:dyDescent="0.25">
      <c r="A52" s="80"/>
      <c r="D52" s="81" t="s">
        <v>446</v>
      </c>
      <c r="E52" s="265" t="s">
        <v>53</v>
      </c>
      <c r="F52" s="265"/>
      <c r="G52" s="82">
        <v>7.6</v>
      </c>
      <c r="H52" s="83"/>
    </row>
    <row r="53" spans="1:8" x14ac:dyDescent="0.25">
      <c r="A53" s="2" t="s">
        <v>135</v>
      </c>
      <c r="B53" s="3" t="s">
        <v>53</v>
      </c>
      <c r="C53" s="3" t="s">
        <v>156</v>
      </c>
      <c r="D53" s="182" t="s">
        <v>157</v>
      </c>
      <c r="E53" s="182"/>
      <c r="F53" s="3" t="s">
        <v>67</v>
      </c>
      <c r="G53" s="28">
        <v>10</v>
      </c>
      <c r="H53" s="84">
        <v>0</v>
      </c>
    </row>
    <row r="54" spans="1:8" x14ac:dyDescent="0.25">
      <c r="A54" s="80"/>
      <c r="D54" s="81" t="s">
        <v>93</v>
      </c>
      <c r="E54" s="265" t="s">
        <v>53</v>
      </c>
      <c r="F54" s="265"/>
      <c r="G54" s="82">
        <v>10</v>
      </c>
      <c r="H54" s="83"/>
    </row>
    <row r="55" spans="1:8" x14ac:dyDescent="0.25">
      <c r="A55" s="2" t="s">
        <v>139</v>
      </c>
      <c r="B55" s="3" t="s">
        <v>53</v>
      </c>
      <c r="C55" s="3" t="s">
        <v>159</v>
      </c>
      <c r="D55" s="182" t="s">
        <v>160</v>
      </c>
      <c r="E55" s="182"/>
      <c r="F55" s="3" t="s">
        <v>67</v>
      </c>
      <c r="G55" s="28">
        <v>11</v>
      </c>
      <c r="H55" s="84">
        <v>0</v>
      </c>
    </row>
    <row r="56" spans="1:8" x14ac:dyDescent="0.25">
      <c r="A56" s="80"/>
      <c r="D56" s="81" t="s">
        <v>54</v>
      </c>
      <c r="E56" s="265" t="s">
        <v>53</v>
      </c>
      <c r="F56" s="265"/>
      <c r="G56" s="82">
        <v>11</v>
      </c>
      <c r="H56" s="83"/>
    </row>
    <row r="57" spans="1:8" x14ac:dyDescent="0.25">
      <c r="A57" s="2" t="s">
        <v>142</v>
      </c>
      <c r="B57" s="3" t="s">
        <v>53</v>
      </c>
      <c r="C57" s="3" t="s">
        <v>162</v>
      </c>
      <c r="D57" s="182" t="s">
        <v>163</v>
      </c>
      <c r="E57" s="182"/>
      <c r="F57" s="3" t="s">
        <v>164</v>
      </c>
      <c r="G57" s="28">
        <v>4</v>
      </c>
      <c r="H57" s="84">
        <v>0</v>
      </c>
    </row>
    <row r="58" spans="1:8" x14ac:dyDescent="0.25">
      <c r="A58" s="80"/>
      <c r="D58" s="81" t="s">
        <v>71</v>
      </c>
      <c r="E58" s="265" t="s">
        <v>53</v>
      </c>
      <c r="F58" s="265"/>
      <c r="G58" s="82">
        <v>4</v>
      </c>
      <c r="H58" s="83"/>
    </row>
    <row r="59" spans="1:8" x14ac:dyDescent="0.25">
      <c r="A59" s="2" t="s">
        <v>145</v>
      </c>
      <c r="B59" s="3" t="s">
        <v>53</v>
      </c>
      <c r="C59" s="3" t="s">
        <v>162</v>
      </c>
      <c r="D59" s="182" t="s">
        <v>166</v>
      </c>
      <c r="E59" s="182"/>
      <c r="F59" s="3" t="s">
        <v>164</v>
      </c>
      <c r="G59" s="28">
        <v>5</v>
      </c>
      <c r="H59" s="84">
        <v>0</v>
      </c>
    </row>
    <row r="60" spans="1:8" x14ac:dyDescent="0.25">
      <c r="A60" s="80"/>
      <c r="D60" s="81" t="s">
        <v>76</v>
      </c>
      <c r="E60" s="265" t="s">
        <v>53</v>
      </c>
      <c r="F60" s="265"/>
      <c r="G60" s="82">
        <v>5</v>
      </c>
      <c r="H60" s="83"/>
    </row>
    <row r="61" spans="1:8" x14ac:dyDescent="0.25">
      <c r="A61" s="2" t="s">
        <v>150</v>
      </c>
      <c r="B61" s="3" t="s">
        <v>53</v>
      </c>
      <c r="C61" s="3" t="s">
        <v>170</v>
      </c>
      <c r="D61" s="182" t="s">
        <v>171</v>
      </c>
      <c r="E61" s="182"/>
      <c r="F61" s="3" t="s">
        <v>59</v>
      </c>
      <c r="G61" s="28">
        <v>1423.8</v>
      </c>
      <c r="H61" s="84">
        <v>0</v>
      </c>
    </row>
    <row r="62" spans="1:8" x14ac:dyDescent="0.25">
      <c r="A62" s="80"/>
      <c r="D62" s="81" t="s">
        <v>447</v>
      </c>
      <c r="E62" s="265" t="s">
        <v>53</v>
      </c>
      <c r="F62" s="265"/>
      <c r="G62" s="82">
        <v>1423.8</v>
      </c>
      <c r="H62" s="83"/>
    </row>
    <row r="63" spans="1:8" x14ac:dyDescent="0.25">
      <c r="A63" s="2" t="s">
        <v>155</v>
      </c>
      <c r="B63" s="3" t="s">
        <v>53</v>
      </c>
      <c r="C63" s="3" t="s">
        <v>175</v>
      </c>
      <c r="D63" s="182" t="s">
        <v>176</v>
      </c>
      <c r="E63" s="182"/>
      <c r="F63" s="3" t="s">
        <v>79</v>
      </c>
      <c r="G63" s="28">
        <v>4.92</v>
      </c>
      <c r="H63" s="84">
        <v>0</v>
      </c>
    </row>
    <row r="64" spans="1:8" x14ac:dyDescent="0.25">
      <c r="A64" s="80"/>
      <c r="D64" s="81" t="s">
        <v>448</v>
      </c>
      <c r="E64" s="265" t="s">
        <v>53</v>
      </c>
      <c r="F64" s="265"/>
      <c r="G64" s="82">
        <v>4.92</v>
      </c>
      <c r="H64" s="83"/>
    </row>
    <row r="65" spans="1:8" x14ac:dyDescent="0.25">
      <c r="A65" s="2" t="s">
        <v>158</v>
      </c>
      <c r="B65" s="3" t="s">
        <v>53</v>
      </c>
      <c r="C65" s="3" t="s">
        <v>179</v>
      </c>
      <c r="D65" s="182" t="s">
        <v>180</v>
      </c>
      <c r="E65" s="182"/>
      <c r="F65" s="3" t="s">
        <v>59</v>
      </c>
      <c r="G65" s="28">
        <v>4281.12</v>
      </c>
      <c r="H65" s="84">
        <v>0</v>
      </c>
    </row>
    <row r="66" spans="1:8" x14ac:dyDescent="0.25">
      <c r="A66" s="80"/>
      <c r="D66" s="81" t="s">
        <v>449</v>
      </c>
      <c r="E66" s="265" t="s">
        <v>53</v>
      </c>
      <c r="F66" s="265"/>
      <c r="G66" s="82">
        <v>4281.12</v>
      </c>
      <c r="H66" s="83"/>
    </row>
    <row r="67" spans="1:8" x14ac:dyDescent="0.25">
      <c r="A67" s="2" t="s">
        <v>161</v>
      </c>
      <c r="B67" s="3" t="s">
        <v>53</v>
      </c>
      <c r="C67" s="3" t="s">
        <v>184</v>
      </c>
      <c r="D67" s="182" t="s">
        <v>185</v>
      </c>
      <c r="E67" s="182"/>
      <c r="F67" s="3" t="s">
        <v>59</v>
      </c>
      <c r="G67" s="28">
        <v>697.08</v>
      </c>
      <c r="H67" s="84">
        <v>0</v>
      </c>
    </row>
    <row r="68" spans="1:8" x14ac:dyDescent="0.25">
      <c r="A68" s="80"/>
      <c r="D68" s="81" t="s">
        <v>450</v>
      </c>
      <c r="E68" s="265" t="s">
        <v>53</v>
      </c>
      <c r="F68" s="265"/>
      <c r="G68" s="82">
        <v>697.08</v>
      </c>
      <c r="H68" s="83"/>
    </row>
    <row r="69" spans="1:8" x14ac:dyDescent="0.25">
      <c r="A69" s="2" t="s">
        <v>165</v>
      </c>
      <c r="B69" s="3" t="s">
        <v>53</v>
      </c>
      <c r="C69" s="3" t="s">
        <v>187</v>
      </c>
      <c r="D69" s="182" t="s">
        <v>188</v>
      </c>
      <c r="E69" s="182"/>
      <c r="F69" s="3" t="s">
        <v>59</v>
      </c>
      <c r="G69" s="28">
        <v>697.08</v>
      </c>
      <c r="H69" s="84">
        <v>0</v>
      </c>
    </row>
    <row r="70" spans="1:8" x14ac:dyDescent="0.25">
      <c r="A70" s="80"/>
      <c r="D70" s="81" t="s">
        <v>450</v>
      </c>
      <c r="E70" s="265" t="s">
        <v>53</v>
      </c>
      <c r="F70" s="265"/>
      <c r="G70" s="82">
        <v>697.08</v>
      </c>
      <c r="H70" s="83"/>
    </row>
    <row r="71" spans="1:8" x14ac:dyDescent="0.25">
      <c r="A71" s="2" t="s">
        <v>169</v>
      </c>
      <c r="B71" s="3" t="s">
        <v>53</v>
      </c>
      <c r="C71" s="3" t="s">
        <v>187</v>
      </c>
      <c r="D71" s="182" t="s">
        <v>190</v>
      </c>
      <c r="E71" s="182"/>
      <c r="F71" s="3" t="s">
        <v>59</v>
      </c>
      <c r="G71" s="28">
        <v>522.80999999999995</v>
      </c>
      <c r="H71" s="84">
        <v>0</v>
      </c>
    </row>
    <row r="72" spans="1:8" x14ac:dyDescent="0.25">
      <c r="A72" s="80"/>
      <c r="D72" s="81" t="s">
        <v>451</v>
      </c>
      <c r="E72" s="265" t="s">
        <v>53</v>
      </c>
      <c r="F72" s="265"/>
      <c r="G72" s="82">
        <v>522.80999999999995</v>
      </c>
      <c r="H72" s="83"/>
    </row>
    <row r="73" spans="1:8" x14ac:dyDescent="0.25">
      <c r="A73" s="2" t="s">
        <v>174</v>
      </c>
      <c r="B73" s="3" t="s">
        <v>53</v>
      </c>
      <c r="C73" s="3" t="s">
        <v>192</v>
      </c>
      <c r="D73" s="182" t="s">
        <v>193</v>
      </c>
      <c r="E73" s="182"/>
      <c r="F73" s="3" t="s">
        <v>59</v>
      </c>
      <c r="G73" s="28">
        <v>1058.31</v>
      </c>
      <c r="H73" s="84">
        <v>0</v>
      </c>
    </row>
    <row r="74" spans="1:8" x14ac:dyDescent="0.25">
      <c r="A74" s="80"/>
      <c r="D74" s="81" t="s">
        <v>452</v>
      </c>
      <c r="E74" s="265" t="s">
        <v>53</v>
      </c>
      <c r="F74" s="265"/>
      <c r="G74" s="82">
        <v>1058.31</v>
      </c>
      <c r="H74" s="83"/>
    </row>
    <row r="75" spans="1:8" x14ac:dyDescent="0.25">
      <c r="A75" s="2" t="s">
        <v>148</v>
      </c>
      <c r="B75" s="3" t="s">
        <v>53</v>
      </c>
      <c r="C75" s="3" t="s">
        <v>195</v>
      </c>
      <c r="D75" s="182" t="s">
        <v>196</v>
      </c>
      <c r="E75" s="182"/>
      <c r="F75" s="3" t="s">
        <v>59</v>
      </c>
      <c r="G75" s="28">
        <v>70</v>
      </c>
      <c r="H75" s="84">
        <v>0</v>
      </c>
    </row>
    <row r="76" spans="1:8" x14ac:dyDescent="0.25">
      <c r="A76" s="80"/>
      <c r="D76" s="81" t="s">
        <v>311</v>
      </c>
      <c r="E76" s="265" t="s">
        <v>53</v>
      </c>
      <c r="F76" s="265"/>
      <c r="G76" s="82">
        <v>70</v>
      </c>
      <c r="H76" s="83"/>
    </row>
    <row r="77" spans="1:8" x14ac:dyDescent="0.25">
      <c r="A77" s="2" t="s">
        <v>183</v>
      </c>
      <c r="B77" s="3" t="s">
        <v>53</v>
      </c>
      <c r="C77" s="3" t="s">
        <v>184</v>
      </c>
      <c r="D77" s="182" t="s">
        <v>198</v>
      </c>
      <c r="E77" s="182"/>
      <c r="F77" s="3" t="s">
        <v>59</v>
      </c>
      <c r="G77" s="28">
        <v>16</v>
      </c>
      <c r="H77" s="84">
        <v>0</v>
      </c>
    </row>
    <row r="78" spans="1:8" x14ac:dyDescent="0.25">
      <c r="A78" s="80"/>
      <c r="D78" s="81" t="s">
        <v>101</v>
      </c>
      <c r="E78" s="265" t="s">
        <v>53</v>
      </c>
      <c r="F78" s="265"/>
      <c r="G78" s="82">
        <v>16</v>
      </c>
      <c r="H78" s="83"/>
    </row>
    <row r="79" spans="1:8" x14ac:dyDescent="0.25">
      <c r="A79" s="2" t="s">
        <v>186</v>
      </c>
      <c r="B79" s="3" t="s">
        <v>53</v>
      </c>
      <c r="C79" s="3" t="s">
        <v>187</v>
      </c>
      <c r="D79" s="182" t="s">
        <v>200</v>
      </c>
      <c r="E79" s="182"/>
      <c r="F79" s="3" t="s">
        <v>59</v>
      </c>
      <c r="G79" s="28">
        <v>16</v>
      </c>
      <c r="H79" s="84">
        <v>0</v>
      </c>
    </row>
    <row r="80" spans="1:8" x14ac:dyDescent="0.25">
      <c r="A80" s="80"/>
      <c r="D80" s="81" t="s">
        <v>101</v>
      </c>
      <c r="E80" s="265" t="s">
        <v>53</v>
      </c>
      <c r="F80" s="265"/>
      <c r="G80" s="82">
        <v>16</v>
      </c>
      <c r="H80" s="83"/>
    </row>
    <row r="81" spans="1:8" x14ac:dyDescent="0.25">
      <c r="A81" s="2" t="s">
        <v>189</v>
      </c>
      <c r="B81" s="3" t="s">
        <v>53</v>
      </c>
      <c r="C81" s="3" t="s">
        <v>187</v>
      </c>
      <c r="D81" s="182" t="s">
        <v>202</v>
      </c>
      <c r="E81" s="182"/>
      <c r="F81" s="3" t="s">
        <v>59</v>
      </c>
      <c r="G81" s="28">
        <v>16</v>
      </c>
      <c r="H81" s="84">
        <v>0</v>
      </c>
    </row>
    <row r="82" spans="1:8" x14ac:dyDescent="0.25">
      <c r="A82" s="80"/>
      <c r="D82" s="81" t="s">
        <v>101</v>
      </c>
      <c r="E82" s="265" t="s">
        <v>53</v>
      </c>
      <c r="F82" s="265"/>
      <c r="G82" s="82">
        <v>16</v>
      </c>
      <c r="H82" s="83"/>
    </row>
    <row r="83" spans="1:8" x14ac:dyDescent="0.25">
      <c r="A83" s="2" t="s">
        <v>191</v>
      </c>
      <c r="B83" s="3" t="s">
        <v>53</v>
      </c>
      <c r="C83" s="3" t="s">
        <v>209</v>
      </c>
      <c r="D83" s="182" t="s">
        <v>210</v>
      </c>
      <c r="E83" s="182"/>
      <c r="F83" s="3" t="s">
        <v>59</v>
      </c>
      <c r="G83" s="28">
        <v>10</v>
      </c>
      <c r="H83" s="84">
        <v>0</v>
      </c>
    </row>
    <row r="84" spans="1:8" x14ac:dyDescent="0.25">
      <c r="A84" s="80"/>
      <c r="D84" s="81" t="s">
        <v>93</v>
      </c>
      <c r="E84" s="265" t="s">
        <v>53</v>
      </c>
      <c r="F84" s="265"/>
      <c r="G84" s="82">
        <v>10</v>
      </c>
      <c r="H84" s="83"/>
    </row>
    <row r="85" spans="1:8" x14ac:dyDescent="0.25">
      <c r="A85" s="2" t="s">
        <v>194</v>
      </c>
      <c r="B85" s="3" t="s">
        <v>53</v>
      </c>
      <c r="C85" s="3" t="s">
        <v>213</v>
      </c>
      <c r="D85" s="182" t="s">
        <v>214</v>
      </c>
      <c r="E85" s="182"/>
      <c r="F85" s="3" t="s">
        <v>59</v>
      </c>
      <c r="G85" s="28">
        <v>10</v>
      </c>
      <c r="H85" s="84">
        <v>0</v>
      </c>
    </row>
    <row r="86" spans="1:8" x14ac:dyDescent="0.25">
      <c r="A86" s="80"/>
      <c r="D86" s="81" t="s">
        <v>93</v>
      </c>
      <c r="E86" s="265" t="s">
        <v>53</v>
      </c>
      <c r="F86" s="265"/>
      <c r="G86" s="82">
        <v>10</v>
      </c>
      <c r="H86" s="83"/>
    </row>
    <row r="87" spans="1:8" x14ac:dyDescent="0.25">
      <c r="A87" s="2" t="s">
        <v>197</v>
      </c>
      <c r="B87" s="3" t="s">
        <v>53</v>
      </c>
      <c r="C87" s="3" t="s">
        <v>217</v>
      </c>
      <c r="D87" s="182" t="s">
        <v>218</v>
      </c>
      <c r="E87" s="182"/>
      <c r="F87" s="3" t="s">
        <v>59</v>
      </c>
      <c r="G87" s="28">
        <v>1175.9000000000001</v>
      </c>
      <c r="H87" s="84">
        <v>0</v>
      </c>
    </row>
    <row r="88" spans="1:8" x14ac:dyDescent="0.25">
      <c r="A88" s="80"/>
      <c r="D88" s="81" t="s">
        <v>453</v>
      </c>
      <c r="E88" s="265" t="s">
        <v>53</v>
      </c>
      <c r="F88" s="265"/>
      <c r="G88" s="82">
        <v>1175.9000000000001</v>
      </c>
      <c r="H88" s="83"/>
    </row>
    <row r="89" spans="1:8" x14ac:dyDescent="0.25">
      <c r="A89" s="2" t="s">
        <v>199</v>
      </c>
      <c r="B89" s="3" t="s">
        <v>53</v>
      </c>
      <c r="C89" s="3" t="s">
        <v>221</v>
      </c>
      <c r="D89" s="182" t="s">
        <v>222</v>
      </c>
      <c r="E89" s="182"/>
      <c r="F89" s="3" t="s">
        <v>59</v>
      </c>
      <c r="G89" s="28">
        <v>580.9</v>
      </c>
      <c r="H89" s="84">
        <v>0</v>
      </c>
    </row>
    <row r="90" spans="1:8" x14ac:dyDescent="0.25">
      <c r="A90" s="80"/>
      <c r="D90" s="81" t="s">
        <v>454</v>
      </c>
      <c r="E90" s="265" t="s">
        <v>53</v>
      </c>
      <c r="F90" s="265"/>
      <c r="G90" s="82">
        <v>580.9</v>
      </c>
      <c r="H90" s="83"/>
    </row>
    <row r="91" spans="1:8" x14ac:dyDescent="0.25">
      <c r="A91" s="2" t="s">
        <v>201</v>
      </c>
      <c r="B91" s="3" t="s">
        <v>53</v>
      </c>
      <c r="C91" s="3" t="s">
        <v>224</v>
      </c>
      <c r="D91" s="182" t="s">
        <v>225</v>
      </c>
      <c r="E91" s="182"/>
      <c r="F91" s="3" t="s">
        <v>164</v>
      </c>
      <c r="G91" s="28">
        <v>11</v>
      </c>
      <c r="H91" s="84">
        <v>0</v>
      </c>
    </row>
    <row r="92" spans="1:8" x14ac:dyDescent="0.25">
      <c r="A92" s="80"/>
      <c r="D92" s="81" t="s">
        <v>455</v>
      </c>
      <c r="E92" s="265" t="s">
        <v>53</v>
      </c>
      <c r="F92" s="265"/>
      <c r="G92" s="82">
        <v>11</v>
      </c>
      <c r="H92" s="83"/>
    </row>
    <row r="93" spans="1:8" x14ac:dyDescent="0.25">
      <c r="A93" s="2" t="s">
        <v>203</v>
      </c>
      <c r="B93" s="3" t="s">
        <v>53</v>
      </c>
      <c r="C93" s="3" t="s">
        <v>227</v>
      </c>
      <c r="D93" s="182" t="s">
        <v>228</v>
      </c>
      <c r="E93" s="182"/>
      <c r="F93" s="3" t="s">
        <v>164</v>
      </c>
      <c r="G93" s="28">
        <v>1</v>
      </c>
      <c r="H93" s="84">
        <v>0</v>
      </c>
    </row>
    <row r="94" spans="1:8" x14ac:dyDescent="0.25">
      <c r="A94" s="80"/>
      <c r="D94" s="81" t="s">
        <v>56</v>
      </c>
      <c r="E94" s="265" t="s">
        <v>53</v>
      </c>
      <c r="F94" s="265"/>
      <c r="G94" s="82">
        <v>1</v>
      </c>
      <c r="H94" s="83"/>
    </row>
    <row r="95" spans="1:8" x14ac:dyDescent="0.25">
      <c r="A95" s="2" t="s">
        <v>208</v>
      </c>
      <c r="B95" s="3" t="s">
        <v>53</v>
      </c>
      <c r="C95" s="3" t="s">
        <v>230</v>
      </c>
      <c r="D95" s="182" t="s">
        <v>231</v>
      </c>
      <c r="E95" s="182"/>
      <c r="F95" s="3" t="s">
        <v>164</v>
      </c>
      <c r="G95" s="28">
        <v>23</v>
      </c>
      <c r="H95" s="84">
        <v>0</v>
      </c>
    </row>
    <row r="96" spans="1:8" x14ac:dyDescent="0.25">
      <c r="A96" s="80"/>
      <c r="D96" s="81" t="s">
        <v>139</v>
      </c>
      <c r="E96" s="265" t="s">
        <v>53</v>
      </c>
      <c r="F96" s="265"/>
      <c r="G96" s="82">
        <v>23</v>
      </c>
      <c r="H96" s="83"/>
    </row>
    <row r="97" spans="1:8" x14ac:dyDescent="0.25">
      <c r="A97" s="2" t="s">
        <v>212</v>
      </c>
      <c r="B97" s="3" t="s">
        <v>53</v>
      </c>
      <c r="C97" s="3" t="s">
        <v>235</v>
      </c>
      <c r="D97" s="182" t="s">
        <v>236</v>
      </c>
      <c r="E97" s="182"/>
      <c r="F97" s="3" t="s">
        <v>59</v>
      </c>
      <c r="G97" s="28">
        <v>30.03</v>
      </c>
      <c r="H97" s="84">
        <v>0</v>
      </c>
    </row>
    <row r="98" spans="1:8" x14ac:dyDescent="0.25">
      <c r="A98" s="80"/>
      <c r="D98" s="81" t="s">
        <v>456</v>
      </c>
      <c r="E98" s="265" t="s">
        <v>53</v>
      </c>
      <c r="F98" s="265"/>
      <c r="G98" s="82">
        <v>30.03</v>
      </c>
      <c r="H98" s="83"/>
    </row>
    <row r="99" spans="1:8" x14ac:dyDescent="0.25">
      <c r="A99" s="2" t="s">
        <v>167</v>
      </c>
      <c r="B99" s="3" t="s">
        <v>53</v>
      </c>
      <c r="C99" s="3" t="s">
        <v>240</v>
      </c>
      <c r="D99" s="182" t="s">
        <v>241</v>
      </c>
      <c r="E99" s="182"/>
      <c r="F99" s="3" t="s">
        <v>79</v>
      </c>
      <c r="G99" s="28">
        <v>1.6</v>
      </c>
      <c r="H99" s="84">
        <v>0</v>
      </c>
    </row>
    <row r="100" spans="1:8" x14ac:dyDescent="0.25">
      <c r="A100" s="80"/>
      <c r="D100" s="81" t="s">
        <v>457</v>
      </c>
      <c r="E100" s="265" t="s">
        <v>53</v>
      </c>
      <c r="F100" s="265"/>
      <c r="G100" s="82">
        <v>1.6</v>
      </c>
      <c r="H100" s="83"/>
    </row>
    <row r="101" spans="1:8" x14ac:dyDescent="0.25">
      <c r="A101" s="2" t="s">
        <v>220</v>
      </c>
      <c r="B101" s="3" t="s">
        <v>53</v>
      </c>
      <c r="C101" s="3" t="s">
        <v>245</v>
      </c>
      <c r="D101" s="182" t="s">
        <v>246</v>
      </c>
      <c r="E101" s="182"/>
      <c r="F101" s="3" t="s">
        <v>67</v>
      </c>
      <c r="G101" s="28">
        <v>13</v>
      </c>
      <c r="H101" s="84">
        <v>0</v>
      </c>
    </row>
    <row r="102" spans="1:8" x14ac:dyDescent="0.25">
      <c r="A102" s="80"/>
      <c r="D102" s="81" t="s">
        <v>458</v>
      </c>
      <c r="E102" s="265" t="s">
        <v>53</v>
      </c>
      <c r="F102" s="265"/>
      <c r="G102" s="82">
        <v>13</v>
      </c>
      <c r="H102" s="83"/>
    </row>
    <row r="103" spans="1:8" x14ac:dyDescent="0.25">
      <c r="A103" s="2" t="s">
        <v>223</v>
      </c>
      <c r="B103" s="3" t="s">
        <v>53</v>
      </c>
      <c r="C103" s="3" t="s">
        <v>252</v>
      </c>
      <c r="D103" s="182" t="s">
        <v>253</v>
      </c>
      <c r="E103" s="182"/>
      <c r="F103" s="3" t="s">
        <v>67</v>
      </c>
      <c r="G103" s="28">
        <v>13.7</v>
      </c>
      <c r="H103" s="84">
        <v>0</v>
      </c>
    </row>
    <row r="104" spans="1:8" x14ac:dyDescent="0.25">
      <c r="A104" s="80"/>
      <c r="D104" s="81" t="s">
        <v>459</v>
      </c>
      <c r="E104" s="265" t="s">
        <v>53</v>
      </c>
      <c r="F104" s="265"/>
      <c r="G104" s="82">
        <v>13.7</v>
      </c>
      <c r="H104" s="83"/>
    </row>
    <row r="105" spans="1:8" x14ac:dyDescent="0.25">
      <c r="A105" s="2" t="s">
        <v>226</v>
      </c>
      <c r="B105" s="3" t="s">
        <v>53</v>
      </c>
      <c r="C105" s="3" t="s">
        <v>258</v>
      </c>
      <c r="D105" s="182" t="s">
        <v>259</v>
      </c>
      <c r="E105" s="182"/>
      <c r="F105" s="3" t="s">
        <v>164</v>
      </c>
      <c r="G105" s="28">
        <v>20</v>
      </c>
      <c r="H105" s="84">
        <v>0</v>
      </c>
    </row>
    <row r="106" spans="1:8" x14ac:dyDescent="0.25">
      <c r="A106" s="80"/>
      <c r="D106" s="81" t="s">
        <v>128</v>
      </c>
      <c r="E106" s="265" t="s">
        <v>53</v>
      </c>
      <c r="F106" s="265"/>
      <c r="G106" s="82">
        <v>20</v>
      </c>
      <c r="H106" s="83"/>
    </row>
    <row r="107" spans="1:8" x14ac:dyDescent="0.25">
      <c r="A107" s="2" t="s">
        <v>229</v>
      </c>
      <c r="B107" s="3" t="s">
        <v>53</v>
      </c>
      <c r="C107" s="3" t="s">
        <v>263</v>
      </c>
      <c r="D107" s="182" t="s">
        <v>264</v>
      </c>
      <c r="E107" s="182"/>
      <c r="F107" s="3" t="s">
        <v>164</v>
      </c>
      <c r="G107" s="28">
        <v>1</v>
      </c>
      <c r="H107" s="84">
        <v>0</v>
      </c>
    </row>
    <row r="108" spans="1:8" x14ac:dyDescent="0.25">
      <c r="A108" s="80"/>
      <c r="D108" s="81" t="s">
        <v>56</v>
      </c>
      <c r="E108" s="265" t="s">
        <v>53</v>
      </c>
      <c r="F108" s="265"/>
      <c r="G108" s="82">
        <v>1</v>
      </c>
      <c r="H108" s="83"/>
    </row>
    <row r="109" spans="1:8" x14ac:dyDescent="0.25">
      <c r="A109" s="2" t="s">
        <v>234</v>
      </c>
      <c r="B109" s="3" t="s">
        <v>53</v>
      </c>
      <c r="C109" s="3" t="s">
        <v>267</v>
      </c>
      <c r="D109" s="182" t="s">
        <v>268</v>
      </c>
      <c r="E109" s="182"/>
      <c r="F109" s="3" t="s">
        <v>164</v>
      </c>
      <c r="G109" s="28">
        <v>40</v>
      </c>
      <c r="H109" s="84">
        <v>0</v>
      </c>
    </row>
    <row r="110" spans="1:8" x14ac:dyDescent="0.25">
      <c r="A110" s="80"/>
      <c r="D110" s="81" t="s">
        <v>199</v>
      </c>
      <c r="E110" s="265" t="s">
        <v>53</v>
      </c>
      <c r="F110" s="265"/>
      <c r="G110" s="82">
        <v>40</v>
      </c>
      <c r="H110" s="83"/>
    </row>
    <row r="111" spans="1:8" x14ac:dyDescent="0.25">
      <c r="A111" s="2" t="s">
        <v>239</v>
      </c>
      <c r="B111" s="3" t="s">
        <v>53</v>
      </c>
      <c r="C111" s="3" t="s">
        <v>272</v>
      </c>
      <c r="D111" s="182" t="s">
        <v>273</v>
      </c>
      <c r="E111" s="182"/>
      <c r="F111" s="3" t="s">
        <v>67</v>
      </c>
      <c r="G111" s="28">
        <v>1160</v>
      </c>
      <c r="H111" s="84">
        <v>0</v>
      </c>
    </row>
    <row r="112" spans="1:8" x14ac:dyDescent="0.25">
      <c r="A112" s="80"/>
      <c r="D112" s="81" t="s">
        <v>460</v>
      </c>
      <c r="E112" s="265" t="s">
        <v>53</v>
      </c>
      <c r="F112" s="265"/>
      <c r="G112" s="82">
        <v>1160</v>
      </c>
      <c r="H112" s="83"/>
    </row>
    <row r="113" spans="1:8" x14ac:dyDescent="0.25">
      <c r="A113" s="2" t="s">
        <v>244</v>
      </c>
      <c r="B113" s="3" t="s">
        <v>53</v>
      </c>
      <c r="C113" s="3" t="s">
        <v>272</v>
      </c>
      <c r="D113" s="182" t="s">
        <v>276</v>
      </c>
      <c r="E113" s="182"/>
      <c r="F113" s="3" t="s">
        <v>67</v>
      </c>
      <c r="G113" s="28">
        <v>1201</v>
      </c>
      <c r="H113" s="84">
        <v>0</v>
      </c>
    </row>
    <row r="114" spans="1:8" x14ac:dyDescent="0.25">
      <c r="A114" s="80"/>
      <c r="D114" s="81" t="s">
        <v>461</v>
      </c>
      <c r="E114" s="265" t="s">
        <v>53</v>
      </c>
      <c r="F114" s="265"/>
      <c r="G114" s="82">
        <v>1201</v>
      </c>
      <c r="H114" s="83"/>
    </row>
    <row r="115" spans="1:8" x14ac:dyDescent="0.25">
      <c r="A115" s="2" t="s">
        <v>251</v>
      </c>
      <c r="B115" s="3" t="s">
        <v>53</v>
      </c>
      <c r="C115" s="3" t="s">
        <v>278</v>
      </c>
      <c r="D115" s="182" t="s">
        <v>279</v>
      </c>
      <c r="E115" s="182"/>
      <c r="F115" s="3" t="s">
        <v>79</v>
      </c>
      <c r="G115" s="28">
        <v>53.03</v>
      </c>
      <c r="H115" s="84">
        <v>0</v>
      </c>
    </row>
    <row r="116" spans="1:8" x14ac:dyDescent="0.25">
      <c r="A116" s="80"/>
      <c r="D116" s="81" t="s">
        <v>462</v>
      </c>
      <c r="E116" s="265" t="s">
        <v>53</v>
      </c>
      <c r="F116" s="265"/>
      <c r="G116" s="82">
        <v>53.03</v>
      </c>
      <c r="H116" s="83"/>
    </row>
    <row r="117" spans="1:8" x14ac:dyDescent="0.25">
      <c r="A117" s="2" t="s">
        <v>257</v>
      </c>
      <c r="B117" s="3" t="s">
        <v>53</v>
      </c>
      <c r="C117" s="3" t="s">
        <v>281</v>
      </c>
      <c r="D117" s="182" t="s">
        <v>282</v>
      </c>
      <c r="E117" s="182"/>
      <c r="F117" s="3" t="s">
        <v>164</v>
      </c>
      <c r="G117" s="28">
        <v>2</v>
      </c>
      <c r="H117" s="84">
        <v>0</v>
      </c>
    </row>
    <row r="118" spans="1:8" x14ac:dyDescent="0.25">
      <c r="A118" s="80"/>
      <c r="D118" s="81" t="s">
        <v>64</v>
      </c>
      <c r="E118" s="265" t="s">
        <v>53</v>
      </c>
      <c r="F118" s="265"/>
      <c r="G118" s="82">
        <v>2</v>
      </c>
      <c r="H118" s="83"/>
    </row>
    <row r="119" spans="1:8" x14ac:dyDescent="0.25">
      <c r="A119" s="2" t="s">
        <v>262</v>
      </c>
      <c r="B119" s="3" t="s">
        <v>53</v>
      </c>
      <c r="C119" s="3" t="s">
        <v>284</v>
      </c>
      <c r="D119" s="182" t="s">
        <v>285</v>
      </c>
      <c r="E119" s="182"/>
      <c r="F119" s="3" t="s">
        <v>67</v>
      </c>
      <c r="G119" s="28">
        <v>450</v>
      </c>
      <c r="H119" s="84">
        <v>0</v>
      </c>
    </row>
    <row r="120" spans="1:8" x14ac:dyDescent="0.25">
      <c r="A120" s="80"/>
      <c r="D120" s="81" t="s">
        <v>463</v>
      </c>
      <c r="E120" s="265" t="s">
        <v>53</v>
      </c>
      <c r="F120" s="265"/>
      <c r="G120" s="82">
        <v>450</v>
      </c>
      <c r="H120" s="83"/>
    </row>
    <row r="121" spans="1:8" x14ac:dyDescent="0.25">
      <c r="A121" s="2" t="s">
        <v>177</v>
      </c>
      <c r="B121" s="3" t="s">
        <v>53</v>
      </c>
      <c r="C121" s="3" t="s">
        <v>284</v>
      </c>
      <c r="D121" s="182" t="s">
        <v>286</v>
      </c>
      <c r="E121" s="182"/>
      <c r="F121" s="3" t="s">
        <v>67</v>
      </c>
      <c r="G121" s="28">
        <v>185</v>
      </c>
      <c r="H121" s="84">
        <v>0</v>
      </c>
    </row>
    <row r="122" spans="1:8" x14ac:dyDescent="0.25">
      <c r="A122" s="80"/>
      <c r="D122" s="81" t="s">
        <v>464</v>
      </c>
      <c r="E122" s="265" t="s">
        <v>53</v>
      </c>
      <c r="F122" s="265"/>
      <c r="G122" s="82">
        <v>185</v>
      </c>
      <c r="H122" s="83"/>
    </row>
    <row r="123" spans="1:8" x14ac:dyDescent="0.25">
      <c r="A123" s="2" t="s">
        <v>206</v>
      </c>
      <c r="B123" s="3" t="s">
        <v>53</v>
      </c>
      <c r="C123" s="3" t="s">
        <v>288</v>
      </c>
      <c r="D123" s="182" t="s">
        <v>289</v>
      </c>
      <c r="E123" s="182"/>
      <c r="F123" s="3" t="s">
        <v>59</v>
      </c>
      <c r="G123" s="28">
        <v>10</v>
      </c>
      <c r="H123" s="84">
        <v>0</v>
      </c>
    </row>
    <row r="124" spans="1:8" x14ac:dyDescent="0.25">
      <c r="A124" s="80"/>
      <c r="D124" s="81" t="s">
        <v>465</v>
      </c>
      <c r="E124" s="265" t="s">
        <v>53</v>
      </c>
      <c r="F124" s="265"/>
      <c r="G124" s="82">
        <v>10</v>
      </c>
      <c r="H124" s="83"/>
    </row>
    <row r="125" spans="1:8" x14ac:dyDescent="0.25">
      <c r="A125" s="2" t="s">
        <v>271</v>
      </c>
      <c r="B125" s="3" t="s">
        <v>53</v>
      </c>
      <c r="C125" s="3" t="s">
        <v>302</v>
      </c>
      <c r="D125" s="182" t="s">
        <v>303</v>
      </c>
      <c r="E125" s="182"/>
      <c r="F125" s="3" t="s">
        <v>164</v>
      </c>
      <c r="G125" s="28">
        <v>7</v>
      </c>
      <c r="H125" s="84">
        <v>0</v>
      </c>
    </row>
    <row r="126" spans="1:8" x14ac:dyDescent="0.25">
      <c r="A126" s="80"/>
      <c r="D126" s="81" t="s">
        <v>84</v>
      </c>
      <c r="E126" s="265" t="s">
        <v>53</v>
      </c>
      <c r="F126" s="265"/>
      <c r="G126" s="82">
        <v>7</v>
      </c>
      <c r="H126" s="83"/>
    </row>
    <row r="127" spans="1:8" x14ac:dyDescent="0.25">
      <c r="A127" s="2" t="s">
        <v>215</v>
      </c>
      <c r="B127" s="3" t="s">
        <v>53</v>
      </c>
      <c r="C127" s="3" t="s">
        <v>308</v>
      </c>
      <c r="D127" s="182" t="s">
        <v>309</v>
      </c>
      <c r="E127" s="182"/>
      <c r="F127" s="3" t="s">
        <v>67</v>
      </c>
      <c r="G127" s="28">
        <v>10</v>
      </c>
      <c r="H127" s="84">
        <v>0</v>
      </c>
    </row>
    <row r="128" spans="1:8" x14ac:dyDescent="0.25">
      <c r="A128" s="80"/>
      <c r="D128" s="81" t="s">
        <v>93</v>
      </c>
      <c r="E128" s="265" t="s">
        <v>53</v>
      </c>
      <c r="F128" s="265"/>
      <c r="G128" s="82">
        <v>10</v>
      </c>
      <c r="H128" s="83"/>
    </row>
    <row r="129" spans="1:8" x14ac:dyDescent="0.25">
      <c r="A129" s="2" t="s">
        <v>277</v>
      </c>
      <c r="B129" s="3" t="s">
        <v>53</v>
      </c>
      <c r="C129" s="3" t="s">
        <v>312</v>
      </c>
      <c r="D129" s="182" t="s">
        <v>313</v>
      </c>
      <c r="E129" s="182"/>
      <c r="F129" s="3" t="s">
        <v>67</v>
      </c>
      <c r="G129" s="28">
        <v>25.9</v>
      </c>
      <c r="H129" s="84">
        <v>0</v>
      </c>
    </row>
    <row r="130" spans="1:8" x14ac:dyDescent="0.25">
      <c r="A130" s="80"/>
      <c r="D130" s="81" t="s">
        <v>466</v>
      </c>
      <c r="E130" s="265" t="s">
        <v>53</v>
      </c>
      <c r="F130" s="265"/>
      <c r="G130" s="82">
        <v>25.9</v>
      </c>
      <c r="H130" s="83"/>
    </row>
    <row r="131" spans="1:8" x14ac:dyDescent="0.25">
      <c r="A131" s="2" t="s">
        <v>280</v>
      </c>
      <c r="B131" s="3" t="s">
        <v>53</v>
      </c>
      <c r="C131" s="3" t="s">
        <v>315</v>
      </c>
      <c r="D131" s="182" t="s">
        <v>316</v>
      </c>
      <c r="E131" s="182"/>
      <c r="F131" s="3" t="s">
        <v>164</v>
      </c>
      <c r="G131" s="28">
        <v>1</v>
      </c>
      <c r="H131" s="84">
        <v>0</v>
      </c>
    </row>
    <row r="132" spans="1:8" x14ac:dyDescent="0.25">
      <c r="A132" s="80"/>
      <c r="D132" s="81" t="s">
        <v>56</v>
      </c>
      <c r="E132" s="265" t="s">
        <v>53</v>
      </c>
      <c r="F132" s="265"/>
      <c r="G132" s="82">
        <v>1</v>
      </c>
      <c r="H132" s="83"/>
    </row>
    <row r="133" spans="1:8" x14ac:dyDescent="0.25">
      <c r="A133" s="2" t="s">
        <v>283</v>
      </c>
      <c r="B133" s="3" t="s">
        <v>53</v>
      </c>
      <c r="C133" s="3" t="s">
        <v>318</v>
      </c>
      <c r="D133" s="182" t="s">
        <v>319</v>
      </c>
      <c r="E133" s="182"/>
      <c r="F133" s="3" t="s">
        <v>164</v>
      </c>
      <c r="G133" s="28">
        <v>5</v>
      </c>
      <c r="H133" s="84">
        <v>0</v>
      </c>
    </row>
    <row r="134" spans="1:8" x14ac:dyDescent="0.25">
      <c r="A134" s="80"/>
      <c r="D134" s="81" t="s">
        <v>76</v>
      </c>
      <c r="E134" s="265" t="s">
        <v>53</v>
      </c>
      <c r="F134" s="265"/>
      <c r="G134" s="82">
        <v>5</v>
      </c>
      <c r="H134" s="83"/>
    </row>
    <row r="135" spans="1:8" x14ac:dyDescent="0.25">
      <c r="A135" s="2" t="s">
        <v>232</v>
      </c>
      <c r="B135" s="3" t="s">
        <v>53</v>
      </c>
      <c r="C135" s="3" t="s">
        <v>323</v>
      </c>
      <c r="D135" s="182" t="s">
        <v>324</v>
      </c>
      <c r="E135" s="182"/>
      <c r="F135" s="3" t="s">
        <v>122</v>
      </c>
      <c r="G135" s="28">
        <v>2822.16</v>
      </c>
      <c r="H135" s="84">
        <v>0</v>
      </c>
    </row>
    <row r="136" spans="1:8" x14ac:dyDescent="0.25">
      <c r="A136" s="80"/>
      <c r="D136" s="81" t="s">
        <v>467</v>
      </c>
      <c r="E136" s="265" t="s">
        <v>53</v>
      </c>
      <c r="F136" s="265"/>
      <c r="G136" s="82">
        <v>2822.16</v>
      </c>
      <c r="H136" s="83"/>
    </row>
    <row r="137" spans="1:8" x14ac:dyDescent="0.25">
      <c r="A137" s="2" t="s">
        <v>287</v>
      </c>
      <c r="B137" s="3" t="s">
        <v>53</v>
      </c>
      <c r="C137" s="3" t="s">
        <v>329</v>
      </c>
      <c r="D137" s="182" t="s">
        <v>330</v>
      </c>
      <c r="E137" s="182"/>
      <c r="F137" s="3" t="s">
        <v>122</v>
      </c>
      <c r="G137" s="28">
        <v>192.6</v>
      </c>
      <c r="H137" s="84">
        <v>0</v>
      </c>
    </row>
    <row r="138" spans="1:8" x14ac:dyDescent="0.25">
      <c r="A138" s="80"/>
      <c r="D138" s="81" t="s">
        <v>468</v>
      </c>
      <c r="E138" s="265" t="s">
        <v>53</v>
      </c>
      <c r="F138" s="265"/>
      <c r="G138" s="82">
        <v>192.6</v>
      </c>
      <c r="H138" s="83"/>
    </row>
    <row r="139" spans="1:8" x14ac:dyDescent="0.25">
      <c r="A139" s="2" t="s">
        <v>290</v>
      </c>
      <c r="B139" s="3" t="s">
        <v>53</v>
      </c>
      <c r="C139" s="3" t="s">
        <v>333</v>
      </c>
      <c r="D139" s="182" t="s">
        <v>334</v>
      </c>
      <c r="E139" s="182"/>
      <c r="F139" s="3" t="s">
        <v>122</v>
      </c>
      <c r="G139" s="28">
        <v>1155.5999999999999</v>
      </c>
      <c r="H139" s="84">
        <v>0</v>
      </c>
    </row>
    <row r="140" spans="1:8" x14ac:dyDescent="0.25">
      <c r="A140" s="80"/>
      <c r="D140" s="81" t="s">
        <v>469</v>
      </c>
      <c r="E140" s="265" t="s">
        <v>53</v>
      </c>
      <c r="F140" s="265"/>
      <c r="G140" s="82">
        <v>1155.5999999999999</v>
      </c>
      <c r="H140" s="83"/>
    </row>
    <row r="141" spans="1:8" x14ac:dyDescent="0.25">
      <c r="A141" s="2" t="s">
        <v>293</v>
      </c>
      <c r="B141" s="3" t="s">
        <v>53</v>
      </c>
      <c r="C141" s="3" t="s">
        <v>341</v>
      </c>
      <c r="D141" s="182" t="s">
        <v>342</v>
      </c>
      <c r="E141" s="182"/>
      <c r="F141" s="3" t="s">
        <v>164</v>
      </c>
      <c r="G141" s="28">
        <v>848</v>
      </c>
      <c r="H141" s="84">
        <v>0</v>
      </c>
    </row>
    <row r="142" spans="1:8" x14ac:dyDescent="0.25">
      <c r="A142" s="80"/>
      <c r="D142" s="81" t="s">
        <v>470</v>
      </c>
      <c r="E142" s="265" t="s">
        <v>53</v>
      </c>
      <c r="F142" s="265"/>
      <c r="G142" s="82">
        <v>848</v>
      </c>
      <c r="H142" s="83"/>
    </row>
    <row r="143" spans="1:8" x14ac:dyDescent="0.25">
      <c r="A143" s="2" t="s">
        <v>296</v>
      </c>
      <c r="B143" s="3" t="s">
        <v>53</v>
      </c>
      <c r="C143" s="3" t="s">
        <v>347</v>
      </c>
      <c r="D143" s="182" t="s">
        <v>348</v>
      </c>
      <c r="E143" s="182"/>
      <c r="F143" s="3" t="s">
        <v>164</v>
      </c>
      <c r="G143" s="28">
        <v>23</v>
      </c>
      <c r="H143" s="84">
        <v>0</v>
      </c>
    </row>
    <row r="144" spans="1:8" x14ac:dyDescent="0.25">
      <c r="A144" s="80"/>
      <c r="D144" s="81" t="s">
        <v>139</v>
      </c>
      <c r="E144" s="265" t="s">
        <v>53</v>
      </c>
      <c r="F144" s="265"/>
      <c r="G144" s="82">
        <v>23</v>
      </c>
      <c r="H144" s="83"/>
    </row>
    <row r="145" spans="1:8" x14ac:dyDescent="0.25">
      <c r="A145" s="2" t="s">
        <v>301</v>
      </c>
      <c r="B145" s="3" t="s">
        <v>53</v>
      </c>
      <c r="C145" s="3" t="s">
        <v>350</v>
      </c>
      <c r="D145" s="182" t="s">
        <v>351</v>
      </c>
      <c r="E145" s="182"/>
      <c r="F145" s="3" t="s">
        <v>164</v>
      </c>
      <c r="G145" s="28">
        <v>23</v>
      </c>
      <c r="H145" s="84">
        <v>0</v>
      </c>
    </row>
    <row r="146" spans="1:8" x14ac:dyDescent="0.25">
      <c r="A146" s="80"/>
      <c r="D146" s="81" t="s">
        <v>139</v>
      </c>
      <c r="E146" s="265" t="s">
        <v>53</v>
      </c>
      <c r="F146" s="265"/>
      <c r="G146" s="82">
        <v>23</v>
      </c>
      <c r="H146" s="83"/>
    </row>
    <row r="147" spans="1:8" x14ac:dyDescent="0.25">
      <c r="A147" s="2" t="s">
        <v>307</v>
      </c>
      <c r="B147" s="3" t="s">
        <v>53</v>
      </c>
      <c r="C147" s="3" t="s">
        <v>353</v>
      </c>
      <c r="D147" s="182" t="s">
        <v>354</v>
      </c>
      <c r="E147" s="182"/>
      <c r="F147" s="3" t="s">
        <v>164</v>
      </c>
      <c r="G147" s="28">
        <v>259</v>
      </c>
      <c r="H147" s="84">
        <v>0</v>
      </c>
    </row>
    <row r="148" spans="1:8" x14ac:dyDescent="0.25">
      <c r="A148" s="80"/>
      <c r="D148" s="81" t="s">
        <v>471</v>
      </c>
      <c r="E148" s="265" t="s">
        <v>53</v>
      </c>
      <c r="F148" s="265"/>
      <c r="G148" s="82">
        <v>259</v>
      </c>
      <c r="H148" s="83"/>
    </row>
    <row r="149" spans="1:8" x14ac:dyDescent="0.25">
      <c r="A149" s="2" t="s">
        <v>311</v>
      </c>
      <c r="B149" s="3" t="s">
        <v>53</v>
      </c>
      <c r="C149" s="3" t="s">
        <v>356</v>
      </c>
      <c r="D149" s="182" t="s">
        <v>357</v>
      </c>
      <c r="E149" s="182"/>
      <c r="F149" s="3" t="s">
        <v>164</v>
      </c>
      <c r="G149" s="28">
        <v>2402</v>
      </c>
      <c r="H149" s="84">
        <v>0</v>
      </c>
    </row>
    <row r="150" spans="1:8" x14ac:dyDescent="0.25">
      <c r="A150" s="80"/>
      <c r="D150" s="81" t="s">
        <v>472</v>
      </c>
      <c r="E150" s="265" t="s">
        <v>53</v>
      </c>
      <c r="F150" s="265"/>
      <c r="G150" s="82">
        <v>2402</v>
      </c>
      <c r="H150" s="83"/>
    </row>
    <row r="151" spans="1:8" x14ac:dyDescent="0.25">
      <c r="A151" s="2" t="s">
        <v>314</v>
      </c>
      <c r="B151" s="3" t="s">
        <v>53</v>
      </c>
      <c r="C151" s="3" t="s">
        <v>359</v>
      </c>
      <c r="D151" s="182" t="s">
        <v>360</v>
      </c>
      <c r="E151" s="182"/>
      <c r="F151" s="3" t="s">
        <v>59</v>
      </c>
      <c r="G151" s="28">
        <v>1154.9000000000001</v>
      </c>
      <c r="H151" s="84">
        <v>0</v>
      </c>
    </row>
    <row r="152" spans="1:8" x14ac:dyDescent="0.25">
      <c r="A152" s="80"/>
      <c r="D152" s="81" t="s">
        <v>473</v>
      </c>
      <c r="E152" s="265" t="s">
        <v>53</v>
      </c>
      <c r="F152" s="265"/>
      <c r="G152" s="82">
        <v>1154.9000000000001</v>
      </c>
      <c r="H152" s="83"/>
    </row>
    <row r="153" spans="1:8" x14ac:dyDescent="0.25">
      <c r="A153" s="2" t="s">
        <v>317</v>
      </c>
      <c r="B153" s="3" t="s">
        <v>53</v>
      </c>
      <c r="C153" s="3" t="s">
        <v>362</v>
      </c>
      <c r="D153" s="182" t="s">
        <v>363</v>
      </c>
      <c r="E153" s="182"/>
      <c r="F153" s="3" t="s">
        <v>59</v>
      </c>
      <c r="G153" s="28">
        <v>47.4</v>
      </c>
      <c r="H153" s="84">
        <v>0</v>
      </c>
    </row>
    <row r="154" spans="1:8" x14ac:dyDescent="0.25">
      <c r="A154" s="80"/>
      <c r="D154" s="81" t="s">
        <v>474</v>
      </c>
      <c r="E154" s="265" t="s">
        <v>53</v>
      </c>
      <c r="F154" s="265"/>
      <c r="G154" s="82">
        <v>47.4</v>
      </c>
      <c r="H154" s="83"/>
    </row>
    <row r="155" spans="1:8" x14ac:dyDescent="0.25">
      <c r="A155" s="2" t="s">
        <v>322</v>
      </c>
      <c r="B155" s="3" t="s">
        <v>53</v>
      </c>
      <c r="C155" s="3" t="s">
        <v>365</v>
      </c>
      <c r="D155" s="182" t="s">
        <v>366</v>
      </c>
      <c r="E155" s="182"/>
      <c r="F155" s="3" t="s">
        <v>59</v>
      </c>
      <c r="G155" s="28">
        <v>533.5</v>
      </c>
      <c r="H155" s="84">
        <v>0</v>
      </c>
    </row>
    <row r="156" spans="1:8" x14ac:dyDescent="0.25">
      <c r="A156" s="80"/>
      <c r="D156" s="81" t="s">
        <v>475</v>
      </c>
      <c r="E156" s="265" t="s">
        <v>53</v>
      </c>
      <c r="F156" s="265"/>
      <c r="G156" s="82">
        <v>533.5</v>
      </c>
      <c r="H156" s="83"/>
    </row>
    <row r="157" spans="1:8" x14ac:dyDescent="0.25">
      <c r="A157" s="2" t="s">
        <v>328</v>
      </c>
      <c r="B157" s="3" t="s">
        <v>53</v>
      </c>
      <c r="C157" s="3" t="s">
        <v>368</v>
      </c>
      <c r="D157" s="182" t="s">
        <v>369</v>
      </c>
      <c r="E157" s="182"/>
      <c r="F157" s="3" t="s">
        <v>59</v>
      </c>
      <c r="G157" s="28">
        <v>21</v>
      </c>
      <c r="H157" s="84">
        <v>0</v>
      </c>
    </row>
    <row r="158" spans="1:8" x14ac:dyDescent="0.25">
      <c r="A158" s="80"/>
      <c r="D158" s="81" t="s">
        <v>131</v>
      </c>
      <c r="E158" s="265" t="s">
        <v>53</v>
      </c>
      <c r="F158" s="265"/>
      <c r="G158" s="82">
        <v>21</v>
      </c>
      <c r="H158" s="83"/>
    </row>
    <row r="159" spans="1:8" x14ac:dyDescent="0.25">
      <c r="A159" s="2" t="s">
        <v>332</v>
      </c>
      <c r="B159" s="3" t="s">
        <v>53</v>
      </c>
      <c r="C159" s="3" t="s">
        <v>371</v>
      </c>
      <c r="D159" s="182" t="s">
        <v>372</v>
      </c>
      <c r="E159" s="182"/>
      <c r="F159" s="3" t="s">
        <v>164</v>
      </c>
      <c r="G159" s="28">
        <v>58</v>
      </c>
      <c r="H159" s="84">
        <v>0</v>
      </c>
    </row>
    <row r="160" spans="1:8" x14ac:dyDescent="0.25">
      <c r="A160" s="80"/>
      <c r="D160" s="81" t="s">
        <v>271</v>
      </c>
      <c r="E160" s="265" t="s">
        <v>53</v>
      </c>
      <c r="F160" s="265"/>
      <c r="G160" s="82">
        <v>58</v>
      </c>
      <c r="H160" s="83"/>
    </row>
    <row r="161" spans="1:8" x14ac:dyDescent="0.25">
      <c r="A161" s="2" t="s">
        <v>335</v>
      </c>
      <c r="B161" s="3" t="s">
        <v>53</v>
      </c>
      <c r="C161" s="3" t="s">
        <v>374</v>
      </c>
      <c r="D161" s="182" t="s">
        <v>375</v>
      </c>
      <c r="E161" s="182"/>
      <c r="F161" s="3" t="s">
        <v>164</v>
      </c>
      <c r="G161" s="28">
        <v>53</v>
      </c>
      <c r="H161" s="84">
        <v>0</v>
      </c>
    </row>
    <row r="162" spans="1:8" x14ac:dyDescent="0.25">
      <c r="A162" s="80"/>
      <c r="D162" s="81" t="s">
        <v>251</v>
      </c>
      <c r="E162" s="265" t="s">
        <v>53</v>
      </c>
      <c r="F162" s="265"/>
      <c r="G162" s="82">
        <v>53</v>
      </c>
      <c r="H162" s="83"/>
    </row>
    <row r="163" spans="1:8" x14ac:dyDescent="0.25">
      <c r="A163" s="2" t="s">
        <v>340</v>
      </c>
      <c r="B163" s="3" t="s">
        <v>53</v>
      </c>
      <c r="C163" s="3" t="s">
        <v>377</v>
      </c>
      <c r="D163" s="182" t="s">
        <v>378</v>
      </c>
      <c r="E163" s="182"/>
      <c r="F163" s="3" t="s">
        <v>164</v>
      </c>
      <c r="G163" s="28">
        <v>40</v>
      </c>
      <c r="H163" s="84">
        <v>0</v>
      </c>
    </row>
    <row r="164" spans="1:8" x14ac:dyDescent="0.25">
      <c r="A164" s="80"/>
      <c r="D164" s="81" t="s">
        <v>199</v>
      </c>
      <c r="E164" s="265" t="s">
        <v>53</v>
      </c>
      <c r="F164" s="265"/>
      <c r="G164" s="82">
        <v>40</v>
      </c>
      <c r="H164" s="83"/>
    </row>
    <row r="165" spans="1:8" x14ac:dyDescent="0.25">
      <c r="A165" s="2" t="s">
        <v>346</v>
      </c>
      <c r="B165" s="3" t="s">
        <v>53</v>
      </c>
      <c r="C165" s="3" t="s">
        <v>395</v>
      </c>
      <c r="D165" s="182" t="s">
        <v>396</v>
      </c>
      <c r="E165" s="182"/>
      <c r="F165" s="3" t="s">
        <v>164</v>
      </c>
      <c r="G165" s="28">
        <v>1</v>
      </c>
      <c r="H165" s="84">
        <v>0</v>
      </c>
    </row>
    <row r="166" spans="1:8" x14ac:dyDescent="0.25">
      <c r="A166" s="80"/>
      <c r="D166" s="81" t="s">
        <v>56</v>
      </c>
      <c r="E166" s="265" t="s">
        <v>53</v>
      </c>
      <c r="F166" s="265"/>
      <c r="G166" s="82">
        <v>1</v>
      </c>
      <c r="H166" s="83"/>
    </row>
    <row r="167" spans="1:8" x14ac:dyDescent="0.25">
      <c r="A167" s="2" t="s">
        <v>349</v>
      </c>
      <c r="B167" s="3" t="s">
        <v>53</v>
      </c>
      <c r="C167" s="3" t="s">
        <v>397</v>
      </c>
      <c r="D167" s="182" t="s">
        <v>398</v>
      </c>
      <c r="E167" s="182"/>
      <c r="F167" s="3" t="s">
        <v>164</v>
      </c>
      <c r="G167" s="28">
        <v>4</v>
      </c>
      <c r="H167" s="84">
        <v>0</v>
      </c>
    </row>
    <row r="168" spans="1:8" x14ac:dyDescent="0.25">
      <c r="A168" s="80"/>
      <c r="D168" s="81" t="s">
        <v>71</v>
      </c>
      <c r="E168" s="265" t="s">
        <v>53</v>
      </c>
      <c r="F168" s="265"/>
      <c r="G168" s="82">
        <v>4</v>
      </c>
      <c r="H168" s="83"/>
    </row>
    <row r="169" spans="1:8" x14ac:dyDescent="0.25">
      <c r="A169" s="2" t="s">
        <v>352</v>
      </c>
      <c r="B169" s="3" t="s">
        <v>53</v>
      </c>
      <c r="C169" s="3" t="s">
        <v>400</v>
      </c>
      <c r="D169" s="182" t="s">
        <v>401</v>
      </c>
      <c r="E169" s="182"/>
      <c r="F169" s="3" t="s">
        <v>164</v>
      </c>
      <c r="G169" s="28">
        <v>4</v>
      </c>
      <c r="H169" s="84">
        <v>0</v>
      </c>
    </row>
    <row r="170" spans="1:8" x14ac:dyDescent="0.25">
      <c r="A170" s="80"/>
      <c r="D170" s="81" t="s">
        <v>71</v>
      </c>
      <c r="E170" s="265" t="s">
        <v>53</v>
      </c>
      <c r="F170" s="265"/>
      <c r="G170" s="82">
        <v>4</v>
      </c>
      <c r="H170" s="83"/>
    </row>
    <row r="171" spans="1:8" x14ac:dyDescent="0.25">
      <c r="A171" s="2" t="s">
        <v>355</v>
      </c>
      <c r="B171" s="3" t="s">
        <v>53</v>
      </c>
      <c r="C171" s="3" t="s">
        <v>406</v>
      </c>
      <c r="D171" s="182" t="s">
        <v>407</v>
      </c>
      <c r="E171" s="182"/>
      <c r="F171" s="3" t="s">
        <v>408</v>
      </c>
      <c r="G171" s="28">
        <v>6.82</v>
      </c>
      <c r="H171" s="84">
        <v>0</v>
      </c>
    </row>
    <row r="172" spans="1:8" x14ac:dyDescent="0.25">
      <c r="A172" s="80"/>
      <c r="D172" s="81" t="s">
        <v>476</v>
      </c>
      <c r="E172" s="265" t="s">
        <v>53</v>
      </c>
      <c r="F172" s="265"/>
      <c r="G172" s="82">
        <v>6.75</v>
      </c>
      <c r="H172" s="83"/>
    </row>
    <row r="173" spans="1:8" x14ac:dyDescent="0.25">
      <c r="A173" s="66" t="s">
        <v>53</v>
      </c>
      <c r="B173" s="67" t="s">
        <v>53</v>
      </c>
      <c r="C173" s="67" t="s">
        <v>53</v>
      </c>
      <c r="D173" s="85" t="s">
        <v>477</v>
      </c>
      <c r="E173" s="266" t="s">
        <v>53</v>
      </c>
      <c r="F173" s="266"/>
      <c r="G173" s="86">
        <v>7.0000000000000007E-2</v>
      </c>
      <c r="H173" s="69" t="s">
        <v>53</v>
      </c>
    </row>
    <row r="175" spans="1:8" x14ac:dyDescent="0.25">
      <c r="A175" s="71" t="s">
        <v>431</v>
      </c>
    </row>
    <row r="176" spans="1:8" ht="12.75" customHeight="1" x14ac:dyDescent="0.25">
      <c r="A176" s="181" t="s">
        <v>53</v>
      </c>
      <c r="B176" s="182"/>
      <c r="C176" s="182"/>
      <c r="D176" s="182"/>
      <c r="E176" s="182"/>
      <c r="F176" s="182"/>
      <c r="G176" s="182"/>
    </row>
  </sheetData>
  <mergeCells count="182">
    <mergeCell ref="F8:H9"/>
    <mergeCell ref="D10:E10"/>
    <mergeCell ref="D11:E11"/>
    <mergeCell ref="E12:F12"/>
    <mergeCell ref="D13:E13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  <mergeCell ref="D19:E19"/>
    <mergeCell ref="E20:F20"/>
    <mergeCell ref="D21:E21"/>
    <mergeCell ref="E22:F22"/>
    <mergeCell ref="D23:E23"/>
    <mergeCell ref="E14:F14"/>
    <mergeCell ref="D15:E15"/>
    <mergeCell ref="E16:F16"/>
    <mergeCell ref="D17:E17"/>
    <mergeCell ref="E18:F18"/>
    <mergeCell ref="D29:E29"/>
    <mergeCell ref="E30:F30"/>
    <mergeCell ref="D31:E31"/>
    <mergeCell ref="E32:F32"/>
    <mergeCell ref="D33:E33"/>
    <mergeCell ref="E24:F24"/>
    <mergeCell ref="D25:E25"/>
    <mergeCell ref="E26:F26"/>
    <mergeCell ref="D27:E27"/>
    <mergeCell ref="E28:F28"/>
    <mergeCell ref="D39:E39"/>
    <mergeCell ref="E40:F40"/>
    <mergeCell ref="D41:E41"/>
    <mergeCell ref="E42:F42"/>
    <mergeCell ref="D43:E43"/>
    <mergeCell ref="E34:F34"/>
    <mergeCell ref="D35:E35"/>
    <mergeCell ref="E36:F36"/>
    <mergeCell ref="D37:E37"/>
    <mergeCell ref="E38:F38"/>
    <mergeCell ref="D49:E49"/>
    <mergeCell ref="E50:F50"/>
    <mergeCell ref="D51:E51"/>
    <mergeCell ref="E52:F52"/>
    <mergeCell ref="D53:E53"/>
    <mergeCell ref="E44:F44"/>
    <mergeCell ref="D45:E45"/>
    <mergeCell ref="E46:F46"/>
    <mergeCell ref="D47:E47"/>
    <mergeCell ref="E48:F48"/>
    <mergeCell ref="D59:E59"/>
    <mergeCell ref="E60:F60"/>
    <mergeCell ref="D61:E61"/>
    <mergeCell ref="E62:F62"/>
    <mergeCell ref="D63:E63"/>
    <mergeCell ref="E54:F54"/>
    <mergeCell ref="D55:E55"/>
    <mergeCell ref="E56:F56"/>
    <mergeCell ref="D57:E57"/>
    <mergeCell ref="E58:F58"/>
    <mergeCell ref="D69:E69"/>
    <mergeCell ref="E70:F70"/>
    <mergeCell ref="D71:E71"/>
    <mergeCell ref="E72:F72"/>
    <mergeCell ref="D73:E73"/>
    <mergeCell ref="E64:F64"/>
    <mergeCell ref="D65:E65"/>
    <mergeCell ref="E66:F66"/>
    <mergeCell ref="D67:E67"/>
    <mergeCell ref="E68:F68"/>
    <mergeCell ref="D79:E79"/>
    <mergeCell ref="E80:F80"/>
    <mergeCell ref="D81:E81"/>
    <mergeCell ref="E82:F82"/>
    <mergeCell ref="D83:E83"/>
    <mergeCell ref="E74:F74"/>
    <mergeCell ref="D75:E75"/>
    <mergeCell ref="E76:F76"/>
    <mergeCell ref="D77:E77"/>
    <mergeCell ref="E78:F78"/>
    <mergeCell ref="D89:E89"/>
    <mergeCell ref="E90:F90"/>
    <mergeCell ref="D91:E91"/>
    <mergeCell ref="E92:F92"/>
    <mergeCell ref="D93:E93"/>
    <mergeCell ref="E84:F84"/>
    <mergeCell ref="D85:E85"/>
    <mergeCell ref="E86:F86"/>
    <mergeCell ref="D87:E87"/>
    <mergeCell ref="E88:F88"/>
    <mergeCell ref="D99:E99"/>
    <mergeCell ref="E100:F100"/>
    <mergeCell ref="D101:E101"/>
    <mergeCell ref="E102:F102"/>
    <mergeCell ref="D103:E103"/>
    <mergeCell ref="E94:F94"/>
    <mergeCell ref="D95:E95"/>
    <mergeCell ref="E96:F96"/>
    <mergeCell ref="D97:E97"/>
    <mergeCell ref="E98:F98"/>
    <mergeCell ref="D109:E109"/>
    <mergeCell ref="E110:F110"/>
    <mergeCell ref="D111:E111"/>
    <mergeCell ref="E112:F112"/>
    <mergeCell ref="D113:E113"/>
    <mergeCell ref="E104:F104"/>
    <mergeCell ref="D105:E105"/>
    <mergeCell ref="E106:F106"/>
    <mergeCell ref="D107:E107"/>
    <mergeCell ref="E108:F108"/>
    <mergeCell ref="D119:E119"/>
    <mergeCell ref="E120:F120"/>
    <mergeCell ref="D121:E121"/>
    <mergeCell ref="E122:F122"/>
    <mergeCell ref="D123:E123"/>
    <mergeCell ref="E114:F114"/>
    <mergeCell ref="D115:E115"/>
    <mergeCell ref="E116:F116"/>
    <mergeCell ref="D117:E117"/>
    <mergeCell ref="E118:F118"/>
    <mergeCell ref="D129:E129"/>
    <mergeCell ref="E130:F130"/>
    <mergeCell ref="D131:E131"/>
    <mergeCell ref="E132:F132"/>
    <mergeCell ref="D133:E133"/>
    <mergeCell ref="E124:F124"/>
    <mergeCell ref="D125:E125"/>
    <mergeCell ref="E126:F126"/>
    <mergeCell ref="D127:E127"/>
    <mergeCell ref="E128:F128"/>
    <mergeCell ref="D139:E139"/>
    <mergeCell ref="E140:F140"/>
    <mergeCell ref="D141:E141"/>
    <mergeCell ref="E142:F142"/>
    <mergeCell ref="D143:E143"/>
    <mergeCell ref="E134:F134"/>
    <mergeCell ref="D135:E135"/>
    <mergeCell ref="E136:F136"/>
    <mergeCell ref="D137:E137"/>
    <mergeCell ref="E138:F138"/>
    <mergeCell ref="D149:E149"/>
    <mergeCell ref="E150:F150"/>
    <mergeCell ref="D151:E151"/>
    <mergeCell ref="E152:F152"/>
    <mergeCell ref="D153:E153"/>
    <mergeCell ref="E144:F144"/>
    <mergeCell ref="D145:E145"/>
    <mergeCell ref="E146:F146"/>
    <mergeCell ref="D147:E147"/>
    <mergeCell ref="E148:F148"/>
    <mergeCell ref="D159:E159"/>
    <mergeCell ref="E160:F160"/>
    <mergeCell ref="D161:E161"/>
    <mergeCell ref="E162:F162"/>
    <mergeCell ref="D163:E163"/>
    <mergeCell ref="E154:F154"/>
    <mergeCell ref="D155:E155"/>
    <mergeCell ref="E156:F156"/>
    <mergeCell ref="D157:E157"/>
    <mergeCell ref="E158:F158"/>
    <mergeCell ref="A176:G176"/>
    <mergeCell ref="D169:E169"/>
    <mergeCell ref="E170:F170"/>
    <mergeCell ref="D171:E171"/>
    <mergeCell ref="E172:F172"/>
    <mergeCell ref="E173:F173"/>
    <mergeCell ref="E164:F164"/>
    <mergeCell ref="D165:E165"/>
    <mergeCell ref="E166:F166"/>
    <mergeCell ref="D167:E167"/>
    <mergeCell ref="E168:F168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18"/>
  <sheetViews>
    <sheetView workbookViewId="0">
      <pane ySplit="11" topLeftCell="A12" activePane="bottomLeft" state="frozen"/>
      <selection activeCell="A118" sqref="A118:K118"/>
      <selection pane="bottomLeft" activeCell="G111" sqref="G111"/>
    </sheetView>
  </sheetViews>
  <sheetFormatPr defaultColWidth="12.140625" defaultRowHeight="15" customHeight="1" x14ac:dyDescent="0.25"/>
  <cols>
    <col min="1" max="1" width="4" style="109" customWidth="1"/>
    <col min="2" max="2" width="17.85546875" style="109" customWidth="1"/>
    <col min="3" max="3" width="42.85546875" style="109" customWidth="1"/>
    <col min="4" max="4" width="35.7109375" style="109" customWidth="1"/>
    <col min="5" max="5" width="6.7109375" style="109" customWidth="1"/>
    <col min="6" max="6" width="12.85546875" style="109" customWidth="1"/>
    <col min="7" max="7" width="12" style="109" customWidth="1"/>
    <col min="8" max="10" width="15.7109375" style="109" customWidth="1"/>
    <col min="11" max="11" width="13.42578125" style="109" customWidth="1"/>
    <col min="12" max="75" width="12.140625" style="109"/>
    <col min="76" max="76" width="78.5703125" style="109" hidden="1" customWidth="1"/>
    <col min="77" max="16384" width="12.140625" style="109"/>
  </cols>
  <sheetData>
    <row r="1" spans="1:76" ht="54.75" customHeight="1" x14ac:dyDescent="0.25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AS1" s="110">
        <f>SUM(AJ1:AJ2)</f>
        <v>0</v>
      </c>
      <c r="AT1" s="110">
        <f>SUM(AK1:AK2)</f>
        <v>0</v>
      </c>
      <c r="AU1" s="110">
        <f>SUM(AL1:AL2)</f>
        <v>0</v>
      </c>
    </row>
    <row r="2" spans="1:76" x14ac:dyDescent="0.25">
      <c r="A2" s="290" t="s">
        <v>1</v>
      </c>
      <c r="B2" s="291"/>
      <c r="C2" s="292" t="s">
        <v>539</v>
      </c>
      <c r="D2" s="293"/>
      <c r="E2" s="291" t="s">
        <v>3</v>
      </c>
      <c r="F2" s="291"/>
      <c r="G2" s="291" t="s">
        <v>4</v>
      </c>
      <c r="H2" s="294" t="s">
        <v>5</v>
      </c>
      <c r="I2" s="294" t="s">
        <v>6</v>
      </c>
      <c r="J2" s="291"/>
      <c r="K2" s="295"/>
    </row>
    <row r="3" spans="1:76" x14ac:dyDescent="0.25">
      <c r="A3" s="287"/>
      <c r="B3" s="271"/>
      <c r="C3" s="276"/>
      <c r="D3" s="276"/>
      <c r="E3" s="271"/>
      <c r="F3" s="271"/>
      <c r="G3" s="271"/>
      <c r="H3" s="271"/>
      <c r="I3" s="271"/>
      <c r="J3" s="271"/>
      <c r="K3" s="288"/>
    </row>
    <row r="4" spans="1:76" x14ac:dyDescent="0.25">
      <c r="A4" s="286" t="s">
        <v>7</v>
      </c>
      <c r="B4" s="271"/>
      <c r="C4" s="270" t="s">
        <v>1422</v>
      </c>
      <c r="D4" s="271"/>
      <c r="E4" s="271" t="s">
        <v>8</v>
      </c>
      <c r="F4" s="271"/>
      <c r="G4" s="271" t="s">
        <v>9</v>
      </c>
      <c r="H4" s="270" t="s">
        <v>10</v>
      </c>
      <c r="I4" s="270" t="s">
        <v>11</v>
      </c>
      <c r="J4" s="271"/>
      <c r="K4" s="288"/>
    </row>
    <row r="5" spans="1:76" x14ac:dyDescent="0.25">
      <c r="A5" s="287"/>
      <c r="B5" s="271"/>
      <c r="C5" s="271"/>
      <c r="D5" s="271"/>
      <c r="E5" s="271"/>
      <c r="F5" s="271"/>
      <c r="G5" s="271"/>
      <c r="H5" s="271"/>
      <c r="I5" s="271"/>
      <c r="J5" s="271"/>
      <c r="K5" s="288"/>
    </row>
    <row r="6" spans="1:76" x14ac:dyDescent="0.25">
      <c r="A6" s="286" t="s">
        <v>12</v>
      </c>
      <c r="B6" s="271"/>
      <c r="C6" s="270" t="s">
        <v>13</v>
      </c>
      <c r="D6" s="271"/>
      <c r="E6" s="271" t="s">
        <v>14</v>
      </c>
      <c r="F6" s="271"/>
      <c r="G6" s="271" t="s">
        <v>15</v>
      </c>
      <c r="H6" s="270" t="s">
        <v>16</v>
      </c>
      <c r="I6" s="270" t="s">
        <v>17</v>
      </c>
      <c r="J6" s="271"/>
      <c r="K6" s="288"/>
    </row>
    <row r="7" spans="1:76" x14ac:dyDescent="0.25">
      <c r="A7" s="287"/>
      <c r="B7" s="271"/>
      <c r="C7" s="271"/>
      <c r="D7" s="271"/>
      <c r="E7" s="271"/>
      <c r="F7" s="271"/>
      <c r="G7" s="271"/>
      <c r="H7" s="271"/>
      <c r="I7" s="271"/>
      <c r="J7" s="271"/>
      <c r="K7" s="288"/>
    </row>
    <row r="8" spans="1:76" x14ac:dyDescent="0.25">
      <c r="A8" s="286" t="s">
        <v>18</v>
      </c>
      <c r="B8" s="271"/>
      <c r="C8" s="270" t="s">
        <v>19</v>
      </c>
      <c r="D8" s="271"/>
      <c r="E8" s="271" t="s">
        <v>20</v>
      </c>
      <c r="F8" s="271"/>
      <c r="G8" s="271" t="s">
        <v>21</v>
      </c>
      <c r="H8" s="270" t="s">
        <v>22</v>
      </c>
      <c r="I8" s="270" t="s">
        <v>23</v>
      </c>
      <c r="J8" s="271"/>
      <c r="K8" s="288"/>
    </row>
    <row r="9" spans="1:76" ht="15.75" thickBot="1" x14ac:dyDescent="0.3">
      <c r="A9" s="287"/>
      <c r="B9" s="271"/>
      <c r="C9" s="271"/>
      <c r="D9" s="271"/>
      <c r="E9" s="271"/>
      <c r="F9" s="271"/>
      <c r="G9" s="271"/>
      <c r="H9" s="271"/>
      <c r="I9" s="271"/>
      <c r="J9" s="271"/>
      <c r="K9" s="288"/>
    </row>
    <row r="10" spans="1:76" x14ac:dyDescent="0.25">
      <c r="A10" s="111" t="s">
        <v>24</v>
      </c>
      <c r="B10" s="112" t="s">
        <v>25</v>
      </c>
      <c r="C10" s="279" t="s">
        <v>26</v>
      </c>
      <c r="D10" s="280"/>
      <c r="E10" s="112" t="s">
        <v>27</v>
      </c>
      <c r="F10" s="113" t="s">
        <v>28</v>
      </c>
      <c r="G10" s="114" t="s">
        <v>29</v>
      </c>
      <c r="H10" s="281" t="s">
        <v>30</v>
      </c>
      <c r="I10" s="282"/>
      <c r="J10" s="283"/>
      <c r="K10" s="113" t="s">
        <v>31</v>
      </c>
      <c r="BK10" s="115" t="s">
        <v>32</v>
      </c>
      <c r="BL10" s="116" t="s">
        <v>33</v>
      </c>
      <c r="BW10" s="116" t="s">
        <v>34</v>
      </c>
    </row>
    <row r="11" spans="1:76" ht="15.75" thickBot="1" x14ac:dyDescent="0.3">
      <c r="A11" s="117" t="s">
        <v>9</v>
      </c>
      <c r="B11" s="118" t="s">
        <v>9</v>
      </c>
      <c r="C11" s="284" t="s">
        <v>35</v>
      </c>
      <c r="D11" s="285"/>
      <c r="E11" s="118" t="s">
        <v>9</v>
      </c>
      <c r="F11" s="118" t="s">
        <v>9</v>
      </c>
      <c r="G11" s="119" t="s">
        <v>36</v>
      </c>
      <c r="H11" s="120" t="s">
        <v>37</v>
      </c>
      <c r="I11" s="121" t="s">
        <v>38</v>
      </c>
      <c r="J11" s="122" t="s">
        <v>39</v>
      </c>
      <c r="K11" s="121" t="s">
        <v>40</v>
      </c>
      <c r="Z11" s="115" t="s">
        <v>41</v>
      </c>
      <c r="AA11" s="115" t="s">
        <v>42</v>
      </c>
      <c r="AB11" s="115" t="s">
        <v>43</v>
      </c>
      <c r="AC11" s="115" t="s">
        <v>44</v>
      </c>
      <c r="AD11" s="115" t="s">
        <v>45</v>
      </c>
      <c r="AE11" s="115" t="s">
        <v>46</v>
      </c>
      <c r="AF11" s="115" t="s">
        <v>47</v>
      </c>
      <c r="AG11" s="115" t="s">
        <v>48</v>
      </c>
      <c r="AH11" s="115" t="s">
        <v>49</v>
      </c>
      <c r="BH11" s="115" t="s">
        <v>50</v>
      </c>
      <c r="BI11" s="115" t="s">
        <v>51</v>
      </c>
      <c r="BJ11" s="115" t="s">
        <v>52</v>
      </c>
    </row>
    <row r="12" spans="1:76" x14ac:dyDescent="0.25">
      <c r="A12" s="123" t="s">
        <v>53</v>
      </c>
      <c r="B12" s="124" t="s">
        <v>54</v>
      </c>
      <c r="C12" s="272" t="s">
        <v>55</v>
      </c>
      <c r="D12" s="273"/>
      <c r="E12" s="125" t="s">
        <v>9</v>
      </c>
      <c r="F12" s="125" t="s">
        <v>9</v>
      </c>
      <c r="G12" s="125" t="s">
        <v>9</v>
      </c>
      <c r="H12" s="110">
        <f>SUM(H13:H14)</f>
        <v>0</v>
      </c>
      <c r="I12" s="110">
        <f>SUM(I13:I14)</f>
        <v>0</v>
      </c>
      <c r="J12" s="110">
        <f>SUM(J13:J14)</f>
        <v>0</v>
      </c>
      <c r="K12" s="126" t="s">
        <v>53</v>
      </c>
      <c r="AI12" s="115" t="s">
        <v>53</v>
      </c>
      <c r="AS12" s="110">
        <f>SUM(AJ13:AJ14)</f>
        <v>0</v>
      </c>
      <c r="AT12" s="110">
        <f>SUM(AK13:AK14)</f>
        <v>0</v>
      </c>
      <c r="AU12" s="110">
        <f>SUM(AL13:AL14)</f>
        <v>0</v>
      </c>
    </row>
    <row r="13" spans="1:76" x14ac:dyDescent="0.25">
      <c r="A13" s="127" t="s">
        <v>56</v>
      </c>
      <c r="B13" s="128" t="s">
        <v>65</v>
      </c>
      <c r="C13" s="277" t="s">
        <v>540</v>
      </c>
      <c r="D13" s="278"/>
      <c r="E13" s="128" t="s">
        <v>67</v>
      </c>
      <c r="F13" s="129">
        <v>135</v>
      </c>
      <c r="G13" s="178">
        <v>0</v>
      </c>
      <c r="H13" s="129">
        <f>F13*AO13</f>
        <v>0</v>
      </c>
      <c r="I13" s="129">
        <f>F13*AP13</f>
        <v>0</v>
      </c>
      <c r="J13" s="129">
        <f>F13*G13</f>
        <v>0</v>
      </c>
      <c r="K13" s="130" t="s">
        <v>60</v>
      </c>
      <c r="Z13" s="131">
        <f>IF(AQ13="5",BJ13,0)</f>
        <v>0</v>
      </c>
      <c r="AB13" s="131">
        <f>IF(AQ13="1",BH13,0)</f>
        <v>0</v>
      </c>
      <c r="AC13" s="131">
        <f>IF(AQ13="1",BI13,0)</f>
        <v>0</v>
      </c>
      <c r="AD13" s="131">
        <f>IF(AQ13="7",BH13,0)</f>
        <v>0</v>
      </c>
      <c r="AE13" s="131">
        <f>IF(AQ13="7",BI13,0)</f>
        <v>0</v>
      </c>
      <c r="AF13" s="131">
        <f>IF(AQ13="2",BH13,0)</f>
        <v>0</v>
      </c>
      <c r="AG13" s="131">
        <f>IF(AQ13="2",BI13,0)</f>
        <v>0</v>
      </c>
      <c r="AH13" s="131">
        <f>IF(AQ13="0",BJ13,0)</f>
        <v>0</v>
      </c>
      <c r="AI13" s="115" t="s">
        <v>53</v>
      </c>
      <c r="AJ13" s="131">
        <f>IF(AN13=0,J13,0)</f>
        <v>0</v>
      </c>
      <c r="AK13" s="131">
        <f>IF(AN13=12,J13,0)</f>
        <v>0</v>
      </c>
      <c r="AL13" s="131">
        <f>IF(AN13=21,J13,0)</f>
        <v>0</v>
      </c>
      <c r="AN13" s="131">
        <v>21</v>
      </c>
      <c r="AO13" s="131">
        <f>G13*0</f>
        <v>0</v>
      </c>
      <c r="AP13" s="131">
        <f>G13*(1-0)</f>
        <v>0</v>
      </c>
      <c r="AQ13" s="132" t="s">
        <v>56</v>
      </c>
      <c r="AV13" s="131">
        <f>AW13+AX13</f>
        <v>0</v>
      </c>
      <c r="AW13" s="131">
        <f>F13*AO13</f>
        <v>0</v>
      </c>
      <c r="AX13" s="131">
        <f>F13*AP13</f>
        <v>0</v>
      </c>
      <c r="AY13" s="132" t="s">
        <v>61</v>
      </c>
      <c r="AZ13" s="132" t="s">
        <v>62</v>
      </c>
      <c r="BA13" s="115" t="s">
        <v>63</v>
      </c>
      <c r="BC13" s="131">
        <f>AW13+AX13</f>
        <v>0</v>
      </c>
      <c r="BD13" s="131">
        <f>G13/(100-BE13)*100</f>
        <v>0</v>
      </c>
      <c r="BE13" s="131">
        <v>0</v>
      </c>
      <c r="BF13" s="131">
        <f>13</f>
        <v>13</v>
      </c>
      <c r="BH13" s="131">
        <f>F13*AO13</f>
        <v>0</v>
      </c>
      <c r="BI13" s="131">
        <f>F13*AP13</f>
        <v>0</v>
      </c>
      <c r="BJ13" s="131">
        <f>F13*G13</f>
        <v>0</v>
      </c>
      <c r="BK13" s="131"/>
      <c r="BL13" s="131">
        <v>11</v>
      </c>
      <c r="BW13" s="131">
        <v>21</v>
      </c>
      <c r="BX13" s="133" t="s">
        <v>540</v>
      </c>
    </row>
    <row r="14" spans="1:76" x14ac:dyDescent="0.25">
      <c r="A14" s="134" t="s">
        <v>64</v>
      </c>
      <c r="B14" s="135" t="s">
        <v>57</v>
      </c>
      <c r="C14" s="270" t="s">
        <v>58</v>
      </c>
      <c r="D14" s="271"/>
      <c r="E14" s="135" t="s">
        <v>59</v>
      </c>
      <c r="F14" s="131">
        <v>240</v>
      </c>
      <c r="G14" s="179">
        <v>0</v>
      </c>
      <c r="H14" s="131">
        <f>F14*AO14</f>
        <v>0</v>
      </c>
      <c r="I14" s="131">
        <f>F14*AP14</f>
        <v>0</v>
      </c>
      <c r="J14" s="131">
        <f>F14*G14</f>
        <v>0</v>
      </c>
      <c r="K14" s="136" t="s">
        <v>60</v>
      </c>
      <c r="Z14" s="131">
        <f>IF(AQ14="5",BJ14,0)</f>
        <v>0</v>
      </c>
      <c r="AB14" s="131">
        <f>IF(AQ14="1",BH14,0)</f>
        <v>0</v>
      </c>
      <c r="AC14" s="131">
        <f>IF(AQ14="1",BI14,0)</f>
        <v>0</v>
      </c>
      <c r="AD14" s="131">
        <f>IF(AQ14="7",BH14,0)</f>
        <v>0</v>
      </c>
      <c r="AE14" s="131">
        <f>IF(AQ14="7",BI14,0)</f>
        <v>0</v>
      </c>
      <c r="AF14" s="131">
        <f>IF(AQ14="2",BH14,0)</f>
        <v>0</v>
      </c>
      <c r="AG14" s="131">
        <f>IF(AQ14="2",BI14,0)</f>
        <v>0</v>
      </c>
      <c r="AH14" s="131">
        <f>IF(AQ14="0",BJ14,0)</f>
        <v>0</v>
      </c>
      <c r="AI14" s="115" t="s">
        <v>53</v>
      </c>
      <c r="AJ14" s="131">
        <f>IF(AN14=0,J14,0)</f>
        <v>0</v>
      </c>
      <c r="AK14" s="131">
        <f>IF(AN14=12,J14,0)</f>
        <v>0</v>
      </c>
      <c r="AL14" s="131">
        <f>IF(AN14=21,J14,0)</f>
        <v>0</v>
      </c>
      <c r="AN14" s="131">
        <v>21</v>
      </c>
      <c r="AO14" s="131">
        <f>G14*0</f>
        <v>0</v>
      </c>
      <c r="AP14" s="131">
        <f>G14*(1-0)</f>
        <v>0</v>
      </c>
      <c r="AQ14" s="132" t="s">
        <v>56</v>
      </c>
      <c r="AV14" s="131">
        <f>AW14+AX14</f>
        <v>0</v>
      </c>
      <c r="AW14" s="131">
        <f>F14*AO14</f>
        <v>0</v>
      </c>
      <c r="AX14" s="131">
        <f>F14*AP14</f>
        <v>0</v>
      </c>
      <c r="AY14" s="132" t="s">
        <v>61</v>
      </c>
      <c r="AZ14" s="132" t="s">
        <v>62</v>
      </c>
      <c r="BA14" s="115" t="s">
        <v>63</v>
      </c>
      <c r="BC14" s="131">
        <f>AW14+AX14</f>
        <v>0</v>
      </c>
      <c r="BD14" s="131">
        <f>G14/(100-BE14)*100</f>
        <v>0</v>
      </c>
      <c r="BE14" s="131">
        <v>0</v>
      </c>
      <c r="BF14" s="131">
        <f>14</f>
        <v>14</v>
      </c>
      <c r="BH14" s="131">
        <f>F14*AO14</f>
        <v>0</v>
      </c>
      <c r="BI14" s="131">
        <f>F14*AP14</f>
        <v>0</v>
      </c>
      <c r="BJ14" s="131">
        <f>F14*G14</f>
        <v>0</v>
      </c>
      <c r="BK14" s="131"/>
      <c r="BL14" s="131">
        <v>11</v>
      </c>
      <c r="BW14" s="131">
        <v>21</v>
      </c>
      <c r="BX14" s="133" t="s">
        <v>58</v>
      </c>
    </row>
    <row r="15" spans="1:76" x14ac:dyDescent="0.25">
      <c r="A15" s="123" t="s">
        <v>53</v>
      </c>
      <c r="B15" s="124" t="s">
        <v>74</v>
      </c>
      <c r="C15" s="272" t="s">
        <v>75</v>
      </c>
      <c r="D15" s="273"/>
      <c r="E15" s="125" t="s">
        <v>9</v>
      </c>
      <c r="F15" s="125" t="s">
        <v>9</v>
      </c>
      <c r="G15" s="125" t="s">
        <v>9</v>
      </c>
      <c r="H15" s="110">
        <f>SUM(H16:H18)</f>
        <v>0</v>
      </c>
      <c r="I15" s="110">
        <f>SUM(I16:I18)</f>
        <v>0</v>
      </c>
      <c r="J15" s="110">
        <f>SUM(J16:J18)</f>
        <v>0</v>
      </c>
      <c r="K15" s="126" t="s">
        <v>53</v>
      </c>
      <c r="AI15" s="115" t="s">
        <v>53</v>
      </c>
      <c r="AS15" s="110">
        <f>SUM(AJ16:AJ18)</f>
        <v>0</v>
      </c>
      <c r="AT15" s="110">
        <f>SUM(AK16:AK18)</f>
        <v>0</v>
      </c>
      <c r="AU15" s="110">
        <f>SUM(AL16:AL18)</f>
        <v>0</v>
      </c>
    </row>
    <row r="16" spans="1:76" x14ac:dyDescent="0.25">
      <c r="A16" s="127" t="s">
        <v>68</v>
      </c>
      <c r="B16" s="128" t="s">
        <v>77</v>
      </c>
      <c r="C16" s="277" t="s">
        <v>78</v>
      </c>
      <c r="D16" s="278"/>
      <c r="E16" s="128" t="s">
        <v>79</v>
      </c>
      <c r="F16" s="129">
        <v>39.75</v>
      </c>
      <c r="G16" s="178">
        <v>0</v>
      </c>
      <c r="H16" s="129">
        <f>F16*AO16</f>
        <v>0</v>
      </c>
      <c r="I16" s="129">
        <f>F16*AP16</f>
        <v>0</v>
      </c>
      <c r="J16" s="129">
        <f>F16*G16</f>
        <v>0</v>
      </c>
      <c r="K16" s="130" t="s">
        <v>60</v>
      </c>
      <c r="Z16" s="131">
        <f>IF(AQ16="5",BJ16,0)</f>
        <v>0</v>
      </c>
      <c r="AB16" s="131">
        <f>IF(AQ16="1",BH16,0)</f>
        <v>0</v>
      </c>
      <c r="AC16" s="131">
        <f>IF(AQ16="1",BI16,0)</f>
        <v>0</v>
      </c>
      <c r="AD16" s="131">
        <f>IF(AQ16="7",BH16,0)</f>
        <v>0</v>
      </c>
      <c r="AE16" s="131">
        <f>IF(AQ16="7",BI16,0)</f>
        <v>0</v>
      </c>
      <c r="AF16" s="131">
        <f>IF(AQ16="2",BH16,0)</f>
        <v>0</v>
      </c>
      <c r="AG16" s="131">
        <f>IF(AQ16="2",BI16,0)</f>
        <v>0</v>
      </c>
      <c r="AH16" s="131">
        <f>IF(AQ16="0",BJ16,0)</f>
        <v>0</v>
      </c>
      <c r="AI16" s="115" t="s">
        <v>53</v>
      </c>
      <c r="AJ16" s="131">
        <f>IF(AN16=0,J16,0)</f>
        <v>0</v>
      </c>
      <c r="AK16" s="131">
        <f>IF(AN16=12,J16,0)</f>
        <v>0</v>
      </c>
      <c r="AL16" s="131">
        <f>IF(AN16=21,J16,0)</f>
        <v>0</v>
      </c>
      <c r="AN16" s="131">
        <v>21</v>
      </c>
      <c r="AO16" s="131">
        <f>G16*0</f>
        <v>0</v>
      </c>
      <c r="AP16" s="131">
        <f>G16*(1-0)</f>
        <v>0</v>
      </c>
      <c r="AQ16" s="132" t="s">
        <v>56</v>
      </c>
      <c r="AV16" s="131">
        <f>AW16+AX16</f>
        <v>0</v>
      </c>
      <c r="AW16" s="131">
        <f>F16*AO16</f>
        <v>0</v>
      </c>
      <c r="AX16" s="131">
        <f>F16*AP16</f>
        <v>0</v>
      </c>
      <c r="AY16" s="132" t="s">
        <v>80</v>
      </c>
      <c r="AZ16" s="132" t="s">
        <v>62</v>
      </c>
      <c r="BA16" s="115" t="s">
        <v>63</v>
      </c>
      <c r="BC16" s="131">
        <f>AW16+AX16</f>
        <v>0</v>
      </c>
      <c r="BD16" s="131">
        <f>G16/(100-BE16)*100</f>
        <v>0</v>
      </c>
      <c r="BE16" s="131">
        <v>0</v>
      </c>
      <c r="BF16" s="131">
        <f>16</f>
        <v>16</v>
      </c>
      <c r="BH16" s="131">
        <f>F16*AO16</f>
        <v>0</v>
      </c>
      <c r="BI16" s="131">
        <f>F16*AP16</f>
        <v>0</v>
      </c>
      <c r="BJ16" s="131">
        <f>F16*G16</f>
        <v>0</v>
      </c>
      <c r="BK16" s="131"/>
      <c r="BL16" s="131">
        <v>12</v>
      </c>
      <c r="BW16" s="131">
        <v>21</v>
      </c>
      <c r="BX16" s="133" t="s">
        <v>78</v>
      </c>
    </row>
    <row r="17" spans="1:76" x14ac:dyDescent="0.25">
      <c r="A17" s="127" t="s">
        <v>71</v>
      </c>
      <c r="B17" s="128" t="s">
        <v>82</v>
      </c>
      <c r="C17" s="277" t="s">
        <v>83</v>
      </c>
      <c r="D17" s="278"/>
      <c r="E17" s="128" t="s">
        <v>79</v>
      </c>
      <c r="F17" s="129">
        <v>37.200000000000003</v>
      </c>
      <c r="G17" s="178">
        <v>0</v>
      </c>
      <c r="H17" s="129">
        <f>F17*AO17</f>
        <v>0</v>
      </c>
      <c r="I17" s="129">
        <f>F17*AP17</f>
        <v>0</v>
      </c>
      <c r="J17" s="129">
        <f>F17*G17</f>
        <v>0</v>
      </c>
      <c r="K17" s="130" t="s">
        <v>60</v>
      </c>
      <c r="Z17" s="131">
        <f>IF(AQ17="5",BJ17,0)</f>
        <v>0</v>
      </c>
      <c r="AB17" s="131">
        <f>IF(AQ17="1",BH17,0)</f>
        <v>0</v>
      </c>
      <c r="AC17" s="131">
        <f>IF(AQ17="1",BI17,0)</f>
        <v>0</v>
      </c>
      <c r="AD17" s="131">
        <f>IF(AQ17="7",BH17,0)</f>
        <v>0</v>
      </c>
      <c r="AE17" s="131">
        <f>IF(AQ17="7",BI17,0)</f>
        <v>0</v>
      </c>
      <c r="AF17" s="131">
        <f>IF(AQ17="2",BH17,0)</f>
        <v>0</v>
      </c>
      <c r="AG17" s="131">
        <f>IF(AQ17="2",BI17,0)</f>
        <v>0</v>
      </c>
      <c r="AH17" s="131">
        <f>IF(AQ17="0",BJ17,0)</f>
        <v>0</v>
      </c>
      <c r="AI17" s="115" t="s">
        <v>53</v>
      </c>
      <c r="AJ17" s="131">
        <f>IF(AN17=0,J17,0)</f>
        <v>0</v>
      </c>
      <c r="AK17" s="131">
        <f>IF(AN17=12,J17,0)</f>
        <v>0</v>
      </c>
      <c r="AL17" s="131">
        <f>IF(AN17=21,J17,0)</f>
        <v>0</v>
      </c>
      <c r="AN17" s="131">
        <v>21</v>
      </c>
      <c r="AO17" s="131">
        <f>G17*0</f>
        <v>0</v>
      </c>
      <c r="AP17" s="131">
        <f>G17*(1-0)</f>
        <v>0</v>
      </c>
      <c r="AQ17" s="132" t="s">
        <v>56</v>
      </c>
      <c r="AV17" s="131">
        <f>AW17+AX17</f>
        <v>0</v>
      </c>
      <c r="AW17" s="131">
        <f>F17*AO17</f>
        <v>0</v>
      </c>
      <c r="AX17" s="131">
        <f>F17*AP17</f>
        <v>0</v>
      </c>
      <c r="AY17" s="132" t="s">
        <v>80</v>
      </c>
      <c r="AZ17" s="132" t="s">
        <v>62</v>
      </c>
      <c r="BA17" s="115" t="s">
        <v>63</v>
      </c>
      <c r="BC17" s="131">
        <f>AW17+AX17</f>
        <v>0</v>
      </c>
      <c r="BD17" s="131">
        <f>G17/(100-BE17)*100</f>
        <v>0</v>
      </c>
      <c r="BE17" s="131">
        <v>0</v>
      </c>
      <c r="BF17" s="131">
        <f>17</f>
        <v>17</v>
      </c>
      <c r="BH17" s="131">
        <f>F17*AO17</f>
        <v>0</v>
      </c>
      <c r="BI17" s="131">
        <f>F17*AP17</f>
        <v>0</v>
      </c>
      <c r="BJ17" s="131">
        <f>F17*G17</f>
        <v>0</v>
      </c>
      <c r="BK17" s="131"/>
      <c r="BL17" s="131">
        <v>12</v>
      </c>
      <c r="BW17" s="131">
        <v>21</v>
      </c>
      <c r="BX17" s="133" t="s">
        <v>83</v>
      </c>
    </row>
    <row r="18" spans="1:76" x14ac:dyDescent="0.25">
      <c r="A18" s="127" t="s">
        <v>76</v>
      </c>
      <c r="B18" s="128" t="s">
        <v>85</v>
      </c>
      <c r="C18" s="277" t="s">
        <v>541</v>
      </c>
      <c r="D18" s="278"/>
      <c r="E18" s="128" t="s">
        <v>79</v>
      </c>
      <c r="F18" s="129">
        <v>186.25</v>
      </c>
      <c r="G18" s="178">
        <v>0</v>
      </c>
      <c r="H18" s="129">
        <f>F18*AO18</f>
        <v>0</v>
      </c>
      <c r="I18" s="129">
        <f>F18*AP18</f>
        <v>0</v>
      </c>
      <c r="J18" s="129">
        <f>F18*G18</f>
        <v>0</v>
      </c>
      <c r="K18" s="130" t="s">
        <v>60</v>
      </c>
      <c r="Z18" s="131">
        <f>IF(AQ18="5",BJ18,0)</f>
        <v>0</v>
      </c>
      <c r="AB18" s="131">
        <f>IF(AQ18="1",BH18,0)</f>
        <v>0</v>
      </c>
      <c r="AC18" s="131">
        <f>IF(AQ18="1",BI18,0)</f>
        <v>0</v>
      </c>
      <c r="AD18" s="131">
        <f>IF(AQ18="7",BH18,0)</f>
        <v>0</v>
      </c>
      <c r="AE18" s="131">
        <f>IF(AQ18="7",BI18,0)</f>
        <v>0</v>
      </c>
      <c r="AF18" s="131">
        <f>IF(AQ18="2",BH18,0)</f>
        <v>0</v>
      </c>
      <c r="AG18" s="131">
        <f>IF(AQ18="2",BI18,0)</f>
        <v>0</v>
      </c>
      <c r="AH18" s="131">
        <f>IF(AQ18="0",BJ18,0)</f>
        <v>0</v>
      </c>
      <c r="AI18" s="115" t="s">
        <v>53</v>
      </c>
      <c r="AJ18" s="131">
        <f>IF(AN18=0,J18,0)</f>
        <v>0</v>
      </c>
      <c r="AK18" s="131">
        <f>IF(AN18=12,J18,0)</f>
        <v>0</v>
      </c>
      <c r="AL18" s="131">
        <f>IF(AN18=21,J18,0)</f>
        <v>0</v>
      </c>
      <c r="AN18" s="131">
        <v>21</v>
      </c>
      <c r="AO18" s="131">
        <f>G18*0</f>
        <v>0</v>
      </c>
      <c r="AP18" s="131">
        <f>G18*(1-0)</f>
        <v>0</v>
      </c>
      <c r="AQ18" s="132" t="s">
        <v>56</v>
      </c>
      <c r="AV18" s="131">
        <f>AW18+AX18</f>
        <v>0</v>
      </c>
      <c r="AW18" s="131">
        <f>F18*AO18</f>
        <v>0</v>
      </c>
      <c r="AX18" s="131">
        <f>F18*AP18</f>
        <v>0</v>
      </c>
      <c r="AY18" s="132" t="s">
        <v>80</v>
      </c>
      <c r="AZ18" s="132" t="s">
        <v>62</v>
      </c>
      <c r="BA18" s="115" t="s">
        <v>63</v>
      </c>
      <c r="BC18" s="131">
        <f>AW18+AX18</f>
        <v>0</v>
      </c>
      <c r="BD18" s="131">
        <f>G18/(100-BE18)*100</f>
        <v>0</v>
      </c>
      <c r="BE18" s="131">
        <v>0</v>
      </c>
      <c r="BF18" s="131">
        <f>18</f>
        <v>18</v>
      </c>
      <c r="BH18" s="131">
        <f>F18*AO18</f>
        <v>0</v>
      </c>
      <c r="BI18" s="131">
        <f>F18*AP18</f>
        <v>0</v>
      </c>
      <c r="BJ18" s="131">
        <f>F18*G18</f>
        <v>0</v>
      </c>
      <c r="BK18" s="131"/>
      <c r="BL18" s="131">
        <v>12</v>
      </c>
      <c r="BW18" s="131">
        <v>21</v>
      </c>
      <c r="BX18" s="133" t="s">
        <v>541</v>
      </c>
    </row>
    <row r="19" spans="1:76" x14ac:dyDescent="0.25">
      <c r="A19" s="123" t="s">
        <v>53</v>
      </c>
      <c r="B19" s="124" t="s">
        <v>96</v>
      </c>
      <c r="C19" s="272" t="s">
        <v>97</v>
      </c>
      <c r="D19" s="273"/>
      <c r="E19" s="125" t="s">
        <v>9</v>
      </c>
      <c r="F19" s="125" t="s">
        <v>9</v>
      </c>
      <c r="G19" s="125" t="s">
        <v>9</v>
      </c>
      <c r="H19" s="110">
        <f>SUM(H20:H20)</f>
        <v>0</v>
      </c>
      <c r="I19" s="110">
        <f>SUM(I20:I20)</f>
        <v>0</v>
      </c>
      <c r="J19" s="110">
        <f>SUM(J20:J20)</f>
        <v>0</v>
      </c>
      <c r="K19" s="126" t="s">
        <v>53</v>
      </c>
      <c r="AI19" s="115" t="s">
        <v>53</v>
      </c>
      <c r="AS19" s="110">
        <f>SUM(AJ20:AJ20)</f>
        <v>0</v>
      </c>
      <c r="AT19" s="110">
        <f>SUM(AK20:AK20)</f>
        <v>0</v>
      </c>
      <c r="AU19" s="110">
        <f>SUM(AL20:AL20)</f>
        <v>0</v>
      </c>
    </row>
    <row r="20" spans="1:76" x14ac:dyDescent="0.25">
      <c r="A20" s="127" t="s">
        <v>81</v>
      </c>
      <c r="B20" s="128" t="s">
        <v>98</v>
      </c>
      <c r="C20" s="277" t="s">
        <v>99</v>
      </c>
      <c r="D20" s="278"/>
      <c r="E20" s="128" t="s">
        <v>79</v>
      </c>
      <c r="F20" s="129">
        <v>34.799999999999997</v>
      </c>
      <c r="G20" s="178">
        <v>0</v>
      </c>
      <c r="H20" s="129">
        <f>F20*AO20</f>
        <v>0</v>
      </c>
      <c r="I20" s="129">
        <f>F20*AP20</f>
        <v>0</v>
      </c>
      <c r="J20" s="129">
        <f>F20*G20</f>
        <v>0</v>
      </c>
      <c r="K20" s="130" t="s">
        <v>60</v>
      </c>
      <c r="Z20" s="131">
        <f>IF(AQ20="5",BJ20,0)</f>
        <v>0</v>
      </c>
      <c r="AB20" s="131">
        <f>IF(AQ20="1",BH20,0)</f>
        <v>0</v>
      </c>
      <c r="AC20" s="131">
        <f>IF(AQ20="1",BI20,0)</f>
        <v>0</v>
      </c>
      <c r="AD20" s="131">
        <f>IF(AQ20="7",BH20,0)</f>
        <v>0</v>
      </c>
      <c r="AE20" s="131">
        <f>IF(AQ20="7",BI20,0)</f>
        <v>0</v>
      </c>
      <c r="AF20" s="131">
        <f>IF(AQ20="2",BH20,0)</f>
        <v>0</v>
      </c>
      <c r="AG20" s="131">
        <f>IF(AQ20="2",BI20,0)</f>
        <v>0</v>
      </c>
      <c r="AH20" s="131">
        <f>IF(AQ20="0",BJ20,0)</f>
        <v>0</v>
      </c>
      <c r="AI20" s="115" t="s">
        <v>53</v>
      </c>
      <c r="AJ20" s="131">
        <f>IF(AN20=0,J20,0)</f>
        <v>0</v>
      </c>
      <c r="AK20" s="131">
        <f>IF(AN20=12,J20,0)</f>
        <v>0</v>
      </c>
      <c r="AL20" s="131">
        <f>IF(AN20=21,J20,0)</f>
        <v>0</v>
      </c>
      <c r="AN20" s="131">
        <v>21</v>
      </c>
      <c r="AO20" s="131">
        <f>G20*0</f>
        <v>0</v>
      </c>
      <c r="AP20" s="131">
        <f>G20*(1-0)</f>
        <v>0</v>
      </c>
      <c r="AQ20" s="132" t="s">
        <v>56</v>
      </c>
      <c r="AV20" s="131">
        <f>AW20+AX20</f>
        <v>0</v>
      </c>
      <c r="AW20" s="131">
        <f>F20*AO20</f>
        <v>0</v>
      </c>
      <c r="AX20" s="131">
        <f>F20*AP20</f>
        <v>0</v>
      </c>
      <c r="AY20" s="132" t="s">
        <v>100</v>
      </c>
      <c r="AZ20" s="132" t="s">
        <v>62</v>
      </c>
      <c r="BA20" s="115" t="s">
        <v>63</v>
      </c>
      <c r="BC20" s="131">
        <f>AW20+AX20</f>
        <v>0</v>
      </c>
      <c r="BD20" s="131">
        <f>G20/(100-BE20)*100</f>
        <v>0</v>
      </c>
      <c r="BE20" s="131">
        <v>0</v>
      </c>
      <c r="BF20" s="131">
        <f>20</f>
        <v>20</v>
      </c>
      <c r="BH20" s="131">
        <f>F20*AO20</f>
        <v>0</v>
      </c>
      <c r="BI20" s="131">
        <f>F20*AP20</f>
        <v>0</v>
      </c>
      <c r="BJ20" s="131">
        <f>F20*G20</f>
        <v>0</v>
      </c>
      <c r="BK20" s="131"/>
      <c r="BL20" s="131">
        <v>13</v>
      </c>
      <c r="BW20" s="131">
        <v>21</v>
      </c>
      <c r="BX20" s="133" t="s">
        <v>99</v>
      </c>
    </row>
    <row r="21" spans="1:76" x14ac:dyDescent="0.25">
      <c r="A21" s="123" t="s">
        <v>53</v>
      </c>
      <c r="B21" s="124" t="s">
        <v>101</v>
      </c>
      <c r="C21" s="272" t="s">
        <v>102</v>
      </c>
      <c r="D21" s="273"/>
      <c r="E21" s="125" t="s">
        <v>9</v>
      </c>
      <c r="F21" s="125" t="s">
        <v>9</v>
      </c>
      <c r="G21" s="125" t="s">
        <v>9</v>
      </c>
      <c r="H21" s="110">
        <f>SUM(H22:H28)</f>
        <v>0</v>
      </c>
      <c r="I21" s="110">
        <f>SUM(I22:I28)</f>
        <v>0</v>
      </c>
      <c r="J21" s="110">
        <f>SUM(J22:J28)</f>
        <v>0</v>
      </c>
      <c r="K21" s="126" t="s">
        <v>53</v>
      </c>
      <c r="AI21" s="115" t="s">
        <v>53</v>
      </c>
      <c r="AS21" s="110">
        <f>SUM(AJ22:AJ28)</f>
        <v>0</v>
      </c>
      <c r="AT21" s="110">
        <f>SUM(AK22:AK28)</f>
        <v>0</v>
      </c>
      <c r="AU21" s="110">
        <f>SUM(AL22:AL28)</f>
        <v>0</v>
      </c>
    </row>
    <row r="22" spans="1:76" x14ac:dyDescent="0.25">
      <c r="A22" s="127" t="s">
        <v>84</v>
      </c>
      <c r="B22" s="128" t="s">
        <v>103</v>
      </c>
      <c r="C22" s="277" t="s">
        <v>104</v>
      </c>
      <c r="D22" s="278"/>
      <c r="E22" s="128" t="s">
        <v>79</v>
      </c>
      <c r="F22" s="129">
        <v>26</v>
      </c>
      <c r="G22" s="178">
        <v>0</v>
      </c>
      <c r="H22" s="129">
        <f t="shared" ref="H22:H28" si="0">F22*AO22</f>
        <v>0</v>
      </c>
      <c r="I22" s="129">
        <f t="shared" ref="I22:I28" si="1">F22*AP22</f>
        <v>0</v>
      </c>
      <c r="J22" s="129">
        <f t="shared" ref="J22:J28" si="2">F22*G22</f>
        <v>0</v>
      </c>
      <c r="K22" s="130" t="s">
        <v>60</v>
      </c>
      <c r="Z22" s="131">
        <f t="shared" ref="Z22:Z28" si="3">IF(AQ22="5",BJ22,0)</f>
        <v>0</v>
      </c>
      <c r="AB22" s="131">
        <f t="shared" ref="AB22:AB28" si="4">IF(AQ22="1",BH22,0)</f>
        <v>0</v>
      </c>
      <c r="AC22" s="131">
        <f t="shared" ref="AC22:AC28" si="5">IF(AQ22="1",BI22,0)</f>
        <v>0</v>
      </c>
      <c r="AD22" s="131">
        <f t="shared" ref="AD22:AD28" si="6">IF(AQ22="7",BH22,0)</f>
        <v>0</v>
      </c>
      <c r="AE22" s="131">
        <f t="shared" ref="AE22:AE28" si="7">IF(AQ22="7",BI22,0)</f>
        <v>0</v>
      </c>
      <c r="AF22" s="131">
        <f t="shared" ref="AF22:AF28" si="8">IF(AQ22="2",BH22,0)</f>
        <v>0</v>
      </c>
      <c r="AG22" s="131">
        <f t="shared" ref="AG22:AG28" si="9">IF(AQ22="2",BI22,0)</f>
        <v>0</v>
      </c>
      <c r="AH22" s="131">
        <f t="shared" ref="AH22:AH28" si="10">IF(AQ22="0",BJ22,0)</f>
        <v>0</v>
      </c>
      <c r="AI22" s="115" t="s">
        <v>53</v>
      </c>
      <c r="AJ22" s="131">
        <f t="shared" ref="AJ22:AJ28" si="11">IF(AN22=0,J22,0)</f>
        <v>0</v>
      </c>
      <c r="AK22" s="131">
        <f t="shared" ref="AK22:AK28" si="12">IF(AN22=12,J22,0)</f>
        <v>0</v>
      </c>
      <c r="AL22" s="131">
        <f t="shared" ref="AL22:AL28" si="13">IF(AN22=21,J22,0)</f>
        <v>0</v>
      </c>
      <c r="AN22" s="131">
        <v>21</v>
      </c>
      <c r="AO22" s="131">
        <f t="shared" ref="AO22:AO28" si="14">G22*0</f>
        <v>0</v>
      </c>
      <c r="AP22" s="131">
        <f t="shared" ref="AP22:AP28" si="15">G22*(1-0)</f>
        <v>0</v>
      </c>
      <c r="AQ22" s="132" t="s">
        <v>56</v>
      </c>
      <c r="AV22" s="131">
        <f t="shared" ref="AV22:AV28" si="16">AW22+AX22</f>
        <v>0</v>
      </c>
      <c r="AW22" s="131">
        <f t="shared" ref="AW22:AW28" si="17">F22*AO22</f>
        <v>0</v>
      </c>
      <c r="AX22" s="131">
        <f t="shared" ref="AX22:AX28" si="18">F22*AP22</f>
        <v>0</v>
      </c>
      <c r="AY22" s="132" t="s">
        <v>105</v>
      </c>
      <c r="AZ22" s="132" t="s">
        <v>62</v>
      </c>
      <c r="BA22" s="115" t="s">
        <v>63</v>
      </c>
      <c r="BC22" s="131">
        <f t="shared" ref="BC22:BC28" si="19">AW22+AX22</f>
        <v>0</v>
      </c>
      <c r="BD22" s="131">
        <f t="shared" ref="BD22:BD28" si="20">G22/(100-BE22)*100</f>
        <v>0</v>
      </c>
      <c r="BE22" s="131">
        <v>0</v>
      </c>
      <c r="BF22" s="131">
        <f>22</f>
        <v>22</v>
      </c>
      <c r="BH22" s="131">
        <f t="shared" ref="BH22:BH28" si="21">F22*AO22</f>
        <v>0</v>
      </c>
      <c r="BI22" s="131">
        <f t="shared" ref="BI22:BI28" si="22">F22*AP22</f>
        <v>0</v>
      </c>
      <c r="BJ22" s="131">
        <f t="shared" ref="BJ22:BJ28" si="23">F22*G22</f>
        <v>0</v>
      </c>
      <c r="BK22" s="131"/>
      <c r="BL22" s="131">
        <v>16</v>
      </c>
      <c r="BW22" s="131">
        <v>21</v>
      </c>
      <c r="BX22" s="133" t="s">
        <v>104</v>
      </c>
    </row>
    <row r="23" spans="1:76" x14ac:dyDescent="0.25">
      <c r="A23" s="127" t="s">
        <v>87</v>
      </c>
      <c r="B23" s="128" t="s">
        <v>106</v>
      </c>
      <c r="C23" s="277" t="s">
        <v>107</v>
      </c>
      <c r="D23" s="278"/>
      <c r="E23" s="128" t="s">
        <v>79</v>
      </c>
      <c r="F23" s="129">
        <v>162</v>
      </c>
      <c r="G23" s="178">
        <v>0</v>
      </c>
      <c r="H23" s="129">
        <f t="shared" si="0"/>
        <v>0</v>
      </c>
      <c r="I23" s="129">
        <f t="shared" si="1"/>
        <v>0</v>
      </c>
      <c r="J23" s="129">
        <f t="shared" si="2"/>
        <v>0</v>
      </c>
      <c r="K23" s="130" t="s">
        <v>60</v>
      </c>
      <c r="Z23" s="131">
        <f t="shared" si="3"/>
        <v>0</v>
      </c>
      <c r="AB23" s="131">
        <f t="shared" si="4"/>
        <v>0</v>
      </c>
      <c r="AC23" s="131">
        <f t="shared" si="5"/>
        <v>0</v>
      </c>
      <c r="AD23" s="131">
        <f t="shared" si="6"/>
        <v>0</v>
      </c>
      <c r="AE23" s="131">
        <f t="shared" si="7"/>
        <v>0</v>
      </c>
      <c r="AF23" s="131">
        <f t="shared" si="8"/>
        <v>0</v>
      </c>
      <c r="AG23" s="131">
        <f t="shared" si="9"/>
        <v>0</v>
      </c>
      <c r="AH23" s="131">
        <f t="shared" si="10"/>
        <v>0</v>
      </c>
      <c r="AI23" s="115" t="s">
        <v>53</v>
      </c>
      <c r="AJ23" s="131">
        <f t="shared" si="11"/>
        <v>0</v>
      </c>
      <c r="AK23" s="131">
        <f t="shared" si="12"/>
        <v>0</v>
      </c>
      <c r="AL23" s="131">
        <f t="shared" si="13"/>
        <v>0</v>
      </c>
      <c r="AN23" s="131">
        <v>21</v>
      </c>
      <c r="AO23" s="131">
        <f t="shared" si="14"/>
        <v>0</v>
      </c>
      <c r="AP23" s="131">
        <f t="shared" si="15"/>
        <v>0</v>
      </c>
      <c r="AQ23" s="132" t="s">
        <v>56</v>
      </c>
      <c r="AV23" s="131">
        <f t="shared" si="16"/>
        <v>0</v>
      </c>
      <c r="AW23" s="131">
        <f t="shared" si="17"/>
        <v>0</v>
      </c>
      <c r="AX23" s="131">
        <f t="shared" si="18"/>
        <v>0</v>
      </c>
      <c r="AY23" s="132" t="s">
        <v>105</v>
      </c>
      <c r="AZ23" s="132" t="s">
        <v>62</v>
      </c>
      <c r="BA23" s="115" t="s">
        <v>63</v>
      </c>
      <c r="BC23" s="131">
        <f t="shared" si="19"/>
        <v>0</v>
      </c>
      <c r="BD23" s="131">
        <f t="shared" si="20"/>
        <v>0</v>
      </c>
      <c r="BE23" s="131">
        <v>0</v>
      </c>
      <c r="BF23" s="131">
        <f>23</f>
        <v>23</v>
      </c>
      <c r="BH23" s="131">
        <f t="shared" si="21"/>
        <v>0</v>
      </c>
      <c r="BI23" s="131">
        <f t="shared" si="22"/>
        <v>0</v>
      </c>
      <c r="BJ23" s="131">
        <f t="shared" si="23"/>
        <v>0</v>
      </c>
      <c r="BK23" s="131"/>
      <c r="BL23" s="131">
        <v>16</v>
      </c>
      <c r="BW23" s="131">
        <v>21</v>
      </c>
      <c r="BX23" s="133" t="s">
        <v>107</v>
      </c>
    </row>
    <row r="24" spans="1:76" x14ac:dyDescent="0.25">
      <c r="A24" s="127" t="s">
        <v>90</v>
      </c>
      <c r="B24" s="128" t="s">
        <v>109</v>
      </c>
      <c r="C24" s="277" t="s">
        <v>110</v>
      </c>
      <c r="D24" s="278"/>
      <c r="E24" s="128" t="s">
        <v>79</v>
      </c>
      <c r="F24" s="129">
        <v>26</v>
      </c>
      <c r="G24" s="178">
        <v>0</v>
      </c>
      <c r="H24" s="129">
        <f t="shared" si="0"/>
        <v>0</v>
      </c>
      <c r="I24" s="129">
        <f t="shared" si="1"/>
        <v>0</v>
      </c>
      <c r="J24" s="129">
        <f t="shared" si="2"/>
        <v>0</v>
      </c>
      <c r="K24" s="130" t="s">
        <v>60</v>
      </c>
      <c r="Z24" s="131">
        <f t="shared" si="3"/>
        <v>0</v>
      </c>
      <c r="AB24" s="131">
        <f t="shared" si="4"/>
        <v>0</v>
      </c>
      <c r="AC24" s="131">
        <f t="shared" si="5"/>
        <v>0</v>
      </c>
      <c r="AD24" s="131">
        <f t="shared" si="6"/>
        <v>0</v>
      </c>
      <c r="AE24" s="131">
        <f t="shared" si="7"/>
        <v>0</v>
      </c>
      <c r="AF24" s="131">
        <f t="shared" si="8"/>
        <v>0</v>
      </c>
      <c r="AG24" s="131">
        <f t="shared" si="9"/>
        <v>0</v>
      </c>
      <c r="AH24" s="131">
        <f t="shared" si="10"/>
        <v>0</v>
      </c>
      <c r="AI24" s="115" t="s">
        <v>53</v>
      </c>
      <c r="AJ24" s="131">
        <f t="shared" si="11"/>
        <v>0</v>
      </c>
      <c r="AK24" s="131">
        <f t="shared" si="12"/>
        <v>0</v>
      </c>
      <c r="AL24" s="131">
        <f t="shared" si="13"/>
        <v>0</v>
      </c>
      <c r="AN24" s="131">
        <v>21</v>
      </c>
      <c r="AO24" s="131">
        <f t="shared" si="14"/>
        <v>0</v>
      </c>
      <c r="AP24" s="131">
        <f t="shared" si="15"/>
        <v>0</v>
      </c>
      <c r="AQ24" s="132" t="s">
        <v>56</v>
      </c>
      <c r="AV24" s="131">
        <f t="shared" si="16"/>
        <v>0</v>
      </c>
      <c r="AW24" s="131">
        <f t="shared" si="17"/>
        <v>0</v>
      </c>
      <c r="AX24" s="131">
        <f t="shared" si="18"/>
        <v>0</v>
      </c>
      <c r="AY24" s="132" t="s">
        <v>105</v>
      </c>
      <c r="AZ24" s="132" t="s">
        <v>62</v>
      </c>
      <c r="BA24" s="115" t="s">
        <v>63</v>
      </c>
      <c r="BC24" s="131">
        <f t="shared" si="19"/>
        <v>0</v>
      </c>
      <c r="BD24" s="131">
        <f t="shared" si="20"/>
        <v>0</v>
      </c>
      <c r="BE24" s="131">
        <v>0</v>
      </c>
      <c r="BF24" s="131">
        <f>24</f>
        <v>24</v>
      </c>
      <c r="BH24" s="131">
        <f t="shared" si="21"/>
        <v>0</v>
      </c>
      <c r="BI24" s="131">
        <f t="shared" si="22"/>
        <v>0</v>
      </c>
      <c r="BJ24" s="131">
        <f t="shared" si="23"/>
        <v>0</v>
      </c>
      <c r="BK24" s="131"/>
      <c r="BL24" s="131">
        <v>16</v>
      </c>
      <c r="BW24" s="131">
        <v>21</v>
      </c>
      <c r="BX24" s="133" t="s">
        <v>110</v>
      </c>
    </row>
    <row r="25" spans="1:76" x14ac:dyDescent="0.25">
      <c r="A25" s="127" t="s">
        <v>93</v>
      </c>
      <c r="B25" s="128" t="s">
        <v>112</v>
      </c>
      <c r="C25" s="277" t="s">
        <v>113</v>
      </c>
      <c r="D25" s="278"/>
      <c r="E25" s="128" t="s">
        <v>79</v>
      </c>
      <c r="F25" s="129">
        <v>7</v>
      </c>
      <c r="G25" s="178">
        <v>0</v>
      </c>
      <c r="H25" s="129">
        <f t="shared" si="0"/>
        <v>0</v>
      </c>
      <c r="I25" s="129">
        <f t="shared" si="1"/>
        <v>0</v>
      </c>
      <c r="J25" s="129">
        <f t="shared" si="2"/>
        <v>0</v>
      </c>
      <c r="K25" s="130" t="s">
        <v>60</v>
      </c>
      <c r="Z25" s="131">
        <f t="shared" si="3"/>
        <v>0</v>
      </c>
      <c r="AB25" s="131">
        <f t="shared" si="4"/>
        <v>0</v>
      </c>
      <c r="AC25" s="131">
        <f t="shared" si="5"/>
        <v>0</v>
      </c>
      <c r="AD25" s="131">
        <f t="shared" si="6"/>
        <v>0</v>
      </c>
      <c r="AE25" s="131">
        <f t="shared" si="7"/>
        <v>0</v>
      </c>
      <c r="AF25" s="131">
        <f t="shared" si="8"/>
        <v>0</v>
      </c>
      <c r="AG25" s="131">
        <f t="shared" si="9"/>
        <v>0</v>
      </c>
      <c r="AH25" s="131">
        <f t="shared" si="10"/>
        <v>0</v>
      </c>
      <c r="AI25" s="115" t="s">
        <v>53</v>
      </c>
      <c r="AJ25" s="131">
        <f t="shared" si="11"/>
        <v>0</v>
      </c>
      <c r="AK25" s="131">
        <f t="shared" si="12"/>
        <v>0</v>
      </c>
      <c r="AL25" s="131">
        <f t="shared" si="13"/>
        <v>0</v>
      </c>
      <c r="AN25" s="131">
        <v>21</v>
      </c>
      <c r="AO25" s="131">
        <f t="shared" si="14"/>
        <v>0</v>
      </c>
      <c r="AP25" s="131">
        <f t="shared" si="15"/>
        <v>0</v>
      </c>
      <c r="AQ25" s="132" t="s">
        <v>56</v>
      </c>
      <c r="AV25" s="131">
        <f t="shared" si="16"/>
        <v>0</v>
      </c>
      <c r="AW25" s="131">
        <f t="shared" si="17"/>
        <v>0</v>
      </c>
      <c r="AX25" s="131">
        <f t="shared" si="18"/>
        <v>0</v>
      </c>
      <c r="AY25" s="132" t="s">
        <v>105</v>
      </c>
      <c r="AZ25" s="132" t="s">
        <v>62</v>
      </c>
      <c r="BA25" s="115" t="s">
        <v>63</v>
      </c>
      <c r="BC25" s="131">
        <f t="shared" si="19"/>
        <v>0</v>
      </c>
      <c r="BD25" s="131">
        <f t="shared" si="20"/>
        <v>0</v>
      </c>
      <c r="BE25" s="131">
        <v>0</v>
      </c>
      <c r="BF25" s="131">
        <f>25</f>
        <v>25</v>
      </c>
      <c r="BH25" s="131">
        <f t="shared" si="21"/>
        <v>0</v>
      </c>
      <c r="BI25" s="131">
        <f t="shared" si="22"/>
        <v>0</v>
      </c>
      <c r="BJ25" s="131">
        <f t="shared" si="23"/>
        <v>0</v>
      </c>
      <c r="BK25" s="131"/>
      <c r="BL25" s="131">
        <v>16</v>
      </c>
      <c r="BW25" s="131">
        <v>21</v>
      </c>
      <c r="BX25" s="133" t="s">
        <v>113</v>
      </c>
    </row>
    <row r="26" spans="1:76" x14ac:dyDescent="0.25">
      <c r="A26" s="134" t="s">
        <v>54</v>
      </c>
      <c r="B26" s="135" t="s">
        <v>114</v>
      </c>
      <c r="C26" s="270" t="s">
        <v>115</v>
      </c>
      <c r="D26" s="271"/>
      <c r="E26" s="135" t="s">
        <v>79</v>
      </c>
      <c r="F26" s="131">
        <v>162</v>
      </c>
      <c r="G26" s="179">
        <v>0</v>
      </c>
      <c r="H26" s="131">
        <f t="shared" si="0"/>
        <v>0</v>
      </c>
      <c r="I26" s="131">
        <f t="shared" si="1"/>
        <v>0</v>
      </c>
      <c r="J26" s="131">
        <f t="shared" si="2"/>
        <v>0</v>
      </c>
      <c r="K26" s="136" t="s">
        <v>60</v>
      </c>
      <c r="Z26" s="131">
        <f t="shared" si="3"/>
        <v>0</v>
      </c>
      <c r="AB26" s="131">
        <f t="shared" si="4"/>
        <v>0</v>
      </c>
      <c r="AC26" s="131">
        <f t="shared" si="5"/>
        <v>0</v>
      </c>
      <c r="AD26" s="131">
        <f t="shared" si="6"/>
        <v>0</v>
      </c>
      <c r="AE26" s="131">
        <f t="shared" si="7"/>
        <v>0</v>
      </c>
      <c r="AF26" s="131">
        <f t="shared" si="8"/>
        <v>0</v>
      </c>
      <c r="AG26" s="131">
        <f t="shared" si="9"/>
        <v>0</v>
      </c>
      <c r="AH26" s="131">
        <f t="shared" si="10"/>
        <v>0</v>
      </c>
      <c r="AI26" s="115" t="s">
        <v>53</v>
      </c>
      <c r="AJ26" s="131">
        <f t="shared" si="11"/>
        <v>0</v>
      </c>
      <c r="AK26" s="131">
        <f t="shared" si="12"/>
        <v>0</v>
      </c>
      <c r="AL26" s="131">
        <f t="shared" si="13"/>
        <v>0</v>
      </c>
      <c r="AN26" s="131">
        <v>21</v>
      </c>
      <c r="AO26" s="131">
        <f t="shared" si="14"/>
        <v>0</v>
      </c>
      <c r="AP26" s="131">
        <f t="shared" si="15"/>
        <v>0</v>
      </c>
      <c r="AQ26" s="132" t="s">
        <v>56</v>
      </c>
      <c r="AV26" s="131">
        <f t="shared" si="16"/>
        <v>0</v>
      </c>
      <c r="AW26" s="131">
        <f t="shared" si="17"/>
        <v>0</v>
      </c>
      <c r="AX26" s="131">
        <f t="shared" si="18"/>
        <v>0</v>
      </c>
      <c r="AY26" s="132" t="s">
        <v>105</v>
      </c>
      <c r="AZ26" s="132" t="s">
        <v>62</v>
      </c>
      <c r="BA26" s="115" t="s">
        <v>63</v>
      </c>
      <c r="BC26" s="131">
        <f t="shared" si="19"/>
        <v>0</v>
      </c>
      <c r="BD26" s="131">
        <f t="shared" si="20"/>
        <v>0</v>
      </c>
      <c r="BE26" s="131">
        <v>0</v>
      </c>
      <c r="BF26" s="131">
        <f>26</f>
        <v>26</v>
      </c>
      <c r="BH26" s="131">
        <f t="shared" si="21"/>
        <v>0</v>
      </c>
      <c r="BI26" s="131">
        <f t="shared" si="22"/>
        <v>0</v>
      </c>
      <c r="BJ26" s="131">
        <f t="shared" si="23"/>
        <v>0</v>
      </c>
      <c r="BK26" s="131"/>
      <c r="BL26" s="131">
        <v>16</v>
      </c>
      <c r="BW26" s="131">
        <v>21</v>
      </c>
      <c r="BX26" s="133" t="s">
        <v>115</v>
      </c>
    </row>
    <row r="27" spans="1:76" x14ac:dyDescent="0.25">
      <c r="A27" s="134" t="s">
        <v>74</v>
      </c>
      <c r="B27" s="135" t="s">
        <v>117</v>
      </c>
      <c r="C27" s="270" t="s">
        <v>118</v>
      </c>
      <c r="D27" s="271"/>
      <c r="E27" s="135" t="s">
        <v>79</v>
      </c>
      <c r="F27" s="131">
        <v>1620</v>
      </c>
      <c r="G27" s="179">
        <v>0</v>
      </c>
      <c r="H27" s="131">
        <f t="shared" si="0"/>
        <v>0</v>
      </c>
      <c r="I27" s="131">
        <f t="shared" si="1"/>
        <v>0</v>
      </c>
      <c r="J27" s="131">
        <f t="shared" si="2"/>
        <v>0</v>
      </c>
      <c r="K27" s="136" t="s">
        <v>60</v>
      </c>
      <c r="Z27" s="131">
        <f t="shared" si="3"/>
        <v>0</v>
      </c>
      <c r="AB27" s="131">
        <f t="shared" si="4"/>
        <v>0</v>
      </c>
      <c r="AC27" s="131">
        <f t="shared" si="5"/>
        <v>0</v>
      </c>
      <c r="AD27" s="131">
        <f t="shared" si="6"/>
        <v>0</v>
      </c>
      <c r="AE27" s="131">
        <f t="shared" si="7"/>
        <v>0</v>
      </c>
      <c r="AF27" s="131">
        <f t="shared" si="8"/>
        <v>0</v>
      </c>
      <c r="AG27" s="131">
        <f t="shared" si="9"/>
        <v>0</v>
      </c>
      <c r="AH27" s="131">
        <f t="shared" si="10"/>
        <v>0</v>
      </c>
      <c r="AI27" s="115" t="s">
        <v>53</v>
      </c>
      <c r="AJ27" s="131">
        <f t="shared" si="11"/>
        <v>0</v>
      </c>
      <c r="AK27" s="131">
        <f t="shared" si="12"/>
        <v>0</v>
      </c>
      <c r="AL27" s="131">
        <f t="shared" si="13"/>
        <v>0</v>
      </c>
      <c r="AN27" s="131">
        <v>21</v>
      </c>
      <c r="AO27" s="131">
        <f t="shared" si="14"/>
        <v>0</v>
      </c>
      <c r="AP27" s="131">
        <f t="shared" si="15"/>
        <v>0</v>
      </c>
      <c r="AQ27" s="132" t="s">
        <v>56</v>
      </c>
      <c r="AV27" s="131">
        <f t="shared" si="16"/>
        <v>0</v>
      </c>
      <c r="AW27" s="131">
        <f t="shared" si="17"/>
        <v>0</v>
      </c>
      <c r="AX27" s="131">
        <f t="shared" si="18"/>
        <v>0</v>
      </c>
      <c r="AY27" s="132" t="s">
        <v>105</v>
      </c>
      <c r="AZ27" s="132" t="s">
        <v>62</v>
      </c>
      <c r="BA27" s="115" t="s">
        <v>63</v>
      </c>
      <c r="BC27" s="131">
        <f t="shared" si="19"/>
        <v>0</v>
      </c>
      <c r="BD27" s="131">
        <f t="shared" si="20"/>
        <v>0</v>
      </c>
      <c r="BE27" s="131">
        <v>0</v>
      </c>
      <c r="BF27" s="131">
        <f>27</f>
        <v>27</v>
      </c>
      <c r="BH27" s="131">
        <f t="shared" si="21"/>
        <v>0</v>
      </c>
      <c r="BI27" s="131">
        <f t="shared" si="22"/>
        <v>0</v>
      </c>
      <c r="BJ27" s="131">
        <f t="shared" si="23"/>
        <v>0</v>
      </c>
      <c r="BK27" s="131"/>
      <c r="BL27" s="131">
        <v>16</v>
      </c>
      <c r="BW27" s="131">
        <v>21</v>
      </c>
      <c r="BX27" s="133" t="s">
        <v>118</v>
      </c>
    </row>
    <row r="28" spans="1:76" x14ac:dyDescent="0.25">
      <c r="A28" s="134" t="s">
        <v>96</v>
      </c>
      <c r="B28" s="135" t="s">
        <v>120</v>
      </c>
      <c r="C28" s="270" t="s">
        <v>121</v>
      </c>
      <c r="D28" s="271"/>
      <c r="E28" s="135" t="s">
        <v>122</v>
      </c>
      <c r="F28" s="131">
        <v>291.60000000000002</v>
      </c>
      <c r="G28" s="179">
        <v>0</v>
      </c>
      <c r="H28" s="131">
        <f t="shared" si="0"/>
        <v>0</v>
      </c>
      <c r="I28" s="131">
        <f t="shared" si="1"/>
        <v>0</v>
      </c>
      <c r="J28" s="131">
        <f t="shared" si="2"/>
        <v>0</v>
      </c>
      <c r="K28" s="136" t="s">
        <v>60</v>
      </c>
      <c r="Z28" s="131">
        <f t="shared" si="3"/>
        <v>0</v>
      </c>
      <c r="AB28" s="131">
        <f t="shared" si="4"/>
        <v>0</v>
      </c>
      <c r="AC28" s="131">
        <f t="shared" si="5"/>
        <v>0</v>
      </c>
      <c r="AD28" s="131">
        <f t="shared" si="6"/>
        <v>0</v>
      </c>
      <c r="AE28" s="131">
        <f t="shared" si="7"/>
        <v>0</v>
      </c>
      <c r="AF28" s="131">
        <f t="shared" si="8"/>
        <v>0</v>
      </c>
      <c r="AG28" s="131">
        <f t="shared" si="9"/>
        <v>0</v>
      </c>
      <c r="AH28" s="131">
        <f t="shared" si="10"/>
        <v>0</v>
      </c>
      <c r="AI28" s="115" t="s">
        <v>53</v>
      </c>
      <c r="AJ28" s="131">
        <f t="shared" si="11"/>
        <v>0</v>
      </c>
      <c r="AK28" s="131">
        <f t="shared" si="12"/>
        <v>0</v>
      </c>
      <c r="AL28" s="131">
        <f t="shared" si="13"/>
        <v>0</v>
      </c>
      <c r="AN28" s="131">
        <v>21</v>
      </c>
      <c r="AO28" s="131">
        <f t="shared" si="14"/>
        <v>0</v>
      </c>
      <c r="AP28" s="131">
        <f t="shared" si="15"/>
        <v>0</v>
      </c>
      <c r="AQ28" s="132" t="s">
        <v>56</v>
      </c>
      <c r="AV28" s="131">
        <f t="shared" si="16"/>
        <v>0</v>
      </c>
      <c r="AW28" s="131">
        <f t="shared" si="17"/>
        <v>0</v>
      </c>
      <c r="AX28" s="131">
        <f t="shared" si="18"/>
        <v>0</v>
      </c>
      <c r="AY28" s="132" t="s">
        <v>105</v>
      </c>
      <c r="AZ28" s="132" t="s">
        <v>62</v>
      </c>
      <c r="BA28" s="115" t="s">
        <v>63</v>
      </c>
      <c r="BC28" s="131">
        <f t="shared" si="19"/>
        <v>0</v>
      </c>
      <c r="BD28" s="131">
        <f t="shared" si="20"/>
        <v>0</v>
      </c>
      <c r="BE28" s="131">
        <v>0</v>
      </c>
      <c r="BF28" s="131">
        <f>28</f>
        <v>28</v>
      </c>
      <c r="BH28" s="131">
        <f t="shared" si="21"/>
        <v>0</v>
      </c>
      <c r="BI28" s="131">
        <f t="shared" si="22"/>
        <v>0</v>
      </c>
      <c r="BJ28" s="131">
        <f t="shared" si="23"/>
        <v>0</v>
      </c>
      <c r="BK28" s="131"/>
      <c r="BL28" s="131">
        <v>16</v>
      </c>
      <c r="BW28" s="131">
        <v>21</v>
      </c>
      <c r="BX28" s="133" t="s">
        <v>121</v>
      </c>
    </row>
    <row r="29" spans="1:76" x14ac:dyDescent="0.25">
      <c r="A29" s="123" t="s">
        <v>53</v>
      </c>
      <c r="B29" s="124" t="s">
        <v>116</v>
      </c>
      <c r="C29" s="272" t="s">
        <v>123</v>
      </c>
      <c r="D29" s="273"/>
      <c r="E29" s="125" t="s">
        <v>9</v>
      </c>
      <c r="F29" s="125" t="s">
        <v>9</v>
      </c>
      <c r="G29" s="125" t="s">
        <v>9</v>
      </c>
      <c r="H29" s="110">
        <f>SUM(H30:H32)</f>
        <v>0</v>
      </c>
      <c r="I29" s="110">
        <f>SUM(I30:I32)</f>
        <v>0</v>
      </c>
      <c r="J29" s="110">
        <f>SUM(J30:J32)</f>
        <v>0</v>
      </c>
      <c r="K29" s="126" t="s">
        <v>53</v>
      </c>
      <c r="AI29" s="115" t="s">
        <v>53</v>
      </c>
      <c r="AS29" s="110">
        <f>SUM(AJ30:AJ32)</f>
        <v>0</v>
      </c>
      <c r="AT29" s="110">
        <f>SUM(AK30:AK32)</f>
        <v>0</v>
      </c>
      <c r="AU29" s="110">
        <f>SUM(AL30:AL32)</f>
        <v>0</v>
      </c>
    </row>
    <row r="30" spans="1:76" x14ac:dyDescent="0.25">
      <c r="A30" s="134" t="s">
        <v>108</v>
      </c>
      <c r="B30" s="135" t="s">
        <v>125</v>
      </c>
      <c r="C30" s="270" t="s">
        <v>126</v>
      </c>
      <c r="D30" s="271"/>
      <c r="E30" s="135" t="s">
        <v>79</v>
      </c>
      <c r="F30" s="131">
        <v>26</v>
      </c>
      <c r="G30" s="179">
        <v>0</v>
      </c>
      <c r="H30" s="131">
        <f>F30*AO30</f>
        <v>0</v>
      </c>
      <c r="I30" s="131">
        <f>F30*AP30</f>
        <v>0</v>
      </c>
      <c r="J30" s="131">
        <f>F30*G30</f>
        <v>0</v>
      </c>
      <c r="K30" s="136" t="s">
        <v>60</v>
      </c>
      <c r="Z30" s="131">
        <f>IF(AQ30="5",BJ30,0)</f>
        <v>0</v>
      </c>
      <c r="AB30" s="131">
        <f>IF(AQ30="1",BH30,0)</f>
        <v>0</v>
      </c>
      <c r="AC30" s="131">
        <f>IF(AQ30="1",BI30,0)</f>
        <v>0</v>
      </c>
      <c r="AD30" s="131">
        <f>IF(AQ30="7",BH30,0)</f>
        <v>0</v>
      </c>
      <c r="AE30" s="131">
        <f>IF(AQ30="7",BI30,0)</f>
        <v>0</v>
      </c>
      <c r="AF30" s="131">
        <f>IF(AQ30="2",BH30,0)</f>
        <v>0</v>
      </c>
      <c r="AG30" s="131">
        <f>IF(AQ30="2",BI30,0)</f>
        <v>0</v>
      </c>
      <c r="AH30" s="131">
        <f>IF(AQ30="0",BJ30,0)</f>
        <v>0</v>
      </c>
      <c r="AI30" s="115" t="s">
        <v>53</v>
      </c>
      <c r="AJ30" s="131">
        <f>IF(AN30=0,J30,0)</f>
        <v>0</v>
      </c>
      <c r="AK30" s="131">
        <f>IF(AN30=12,J30,0)</f>
        <v>0</v>
      </c>
      <c r="AL30" s="131">
        <f>IF(AN30=21,J30,0)</f>
        <v>0</v>
      </c>
      <c r="AN30" s="131">
        <v>21</v>
      </c>
      <c r="AO30" s="131">
        <f>G30*0</f>
        <v>0</v>
      </c>
      <c r="AP30" s="131">
        <f>G30*(1-0)</f>
        <v>0</v>
      </c>
      <c r="AQ30" s="132" t="s">
        <v>56</v>
      </c>
      <c r="AV30" s="131">
        <f>AW30+AX30</f>
        <v>0</v>
      </c>
      <c r="AW30" s="131">
        <f>F30*AO30</f>
        <v>0</v>
      </c>
      <c r="AX30" s="131">
        <f>F30*AP30</f>
        <v>0</v>
      </c>
      <c r="AY30" s="132" t="s">
        <v>127</v>
      </c>
      <c r="AZ30" s="132" t="s">
        <v>62</v>
      </c>
      <c r="BA30" s="115" t="s">
        <v>63</v>
      </c>
      <c r="BC30" s="131">
        <f>AW30+AX30</f>
        <v>0</v>
      </c>
      <c r="BD30" s="131">
        <f>G30/(100-BE30)*100</f>
        <v>0</v>
      </c>
      <c r="BE30" s="131">
        <v>0</v>
      </c>
      <c r="BF30" s="131">
        <f>30</f>
        <v>30</v>
      </c>
      <c r="BH30" s="131">
        <f>F30*AO30</f>
        <v>0</v>
      </c>
      <c r="BI30" s="131">
        <f>F30*AP30</f>
        <v>0</v>
      </c>
      <c r="BJ30" s="131">
        <f>F30*G30</f>
        <v>0</v>
      </c>
      <c r="BK30" s="131"/>
      <c r="BL30" s="131">
        <v>17</v>
      </c>
      <c r="BW30" s="131">
        <v>21</v>
      </c>
      <c r="BX30" s="133" t="s">
        <v>126</v>
      </c>
    </row>
    <row r="31" spans="1:76" x14ac:dyDescent="0.25">
      <c r="A31" s="127" t="s">
        <v>111</v>
      </c>
      <c r="B31" s="128" t="s">
        <v>129</v>
      </c>
      <c r="C31" s="277" t="s">
        <v>130</v>
      </c>
      <c r="D31" s="278"/>
      <c r="E31" s="128" t="s">
        <v>79</v>
      </c>
      <c r="F31" s="129">
        <v>17.399999999999999</v>
      </c>
      <c r="G31" s="178">
        <v>0</v>
      </c>
      <c r="H31" s="129">
        <f>F31*AO31</f>
        <v>0</v>
      </c>
      <c r="I31" s="129">
        <f>F31*AP31</f>
        <v>0</v>
      </c>
      <c r="J31" s="129">
        <f>F31*G31</f>
        <v>0</v>
      </c>
      <c r="K31" s="130" t="s">
        <v>60</v>
      </c>
      <c r="Z31" s="131">
        <f>IF(AQ31="5",BJ31,0)</f>
        <v>0</v>
      </c>
      <c r="AB31" s="131">
        <f>IF(AQ31="1",BH31,0)</f>
        <v>0</v>
      </c>
      <c r="AC31" s="131">
        <f>IF(AQ31="1",BI31,0)</f>
        <v>0</v>
      </c>
      <c r="AD31" s="131">
        <f>IF(AQ31="7",BH31,0)</f>
        <v>0</v>
      </c>
      <c r="AE31" s="131">
        <f>IF(AQ31="7",BI31,0)</f>
        <v>0</v>
      </c>
      <c r="AF31" s="131">
        <f>IF(AQ31="2",BH31,0)</f>
        <v>0</v>
      </c>
      <c r="AG31" s="131">
        <f>IF(AQ31="2",BI31,0)</f>
        <v>0</v>
      </c>
      <c r="AH31" s="131">
        <f>IF(AQ31="0",BJ31,0)</f>
        <v>0</v>
      </c>
      <c r="AI31" s="115" t="s">
        <v>53</v>
      </c>
      <c r="AJ31" s="131">
        <f>IF(AN31=0,J31,0)</f>
        <v>0</v>
      </c>
      <c r="AK31" s="131">
        <f>IF(AN31=12,J31,0)</f>
        <v>0</v>
      </c>
      <c r="AL31" s="131">
        <f>IF(AN31=21,J31,0)</f>
        <v>0</v>
      </c>
      <c r="AN31" s="131">
        <v>21</v>
      </c>
      <c r="AO31" s="131">
        <f>G31*0</f>
        <v>0</v>
      </c>
      <c r="AP31" s="131">
        <f>G31*(1-0)</f>
        <v>0</v>
      </c>
      <c r="AQ31" s="132" t="s">
        <v>56</v>
      </c>
      <c r="AV31" s="131">
        <f>AW31+AX31</f>
        <v>0</v>
      </c>
      <c r="AW31" s="131">
        <f>F31*AO31</f>
        <v>0</v>
      </c>
      <c r="AX31" s="131">
        <f>F31*AP31</f>
        <v>0</v>
      </c>
      <c r="AY31" s="132" t="s">
        <v>127</v>
      </c>
      <c r="AZ31" s="132" t="s">
        <v>62</v>
      </c>
      <c r="BA31" s="115" t="s">
        <v>63</v>
      </c>
      <c r="BC31" s="131">
        <f>AW31+AX31</f>
        <v>0</v>
      </c>
      <c r="BD31" s="131">
        <f>G31/(100-BE31)*100</f>
        <v>0</v>
      </c>
      <c r="BE31" s="131">
        <v>0</v>
      </c>
      <c r="BF31" s="131">
        <f>31</f>
        <v>31</v>
      </c>
      <c r="BH31" s="131">
        <f>F31*AO31</f>
        <v>0</v>
      </c>
      <c r="BI31" s="131">
        <f>F31*AP31</f>
        <v>0</v>
      </c>
      <c r="BJ31" s="131">
        <f>F31*G31</f>
        <v>0</v>
      </c>
      <c r="BK31" s="131"/>
      <c r="BL31" s="131">
        <v>17</v>
      </c>
      <c r="BW31" s="131">
        <v>21</v>
      </c>
      <c r="BX31" s="133" t="s">
        <v>130</v>
      </c>
    </row>
    <row r="32" spans="1:76" x14ac:dyDescent="0.25">
      <c r="A32" s="127" t="s">
        <v>101</v>
      </c>
      <c r="B32" s="128" t="s">
        <v>132</v>
      </c>
      <c r="C32" s="277" t="s">
        <v>133</v>
      </c>
      <c r="D32" s="278"/>
      <c r="E32" s="128" t="s">
        <v>79</v>
      </c>
      <c r="F32" s="129">
        <v>6.96</v>
      </c>
      <c r="G32" s="178">
        <v>0</v>
      </c>
      <c r="H32" s="129">
        <f>F32*AO32</f>
        <v>0</v>
      </c>
      <c r="I32" s="129">
        <f>F32*AP32</f>
        <v>0</v>
      </c>
      <c r="J32" s="129">
        <f>F32*G32</f>
        <v>0</v>
      </c>
      <c r="K32" s="130" t="s">
        <v>60</v>
      </c>
      <c r="Z32" s="131">
        <f>IF(AQ32="5",BJ32,0)</f>
        <v>0</v>
      </c>
      <c r="AB32" s="131">
        <f>IF(AQ32="1",BH32,0)</f>
        <v>0</v>
      </c>
      <c r="AC32" s="131">
        <f>IF(AQ32="1",BI32,0)</f>
        <v>0</v>
      </c>
      <c r="AD32" s="131">
        <f>IF(AQ32="7",BH32,0)</f>
        <v>0</v>
      </c>
      <c r="AE32" s="131">
        <f>IF(AQ32="7",BI32,0)</f>
        <v>0</v>
      </c>
      <c r="AF32" s="131">
        <f>IF(AQ32="2",BH32,0)</f>
        <v>0</v>
      </c>
      <c r="AG32" s="131">
        <f>IF(AQ32="2",BI32,0)</f>
        <v>0</v>
      </c>
      <c r="AH32" s="131">
        <f>IF(AQ32="0",BJ32,0)</f>
        <v>0</v>
      </c>
      <c r="AI32" s="115" t="s">
        <v>53</v>
      </c>
      <c r="AJ32" s="131">
        <f>IF(AN32=0,J32,0)</f>
        <v>0</v>
      </c>
      <c r="AK32" s="131">
        <f>IF(AN32=12,J32,0)</f>
        <v>0</v>
      </c>
      <c r="AL32" s="131">
        <f>IF(AN32=21,J32,0)</f>
        <v>0</v>
      </c>
      <c r="AN32" s="131">
        <v>21</v>
      </c>
      <c r="AO32" s="131">
        <f>G32*0</f>
        <v>0</v>
      </c>
      <c r="AP32" s="131">
        <f>G32*(1-0)</f>
        <v>0</v>
      </c>
      <c r="AQ32" s="132" t="s">
        <v>56</v>
      </c>
      <c r="AV32" s="131">
        <f>AW32+AX32</f>
        <v>0</v>
      </c>
      <c r="AW32" s="131">
        <f>F32*AO32</f>
        <v>0</v>
      </c>
      <c r="AX32" s="131">
        <f>F32*AP32</f>
        <v>0</v>
      </c>
      <c r="AY32" s="132" t="s">
        <v>127</v>
      </c>
      <c r="AZ32" s="132" t="s">
        <v>62</v>
      </c>
      <c r="BA32" s="115" t="s">
        <v>63</v>
      </c>
      <c r="BC32" s="131">
        <f>AW32+AX32</f>
        <v>0</v>
      </c>
      <c r="BD32" s="131">
        <f>G32/(100-BE32)*100</f>
        <v>0</v>
      </c>
      <c r="BE32" s="131">
        <v>0</v>
      </c>
      <c r="BF32" s="131">
        <f>32</f>
        <v>32</v>
      </c>
      <c r="BH32" s="131">
        <f>F32*AO32</f>
        <v>0</v>
      </c>
      <c r="BI32" s="131">
        <f>F32*AP32</f>
        <v>0</v>
      </c>
      <c r="BJ32" s="131">
        <f>F32*G32</f>
        <v>0</v>
      </c>
      <c r="BK32" s="131"/>
      <c r="BL32" s="131">
        <v>17</v>
      </c>
      <c r="BW32" s="131">
        <v>21</v>
      </c>
      <c r="BX32" s="133" t="s">
        <v>133</v>
      </c>
    </row>
    <row r="33" spans="1:76" x14ac:dyDescent="0.25">
      <c r="A33" s="123" t="s">
        <v>53</v>
      </c>
      <c r="B33" s="124" t="s">
        <v>119</v>
      </c>
      <c r="C33" s="272" t="s">
        <v>134</v>
      </c>
      <c r="D33" s="273"/>
      <c r="E33" s="125" t="s">
        <v>9</v>
      </c>
      <c r="F33" s="125" t="s">
        <v>9</v>
      </c>
      <c r="G33" s="125" t="s">
        <v>9</v>
      </c>
      <c r="H33" s="110">
        <f>SUM(H34:H37)</f>
        <v>0</v>
      </c>
      <c r="I33" s="110">
        <f>SUM(I34:I37)</f>
        <v>0</v>
      </c>
      <c r="J33" s="110">
        <f>SUM(J34:J37)</f>
        <v>0</v>
      </c>
      <c r="K33" s="126" t="s">
        <v>53</v>
      </c>
      <c r="AI33" s="115" t="s">
        <v>53</v>
      </c>
      <c r="AS33" s="110">
        <f>SUM(AJ34:AJ37)</f>
        <v>0</v>
      </c>
      <c r="AT33" s="110">
        <f>SUM(AK34:AK37)</f>
        <v>0</v>
      </c>
      <c r="AU33" s="110">
        <f>SUM(AL34:AL37)</f>
        <v>0</v>
      </c>
    </row>
    <row r="34" spans="1:76" x14ac:dyDescent="0.25">
      <c r="A34" s="127" t="s">
        <v>116</v>
      </c>
      <c r="B34" s="128" t="s">
        <v>136</v>
      </c>
      <c r="C34" s="277" t="s">
        <v>137</v>
      </c>
      <c r="D34" s="278"/>
      <c r="E34" s="128" t="s">
        <v>59</v>
      </c>
      <c r="F34" s="129">
        <v>790.44</v>
      </c>
      <c r="G34" s="178">
        <v>0</v>
      </c>
      <c r="H34" s="129">
        <f>F34*AO34</f>
        <v>0</v>
      </c>
      <c r="I34" s="129">
        <f>F34*AP34</f>
        <v>0</v>
      </c>
      <c r="J34" s="129">
        <f>F34*G34</f>
        <v>0</v>
      </c>
      <c r="K34" s="130" t="s">
        <v>60</v>
      </c>
      <c r="Z34" s="131">
        <f>IF(AQ34="5",BJ34,0)</f>
        <v>0</v>
      </c>
      <c r="AB34" s="131">
        <f>IF(AQ34="1",BH34,0)</f>
        <v>0</v>
      </c>
      <c r="AC34" s="131">
        <f>IF(AQ34="1",BI34,0)</f>
        <v>0</v>
      </c>
      <c r="AD34" s="131">
        <f>IF(AQ34="7",BH34,0)</f>
        <v>0</v>
      </c>
      <c r="AE34" s="131">
        <f>IF(AQ34="7",BI34,0)</f>
        <v>0</v>
      </c>
      <c r="AF34" s="131">
        <f>IF(AQ34="2",BH34,0)</f>
        <v>0</v>
      </c>
      <c r="AG34" s="131">
        <f>IF(AQ34="2",BI34,0)</f>
        <v>0</v>
      </c>
      <c r="AH34" s="131">
        <f>IF(AQ34="0",BJ34,0)</f>
        <v>0</v>
      </c>
      <c r="AI34" s="115" t="s">
        <v>53</v>
      </c>
      <c r="AJ34" s="131">
        <f>IF(AN34=0,J34,0)</f>
        <v>0</v>
      </c>
      <c r="AK34" s="131">
        <f>IF(AN34=12,J34,0)</f>
        <v>0</v>
      </c>
      <c r="AL34" s="131">
        <f>IF(AN34=21,J34,0)</f>
        <v>0</v>
      </c>
      <c r="AN34" s="131">
        <v>21</v>
      </c>
      <c r="AO34" s="131">
        <f>G34*0</f>
        <v>0</v>
      </c>
      <c r="AP34" s="131">
        <f>G34*(1-0)</f>
        <v>0</v>
      </c>
      <c r="AQ34" s="132" t="s">
        <v>56</v>
      </c>
      <c r="AV34" s="131">
        <f>AW34+AX34</f>
        <v>0</v>
      </c>
      <c r="AW34" s="131">
        <f>F34*AO34</f>
        <v>0</v>
      </c>
      <c r="AX34" s="131">
        <f>F34*AP34</f>
        <v>0</v>
      </c>
      <c r="AY34" s="132" t="s">
        <v>138</v>
      </c>
      <c r="AZ34" s="132" t="s">
        <v>62</v>
      </c>
      <c r="BA34" s="115" t="s">
        <v>63</v>
      </c>
      <c r="BC34" s="131">
        <f>AW34+AX34</f>
        <v>0</v>
      </c>
      <c r="BD34" s="131">
        <f>G34/(100-BE34)*100</f>
        <v>0</v>
      </c>
      <c r="BE34" s="131">
        <v>0</v>
      </c>
      <c r="BF34" s="131">
        <f>34</f>
        <v>34</v>
      </c>
      <c r="BH34" s="131">
        <f>F34*AO34</f>
        <v>0</v>
      </c>
      <c r="BI34" s="131">
        <f>F34*AP34</f>
        <v>0</v>
      </c>
      <c r="BJ34" s="131">
        <f>F34*G34</f>
        <v>0</v>
      </c>
      <c r="BK34" s="131"/>
      <c r="BL34" s="131">
        <v>18</v>
      </c>
      <c r="BW34" s="131">
        <v>21</v>
      </c>
      <c r="BX34" s="133" t="s">
        <v>137</v>
      </c>
    </row>
    <row r="35" spans="1:76" x14ac:dyDescent="0.25">
      <c r="A35" s="127" t="s">
        <v>119</v>
      </c>
      <c r="B35" s="128" t="s">
        <v>140</v>
      </c>
      <c r="C35" s="277" t="s">
        <v>141</v>
      </c>
      <c r="D35" s="278"/>
      <c r="E35" s="128" t="s">
        <v>59</v>
      </c>
      <c r="F35" s="129">
        <v>140</v>
      </c>
      <c r="G35" s="178">
        <v>0</v>
      </c>
      <c r="H35" s="129">
        <f>F35*AO35</f>
        <v>0</v>
      </c>
      <c r="I35" s="129">
        <f>F35*AP35</f>
        <v>0</v>
      </c>
      <c r="J35" s="129">
        <f>F35*G35</f>
        <v>0</v>
      </c>
      <c r="K35" s="130" t="s">
        <v>60</v>
      </c>
      <c r="Z35" s="131">
        <f>IF(AQ35="5",BJ35,0)</f>
        <v>0</v>
      </c>
      <c r="AB35" s="131">
        <f>IF(AQ35="1",BH35,0)</f>
        <v>0</v>
      </c>
      <c r="AC35" s="131">
        <f>IF(AQ35="1",BI35,0)</f>
        <v>0</v>
      </c>
      <c r="AD35" s="131">
        <f>IF(AQ35="7",BH35,0)</f>
        <v>0</v>
      </c>
      <c r="AE35" s="131">
        <f>IF(AQ35="7",BI35,0)</f>
        <v>0</v>
      </c>
      <c r="AF35" s="131">
        <f>IF(AQ35="2",BH35,0)</f>
        <v>0</v>
      </c>
      <c r="AG35" s="131">
        <f>IF(AQ35="2",BI35,0)</f>
        <v>0</v>
      </c>
      <c r="AH35" s="131">
        <f>IF(AQ35="0",BJ35,0)</f>
        <v>0</v>
      </c>
      <c r="AI35" s="115" t="s">
        <v>53</v>
      </c>
      <c r="AJ35" s="131">
        <f>IF(AN35=0,J35,0)</f>
        <v>0</v>
      </c>
      <c r="AK35" s="131">
        <f>IF(AN35=12,J35,0)</f>
        <v>0</v>
      </c>
      <c r="AL35" s="131">
        <f>IF(AN35=21,J35,0)</f>
        <v>0</v>
      </c>
      <c r="AN35" s="131">
        <v>21</v>
      </c>
      <c r="AO35" s="131">
        <f>G35*0.069565217</f>
        <v>0</v>
      </c>
      <c r="AP35" s="131">
        <f>G35*(1-0.069565217)</f>
        <v>0</v>
      </c>
      <c r="AQ35" s="132" t="s">
        <v>56</v>
      </c>
      <c r="AV35" s="131">
        <f>AW35+AX35</f>
        <v>0</v>
      </c>
      <c r="AW35" s="131">
        <f>F35*AO35</f>
        <v>0</v>
      </c>
      <c r="AX35" s="131">
        <f>F35*AP35</f>
        <v>0</v>
      </c>
      <c r="AY35" s="132" t="s">
        <v>138</v>
      </c>
      <c r="AZ35" s="132" t="s">
        <v>62</v>
      </c>
      <c r="BA35" s="115" t="s">
        <v>63</v>
      </c>
      <c r="BC35" s="131">
        <f>AW35+AX35</f>
        <v>0</v>
      </c>
      <c r="BD35" s="131">
        <f>G35/(100-BE35)*100</f>
        <v>0</v>
      </c>
      <c r="BE35" s="131">
        <v>0</v>
      </c>
      <c r="BF35" s="131">
        <f>35</f>
        <v>35</v>
      </c>
      <c r="BH35" s="131">
        <f>F35*AO35</f>
        <v>0</v>
      </c>
      <c r="BI35" s="131">
        <f>F35*AP35</f>
        <v>0</v>
      </c>
      <c r="BJ35" s="131">
        <f>F35*G35</f>
        <v>0</v>
      </c>
      <c r="BK35" s="131"/>
      <c r="BL35" s="131">
        <v>18</v>
      </c>
      <c r="BW35" s="131">
        <v>21</v>
      </c>
      <c r="BX35" s="133" t="s">
        <v>141</v>
      </c>
    </row>
    <row r="36" spans="1:76" x14ac:dyDescent="0.25">
      <c r="A36" s="127" t="s">
        <v>124</v>
      </c>
      <c r="B36" s="128" t="s">
        <v>143</v>
      </c>
      <c r="C36" s="277" t="s">
        <v>144</v>
      </c>
      <c r="D36" s="278"/>
      <c r="E36" s="128" t="s">
        <v>59</v>
      </c>
      <c r="F36" s="129">
        <v>140</v>
      </c>
      <c r="G36" s="178">
        <v>0</v>
      </c>
      <c r="H36" s="129">
        <f>F36*AO36</f>
        <v>0</v>
      </c>
      <c r="I36" s="129">
        <f>F36*AP36</f>
        <v>0</v>
      </c>
      <c r="J36" s="129">
        <f>F36*G36</f>
        <v>0</v>
      </c>
      <c r="K36" s="130" t="s">
        <v>60</v>
      </c>
      <c r="Z36" s="131">
        <f>IF(AQ36="5",BJ36,0)</f>
        <v>0</v>
      </c>
      <c r="AB36" s="131">
        <f>IF(AQ36="1",BH36,0)</f>
        <v>0</v>
      </c>
      <c r="AC36" s="131">
        <f>IF(AQ36="1",BI36,0)</f>
        <v>0</v>
      </c>
      <c r="AD36" s="131">
        <f>IF(AQ36="7",BH36,0)</f>
        <v>0</v>
      </c>
      <c r="AE36" s="131">
        <f>IF(AQ36="7",BI36,0)</f>
        <v>0</v>
      </c>
      <c r="AF36" s="131">
        <f>IF(AQ36="2",BH36,0)</f>
        <v>0</v>
      </c>
      <c r="AG36" s="131">
        <f>IF(AQ36="2",BI36,0)</f>
        <v>0</v>
      </c>
      <c r="AH36" s="131">
        <f>IF(AQ36="0",BJ36,0)</f>
        <v>0</v>
      </c>
      <c r="AI36" s="115" t="s">
        <v>53</v>
      </c>
      <c r="AJ36" s="131">
        <f>IF(AN36=0,J36,0)</f>
        <v>0</v>
      </c>
      <c r="AK36" s="131">
        <f>IF(AN36=12,J36,0)</f>
        <v>0</v>
      </c>
      <c r="AL36" s="131">
        <f>IF(AN36=21,J36,0)</f>
        <v>0</v>
      </c>
      <c r="AN36" s="131">
        <v>21</v>
      </c>
      <c r="AO36" s="131">
        <f>G36*0</f>
        <v>0</v>
      </c>
      <c r="AP36" s="131">
        <f>G36*(1-0)</f>
        <v>0</v>
      </c>
      <c r="AQ36" s="132" t="s">
        <v>56</v>
      </c>
      <c r="AV36" s="131">
        <f>AW36+AX36</f>
        <v>0</v>
      </c>
      <c r="AW36" s="131">
        <f>F36*AO36</f>
        <v>0</v>
      </c>
      <c r="AX36" s="131">
        <f>F36*AP36</f>
        <v>0</v>
      </c>
      <c r="AY36" s="132" t="s">
        <v>138</v>
      </c>
      <c r="AZ36" s="132" t="s">
        <v>62</v>
      </c>
      <c r="BA36" s="115" t="s">
        <v>63</v>
      </c>
      <c r="BC36" s="131">
        <f>AW36+AX36</f>
        <v>0</v>
      </c>
      <c r="BD36" s="131">
        <f>G36/(100-BE36)*100</f>
        <v>0</v>
      </c>
      <c r="BE36" s="131">
        <v>0</v>
      </c>
      <c r="BF36" s="131">
        <f>36</f>
        <v>36</v>
      </c>
      <c r="BH36" s="131">
        <f>F36*AO36</f>
        <v>0</v>
      </c>
      <c r="BI36" s="131">
        <f>F36*AP36</f>
        <v>0</v>
      </c>
      <c r="BJ36" s="131">
        <f>F36*G36</f>
        <v>0</v>
      </c>
      <c r="BK36" s="131"/>
      <c r="BL36" s="131">
        <v>18</v>
      </c>
      <c r="BW36" s="131">
        <v>21</v>
      </c>
      <c r="BX36" s="133" t="s">
        <v>144</v>
      </c>
    </row>
    <row r="37" spans="1:76" x14ac:dyDescent="0.25">
      <c r="A37" s="127" t="s">
        <v>128</v>
      </c>
      <c r="B37" s="128" t="s">
        <v>146</v>
      </c>
      <c r="C37" s="277" t="s">
        <v>147</v>
      </c>
      <c r="D37" s="278"/>
      <c r="E37" s="128" t="s">
        <v>59</v>
      </c>
      <c r="F37" s="129">
        <v>140</v>
      </c>
      <c r="G37" s="178">
        <v>0</v>
      </c>
      <c r="H37" s="129">
        <f>F37*AO37</f>
        <v>0</v>
      </c>
      <c r="I37" s="129">
        <f>F37*AP37</f>
        <v>0</v>
      </c>
      <c r="J37" s="129">
        <f>F37*G37</f>
        <v>0</v>
      </c>
      <c r="K37" s="130" t="s">
        <v>60</v>
      </c>
      <c r="Z37" s="131">
        <f>IF(AQ37="5",BJ37,0)</f>
        <v>0</v>
      </c>
      <c r="AB37" s="131">
        <f>IF(AQ37="1",BH37,0)</f>
        <v>0</v>
      </c>
      <c r="AC37" s="131">
        <f>IF(AQ37="1",BI37,0)</f>
        <v>0</v>
      </c>
      <c r="AD37" s="131">
        <f>IF(AQ37="7",BH37,0)</f>
        <v>0</v>
      </c>
      <c r="AE37" s="131">
        <f>IF(AQ37="7",BI37,0)</f>
        <v>0</v>
      </c>
      <c r="AF37" s="131">
        <f>IF(AQ37="2",BH37,0)</f>
        <v>0</v>
      </c>
      <c r="AG37" s="131">
        <f>IF(AQ37="2",BI37,0)</f>
        <v>0</v>
      </c>
      <c r="AH37" s="131">
        <f>IF(AQ37="0",BJ37,0)</f>
        <v>0</v>
      </c>
      <c r="AI37" s="115" t="s">
        <v>53</v>
      </c>
      <c r="AJ37" s="131">
        <f>IF(AN37=0,J37,0)</f>
        <v>0</v>
      </c>
      <c r="AK37" s="131">
        <f>IF(AN37=12,J37,0)</f>
        <v>0</v>
      </c>
      <c r="AL37" s="131">
        <f>IF(AN37=21,J37,0)</f>
        <v>0</v>
      </c>
      <c r="AN37" s="131">
        <v>21</v>
      </c>
      <c r="AO37" s="131">
        <f>G37*0</f>
        <v>0</v>
      </c>
      <c r="AP37" s="131">
        <f>G37*(1-0)</f>
        <v>0</v>
      </c>
      <c r="AQ37" s="132" t="s">
        <v>56</v>
      </c>
      <c r="AV37" s="131">
        <f>AW37+AX37</f>
        <v>0</v>
      </c>
      <c r="AW37" s="131">
        <f>F37*AO37</f>
        <v>0</v>
      </c>
      <c r="AX37" s="131">
        <f>F37*AP37</f>
        <v>0</v>
      </c>
      <c r="AY37" s="132" t="s">
        <v>138</v>
      </c>
      <c r="AZ37" s="132" t="s">
        <v>62</v>
      </c>
      <c r="BA37" s="115" t="s">
        <v>63</v>
      </c>
      <c r="BC37" s="131">
        <f>AW37+AX37</f>
        <v>0</v>
      </c>
      <c r="BD37" s="131">
        <f>G37/(100-BE37)*100</f>
        <v>0</v>
      </c>
      <c r="BE37" s="131">
        <v>0</v>
      </c>
      <c r="BF37" s="131">
        <f>37</f>
        <v>37</v>
      </c>
      <c r="BH37" s="131">
        <f>F37*AO37</f>
        <v>0</v>
      </c>
      <c r="BI37" s="131">
        <f>F37*AP37</f>
        <v>0</v>
      </c>
      <c r="BJ37" s="131">
        <f>F37*G37</f>
        <v>0</v>
      </c>
      <c r="BK37" s="131"/>
      <c r="BL37" s="131">
        <v>18</v>
      </c>
      <c r="BW37" s="131">
        <v>21</v>
      </c>
      <c r="BX37" s="133" t="s">
        <v>147</v>
      </c>
    </row>
    <row r="38" spans="1:76" x14ac:dyDescent="0.25">
      <c r="A38" s="123" t="s">
        <v>53</v>
      </c>
      <c r="B38" s="124" t="s">
        <v>148</v>
      </c>
      <c r="C38" s="272" t="s">
        <v>149</v>
      </c>
      <c r="D38" s="273"/>
      <c r="E38" s="125" t="s">
        <v>9</v>
      </c>
      <c r="F38" s="125" t="s">
        <v>9</v>
      </c>
      <c r="G38" s="125" t="s">
        <v>9</v>
      </c>
      <c r="H38" s="110">
        <f>SUM(H39:H45)</f>
        <v>0</v>
      </c>
      <c r="I38" s="110">
        <f>SUM(I39:I45)</f>
        <v>0</v>
      </c>
      <c r="J38" s="110">
        <f>SUM(J39:J45)</f>
        <v>0</v>
      </c>
      <c r="K38" s="126" t="s">
        <v>53</v>
      </c>
      <c r="AI38" s="115" t="s">
        <v>53</v>
      </c>
      <c r="AS38" s="110">
        <f>SUM(AJ39:AJ45)</f>
        <v>0</v>
      </c>
      <c r="AT38" s="110">
        <f>SUM(AK39:AK45)</f>
        <v>0</v>
      </c>
      <c r="AU38" s="110">
        <f>SUM(AL39:AL45)</f>
        <v>0</v>
      </c>
    </row>
    <row r="39" spans="1:76" x14ac:dyDescent="0.25">
      <c r="A39" s="127" t="s">
        <v>131</v>
      </c>
      <c r="B39" s="128" t="s">
        <v>156</v>
      </c>
      <c r="C39" s="277" t="s">
        <v>157</v>
      </c>
      <c r="D39" s="278"/>
      <c r="E39" s="128" t="s">
        <v>67</v>
      </c>
      <c r="F39" s="129">
        <v>2</v>
      </c>
      <c r="G39" s="178">
        <v>0</v>
      </c>
      <c r="H39" s="129">
        <f t="shared" ref="H39:H45" si="24">F39*AO39</f>
        <v>0</v>
      </c>
      <c r="I39" s="129">
        <f t="shared" ref="I39:I45" si="25">F39*AP39</f>
        <v>0</v>
      </c>
      <c r="J39" s="129">
        <f t="shared" ref="J39:J45" si="26">F39*G39</f>
        <v>0</v>
      </c>
      <c r="K39" s="130" t="s">
        <v>60</v>
      </c>
      <c r="Z39" s="131">
        <f t="shared" ref="Z39:Z45" si="27">IF(AQ39="5",BJ39,0)</f>
        <v>0</v>
      </c>
      <c r="AB39" s="131">
        <f t="shared" ref="AB39:AB45" si="28">IF(AQ39="1",BH39,0)</f>
        <v>0</v>
      </c>
      <c r="AC39" s="131">
        <f t="shared" ref="AC39:AC45" si="29">IF(AQ39="1",BI39,0)</f>
        <v>0</v>
      </c>
      <c r="AD39" s="131">
        <f t="shared" ref="AD39:AD45" si="30">IF(AQ39="7",BH39,0)</f>
        <v>0</v>
      </c>
      <c r="AE39" s="131">
        <f t="shared" ref="AE39:AE45" si="31">IF(AQ39="7",BI39,0)</f>
        <v>0</v>
      </c>
      <c r="AF39" s="131">
        <f t="shared" ref="AF39:AF45" si="32">IF(AQ39="2",BH39,0)</f>
        <v>0</v>
      </c>
      <c r="AG39" s="131">
        <f t="shared" ref="AG39:AG45" si="33">IF(AQ39="2",BI39,0)</f>
        <v>0</v>
      </c>
      <c r="AH39" s="131">
        <f t="shared" ref="AH39:AH45" si="34">IF(AQ39="0",BJ39,0)</f>
        <v>0</v>
      </c>
      <c r="AI39" s="115" t="s">
        <v>53</v>
      </c>
      <c r="AJ39" s="131">
        <f t="shared" ref="AJ39:AJ45" si="35">IF(AN39=0,J39,0)</f>
        <v>0</v>
      </c>
      <c r="AK39" s="131">
        <f t="shared" ref="AK39:AK45" si="36">IF(AN39=12,J39,0)</f>
        <v>0</v>
      </c>
      <c r="AL39" s="131">
        <f t="shared" ref="AL39:AL45" si="37">IF(AN39=21,J39,0)</f>
        <v>0</v>
      </c>
      <c r="AN39" s="131">
        <v>21</v>
      </c>
      <c r="AO39" s="131">
        <f>G39*0.281499488</f>
        <v>0</v>
      </c>
      <c r="AP39" s="131">
        <f>G39*(1-0.281499488)</f>
        <v>0</v>
      </c>
      <c r="AQ39" s="132" t="s">
        <v>56</v>
      </c>
      <c r="AV39" s="131">
        <f t="shared" ref="AV39:AV45" si="38">AW39+AX39</f>
        <v>0</v>
      </c>
      <c r="AW39" s="131">
        <f t="shared" ref="AW39:AW45" si="39">F39*AO39</f>
        <v>0</v>
      </c>
      <c r="AX39" s="131">
        <f t="shared" ref="AX39:AX45" si="40">F39*AP39</f>
        <v>0</v>
      </c>
      <c r="AY39" s="132" t="s">
        <v>153</v>
      </c>
      <c r="AZ39" s="132" t="s">
        <v>154</v>
      </c>
      <c r="BA39" s="115" t="s">
        <v>63</v>
      </c>
      <c r="BC39" s="131">
        <f t="shared" ref="BC39:BC45" si="41">AW39+AX39</f>
        <v>0</v>
      </c>
      <c r="BD39" s="131">
        <f t="shared" ref="BD39:BD45" si="42">G39/(100-BE39)*100</f>
        <v>0</v>
      </c>
      <c r="BE39" s="131">
        <v>0</v>
      </c>
      <c r="BF39" s="131">
        <f>39</f>
        <v>39</v>
      </c>
      <c r="BH39" s="131">
        <f t="shared" ref="BH39:BH45" si="43">F39*AO39</f>
        <v>0</v>
      </c>
      <c r="BI39" s="131">
        <f t="shared" ref="BI39:BI45" si="44">F39*AP39</f>
        <v>0</v>
      </c>
      <c r="BJ39" s="131">
        <f t="shared" ref="BJ39:BJ45" si="45">F39*G39</f>
        <v>0</v>
      </c>
      <c r="BK39" s="131"/>
      <c r="BL39" s="131">
        <v>33</v>
      </c>
      <c r="BW39" s="131">
        <v>21</v>
      </c>
      <c r="BX39" s="133" t="s">
        <v>157</v>
      </c>
    </row>
    <row r="40" spans="1:76" x14ac:dyDescent="0.25">
      <c r="A40" s="127" t="s">
        <v>135</v>
      </c>
      <c r="B40" s="128" t="s">
        <v>159</v>
      </c>
      <c r="C40" s="277" t="s">
        <v>160</v>
      </c>
      <c r="D40" s="278"/>
      <c r="E40" s="128" t="s">
        <v>67</v>
      </c>
      <c r="F40" s="129">
        <v>2.8</v>
      </c>
      <c r="G40" s="178">
        <v>0</v>
      </c>
      <c r="H40" s="129">
        <f t="shared" si="24"/>
        <v>0</v>
      </c>
      <c r="I40" s="129">
        <f t="shared" si="25"/>
        <v>0</v>
      </c>
      <c r="J40" s="129">
        <f t="shared" si="26"/>
        <v>0</v>
      </c>
      <c r="K40" s="130" t="s">
        <v>60</v>
      </c>
      <c r="Z40" s="131">
        <f t="shared" si="27"/>
        <v>0</v>
      </c>
      <c r="AB40" s="131">
        <f t="shared" si="28"/>
        <v>0</v>
      </c>
      <c r="AC40" s="131">
        <f t="shared" si="29"/>
        <v>0</v>
      </c>
      <c r="AD40" s="131">
        <f t="shared" si="30"/>
        <v>0</v>
      </c>
      <c r="AE40" s="131">
        <f t="shared" si="31"/>
        <v>0</v>
      </c>
      <c r="AF40" s="131">
        <f t="shared" si="32"/>
        <v>0</v>
      </c>
      <c r="AG40" s="131">
        <f t="shared" si="33"/>
        <v>0</v>
      </c>
      <c r="AH40" s="131">
        <f t="shared" si="34"/>
        <v>0</v>
      </c>
      <c r="AI40" s="115" t="s">
        <v>53</v>
      </c>
      <c r="AJ40" s="131">
        <f t="shared" si="35"/>
        <v>0</v>
      </c>
      <c r="AK40" s="131">
        <f t="shared" si="36"/>
        <v>0</v>
      </c>
      <c r="AL40" s="131">
        <f t="shared" si="37"/>
        <v>0</v>
      </c>
      <c r="AN40" s="131">
        <v>21</v>
      </c>
      <c r="AO40" s="131">
        <f>G40*0.300007395</f>
        <v>0</v>
      </c>
      <c r="AP40" s="131">
        <f>G40*(1-0.300007395)</f>
        <v>0</v>
      </c>
      <c r="AQ40" s="132" t="s">
        <v>56</v>
      </c>
      <c r="AV40" s="131">
        <f t="shared" si="38"/>
        <v>0</v>
      </c>
      <c r="AW40" s="131">
        <f t="shared" si="39"/>
        <v>0</v>
      </c>
      <c r="AX40" s="131">
        <f t="shared" si="40"/>
        <v>0</v>
      </c>
      <c r="AY40" s="132" t="s">
        <v>153</v>
      </c>
      <c r="AZ40" s="132" t="s">
        <v>154</v>
      </c>
      <c r="BA40" s="115" t="s">
        <v>63</v>
      </c>
      <c r="BC40" s="131">
        <f t="shared" si="41"/>
        <v>0</v>
      </c>
      <c r="BD40" s="131">
        <f t="shared" si="42"/>
        <v>0</v>
      </c>
      <c r="BE40" s="131">
        <v>0</v>
      </c>
      <c r="BF40" s="131">
        <f>40</f>
        <v>40</v>
      </c>
      <c r="BH40" s="131">
        <f t="shared" si="43"/>
        <v>0</v>
      </c>
      <c r="BI40" s="131">
        <f t="shared" si="44"/>
        <v>0</v>
      </c>
      <c r="BJ40" s="131">
        <f t="shared" si="45"/>
        <v>0</v>
      </c>
      <c r="BK40" s="131"/>
      <c r="BL40" s="131">
        <v>33</v>
      </c>
      <c r="BW40" s="131">
        <v>21</v>
      </c>
      <c r="BX40" s="133" t="s">
        <v>160</v>
      </c>
    </row>
    <row r="41" spans="1:76" x14ac:dyDescent="0.25">
      <c r="A41" s="127" t="s">
        <v>139</v>
      </c>
      <c r="B41" s="128" t="s">
        <v>162</v>
      </c>
      <c r="C41" s="277" t="s">
        <v>163</v>
      </c>
      <c r="D41" s="278"/>
      <c r="E41" s="128" t="s">
        <v>164</v>
      </c>
      <c r="F41" s="129">
        <v>5</v>
      </c>
      <c r="G41" s="178">
        <v>0</v>
      </c>
      <c r="H41" s="129">
        <f t="shared" si="24"/>
        <v>0</v>
      </c>
      <c r="I41" s="129">
        <f t="shared" si="25"/>
        <v>0</v>
      </c>
      <c r="J41" s="129">
        <f t="shared" si="26"/>
        <v>0</v>
      </c>
      <c r="K41" s="130" t="s">
        <v>60</v>
      </c>
      <c r="Z41" s="131">
        <f t="shared" si="27"/>
        <v>0</v>
      </c>
      <c r="AB41" s="131">
        <f t="shared" si="28"/>
        <v>0</v>
      </c>
      <c r="AC41" s="131">
        <f t="shared" si="29"/>
        <v>0</v>
      </c>
      <c r="AD41" s="131">
        <f t="shared" si="30"/>
        <v>0</v>
      </c>
      <c r="AE41" s="131">
        <f t="shared" si="31"/>
        <v>0</v>
      </c>
      <c r="AF41" s="131">
        <f t="shared" si="32"/>
        <v>0</v>
      </c>
      <c r="AG41" s="131">
        <f t="shared" si="33"/>
        <v>0</v>
      </c>
      <c r="AH41" s="131">
        <f t="shared" si="34"/>
        <v>0</v>
      </c>
      <c r="AI41" s="115" t="s">
        <v>53</v>
      </c>
      <c r="AJ41" s="131">
        <f t="shared" si="35"/>
        <v>0</v>
      </c>
      <c r="AK41" s="131">
        <f t="shared" si="36"/>
        <v>0</v>
      </c>
      <c r="AL41" s="131">
        <f t="shared" si="37"/>
        <v>0</v>
      </c>
      <c r="AN41" s="131">
        <v>21</v>
      </c>
      <c r="AO41" s="131">
        <f>G41*0.416840934</f>
        <v>0</v>
      </c>
      <c r="AP41" s="131">
        <f>G41*(1-0.416840934)</f>
        <v>0</v>
      </c>
      <c r="AQ41" s="132" t="s">
        <v>56</v>
      </c>
      <c r="AV41" s="131">
        <f t="shared" si="38"/>
        <v>0</v>
      </c>
      <c r="AW41" s="131">
        <f t="shared" si="39"/>
        <v>0</v>
      </c>
      <c r="AX41" s="131">
        <f t="shared" si="40"/>
        <v>0</v>
      </c>
      <c r="AY41" s="132" t="s">
        <v>153</v>
      </c>
      <c r="AZ41" s="132" t="s">
        <v>154</v>
      </c>
      <c r="BA41" s="115" t="s">
        <v>63</v>
      </c>
      <c r="BC41" s="131">
        <f t="shared" si="41"/>
        <v>0</v>
      </c>
      <c r="BD41" s="131">
        <f t="shared" si="42"/>
        <v>0</v>
      </c>
      <c r="BE41" s="131">
        <v>0</v>
      </c>
      <c r="BF41" s="131">
        <f>41</f>
        <v>41</v>
      </c>
      <c r="BH41" s="131">
        <f t="shared" si="43"/>
        <v>0</v>
      </c>
      <c r="BI41" s="131">
        <f t="shared" si="44"/>
        <v>0</v>
      </c>
      <c r="BJ41" s="131">
        <f t="shared" si="45"/>
        <v>0</v>
      </c>
      <c r="BK41" s="131"/>
      <c r="BL41" s="131">
        <v>33</v>
      </c>
      <c r="BW41" s="131">
        <v>21</v>
      </c>
      <c r="BX41" s="133" t="s">
        <v>163</v>
      </c>
    </row>
    <row r="42" spans="1:76" x14ac:dyDescent="0.25">
      <c r="A42" s="127" t="s">
        <v>142</v>
      </c>
      <c r="B42" s="128" t="s">
        <v>162</v>
      </c>
      <c r="C42" s="277" t="s">
        <v>542</v>
      </c>
      <c r="D42" s="278"/>
      <c r="E42" s="128" t="s">
        <v>164</v>
      </c>
      <c r="F42" s="129">
        <v>6</v>
      </c>
      <c r="G42" s="178">
        <v>0</v>
      </c>
      <c r="H42" s="129">
        <f t="shared" si="24"/>
        <v>0</v>
      </c>
      <c r="I42" s="129">
        <f t="shared" si="25"/>
        <v>0</v>
      </c>
      <c r="J42" s="129">
        <f t="shared" si="26"/>
        <v>0</v>
      </c>
      <c r="K42" s="130" t="s">
        <v>60</v>
      </c>
      <c r="Z42" s="131">
        <f t="shared" si="27"/>
        <v>0</v>
      </c>
      <c r="AB42" s="131">
        <f t="shared" si="28"/>
        <v>0</v>
      </c>
      <c r="AC42" s="131">
        <f t="shared" si="29"/>
        <v>0</v>
      </c>
      <c r="AD42" s="131">
        <f t="shared" si="30"/>
        <v>0</v>
      </c>
      <c r="AE42" s="131">
        <f t="shared" si="31"/>
        <v>0</v>
      </c>
      <c r="AF42" s="131">
        <f t="shared" si="32"/>
        <v>0</v>
      </c>
      <c r="AG42" s="131">
        <f t="shared" si="33"/>
        <v>0</v>
      </c>
      <c r="AH42" s="131">
        <f t="shared" si="34"/>
        <v>0</v>
      </c>
      <c r="AI42" s="115" t="s">
        <v>53</v>
      </c>
      <c r="AJ42" s="131">
        <f t="shared" si="35"/>
        <v>0</v>
      </c>
      <c r="AK42" s="131">
        <f t="shared" si="36"/>
        <v>0</v>
      </c>
      <c r="AL42" s="131">
        <f t="shared" si="37"/>
        <v>0</v>
      </c>
      <c r="AN42" s="131">
        <v>21</v>
      </c>
      <c r="AO42" s="131">
        <f>G42*0.416840934</f>
        <v>0</v>
      </c>
      <c r="AP42" s="131">
        <f>G42*(1-0.416840934)</f>
        <v>0</v>
      </c>
      <c r="AQ42" s="132" t="s">
        <v>56</v>
      </c>
      <c r="AV42" s="131">
        <f t="shared" si="38"/>
        <v>0</v>
      </c>
      <c r="AW42" s="131">
        <f t="shared" si="39"/>
        <v>0</v>
      </c>
      <c r="AX42" s="131">
        <f t="shared" si="40"/>
        <v>0</v>
      </c>
      <c r="AY42" s="132" t="s">
        <v>153</v>
      </c>
      <c r="AZ42" s="132" t="s">
        <v>154</v>
      </c>
      <c r="BA42" s="115" t="s">
        <v>63</v>
      </c>
      <c r="BC42" s="131">
        <f t="shared" si="41"/>
        <v>0</v>
      </c>
      <c r="BD42" s="131">
        <f t="shared" si="42"/>
        <v>0</v>
      </c>
      <c r="BE42" s="131">
        <v>0</v>
      </c>
      <c r="BF42" s="131">
        <f>42</f>
        <v>42</v>
      </c>
      <c r="BH42" s="131">
        <f t="shared" si="43"/>
        <v>0</v>
      </c>
      <c r="BI42" s="131">
        <f t="shared" si="44"/>
        <v>0</v>
      </c>
      <c r="BJ42" s="131">
        <f t="shared" si="45"/>
        <v>0</v>
      </c>
      <c r="BK42" s="131"/>
      <c r="BL42" s="131">
        <v>33</v>
      </c>
      <c r="BW42" s="131">
        <v>21</v>
      </c>
      <c r="BX42" s="133" t="s">
        <v>542</v>
      </c>
    </row>
    <row r="43" spans="1:76" x14ac:dyDescent="0.25">
      <c r="A43" s="127" t="s">
        <v>145</v>
      </c>
      <c r="B43" s="128" t="s">
        <v>543</v>
      </c>
      <c r="C43" s="277" t="s">
        <v>544</v>
      </c>
      <c r="D43" s="278"/>
      <c r="E43" s="128" t="s">
        <v>67</v>
      </c>
      <c r="F43" s="129">
        <v>34</v>
      </c>
      <c r="G43" s="178">
        <v>0</v>
      </c>
      <c r="H43" s="129">
        <f t="shared" si="24"/>
        <v>0</v>
      </c>
      <c r="I43" s="129">
        <f t="shared" si="25"/>
        <v>0</v>
      </c>
      <c r="J43" s="129">
        <f t="shared" si="26"/>
        <v>0</v>
      </c>
      <c r="K43" s="130" t="s">
        <v>60</v>
      </c>
      <c r="Z43" s="131">
        <f t="shared" si="27"/>
        <v>0</v>
      </c>
      <c r="AB43" s="131">
        <f t="shared" si="28"/>
        <v>0</v>
      </c>
      <c r="AC43" s="131">
        <f t="shared" si="29"/>
        <v>0</v>
      </c>
      <c r="AD43" s="131">
        <f t="shared" si="30"/>
        <v>0</v>
      </c>
      <c r="AE43" s="131">
        <f t="shared" si="31"/>
        <v>0</v>
      </c>
      <c r="AF43" s="131">
        <f t="shared" si="32"/>
        <v>0</v>
      </c>
      <c r="AG43" s="131">
        <f t="shared" si="33"/>
        <v>0</v>
      </c>
      <c r="AH43" s="131">
        <f t="shared" si="34"/>
        <v>0</v>
      </c>
      <c r="AI43" s="115" t="s">
        <v>53</v>
      </c>
      <c r="AJ43" s="131">
        <f t="shared" si="35"/>
        <v>0</v>
      </c>
      <c r="AK43" s="131">
        <f t="shared" si="36"/>
        <v>0</v>
      </c>
      <c r="AL43" s="131">
        <f t="shared" si="37"/>
        <v>0</v>
      </c>
      <c r="AN43" s="131">
        <v>21</v>
      </c>
      <c r="AO43" s="131">
        <f>G43*0.219742729</f>
        <v>0</v>
      </c>
      <c r="AP43" s="131">
        <f>G43*(1-0.219742729)</f>
        <v>0</v>
      </c>
      <c r="AQ43" s="132" t="s">
        <v>56</v>
      </c>
      <c r="AV43" s="131">
        <f t="shared" si="38"/>
        <v>0</v>
      </c>
      <c r="AW43" s="131">
        <f t="shared" si="39"/>
        <v>0</v>
      </c>
      <c r="AX43" s="131">
        <f t="shared" si="40"/>
        <v>0</v>
      </c>
      <c r="AY43" s="132" t="s">
        <v>153</v>
      </c>
      <c r="AZ43" s="132" t="s">
        <v>154</v>
      </c>
      <c r="BA43" s="115" t="s">
        <v>63</v>
      </c>
      <c r="BC43" s="131">
        <f t="shared" si="41"/>
        <v>0</v>
      </c>
      <c r="BD43" s="131">
        <f t="shared" si="42"/>
        <v>0</v>
      </c>
      <c r="BE43" s="131">
        <v>0</v>
      </c>
      <c r="BF43" s="131">
        <f>43</f>
        <v>43</v>
      </c>
      <c r="BH43" s="131">
        <f t="shared" si="43"/>
        <v>0</v>
      </c>
      <c r="BI43" s="131">
        <f t="shared" si="44"/>
        <v>0</v>
      </c>
      <c r="BJ43" s="131">
        <f t="shared" si="45"/>
        <v>0</v>
      </c>
      <c r="BK43" s="131"/>
      <c r="BL43" s="131">
        <v>33</v>
      </c>
      <c r="BW43" s="131">
        <v>21</v>
      </c>
      <c r="BX43" s="133" t="s">
        <v>544</v>
      </c>
    </row>
    <row r="44" spans="1:76" x14ac:dyDescent="0.25">
      <c r="A44" s="127" t="s">
        <v>150</v>
      </c>
      <c r="B44" s="128" t="s">
        <v>151</v>
      </c>
      <c r="C44" s="277" t="s">
        <v>545</v>
      </c>
      <c r="D44" s="278"/>
      <c r="E44" s="128" t="s">
        <v>67</v>
      </c>
      <c r="F44" s="129">
        <v>1.2</v>
      </c>
      <c r="G44" s="178">
        <v>0</v>
      </c>
      <c r="H44" s="129">
        <f t="shared" si="24"/>
        <v>0</v>
      </c>
      <c r="I44" s="129">
        <f t="shared" si="25"/>
        <v>0</v>
      </c>
      <c r="J44" s="129">
        <f t="shared" si="26"/>
        <v>0</v>
      </c>
      <c r="K44" s="130" t="s">
        <v>60</v>
      </c>
      <c r="Z44" s="131">
        <f t="shared" si="27"/>
        <v>0</v>
      </c>
      <c r="AB44" s="131">
        <f t="shared" si="28"/>
        <v>0</v>
      </c>
      <c r="AC44" s="131">
        <f t="shared" si="29"/>
        <v>0</v>
      </c>
      <c r="AD44" s="131">
        <f t="shared" si="30"/>
        <v>0</v>
      </c>
      <c r="AE44" s="131">
        <f t="shared" si="31"/>
        <v>0</v>
      </c>
      <c r="AF44" s="131">
        <f t="shared" si="32"/>
        <v>0</v>
      </c>
      <c r="AG44" s="131">
        <f t="shared" si="33"/>
        <v>0</v>
      </c>
      <c r="AH44" s="131">
        <f t="shared" si="34"/>
        <v>0</v>
      </c>
      <c r="AI44" s="115" t="s">
        <v>53</v>
      </c>
      <c r="AJ44" s="131">
        <f t="shared" si="35"/>
        <v>0</v>
      </c>
      <c r="AK44" s="131">
        <f t="shared" si="36"/>
        <v>0</v>
      </c>
      <c r="AL44" s="131">
        <f t="shared" si="37"/>
        <v>0</v>
      </c>
      <c r="AN44" s="131">
        <v>21</v>
      </c>
      <c r="AO44" s="131">
        <f>G44*0.251992464</f>
        <v>0</v>
      </c>
      <c r="AP44" s="131">
        <f>G44*(1-0.251992464)</f>
        <v>0</v>
      </c>
      <c r="AQ44" s="132" t="s">
        <v>56</v>
      </c>
      <c r="AV44" s="131">
        <f t="shared" si="38"/>
        <v>0</v>
      </c>
      <c r="AW44" s="131">
        <f t="shared" si="39"/>
        <v>0</v>
      </c>
      <c r="AX44" s="131">
        <f t="shared" si="40"/>
        <v>0</v>
      </c>
      <c r="AY44" s="132" t="s">
        <v>153</v>
      </c>
      <c r="AZ44" s="132" t="s">
        <v>154</v>
      </c>
      <c r="BA44" s="115" t="s">
        <v>63</v>
      </c>
      <c r="BC44" s="131">
        <f t="shared" si="41"/>
        <v>0</v>
      </c>
      <c r="BD44" s="131">
        <f t="shared" si="42"/>
        <v>0</v>
      </c>
      <c r="BE44" s="131">
        <v>0</v>
      </c>
      <c r="BF44" s="131">
        <f>44</f>
        <v>44</v>
      </c>
      <c r="BH44" s="131">
        <f t="shared" si="43"/>
        <v>0</v>
      </c>
      <c r="BI44" s="131">
        <f t="shared" si="44"/>
        <v>0</v>
      </c>
      <c r="BJ44" s="131">
        <f t="shared" si="45"/>
        <v>0</v>
      </c>
      <c r="BK44" s="131"/>
      <c r="BL44" s="131">
        <v>33</v>
      </c>
      <c r="BW44" s="131">
        <v>21</v>
      </c>
      <c r="BX44" s="133" t="s">
        <v>545</v>
      </c>
    </row>
    <row r="45" spans="1:76" x14ac:dyDescent="0.25">
      <c r="A45" s="127" t="s">
        <v>155</v>
      </c>
      <c r="B45" s="128" t="s">
        <v>546</v>
      </c>
      <c r="C45" s="277" t="s">
        <v>547</v>
      </c>
      <c r="D45" s="278"/>
      <c r="E45" s="128" t="s">
        <v>67</v>
      </c>
      <c r="F45" s="129">
        <v>9.8000000000000007</v>
      </c>
      <c r="G45" s="178">
        <v>0</v>
      </c>
      <c r="H45" s="129">
        <f t="shared" si="24"/>
        <v>0</v>
      </c>
      <c r="I45" s="129">
        <f t="shared" si="25"/>
        <v>0</v>
      </c>
      <c r="J45" s="129">
        <f t="shared" si="26"/>
        <v>0</v>
      </c>
      <c r="K45" s="130" t="s">
        <v>60</v>
      </c>
      <c r="Z45" s="131">
        <f t="shared" si="27"/>
        <v>0</v>
      </c>
      <c r="AB45" s="131">
        <f t="shared" si="28"/>
        <v>0</v>
      </c>
      <c r="AC45" s="131">
        <f t="shared" si="29"/>
        <v>0</v>
      </c>
      <c r="AD45" s="131">
        <f t="shared" si="30"/>
        <v>0</v>
      </c>
      <c r="AE45" s="131">
        <f t="shared" si="31"/>
        <v>0</v>
      </c>
      <c r="AF45" s="131">
        <f t="shared" si="32"/>
        <v>0</v>
      </c>
      <c r="AG45" s="131">
        <f t="shared" si="33"/>
        <v>0</v>
      </c>
      <c r="AH45" s="131">
        <f t="shared" si="34"/>
        <v>0</v>
      </c>
      <c r="AI45" s="115" t="s">
        <v>53</v>
      </c>
      <c r="AJ45" s="131">
        <f t="shared" si="35"/>
        <v>0</v>
      </c>
      <c r="AK45" s="131">
        <f t="shared" si="36"/>
        <v>0</v>
      </c>
      <c r="AL45" s="131">
        <f t="shared" si="37"/>
        <v>0</v>
      </c>
      <c r="AN45" s="131">
        <v>21</v>
      </c>
      <c r="AO45" s="131">
        <f>G45*0.19144186</f>
        <v>0</v>
      </c>
      <c r="AP45" s="131">
        <f>G45*(1-0.19144186)</f>
        <v>0</v>
      </c>
      <c r="AQ45" s="132" t="s">
        <v>56</v>
      </c>
      <c r="AV45" s="131">
        <f t="shared" si="38"/>
        <v>0</v>
      </c>
      <c r="AW45" s="131">
        <f t="shared" si="39"/>
        <v>0</v>
      </c>
      <c r="AX45" s="131">
        <f t="shared" si="40"/>
        <v>0</v>
      </c>
      <c r="AY45" s="132" t="s">
        <v>153</v>
      </c>
      <c r="AZ45" s="132" t="s">
        <v>154</v>
      </c>
      <c r="BA45" s="115" t="s">
        <v>63</v>
      </c>
      <c r="BC45" s="131">
        <f t="shared" si="41"/>
        <v>0</v>
      </c>
      <c r="BD45" s="131">
        <f t="shared" si="42"/>
        <v>0</v>
      </c>
      <c r="BE45" s="131">
        <v>0</v>
      </c>
      <c r="BF45" s="131">
        <f>45</f>
        <v>45</v>
      </c>
      <c r="BH45" s="131">
        <f t="shared" si="43"/>
        <v>0</v>
      </c>
      <c r="BI45" s="131">
        <f t="shared" si="44"/>
        <v>0</v>
      </c>
      <c r="BJ45" s="131">
        <f t="shared" si="45"/>
        <v>0</v>
      </c>
      <c r="BK45" s="131"/>
      <c r="BL45" s="131">
        <v>33</v>
      </c>
      <c r="BW45" s="131">
        <v>21</v>
      </c>
      <c r="BX45" s="133" t="s">
        <v>547</v>
      </c>
    </row>
    <row r="46" spans="1:76" x14ac:dyDescent="0.25">
      <c r="A46" s="123" t="s">
        <v>53</v>
      </c>
      <c r="B46" s="124" t="s">
        <v>167</v>
      </c>
      <c r="C46" s="272" t="s">
        <v>168</v>
      </c>
      <c r="D46" s="273"/>
      <c r="E46" s="125" t="s">
        <v>9</v>
      </c>
      <c r="F46" s="125" t="s">
        <v>9</v>
      </c>
      <c r="G46" s="125" t="s">
        <v>9</v>
      </c>
      <c r="H46" s="110">
        <f>SUM(H47:H47)</f>
        <v>0</v>
      </c>
      <c r="I46" s="110">
        <f>SUM(I47:I47)</f>
        <v>0</v>
      </c>
      <c r="J46" s="110">
        <f>SUM(J47:J47)</f>
        <v>0</v>
      </c>
      <c r="K46" s="126" t="s">
        <v>53</v>
      </c>
      <c r="AI46" s="115" t="s">
        <v>53</v>
      </c>
      <c r="AS46" s="110">
        <f>SUM(AJ47:AJ47)</f>
        <v>0</v>
      </c>
      <c r="AT46" s="110">
        <f>SUM(AK47:AK47)</f>
        <v>0</v>
      </c>
      <c r="AU46" s="110">
        <f>SUM(AL47:AL47)</f>
        <v>0</v>
      </c>
    </row>
    <row r="47" spans="1:76" x14ac:dyDescent="0.25">
      <c r="A47" s="127" t="s">
        <v>158</v>
      </c>
      <c r="B47" s="128" t="s">
        <v>170</v>
      </c>
      <c r="C47" s="277" t="s">
        <v>171</v>
      </c>
      <c r="D47" s="278"/>
      <c r="E47" s="128" t="s">
        <v>59</v>
      </c>
      <c r="F47" s="129">
        <v>309</v>
      </c>
      <c r="G47" s="178">
        <v>0</v>
      </c>
      <c r="H47" s="129">
        <f>F47*AO47</f>
        <v>0</v>
      </c>
      <c r="I47" s="129">
        <f>F47*AP47</f>
        <v>0</v>
      </c>
      <c r="J47" s="129">
        <f>F47*G47</f>
        <v>0</v>
      </c>
      <c r="K47" s="130" t="s">
        <v>60</v>
      </c>
      <c r="Z47" s="131">
        <f>IF(AQ47="5",BJ47,0)</f>
        <v>0</v>
      </c>
      <c r="AB47" s="131">
        <f>IF(AQ47="1",BH47,0)</f>
        <v>0</v>
      </c>
      <c r="AC47" s="131">
        <f>IF(AQ47="1",BI47,0)</f>
        <v>0</v>
      </c>
      <c r="AD47" s="131">
        <f>IF(AQ47="7",BH47,0)</f>
        <v>0</v>
      </c>
      <c r="AE47" s="131">
        <f>IF(AQ47="7",BI47,0)</f>
        <v>0</v>
      </c>
      <c r="AF47" s="131">
        <f>IF(AQ47="2",BH47,0)</f>
        <v>0</v>
      </c>
      <c r="AG47" s="131">
        <f>IF(AQ47="2",BI47,0)</f>
        <v>0</v>
      </c>
      <c r="AH47" s="131">
        <f>IF(AQ47="0",BJ47,0)</f>
        <v>0</v>
      </c>
      <c r="AI47" s="115" t="s">
        <v>53</v>
      </c>
      <c r="AJ47" s="131">
        <f>IF(AN47=0,J47,0)</f>
        <v>0</v>
      </c>
      <c r="AK47" s="131">
        <f>IF(AN47=12,J47,0)</f>
        <v>0</v>
      </c>
      <c r="AL47" s="131">
        <f>IF(AN47=21,J47,0)</f>
        <v>0</v>
      </c>
      <c r="AN47" s="131">
        <v>21</v>
      </c>
      <c r="AO47" s="131">
        <f>G47*0.798277983</f>
        <v>0</v>
      </c>
      <c r="AP47" s="131">
        <f>G47*(1-0.798277983)</f>
        <v>0</v>
      </c>
      <c r="AQ47" s="132" t="s">
        <v>56</v>
      </c>
      <c r="AV47" s="131">
        <f>AW47+AX47</f>
        <v>0</v>
      </c>
      <c r="AW47" s="131">
        <f>F47*AO47</f>
        <v>0</v>
      </c>
      <c r="AX47" s="131">
        <f>F47*AP47</f>
        <v>0</v>
      </c>
      <c r="AY47" s="132" t="s">
        <v>172</v>
      </c>
      <c r="AZ47" s="132" t="s">
        <v>173</v>
      </c>
      <c r="BA47" s="115" t="s">
        <v>63</v>
      </c>
      <c r="BC47" s="131">
        <f>AW47+AX47</f>
        <v>0</v>
      </c>
      <c r="BD47" s="131">
        <f>G47/(100-BE47)*100</f>
        <v>0</v>
      </c>
      <c r="BE47" s="131">
        <v>0</v>
      </c>
      <c r="BF47" s="131">
        <f>47</f>
        <v>47</v>
      </c>
      <c r="BH47" s="131">
        <f>F47*AO47</f>
        <v>0</v>
      </c>
      <c r="BI47" s="131">
        <f>F47*AP47</f>
        <v>0</v>
      </c>
      <c r="BJ47" s="131">
        <f>F47*G47</f>
        <v>0</v>
      </c>
      <c r="BK47" s="131"/>
      <c r="BL47" s="131">
        <v>45</v>
      </c>
      <c r="BW47" s="131">
        <v>21</v>
      </c>
      <c r="BX47" s="133" t="s">
        <v>171</v>
      </c>
    </row>
    <row r="48" spans="1:76" x14ac:dyDescent="0.25">
      <c r="A48" s="123" t="s">
        <v>53</v>
      </c>
      <c r="B48" s="124" t="s">
        <v>177</v>
      </c>
      <c r="C48" s="272" t="s">
        <v>178</v>
      </c>
      <c r="D48" s="273"/>
      <c r="E48" s="125" t="s">
        <v>9</v>
      </c>
      <c r="F48" s="125" t="s">
        <v>9</v>
      </c>
      <c r="G48" s="125" t="s">
        <v>9</v>
      </c>
      <c r="H48" s="110">
        <f>SUM(H49:H54)</f>
        <v>0</v>
      </c>
      <c r="I48" s="110">
        <f>SUM(I49:I54)</f>
        <v>0</v>
      </c>
      <c r="J48" s="110">
        <f>SUM(J49:J54)</f>
        <v>0</v>
      </c>
      <c r="K48" s="126" t="s">
        <v>53</v>
      </c>
      <c r="AI48" s="115" t="s">
        <v>53</v>
      </c>
      <c r="AS48" s="110">
        <f>SUM(AJ49:AJ54)</f>
        <v>0</v>
      </c>
      <c r="AT48" s="110">
        <f>SUM(AK49:AK54)</f>
        <v>0</v>
      </c>
      <c r="AU48" s="110">
        <f>SUM(AL49:AL54)</f>
        <v>0</v>
      </c>
    </row>
    <row r="49" spans="1:76" x14ac:dyDescent="0.25">
      <c r="A49" s="127" t="s">
        <v>161</v>
      </c>
      <c r="B49" s="128" t="s">
        <v>179</v>
      </c>
      <c r="C49" s="277" t="s">
        <v>548</v>
      </c>
      <c r="D49" s="278"/>
      <c r="E49" s="128" t="s">
        <v>59</v>
      </c>
      <c r="F49" s="129">
        <v>335.25</v>
      </c>
      <c r="G49" s="178">
        <v>0</v>
      </c>
      <c r="H49" s="129">
        <f t="shared" ref="H49:H54" si="46">F49*AO49</f>
        <v>0</v>
      </c>
      <c r="I49" s="129">
        <f t="shared" ref="I49:I54" si="47">F49*AP49</f>
        <v>0</v>
      </c>
      <c r="J49" s="129">
        <f t="shared" ref="J49:J54" si="48">F49*G49</f>
        <v>0</v>
      </c>
      <c r="K49" s="130" t="s">
        <v>60</v>
      </c>
      <c r="Z49" s="131">
        <f t="shared" ref="Z49:Z54" si="49">IF(AQ49="5",BJ49,0)</f>
        <v>0</v>
      </c>
      <c r="AB49" s="131">
        <f t="shared" ref="AB49:AB54" si="50">IF(AQ49="1",BH49,0)</f>
        <v>0</v>
      </c>
      <c r="AC49" s="131">
        <f t="shared" ref="AC49:AC54" si="51">IF(AQ49="1",BI49,0)</f>
        <v>0</v>
      </c>
      <c r="AD49" s="131">
        <f t="shared" ref="AD49:AD54" si="52">IF(AQ49="7",BH49,0)</f>
        <v>0</v>
      </c>
      <c r="AE49" s="131">
        <f t="shared" ref="AE49:AE54" si="53">IF(AQ49="7",BI49,0)</f>
        <v>0</v>
      </c>
      <c r="AF49" s="131">
        <f t="shared" ref="AF49:AF54" si="54">IF(AQ49="2",BH49,0)</f>
        <v>0</v>
      </c>
      <c r="AG49" s="131">
        <f t="shared" ref="AG49:AG54" si="55">IF(AQ49="2",BI49,0)</f>
        <v>0</v>
      </c>
      <c r="AH49" s="131">
        <f t="shared" ref="AH49:AH54" si="56">IF(AQ49="0",BJ49,0)</f>
        <v>0</v>
      </c>
      <c r="AI49" s="115" t="s">
        <v>53</v>
      </c>
      <c r="AJ49" s="131">
        <f t="shared" ref="AJ49:AJ54" si="57">IF(AN49=0,J49,0)</f>
        <v>0</v>
      </c>
      <c r="AK49" s="131">
        <f t="shared" ref="AK49:AK54" si="58">IF(AN49=12,J49,0)</f>
        <v>0</v>
      </c>
      <c r="AL49" s="131">
        <f t="shared" ref="AL49:AL54" si="59">IF(AN49=21,J49,0)</f>
        <v>0</v>
      </c>
      <c r="AN49" s="131">
        <v>21</v>
      </c>
      <c r="AO49" s="131">
        <f>G49*0.678511236</f>
        <v>0</v>
      </c>
      <c r="AP49" s="131">
        <f>G49*(1-0.678511236)</f>
        <v>0</v>
      </c>
      <c r="AQ49" s="132" t="s">
        <v>56</v>
      </c>
      <c r="AV49" s="131">
        <f t="shared" ref="AV49:AV54" si="60">AW49+AX49</f>
        <v>0</v>
      </c>
      <c r="AW49" s="131">
        <f t="shared" ref="AW49:AW54" si="61">F49*AO49</f>
        <v>0</v>
      </c>
      <c r="AX49" s="131">
        <f t="shared" ref="AX49:AX54" si="62">F49*AP49</f>
        <v>0</v>
      </c>
      <c r="AY49" s="132" t="s">
        <v>181</v>
      </c>
      <c r="AZ49" s="132" t="s">
        <v>182</v>
      </c>
      <c r="BA49" s="115" t="s">
        <v>63</v>
      </c>
      <c r="BC49" s="131">
        <f t="shared" ref="BC49:BC54" si="63">AW49+AX49</f>
        <v>0</v>
      </c>
      <c r="BD49" s="131">
        <f t="shared" ref="BD49:BD54" si="64">G49/(100-BE49)*100</f>
        <v>0</v>
      </c>
      <c r="BE49" s="131">
        <v>0</v>
      </c>
      <c r="BF49" s="131">
        <f>49</f>
        <v>49</v>
      </c>
      <c r="BH49" s="131">
        <f t="shared" ref="BH49:BH54" si="65">F49*AO49</f>
        <v>0</v>
      </c>
      <c r="BI49" s="131">
        <f t="shared" ref="BI49:BI54" si="66">F49*AP49</f>
        <v>0</v>
      </c>
      <c r="BJ49" s="131">
        <f t="shared" ref="BJ49:BJ54" si="67">F49*G49</f>
        <v>0</v>
      </c>
      <c r="BK49" s="131"/>
      <c r="BL49" s="131">
        <v>56</v>
      </c>
      <c r="BW49" s="131">
        <v>21</v>
      </c>
      <c r="BX49" s="133" t="s">
        <v>548</v>
      </c>
    </row>
    <row r="50" spans="1:76" x14ac:dyDescent="0.25">
      <c r="A50" s="127" t="s">
        <v>165</v>
      </c>
      <c r="B50" s="128" t="s">
        <v>184</v>
      </c>
      <c r="C50" s="277" t="s">
        <v>549</v>
      </c>
      <c r="D50" s="278"/>
      <c r="E50" s="128" t="s">
        <v>59</v>
      </c>
      <c r="F50" s="129">
        <v>96.84</v>
      </c>
      <c r="G50" s="178">
        <v>0</v>
      </c>
      <c r="H50" s="129">
        <f t="shared" si="46"/>
        <v>0</v>
      </c>
      <c r="I50" s="129">
        <f t="shared" si="47"/>
        <v>0</v>
      </c>
      <c r="J50" s="129">
        <f t="shared" si="48"/>
        <v>0</v>
      </c>
      <c r="K50" s="130" t="s">
        <v>60</v>
      </c>
      <c r="Z50" s="131">
        <f t="shared" si="49"/>
        <v>0</v>
      </c>
      <c r="AB50" s="131">
        <f t="shared" si="50"/>
        <v>0</v>
      </c>
      <c r="AC50" s="131">
        <f t="shared" si="51"/>
        <v>0</v>
      </c>
      <c r="AD50" s="131">
        <f t="shared" si="52"/>
        <v>0</v>
      </c>
      <c r="AE50" s="131">
        <f t="shared" si="53"/>
        <v>0</v>
      </c>
      <c r="AF50" s="131">
        <f t="shared" si="54"/>
        <v>0</v>
      </c>
      <c r="AG50" s="131">
        <f t="shared" si="55"/>
        <v>0</v>
      </c>
      <c r="AH50" s="131">
        <f t="shared" si="56"/>
        <v>0</v>
      </c>
      <c r="AI50" s="115" t="s">
        <v>53</v>
      </c>
      <c r="AJ50" s="131">
        <f t="shared" si="57"/>
        <v>0</v>
      </c>
      <c r="AK50" s="131">
        <f t="shared" si="58"/>
        <v>0</v>
      </c>
      <c r="AL50" s="131">
        <f t="shared" si="59"/>
        <v>0</v>
      </c>
      <c r="AN50" s="131">
        <v>21</v>
      </c>
      <c r="AO50" s="131">
        <f>G50*0.876123971</f>
        <v>0</v>
      </c>
      <c r="AP50" s="131">
        <f>G50*(1-0.876123971)</f>
        <v>0</v>
      </c>
      <c r="AQ50" s="132" t="s">
        <v>56</v>
      </c>
      <c r="AV50" s="131">
        <f t="shared" si="60"/>
        <v>0</v>
      </c>
      <c r="AW50" s="131">
        <f t="shared" si="61"/>
        <v>0</v>
      </c>
      <c r="AX50" s="131">
        <f t="shared" si="62"/>
        <v>0</v>
      </c>
      <c r="AY50" s="132" t="s">
        <v>181</v>
      </c>
      <c r="AZ50" s="132" t="s">
        <v>182</v>
      </c>
      <c r="BA50" s="115" t="s">
        <v>63</v>
      </c>
      <c r="BC50" s="131">
        <f t="shared" si="63"/>
        <v>0</v>
      </c>
      <c r="BD50" s="131">
        <f t="shared" si="64"/>
        <v>0</v>
      </c>
      <c r="BE50" s="131">
        <v>0</v>
      </c>
      <c r="BF50" s="131">
        <f>50</f>
        <v>50</v>
      </c>
      <c r="BH50" s="131">
        <f t="shared" si="65"/>
        <v>0</v>
      </c>
      <c r="BI50" s="131">
        <f t="shared" si="66"/>
        <v>0</v>
      </c>
      <c r="BJ50" s="131">
        <f t="shared" si="67"/>
        <v>0</v>
      </c>
      <c r="BK50" s="131"/>
      <c r="BL50" s="131">
        <v>56</v>
      </c>
      <c r="BW50" s="131">
        <v>21</v>
      </c>
      <c r="BX50" s="133" t="s">
        <v>549</v>
      </c>
    </row>
    <row r="51" spans="1:76" x14ac:dyDescent="0.25">
      <c r="A51" s="127" t="s">
        <v>169</v>
      </c>
      <c r="B51" s="128" t="s">
        <v>187</v>
      </c>
      <c r="C51" s="277" t="s">
        <v>550</v>
      </c>
      <c r="D51" s="278"/>
      <c r="E51" s="128" t="s">
        <v>59</v>
      </c>
      <c r="F51" s="129">
        <v>96.84</v>
      </c>
      <c r="G51" s="178">
        <v>0</v>
      </c>
      <c r="H51" s="129">
        <f t="shared" si="46"/>
        <v>0</v>
      </c>
      <c r="I51" s="129">
        <f t="shared" si="47"/>
        <v>0</v>
      </c>
      <c r="J51" s="129">
        <f t="shared" si="48"/>
        <v>0</v>
      </c>
      <c r="K51" s="130" t="s">
        <v>60</v>
      </c>
      <c r="Z51" s="131">
        <f t="shared" si="49"/>
        <v>0</v>
      </c>
      <c r="AB51" s="131">
        <f t="shared" si="50"/>
        <v>0</v>
      </c>
      <c r="AC51" s="131">
        <f t="shared" si="51"/>
        <v>0</v>
      </c>
      <c r="AD51" s="131">
        <f t="shared" si="52"/>
        <v>0</v>
      </c>
      <c r="AE51" s="131">
        <f t="shared" si="53"/>
        <v>0</v>
      </c>
      <c r="AF51" s="131">
        <f t="shared" si="54"/>
        <v>0</v>
      </c>
      <c r="AG51" s="131">
        <f t="shared" si="55"/>
        <v>0</v>
      </c>
      <c r="AH51" s="131">
        <f t="shared" si="56"/>
        <v>0</v>
      </c>
      <c r="AI51" s="115" t="s">
        <v>53</v>
      </c>
      <c r="AJ51" s="131">
        <f t="shared" si="57"/>
        <v>0</v>
      </c>
      <c r="AK51" s="131">
        <f t="shared" si="58"/>
        <v>0</v>
      </c>
      <c r="AL51" s="131">
        <f t="shared" si="59"/>
        <v>0</v>
      </c>
      <c r="AN51" s="131">
        <v>21</v>
      </c>
      <c r="AO51" s="131">
        <f>G51*0.801143048</f>
        <v>0</v>
      </c>
      <c r="AP51" s="131">
        <f>G51*(1-0.801143048)</f>
        <v>0</v>
      </c>
      <c r="AQ51" s="132" t="s">
        <v>56</v>
      </c>
      <c r="AV51" s="131">
        <f t="shared" si="60"/>
        <v>0</v>
      </c>
      <c r="AW51" s="131">
        <f t="shared" si="61"/>
        <v>0</v>
      </c>
      <c r="AX51" s="131">
        <f t="shared" si="62"/>
        <v>0</v>
      </c>
      <c r="AY51" s="132" t="s">
        <v>181</v>
      </c>
      <c r="AZ51" s="132" t="s">
        <v>182</v>
      </c>
      <c r="BA51" s="115" t="s">
        <v>63</v>
      </c>
      <c r="BC51" s="131">
        <f t="shared" si="63"/>
        <v>0</v>
      </c>
      <c r="BD51" s="131">
        <f t="shared" si="64"/>
        <v>0</v>
      </c>
      <c r="BE51" s="131">
        <v>0</v>
      </c>
      <c r="BF51" s="131">
        <f>51</f>
        <v>51</v>
      </c>
      <c r="BH51" s="131">
        <f t="shared" si="65"/>
        <v>0</v>
      </c>
      <c r="BI51" s="131">
        <f t="shared" si="66"/>
        <v>0</v>
      </c>
      <c r="BJ51" s="131">
        <f t="shared" si="67"/>
        <v>0</v>
      </c>
      <c r="BK51" s="131"/>
      <c r="BL51" s="131">
        <v>56</v>
      </c>
      <c r="BW51" s="131">
        <v>21</v>
      </c>
      <c r="BX51" s="133" t="s">
        <v>550</v>
      </c>
    </row>
    <row r="52" spans="1:76" x14ac:dyDescent="0.25">
      <c r="A52" s="127" t="s">
        <v>174</v>
      </c>
      <c r="B52" s="128" t="s">
        <v>187</v>
      </c>
      <c r="C52" s="277" t="s">
        <v>551</v>
      </c>
      <c r="D52" s="278"/>
      <c r="E52" s="128" t="s">
        <v>59</v>
      </c>
      <c r="F52" s="129">
        <v>72.63</v>
      </c>
      <c r="G52" s="178">
        <v>0</v>
      </c>
      <c r="H52" s="129">
        <f t="shared" si="46"/>
        <v>0</v>
      </c>
      <c r="I52" s="129">
        <f t="shared" si="47"/>
        <v>0</v>
      </c>
      <c r="J52" s="129">
        <f t="shared" si="48"/>
        <v>0</v>
      </c>
      <c r="K52" s="130" t="s">
        <v>60</v>
      </c>
      <c r="Z52" s="131">
        <f t="shared" si="49"/>
        <v>0</v>
      </c>
      <c r="AB52" s="131">
        <f t="shared" si="50"/>
        <v>0</v>
      </c>
      <c r="AC52" s="131">
        <f t="shared" si="51"/>
        <v>0</v>
      </c>
      <c r="AD52" s="131">
        <f t="shared" si="52"/>
        <v>0</v>
      </c>
      <c r="AE52" s="131">
        <f t="shared" si="53"/>
        <v>0</v>
      </c>
      <c r="AF52" s="131">
        <f t="shared" si="54"/>
        <v>0</v>
      </c>
      <c r="AG52" s="131">
        <f t="shared" si="55"/>
        <v>0</v>
      </c>
      <c r="AH52" s="131">
        <f t="shared" si="56"/>
        <v>0</v>
      </c>
      <c r="AI52" s="115" t="s">
        <v>53</v>
      </c>
      <c r="AJ52" s="131">
        <f t="shared" si="57"/>
        <v>0</v>
      </c>
      <c r="AK52" s="131">
        <f t="shared" si="58"/>
        <v>0</v>
      </c>
      <c r="AL52" s="131">
        <f t="shared" si="59"/>
        <v>0</v>
      </c>
      <c r="AN52" s="131">
        <v>21</v>
      </c>
      <c r="AO52" s="131">
        <f>G52*0.801142835</f>
        <v>0</v>
      </c>
      <c r="AP52" s="131">
        <f>G52*(1-0.801142835)</f>
        <v>0</v>
      </c>
      <c r="AQ52" s="132" t="s">
        <v>56</v>
      </c>
      <c r="AV52" s="131">
        <f t="shared" si="60"/>
        <v>0</v>
      </c>
      <c r="AW52" s="131">
        <f t="shared" si="61"/>
        <v>0</v>
      </c>
      <c r="AX52" s="131">
        <f t="shared" si="62"/>
        <v>0</v>
      </c>
      <c r="AY52" s="132" t="s">
        <v>181</v>
      </c>
      <c r="AZ52" s="132" t="s">
        <v>182</v>
      </c>
      <c r="BA52" s="115" t="s">
        <v>63</v>
      </c>
      <c r="BC52" s="131">
        <f t="shared" si="63"/>
        <v>0</v>
      </c>
      <c r="BD52" s="131">
        <f t="shared" si="64"/>
        <v>0</v>
      </c>
      <c r="BE52" s="131">
        <v>0</v>
      </c>
      <c r="BF52" s="131">
        <f>52</f>
        <v>52</v>
      </c>
      <c r="BH52" s="131">
        <f t="shared" si="65"/>
        <v>0</v>
      </c>
      <c r="BI52" s="131">
        <f t="shared" si="66"/>
        <v>0</v>
      </c>
      <c r="BJ52" s="131">
        <f t="shared" si="67"/>
        <v>0</v>
      </c>
      <c r="BK52" s="131"/>
      <c r="BL52" s="131">
        <v>56</v>
      </c>
      <c r="BW52" s="131">
        <v>21</v>
      </c>
      <c r="BX52" s="133" t="s">
        <v>551</v>
      </c>
    </row>
    <row r="53" spans="1:76" x14ac:dyDescent="0.25">
      <c r="A53" s="127" t="s">
        <v>148</v>
      </c>
      <c r="B53" s="128" t="s">
        <v>192</v>
      </c>
      <c r="C53" s="277" t="s">
        <v>552</v>
      </c>
      <c r="D53" s="278"/>
      <c r="E53" s="128" t="s">
        <v>59</v>
      </c>
      <c r="F53" s="129">
        <v>262.62</v>
      </c>
      <c r="G53" s="178">
        <v>0</v>
      </c>
      <c r="H53" s="129">
        <f t="shared" si="46"/>
        <v>0</v>
      </c>
      <c r="I53" s="129">
        <f t="shared" si="47"/>
        <v>0</v>
      </c>
      <c r="J53" s="129">
        <f t="shared" si="48"/>
        <v>0</v>
      </c>
      <c r="K53" s="130" t="s">
        <v>60</v>
      </c>
      <c r="Z53" s="131">
        <f t="shared" si="49"/>
        <v>0</v>
      </c>
      <c r="AB53" s="131">
        <f t="shared" si="50"/>
        <v>0</v>
      </c>
      <c r="AC53" s="131">
        <f t="shared" si="51"/>
        <v>0</v>
      </c>
      <c r="AD53" s="131">
        <f t="shared" si="52"/>
        <v>0</v>
      </c>
      <c r="AE53" s="131">
        <f t="shared" si="53"/>
        <v>0</v>
      </c>
      <c r="AF53" s="131">
        <f t="shared" si="54"/>
        <v>0</v>
      </c>
      <c r="AG53" s="131">
        <f t="shared" si="55"/>
        <v>0</v>
      </c>
      <c r="AH53" s="131">
        <f t="shared" si="56"/>
        <v>0</v>
      </c>
      <c r="AI53" s="115" t="s">
        <v>53</v>
      </c>
      <c r="AJ53" s="131">
        <f t="shared" si="57"/>
        <v>0</v>
      </c>
      <c r="AK53" s="131">
        <f t="shared" si="58"/>
        <v>0</v>
      </c>
      <c r="AL53" s="131">
        <f t="shared" si="59"/>
        <v>0</v>
      </c>
      <c r="AN53" s="131">
        <v>21</v>
      </c>
      <c r="AO53" s="131">
        <f>G53*0.854845361</f>
        <v>0</v>
      </c>
      <c r="AP53" s="131">
        <f>G53*(1-0.854845361)</f>
        <v>0</v>
      </c>
      <c r="AQ53" s="132" t="s">
        <v>56</v>
      </c>
      <c r="AV53" s="131">
        <f t="shared" si="60"/>
        <v>0</v>
      </c>
      <c r="AW53" s="131">
        <f t="shared" si="61"/>
        <v>0</v>
      </c>
      <c r="AX53" s="131">
        <f t="shared" si="62"/>
        <v>0</v>
      </c>
      <c r="AY53" s="132" t="s">
        <v>181</v>
      </c>
      <c r="AZ53" s="132" t="s">
        <v>182</v>
      </c>
      <c r="BA53" s="115" t="s">
        <v>63</v>
      </c>
      <c r="BC53" s="131">
        <f t="shared" si="63"/>
        <v>0</v>
      </c>
      <c r="BD53" s="131">
        <f t="shared" si="64"/>
        <v>0</v>
      </c>
      <c r="BE53" s="131">
        <v>0</v>
      </c>
      <c r="BF53" s="131">
        <f>53</f>
        <v>53</v>
      </c>
      <c r="BH53" s="131">
        <f t="shared" si="65"/>
        <v>0</v>
      </c>
      <c r="BI53" s="131">
        <f t="shared" si="66"/>
        <v>0</v>
      </c>
      <c r="BJ53" s="131">
        <f t="shared" si="67"/>
        <v>0</v>
      </c>
      <c r="BK53" s="131"/>
      <c r="BL53" s="131">
        <v>56</v>
      </c>
      <c r="BW53" s="131">
        <v>21</v>
      </c>
      <c r="BX53" s="133" t="s">
        <v>552</v>
      </c>
    </row>
    <row r="54" spans="1:76" x14ac:dyDescent="0.25">
      <c r="A54" s="127" t="s">
        <v>183</v>
      </c>
      <c r="B54" s="128" t="s">
        <v>195</v>
      </c>
      <c r="C54" s="277" t="s">
        <v>196</v>
      </c>
      <c r="D54" s="278"/>
      <c r="E54" s="128" t="s">
        <v>59</v>
      </c>
      <c r="F54" s="129">
        <v>20</v>
      </c>
      <c r="G54" s="178">
        <v>0</v>
      </c>
      <c r="H54" s="129">
        <f t="shared" si="46"/>
        <v>0</v>
      </c>
      <c r="I54" s="129">
        <f t="shared" si="47"/>
        <v>0</v>
      </c>
      <c r="J54" s="129">
        <f t="shared" si="48"/>
        <v>0</v>
      </c>
      <c r="K54" s="130" t="s">
        <v>60</v>
      </c>
      <c r="Z54" s="131">
        <f t="shared" si="49"/>
        <v>0</v>
      </c>
      <c r="AB54" s="131">
        <f t="shared" si="50"/>
        <v>0</v>
      </c>
      <c r="AC54" s="131">
        <f t="shared" si="51"/>
        <v>0</v>
      </c>
      <c r="AD54" s="131">
        <f t="shared" si="52"/>
        <v>0</v>
      </c>
      <c r="AE54" s="131">
        <f t="shared" si="53"/>
        <v>0</v>
      </c>
      <c r="AF54" s="131">
        <f t="shared" si="54"/>
        <v>0</v>
      </c>
      <c r="AG54" s="131">
        <f t="shared" si="55"/>
        <v>0</v>
      </c>
      <c r="AH54" s="131">
        <f t="shared" si="56"/>
        <v>0</v>
      </c>
      <c r="AI54" s="115" t="s">
        <v>53</v>
      </c>
      <c r="AJ54" s="131">
        <f t="shared" si="57"/>
        <v>0</v>
      </c>
      <c r="AK54" s="131">
        <f t="shared" si="58"/>
        <v>0</v>
      </c>
      <c r="AL54" s="131">
        <f t="shared" si="59"/>
        <v>0</v>
      </c>
      <c r="AN54" s="131">
        <v>21</v>
      </c>
      <c r="AO54" s="131">
        <f>G54*0.768741722</f>
        <v>0</v>
      </c>
      <c r="AP54" s="131">
        <f>G54*(1-0.768741722)</f>
        <v>0</v>
      </c>
      <c r="AQ54" s="132" t="s">
        <v>56</v>
      </c>
      <c r="AV54" s="131">
        <f t="shared" si="60"/>
        <v>0</v>
      </c>
      <c r="AW54" s="131">
        <f t="shared" si="61"/>
        <v>0</v>
      </c>
      <c r="AX54" s="131">
        <f t="shared" si="62"/>
        <v>0</v>
      </c>
      <c r="AY54" s="132" t="s">
        <v>181</v>
      </c>
      <c r="AZ54" s="132" t="s">
        <v>182</v>
      </c>
      <c r="BA54" s="115" t="s">
        <v>63</v>
      </c>
      <c r="BC54" s="131">
        <f t="shared" si="63"/>
        <v>0</v>
      </c>
      <c r="BD54" s="131">
        <f t="shared" si="64"/>
        <v>0</v>
      </c>
      <c r="BE54" s="131">
        <v>0</v>
      </c>
      <c r="BF54" s="131">
        <f>54</f>
        <v>54</v>
      </c>
      <c r="BH54" s="131">
        <f t="shared" si="65"/>
        <v>0</v>
      </c>
      <c r="BI54" s="131">
        <f t="shared" si="66"/>
        <v>0</v>
      </c>
      <c r="BJ54" s="131">
        <f t="shared" si="67"/>
        <v>0</v>
      </c>
      <c r="BK54" s="131"/>
      <c r="BL54" s="131">
        <v>56</v>
      </c>
      <c r="BW54" s="131">
        <v>21</v>
      </c>
      <c r="BX54" s="133" t="s">
        <v>196</v>
      </c>
    </row>
    <row r="55" spans="1:76" x14ac:dyDescent="0.25">
      <c r="A55" s="123" t="s">
        <v>53</v>
      </c>
      <c r="B55" s="124" t="s">
        <v>215</v>
      </c>
      <c r="C55" s="272" t="s">
        <v>216</v>
      </c>
      <c r="D55" s="273"/>
      <c r="E55" s="125" t="s">
        <v>9</v>
      </c>
      <c r="F55" s="125" t="s">
        <v>9</v>
      </c>
      <c r="G55" s="125" t="s">
        <v>9</v>
      </c>
      <c r="H55" s="110">
        <f>SUM(H56:H57)</f>
        <v>0</v>
      </c>
      <c r="I55" s="110">
        <f>SUM(I56:I57)</f>
        <v>0</v>
      </c>
      <c r="J55" s="110">
        <f>SUM(J56:J57)</f>
        <v>0</v>
      </c>
      <c r="K55" s="126" t="s">
        <v>53</v>
      </c>
      <c r="AI55" s="115" t="s">
        <v>53</v>
      </c>
      <c r="AS55" s="110">
        <f>SUM(AJ56:AJ57)</f>
        <v>0</v>
      </c>
      <c r="AT55" s="110">
        <f>SUM(AK56:AK57)</f>
        <v>0</v>
      </c>
      <c r="AU55" s="110">
        <f>SUM(AL56:AL57)</f>
        <v>0</v>
      </c>
    </row>
    <row r="56" spans="1:76" x14ac:dyDescent="0.25">
      <c r="A56" s="127" t="s">
        <v>186</v>
      </c>
      <c r="B56" s="128" t="s">
        <v>217</v>
      </c>
      <c r="C56" s="277" t="s">
        <v>218</v>
      </c>
      <c r="D56" s="278"/>
      <c r="E56" s="128" t="s">
        <v>59</v>
      </c>
      <c r="F56" s="129">
        <v>291.8</v>
      </c>
      <c r="G56" s="178">
        <v>0</v>
      </c>
      <c r="H56" s="129">
        <f>F56*AO56</f>
        <v>0</v>
      </c>
      <c r="I56" s="129">
        <f>F56*AP56</f>
        <v>0</v>
      </c>
      <c r="J56" s="129">
        <f>F56*G56</f>
        <v>0</v>
      </c>
      <c r="K56" s="130" t="s">
        <v>60</v>
      </c>
      <c r="Z56" s="131">
        <f>IF(AQ56="5",BJ56,0)</f>
        <v>0</v>
      </c>
      <c r="AB56" s="131">
        <f>IF(AQ56="1",BH56,0)</f>
        <v>0</v>
      </c>
      <c r="AC56" s="131">
        <f>IF(AQ56="1",BI56,0)</f>
        <v>0</v>
      </c>
      <c r="AD56" s="131">
        <f>IF(AQ56="7",BH56,0)</f>
        <v>0</v>
      </c>
      <c r="AE56" s="131">
        <f>IF(AQ56="7",BI56,0)</f>
        <v>0</v>
      </c>
      <c r="AF56" s="131">
        <f>IF(AQ56="2",BH56,0)</f>
        <v>0</v>
      </c>
      <c r="AG56" s="131">
        <f>IF(AQ56="2",BI56,0)</f>
        <v>0</v>
      </c>
      <c r="AH56" s="131">
        <f>IF(AQ56="0",BJ56,0)</f>
        <v>0</v>
      </c>
      <c r="AI56" s="115" t="s">
        <v>53</v>
      </c>
      <c r="AJ56" s="131">
        <f>IF(AN56=0,J56,0)</f>
        <v>0</v>
      </c>
      <c r="AK56" s="131">
        <f>IF(AN56=12,J56,0)</f>
        <v>0</v>
      </c>
      <c r="AL56" s="131">
        <f>IF(AN56=21,J56,0)</f>
        <v>0</v>
      </c>
      <c r="AN56" s="131">
        <v>21</v>
      </c>
      <c r="AO56" s="131">
        <f>G56*0.136006768</f>
        <v>0</v>
      </c>
      <c r="AP56" s="131">
        <f>G56*(1-0.136006768)</f>
        <v>0</v>
      </c>
      <c r="AQ56" s="132" t="s">
        <v>56</v>
      </c>
      <c r="AV56" s="131">
        <f>AW56+AX56</f>
        <v>0</v>
      </c>
      <c r="AW56" s="131">
        <f>F56*AO56</f>
        <v>0</v>
      </c>
      <c r="AX56" s="131">
        <f>F56*AP56</f>
        <v>0</v>
      </c>
      <c r="AY56" s="132" t="s">
        <v>219</v>
      </c>
      <c r="AZ56" s="132" t="s">
        <v>182</v>
      </c>
      <c r="BA56" s="115" t="s">
        <v>63</v>
      </c>
      <c r="BC56" s="131">
        <f>AW56+AX56</f>
        <v>0</v>
      </c>
      <c r="BD56" s="131">
        <f>G56/(100-BE56)*100</f>
        <v>0</v>
      </c>
      <c r="BE56" s="131">
        <v>0</v>
      </c>
      <c r="BF56" s="131">
        <f>56</f>
        <v>56</v>
      </c>
      <c r="BH56" s="131">
        <f>F56*AO56</f>
        <v>0</v>
      </c>
      <c r="BI56" s="131">
        <f>F56*AP56</f>
        <v>0</v>
      </c>
      <c r="BJ56" s="131">
        <f>F56*G56</f>
        <v>0</v>
      </c>
      <c r="BK56" s="131"/>
      <c r="BL56" s="131">
        <v>59</v>
      </c>
      <c r="BW56" s="131">
        <v>21</v>
      </c>
      <c r="BX56" s="133" t="s">
        <v>218</v>
      </c>
    </row>
    <row r="57" spans="1:76" x14ac:dyDescent="0.25">
      <c r="A57" s="127" t="s">
        <v>189</v>
      </c>
      <c r="B57" s="128" t="s">
        <v>221</v>
      </c>
      <c r="C57" s="277" t="s">
        <v>222</v>
      </c>
      <c r="D57" s="278"/>
      <c r="E57" s="128" t="s">
        <v>59</v>
      </c>
      <c r="F57" s="129">
        <v>80.7</v>
      </c>
      <c r="G57" s="178">
        <v>0</v>
      </c>
      <c r="H57" s="129">
        <f>F57*AO57</f>
        <v>0</v>
      </c>
      <c r="I57" s="129">
        <f>F57*AP57</f>
        <v>0</v>
      </c>
      <c r="J57" s="129">
        <f>F57*G57</f>
        <v>0</v>
      </c>
      <c r="K57" s="130" t="s">
        <v>60</v>
      </c>
      <c r="Z57" s="131">
        <f>IF(AQ57="5",BJ57,0)</f>
        <v>0</v>
      </c>
      <c r="AB57" s="131">
        <f>IF(AQ57="1",BH57,0)</f>
        <v>0</v>
      </c>
      <c r="AC57" s="131">
        <f>IF(AQ57="1",BI57,0)</f>
        <v>0</v>
      </c>
      <c r="AD57" s="131">
        <f>IF(AQ57="7",BH57,0)</f>
        <v>0</v>
      </c>
      <c r="AE57" s="131">
        <f>IF(AQ57="7",BI57,0)</f>
        <v>0</v>
      </c>
      <c r="AF57" s="131">
        <f>IF(AQ57="2",BH57,0)</f>
        <v>0</v>
      </c>
      <c r="AG57" s="131">
        <f>IF(AQ57="2",BI57,0)</f>
        <v>0</v>
      </c>
      <c r="AH57" s="131">
        <f>IF(AQ57="0",BJ57,0)</f>
        <v>0</v>
      </c>
      <c r="AI57" s="115" t="s">
        <v>53</v>
      </c>
      <c r="AJ57" s="131">
        <f>IF(AN57=0,J57,0)</f>
        <v>0</v>
      </c>
      <c r="AK57" s="131">
        <f>IF(AN57=12,J57,0)</f>
        <v>0</v>
      </c>
      <c r="AL57" s="131">
        <f>IF(AN57=21,J57,0)</f>
        <v>0</v>
      </c>
      <c r="AN57" s="131">
        <v>21</v>
      </c>
      <c r="AO57" s="131">
        <f>G57*0.162272727</f>
        <v>0</v>
      </c>
      <c r="AP57" s="131">
        <f>G57*(1-0.162272727)</f>
        <v>0</v>
      </c>
      <c r="AQ57" s="132" t="s">
        <v>56</v>
      </c>
      <c r="AV57" s="131">
        <f>AW57+AX57</f>
        <v>0</v>
      </c>
      <c r="AW57" s="131">
        <f>F57*AO57</f>
        <v>0</v>
      </c>
      <c r="AX57" s="131">
        <f>F57*AP57</f>
        <v>0</v>
      </c>
      <c r="AY57" s="132" t="s">
        <v>219</v>
      </c>
      <c r="AZ57" s="132" t="s">
        <v>182</v>
      </c>
      <c r="BA57" s="115" t="s">
        <v>63</v>
      </c>
      <c r="BC57" s="131">
        <f>AW57+AX57</f>
        <v>0</v>
      </c>
      <c r="BD57" s="131">
        <f>G57/(100-BE57)*100</f>
        <v>0</v>
      </c>
      <c r="BE57" s="131">
        <v>0</v>
      </c>
      <c r="BF57" s="131">
        <f>57</f>
        <v>57</v>
      </c>
      <c r="BH57" s="131">
        <f>F57*AO57</f>
        <v>0</v>
      </c>
      <c r="BI57" s="131">
        <f>F57*AP57</f>
        <v>0</v>
      </c>
      <c r="BJ57" s="131">
        <f>F57*G57</f>
        <v>0</v>
      </c>
      <c r="BK57" s="131"/>
      <c r="BL57" s="131">
        <v>59</v>
      </c>
      <c r="BW57" s="131">
        <v>21</v>
      </c>
      <c r="BX57" s="133" t="s">
        <v>222</v>
      </c>
    </row>
    <row r="58" spans="1:76" x14ac:dyDescent="0.25">
      <c r="A58" s="123" t="s">
        <v>53</v>
      </c>
      <c r="B58" s="124" t="s">
        <v>249</v>
      </c>
      <c r="C58" s="272" t="s">
        <v>250</v>
      </c>
      <c r="D58" s="273"/>
      <c r="E58" s="125" t="s">
        <v>9</v>
      </c>
      <c r="F58" s="125" t="s">
        <v>9</v>
      </c>
      <c r="G58" s="125" t="s">
        <v>9</v>
      </c>
      <c r="H58" s="110">
        <f>SUM(H59:H59)</f>
        <v>0</v>
      </c>
      <c r="I58" s="110">
        <f>SUM(I59:I59)</f>
        <v>0</v>
      </c>
      <c r="J58" s="110">
        <f>SUM(J59:J59)</f>
        <v>0</v>
      </c>
      <c r="K58" s="126" t="s">
        <v>53</v>
      </c>
      <c r="AI58" s="115" t="s">
        <v>53</v>
      </c>
      <c r="AS58" s="110">
        <f>SUM(AJ59:AJ59)</f>
        <v>0</v>
      </c>
      <c r="AT58" s="110">
        <f>SUM(AK59:AK59)</f>
        <v>0</v>
      </c>
      <c r="AU58" s="110">
        <f>SUM(AL59:AL59)</f>
        <v>0</v>
      </c>
    </row>
    <row r="59" spans="1:76" x14ac:dyDescent="0.25">
      <c r="A59" s="127" t="s">
        <v>191</v>
      </c>
      <c r="B59" s="128" t="s">
        <v>252</v>
      </c>
      <c r="C59" s="277" t="s">
        <v>553</v>
      </c>
      <c r="D59" s="278"/>
      <c r="E59" s="128" t="s">
        <v>67</v>
      </c>
      <c r="F59" s="129">
        <v>10</v>
      </c>
      <c r="G59" s="178">
        <v>0</v>
      </c>
      <c r="H59" s="129">
        <f>F59*AO59</f>
        <v>0</v>
      </c>
      <c r="I59" s="129">
        <f>F59*AP59</f>
        <v>0</v>
      </c>
      <c r="J59" s="129">
        <f>F59*G59</f>
        <v>0</v>
      </c>
      <c r="K59" s="130" t="s">
        <v>60</v>
      </c>
      <c r="Z59" s="131">
        <f>IF(AQ59="5",BJ59,0)</f>
        <v>0</v>
      </c>
      <c r="AB59" s="131">
        <f>IF(AQ59="1",BH59,0)</f>
        <v>0</v>
      </c>
      <c r="AC59" s="131">
        <f>IF(AQ59="1",BI59,0)</f>
        <v>0</v>
      </c>
      <c r="AD59" s="131">
        <f>IF(AQ59="7",BH59,0)</f>
        <v>0</v>
      </c>
      <c r="AE59" s="131">
        <f>IF(AQ59="7",BI59,0)</f>
        <v>0</v>
      </c>
      <c r="AF59" s="131">
        <f>IF(AQ59="2",BH59,0)</f>
        <v>0</v>
      </c>
      <c r="AG59" s="131">
        <f>IF(AQ59="2",BI59,0)</f>
        <v>0</v>
      </c>
      <c r="AH59" s="131">
        <f>IF(AQ59="0",BJ59,0)</f>
        <v>0</v>
      </c>
      <c r="AI59" s="115" t="s">
        <v>53</v>
      </c>
      <c r="AJ59" s="131">
        <f>IF(AN59=0,J59,0)</f>
        <v>0</v>
      </c>
      <c r="AK59" s="131">
        <f>IF(AN59=12,J59,0)</f>
        <v>0</v>
      </c>
      <c r="AL59" s="131">
        <f>IF(AN59=21,J59,0)</f>
        <v>0</v>
      </c>
      <c r="AN59" s="131">
        <v>21</v>
      </c>
      <c r="AO59" s="131">
        <f>G59*0</f>
        <v>0</v>
      </c>
      <c r="AP59" s="131">
        <f>G59*(1-0)</f>
        <v>0</v>
      </c>
      <c r="AQ59" s="132" t="s">
        <v>84</v>
      </c>
      <c r="AV59" s="131">
        <f>AW59+AX59</f>
        <v>0</v>
      </c>
      <c r="AW59" s="131">
        <f>F59*AO59</f>
        <v>0</v>
      </c>
      <c r="AX59" s="131">
        <f>F59*AP59</f>
        <v>0</v>
      </c>
      <c r="AY59" s="132" t="s">
        <v>254</v>
      </c>
      <c r="AZ59" s="132" t="s">
        <v>248</v>
      </c>
      <c r="BA59" s="115" t="s">
        <v>63</v>
      </c>
      <c r="BC59" s="131">
        <f>AW59+AX59</f>
        <v>0</v>
      </c>
      <c r="BD59" s="131">
        <f>G59/(100-BE59)*100</f>
        <v>0</v>
      </c>
      <c r="BE59" s="131">
        <v>0</v>
      </c>
      <c r="BF59" s="131">
        <f>59</f>
        <v>59</v>
      </c>
      <c r="BH59" s="131">
        <f>F59*AO59</f>
        <v>0</v>
      </c>
      <c r="BI59" s="131">
        <f>F59*AP59</f>
        <v>0</v>
      </c>
      <c r="BJ59" s="131">
        <f>F59*G59</f>
        <v>0</v>
      </c>
      <c r="BK59" s="131"/>
      <c r="BL59" s="131">
        <v>767</v>
      </c>
      <c r="BW59" s="131">
        <v>21</v>
      </c>
      <c r="BX59" s="133" t="s">
        <v>553</v>
      </c>
    </row>
    <row r="60" spans="1:76" x14ac:dyDescent="0.25">
      <c r="A60" s="123" t="s">
        <v>53</v>
      </c>
      <c r="B60" s="124" t="s">
        <v>255</v>
      </c>
      <c r="C60" s="272" t="s">
        <v>256</v>
      </c>
      <c r="D60" s="273"/>
      <c r="E60" s="125" t="s">
        <v>9</v>
      </c>
      <c r="F60" s="125" t="s">
        <v>9</v>
      </c>
      <c r="G60" s="125" t="s">
        <v>9</v>
      </c>
      <c r="H60" s="110">
        <f>SUM(H61:H62)</f>
        <v>0</v>
      </c>
      <c r="I60" s="110">
        <f>SUM(I61:I62)</f>
        <v>0</v>
      </c>
      <c r="J60" s="110">
        <f>SUM(J61:J62)</f>
        <v>0</v>
      </c>
      <c r="K60" s="126" t="s">
        <v>53</v>
      </c>
      <c r="AI60" s="115" t="s">
        <v>53</v>
      </c>
      <c r="AS60" s="110">
        <f>SUM(AJ61:AJ62)</f>
        <v>0</v>
      </c>
      <c r="AT60" s="110">
        <f>SUM(AK61:AK62)</f>
        <v>0</v>
      </c>
      <c r="AU60" s="110">
        <f>SUM(AL61:AL62)</f>
        <v>0</v>
      </c>
    </row>
    <row r="61" spans="1:76" x14ac:dyDescent="0.25">
      <c r="A61" s="127" t="s">
        <v>194</v>
      </c>
      <c r="B61" s="128" t="s">
        <v>258</v>
      </c>
      <c r="C61" s="277" t="s">
        <v>259</v>
      </c>
      <c r="D61" s="278"/>
      <c r="E61" s="128" t="s">
        <v>164</v>
      </c>
      <c r="F61" s="129">
        <v>6</v>
      </c>
      <c r="G61" s="178">
        <v>0</v>
      </c>
      <c r="H61" s="129">
        <f>F61*AO61</f>
        <v>0</v>
      </c>
      <c r="I61" s="129">
        <f>F61*AP61</f>
        <v>0</v>
      </c>
      <c r="J61" s="129">
        <f>F61*G61</f>
        <v>0</v>
      </c>
      <c r="K61" s="130" t="s">
        <v>60</v>
      </c>
      <c r="Z61" s="131">
        <f>IF(AQ61="5",BJ61,0)</f>
        <v>0</v>
      </c>
      <c r="AB61" s="131">
        <f>IF(AQ61="1",BH61,0)</f>
        <v>0</v>
      </c>
      <c r="AC61" s="131">
        <f>IF(AQ61="1",BI61,0)</f>
        <v>0</v>
      </c>
      <c r="AD61" s="131">
        <f>IF(AQ61="7",BH61,0)</f>
        <v>0</v>
      </c>
      <c r="AE61" s="131">
        <f>IF(AQ61="7",BI61,0)</f>
        <v>0</v>
      </c>
      <c r="AF61" s="131">
        <f>IF(AQ61="2",BH61,0)</f>
        <v>0</v>
      </c>
      <c r="AG61" s="131">
        <f>IF(AQ61="2",BI61,0)</f>
        <v>0</v>
      </c>
      <c r="AH61" s="131">
        <f>IF(AQ61="0",BJ61,0)</f>
        <v>0</v>
      </c>
      <c r="AI61" s="115" t="s">
        <v>53</v>
      </c>
      <c r="AJ61" s="131">
        <f>IF(AN61=0,J61,0)</f>
        <v>0</v>
      </c>
      <c r="AK61" s="131">
        <f>IF(AN61=12,J61,0)</f>
        <v>0</v>
      </c>
      <c r="AL61" s="131">
        <f>IF(AN61=21,J61,0)</f>
        <v>0</v>
      </c>
      <c r="AN61" s="131">
        <v>21</v>
      </c>
      <c r="AO61" s="131">
        <f>G61*0.323783217</f>
        <v>0</v>
      </c>
      <c r="AP61" s="131">
        <f>G61*(1-0.323783217)</f>
        <v>0</v>
      </c>
      <c r="AQ61" s="132" t="s">
        <v>56</v>
      </c>
      <c r="AV61" s="131">
        <f>AW61+AX61</f>
        <v>0</v>
      </c>
      <c r="AW61" s="131">
        <f>F61*AO61</f>
        <v>0</v>
      </c>
      <c r="AX61" s="131">
        <f>F61*AP61</f>
        <v>0</v>
      </c>
      <c r="AY61" s="132" t="s">
        <v>260</v>
      </c>
      <c r="AZ61" s="132" t="s">
        <v>261</v>
      </c>
      <c r="BA61" s="115" t="s">
        <v>63</v>
      </c>
      <c r="BC61" s="131">
        <f>AW61+AX61</f>
        <v>0</v>
      </c>
      <c r="BD61" s="131">
        <f>G61/(100-BE61)*100</f>
        <v>0</v>
      </c>
      <c r="BE61" s="131">
        <v>0</v>
      </c>
      <c r="BF61" s="131">
        <f>61</f>
        <v>61</v>
      </c>
      <c r="BH61" s="131">
        <f>F61*AO61</f>
        <v>0</v>
      </c>
      <c r="BI61" s="131">
        <f>F61*AP61</f>
        <v>0</v>
      </c>
      <c r="BJ61" s="131">
        <f>F61*G61</f>
        <v>0</v>
      </c>
      <c r="BK61" s="131"/>
      <c r="BL61" s="131">
        <v>89</v>
      </c>
      <c r="BW61" s="131">
        <v>21</v>
      </c>
      <c r="BX61" s="133" t="s">
        <v>259</v>
      </c>
    </row>
    <row r="62" spans="1:76" x14ac:dyDescent="0.25">
      <c r="A62" s="127" t="s">
        <v>197</v>
      </c>
      <c r="B62" s="128" t="s">
        <v>267</v>
      </c>
      <c r="C62" s="277" t="s">
        <v>268</v>
      </c>
      <c r="D62" s="278"/>
      <c r="E62" s="128" t="s">
        <v>164</v>
      </c>
      <c r="F62" s="129">
        <v>5</v>
      </c>
      <c r="G62" s="178">
        <v>0</v>
      </c>
      <c r="H62" s="129">
        <f>F62*AO62</f>
        <v>0</v>
      </c>
      <c r="I62" s="129">
        <f>F62*AP62</f>
        <v>0</v>
      </c>
      <c r="J62" s="129">
        <f>F62*G62</f>
        <v>0</v>
      </c>
      <c r="K62" s="130" t="s">
        <v>60</v>
      </c>
      <c r="Z62" s="131">
        <f>IF(AQ62="5",BJ62,0)</f>
        <v>0</v>
      </c>
      <c r="AB62" s="131">
        <f>IF(AQ62="1",BH62,0)</f>
        <v>0</v>
      </c>
      <c r="AC62" s="131">
        <f>IF(AQ62="1",BI62,0)</f>
        <v>0</v>
      </c>
      <c r="AD62" s="131">
        <f>IF(AQ62="7",BH62,0)</f>
        <v>0</v>
      </c>
      <c r="AE62" s="131">
        <f>IF(AQ62="7",BI62,0)</f>
        <v>0</v>
      </c>
      <c r="AF62" s="131">
        <f>IF(AQ62="2",BH62,0)</f>
        <v>0</v>
      </c>
      <c r="AG62" s="131">
        <f>IF(AQ62="2",BI62,0)</f>
        <v>0</v>
      </c>
      <c r="AH62" s="131">
        <f>IF(AQ62="0",BJ62,0)</f>
        <v>0</v>
      </c>
      <c r="AI62" s="115" t="s">
        <v>53</v>
      </c>
      <c r="AJ62" s="131">
        <f>IF(AN62=0,J62,0)</f>
        <v>0</v>
      </c>
      <c r="AK62" s="131">
        <f>IF(AN62=12,J62,0)</f>
        <v>0</v>
      </c>
      <c r="AL62" s="131">
        <f>IF(AN62=21,J62,0)</f>
        <v>0</v>
      </c>
      <c r="AN62" s="131">
        <v>21</v>
      </c>
      <c r="AO62" s="131">
        <f>G62*0.477432343</f>
        <v>0</v>
      </c>
      <c r="AP62" s="131">
        <f>G62*(1-0.477432343)</f>
        <v>0</v>
      </c>
      <c r="AQ62" s="132" t="s">
        <v>56</v>
      </c>
      <c r="AV62" s="131">
        <f>AW62+AX62</f>
        <v>0</v>
      </c>
      <c r="AW62" s="131">
        <f>F62*AO62</f>
        <v>0</v>
      </c>
      <c r="AX62" s="131">
        <f>F62*AP62</f>
        <v>0</v>
      </c>
      <c r="AY62" s="132" t="s">
        <v>260</v>
      </c>
      <c r="AZ62" s="132" t="s">
        <v>261</v>
      </c>
      <c r="BA62" s="115" t="s">
        <v>63</v>
      </c>
      <c r="BC62" s="131">
        <f>AW62+AX62</f>
        <v>0</v>
      </c>
      <c r="BD62" s="131">
        <f>G62/(100-BE62)*100</f>
        <v>0</v>
      </c>
      <c r="BE62" s="131">
        <v>0</v>
      </c>
      <c r="BF62" s="131">
        <f>62</f>
        <v>62</v>
      </c>
      <c r="BH62" s="131">
        <f>F62*AO62</f>
        <v>0</v>
      </c>
      <c r="BI62" s="131">
        <f>F62*AP62</f>
        <v>0</v>
      </c>
      <c r="BJ62" s="131">
        <f>F62*G62</f>
        <v>0</v>
      </c>
      <c r="BK62" s="131"/>
      <c r="BL62" s="131">
        <v>89</v>
      </c>
      <c r="BW62" s="131">
        <v>21</v>
      </c>
      <c r="BX62" s="133" t="s">
        <v>268</v>
      </c>
    </row>
    <row r="63" spans="1:76" x14ac:dyDescent="0.25">
      <c r="A63" s="123" t="s">
        <v>53</v>
      </c>
      <c r="B63" s="124" t="s">
        <v>269</v>
      </c>
      <c r="C63" s="272" t="s">
        <v>270</v>
      </c>
      <c r="D63" s="273"/>
      <c r="E63" s="125" t="s">
        <v>9</v>
      </c>
      <c r="F63" s="125" t="s">
        <v>9</v>
      </c>
      <c r="G63" s="125" t="s">
        <v>9</v>
      </c>
      <c r="H63" s="110">
        <f>SUM(H64:H72)</f>
        <v>0</v>
      </c>
      <c r="I63" s="110">
        <f>SUM(I64:I72)</f>
        <v>0</v>
      </c>
      <c r="J63" s="110">
        <f>SUM(J64:J72)</f>
        <v>0</v>
      </c>
      <c r="K63" s="126" t="s">
        <v>53</v>
      </c>
      <c r="AI63" s="115" t="s">
        <v>53</v>
      </c>
      <c r="AS63" s="110">
        <f>SUM(AJ64:AJ72)</f>
        <v>0</v>
      </c>
      <c r="AT63" s="110">
        <f>SUM(AK64:AK72)</f>
        <v>0</v>
      </c>
      <c r="AU63" s="110">
        <f>SUM(AL64:AL72)</f>
        <v>0</v>
      </c>
    </row>
    <row r="64" spans="1:76" x14ac:dyDescent="0.25">
      <c r="A64" s="127" t="s">
        <v>199</v>
      </c>
      <c r="B64" s="128" t="s">
        <v>272</v>
      </c>
      <c r="C64" s="277" t="s">
        <v>273</v>
      </c>
      <c r="D64" s="278"/>
      <c r="E64" s="128" t="s">
        <v>67</v>
      </c>
      <c r="F64" s="129">
        <v>284</v>
      </c>
      <c r="G64" s="178">
        <v>0</v>
      </c>
      <c r="H64" s="129">
        <f t="shared" ref="H64:H72" si="68">F64*AO64</f>
        <v>0</v>
      </c>
      <c r="I64" s="129">
        <f t="shared" ref="I64:I72" si="69">F64*AP64</f>
        <v>0</v>
      </c>
      <c r="J64" s="129">
        <f t="shared" ref="J64:J72" si="70">F64*G64</f>
        <v>0</v>
      </c>
      <c r="K64" s="130" t="s">
        <v>60</v>
      </c>
      <c r="Z64" s="131">
        <f t="shared" ref="Z64:Z72" si="71">IF(AQ64="5",BJ64,0)</f>
        <v>0</v>
      </c>
      <c r="AB64" s="131">
        <f t="shared" ref="AB64:AB72" si="72">IF(AQ64="1",BH64,0)</f>
        <v>0</v>
      </c>
      <c r="AC64" s="131">
        <f t="shared" ref="AC64:AC72" si="73">IF(AQ64="1",BI64,0)</f>
        <v>0</v>
      </c>
      <c r="AD64" s="131">
        <f t="shared" ref="AD64:AD72" si="74">IF(AQ64="7",BH64,0)</f>
        <v>0</v>
      </c>
      <c r="AE64" s="131">
        <f t="shared" ref="AE64:AE72" si="75">IF(AQ64="7",BI64,0)</f>
        <v>0</v>
      </c>
      <c r="AF64" s="131">
        <f t="shared" ref="AF64:AF72" si="76">IF(AQ64="2",BH64,0)</f>
        <v>0</v>
      </c>
      <c r="AG64" s="131">
        <f t="shared" ref="AG64:AG72" si="77">IF(AQ64="2",BI64,0)</f>
        <v>0</v>
      </c>
      <c r="AH64" s="131">
        <f t="shared" ref="AH64:AH72" si="78">IF(AQ64="0",BJ64,0)</f>
        <v>0</v>
      </c>
      <c r="AI64" s="115" t="s">
        <v>53</v>
      </c>
      <c r="AJ64" s="131">
        <f t="shared" ref="AJ64:AJ72" si="79">IF(AN64=0,J64,0)</f>
        <v>0</v>
      </c>
      <c r="AK64" s="131">
        <f t="shared" ref="AK64:AK72" si="80">IF(AN64=12,J64,0)</f>
        <v>0</v>
      </c>
      <c r="AL64" s="131">
        <f t="shared" ref="AL64:AL72" si="81">IF(AN64=21,J64,0)</f>
        <v>0</v>
      </c>
      <c r="AN64" s="131">
        <v>21</v>
      </c>
      <c r="AO64" s="131">
        <f>G64*0.596432432</f>
        <v>0</v>
      </c>
      <c r="AP64" s="131">
        <f>G64*(1-0.596432432)</f>
        <v>0</v>
      </c>
      <c r="AQ64" s="132" t="s">
        <v>56</v>
      </c>
      <c r="AV64" s="131">
        <f t="shared" ref="AV64:AV72" si="82">AW64+AX64</f>
        <v>0</v>
      </c>
      <c r="AW64" s="131">
        <f t="shared" ref="AW64:AW72" si="83">F64*AO64</f>
        <v>0</v>
      </c>
      <c r="AX64" s="131">
        <f t="shared" ref="AX64:AX72" si="84">F64*AP64</f>
        <v>0</v>
      </c>
      <c r="AY64" s="132" t="s">
        <v>274</v>
      </c>
      <c r="AZ64" s="132" t="s">
        <v>275</v>
      </c>
      <c r="BA64" s="115" t="s">
        <v>63</v>
      </c>
      <c r="BC64" s="131">
        <f t="shared" ref="BC64:BC72" si="85">AW64+AX64</f>
        <v>0</v>
      </c>
      <c r="BD64" s="131">
        <f t="shared" ref="BD64:BD72" si="86">G64/(100-BE64)*100</f>
        <v>0</v>
      </c>
      <c r="BE64" s="131">
        <v>0</v>
      </c>
      <c r="BF64" s="131">
        <f>64</f>
        <v>64</v>
      </c>
      <c r="BH64" s="131">
        <f t="shared" ref="BH64:BH72" si="87">F64*AO64</f>
        <v>0</v>
      </c>
      <c r="BI64" s="131">
        <f t="shared" ref="BI64:BI72" si="88">F64*AP64</f>
        <v>0</v>
      </c>
      <c r="BJ64" s="131">
        <f t="shared" ref="BJ64:BJ72" si="89">F64*G64</f>
        <v>0</v>
      </c>
      <c r="BK64" s="131"/>
      <c r="BL64" s="131">
        <v>91</v>
      </c>
      <c r="BW64" s="131">
        <v>21</v>
      </c>
      <c r="BX64" s="133" t="s">
        <v>273</v>
      </c>
    </row>
    <row r="65" spans="1:76" x14ac:dyDescent="0.25">
      <c r="A65" s="127" t="s">
        <v>201</v>
      </c>
      <c r="B65" s="128" t="s">
        <v>272</v>
      </c>
      <c r="C65" s="277" t="s">
        <v>276</v>
      </c>
      <c r="D65" s="278"/>
      <c r="E65" s="128" t="s">
        <v>67</v>
      </c>
      <c r="F65" s="129">
        <v>231</v>
      </c>
      <c r="G65" s="178">
        <v>0</v>
      </c>
      <c r="H65" s="129">
        <f t="shared" si="68"/>
        <v>0</v>
      </c>
      <c r="I65" s="129">
        <f t="shared" si="69"/>
        <v>0</v>
      </c>
      <c r="J65" s="129">
        <f t="shared" si="70"/>
        <v>0</v>
      </c>
      <c r="K65" s="130" t="s">
        <v>60</v>
      </c>
      <c r="Z65" s="131">
        <f t="shared" si="71"/>
        <v>0</v>
      </c>
      <c r="AB65" s="131">
        <f t="shared" si="72"/>
        <v>0</v>
      </c>
      <c r="AC65" s="131">
        <f t="shared" si="73"/>
        <v>0</v>
      </c>
      <c r="AD65" s="131">
        <f t="shared" si="74"/>
        <v>0</v>
      </c>
      <c r="AE65" s="131">
        <f t="shared" si="75"/>
        <v>0</v>
      </c>
      <c r="AF65" s="131">
        <f t="shared" si="76"/>
        <v>0</v>
      </c>
      <c r="AG65" s="131">
        <f t="shared" si="77"/>
        <v>0</v>
      </c>
      <c r="AH65" s="131">
        <f t="shared" si="78"/>
        <v>0</v>
      </c>
      <c r="AI65" s="115" t="s">
        <v>53</v>
      </c>
      <c r="AJ65" s="131">
        <f t="shared" si="79"/>
        <v>0</v>
      </c>
      <c r="AK65" s="131">
        <f t="shared" si="80"/>
        <v>0</v>
      </c>
      <c r="AL65" s="131">
        <f t="shared" si="81"/>
        <v>0</v>
      </c>
      <c r="AN65" s="131">
        <v>21</v>
      </c>
      <c r="AO65" s="131">
        <f>G65*0.596432432</f>
        <v>0</v>
      </c>
      <c r="AP65" s="131">
        <f>G65*(1-0.596432432)</f>
        <v>0</v>
      </c>
      <c r="AQ65" s="132" t="s">
        <v>56</v>
      </c>
      <c r="AV65" s="131">
        <f t="shared" si="82"/>
        <v>0</v>
      </c>
      <c r="AW65" s="131">
        <f t="shared" si="83"/>
        <v>0</v>
      </c>
      <c r="AX65" s="131">
        <f t="shared" si="84"/>
        <v>0</v>
      </c>
      <c r="AY65" s="132" t="s">
        <v>274</v>
      </c>
      <c r="AZ65" s="132" t="s">
        <v>275</v>
      </c>
      <c r="BA65" s="115" t="s">
        <v>63</v>
      </c>
      <c r="BC65" s="131">
        <f t="shared" si="85"/>
        <v>0</v>
      </c>
      <c r="BD65" s="131">
        <f t="shared" si="86"/>
        <v>0</v>
      </c>
      <c r="BE65" s="131">
        <v>0</v>
      </c>
      <c r="BF65" s="131">
        <f>65</f>
        <v>65</v>
      </c>
      <c r="BH65" s="131">
        <f t="shared" si="87"/>
        <v>0</v>
      </c>
      <c r="BI65" s="131">
        <f t="shared" si="88"/>
        <v>0</v>
      </c>
      <c r="BJ65" s="131">
        <f t="shared" si="89"/>
        <v>0</v>
      </c>
      <c r="BK65" s="131"/>
      <c r="BL65" s="131">
        <v>91</v>
      </c>
      <c r="BW65" s="131">
        <v>21</v>
      </c>
      <c r="BX65" s="133" t="s">
        <v>276</v>
      </c>
    </row>
    <row r="66" spans="1:76" x14ac:dyDescent="0.25">
      <c r="A66" s="127" t="s">
        <v>203</v>
      </c>
      <c r="B66" s="128" t="s">
        <v>278</v>
      </c>
      <c r="C66" s="277" t="s">
        <v>279</v>
      </c>
      <c r="D66" s="278"/>
      <c r="E66" s="128" t="s">
        <v>79</v>
      </c>
      <c r="F66" s="129">
        <v>11.59</v>
      </c>
      <c r="G66" s="178">
        <v>0</v>
      </c>
      <c r="H66" s="129">
        <f t="shared" si="68"/>
        <v>0</v>
      </c>
      <c r="I66" s="129">
        <f t="shared" si="69"/>
        <v>0</v>
      </c>
      <c r="J66" s="129">
        <f t="shared" si="70"/>
        <v>0</v>
      </c>
      <c r="K66" s="130" t="s">
        <v>60</v>
      </c>
      <c r="Z66" s="131">
        <f t="shared" si="71"/>
        <v>0</v>
      </c>
      <c r="AB66" s="131">
        <f t="shared" si="72"/>
        <v>0</v>
      </c>
      <c r="AC66" s="131">
        <f t="shared" si="73"/>
        <v>0</v>
      </c>
      <c r="AD66" s="131">
        <f t="shared" si="74"/>
        <v>0</v>
      </c>
      <c r="AE66" s="131">
        <f t="shared" si="75"/>
        <v>0</v>
      </c>
      <c r="AF66" s="131">
        <f t="shared" si="76"/>
        <v>0</v>
      </c>
      <c r="AG66" s="131">
        <f t="shared" si="77"/>
        <v>0</v>
      </c>
      <c r="AH66" s="131">
        <f t="shared" si="78"/>
        <v>0</v>
      </c>
      <c r="AI66" s="115" t="s">
        <v>53</v>
      </c>
      <c r="AJ66" s="131">
        <f t="shared" si="79"/>
        <v>0</v>
      </c>
      <c r="AK66" s="131">
        <f t="shared" si="80"/>
        <v>0</v>
      </c>
      <c r="AL66" s="131">
        <f t="shared" si="81"/>
        <v>0</v>
      </c>
      <c r="AN66" s="131">
        <v>21</v>
      </c>
      <c r="AO66" s="131">
        <f>G66*0.80300271</f>
        <v>0</v>
      </c>
      <c r="AP66" s="131">
        <f>G66*(1-0.80300271)</f>
        <v>0</v>
      </c>
      <c r="AQ66" s="132" t="s">
        <v>56</v>
      </c>
      <c r="AV66" s="131">
        <f t="shared" si="82"/>
        <v>0</v>
      </c>
      <c r="AW66" s="131">
        <f t="shared" si="83"/>
        <v>0</v>
      </c>
      <c r="AX66" s="131">
        <f t="shared" si="84"/>
        <v>0</v>
      </c>
      <c r="AY66" s="132" t="s">
        <v>274</v>
      </c>
      <c r="AZ66" s="132" t="s">
        <v>275</v>
      </c>
      <c r="BA66" s="115" t="s">
        <v>63</v>
      </c>
      <c r="BC66" s="131">
        <f t="shared" si="85"/>
        <v>0</v>
      </c>
      <c r="BD66" s="131">
        <f t="shared" si="86"/>
        <v>0</v>
      </c>
      <c r="BE66" s="131">
        <v>0</v>
      </c>
      <c r="BF66" s="131">
        <f>66</f>
        <v>66</v>
      </c>
      <c r="BH66" s="131">
        <f t="shared" si="87"/>
        <v>0</v>
      </c>
      <c r="BI66" s="131">
        <f t="shared" si="88"/>
        <v>0</v>
      </c>
      <c r="BJ66" s="131">
        <f t="shared" si="89"/>
        <v>0</v>
      </c>
      <c r="BK66" s="131"/>
      <c r="BL66" s="131">
        <v>91</v>
      </c>
      <c r="BW66" s="131">
        <v>21</v>
      </c>
      <c r="BX66" s="133" t="s">
        <v>279</v>
      </c>
    </row>
    <row r="67" spans="1:76" x14ac:dyDescent="0.25">
      <c r="A67" s="127" t="s">
        <v>208</v>
      </c>
      <c r="B67" s="128" t="s">
        <v>281</v>
      </c>
      <c r="C67" s="277" t="s">
        <v>554</v>
      </c>
      <c r="D67" s="278"/>
      <c r="E67" s="128" t="s">
        <v>164</v>
      </c>
      <c r="F67" s="129">
        <v>12</v>
      </c>
      <c r="G67" s="178">
        <v>0</v>
      </c>
      <c r="H67" s="129">
        <f t="shared" si="68"/>
        <v>0</v>
      </c>
      <c r="I67" s="129">
        <f t="shared" si="69"/>
        <v>0</v>
      </c>
      <c r="J67" s="129">
        <f t="shared" si="70"/>
        <v>0</v>
      </c>
      <c r="K67" s="130" t="s">
        <v>60</v>
      </c>
      <c r="Z67" s="131">
        <f t="shared" si="71"/>
        <v>0</v>
      </c>
      <c r="AB67" s="131">
        <f t="shared" si="72"/>
        <v>0</v>
      </c>
      <c r="AC67" s="131">
        <f t="shared" si="73"/>
        <v>0</v>
      </c>
      <c r="AD67" s="131">
        <f t="shared" si="74"/>
        <v>0</v>
      </c>
      <c r="AE67" s="131">
        <f t="shared" si="75"/>
        <v>0</v>
      </c>
      <c r="AF67" s="131">
        <f t="shared" si="76"/>
        <v>0</v>
      </c>
      <c r="AG67" s="131">
        <f t="shared" si="77"/>
        <v>0</v>
      </c>
      <c r="AH67" s="131">
        <f t="shared" si="78"/>
        <v>0</v>
      </c>
      <c r="AI67" s="115" t="s">
        <v>53</v>
      </c>
      <c r="AJ67" s="131">
        <f t="shared" si="79"/>
        <v>0</v>
      </c>
      <c r="AK67" s="131">
        <f t="shared" si="80"/>
        <v>0</v>
      </c>
      <c r="AL67" s="131">
        <f t="shared" si="81"/>
        <v>0</v>
      </c>
      <c r="AN67" s="131">
        <v>21</v>
      </c>
      <c r="AO67" s="131">
        <f>G67*0.514310954</f>
        <v>0</v>
      </c>
      <c r="AP67" s="131">
        <f>G67*(1-0.514310954)</f>
        <v>0</v>
      </c>
      <c r="AQ67" s="132" t="s">
        <v>56</v>
      </c>
      <c r="AV67" s="131">
        <f t="shared" si="82"/>
        <v>0</v>
      </c>
      <c r="AW67" s="131">
        <f t="shared" si="83"/>
        <v>0</v>
      </c>
      <c r="AX67" s="131">
        <f t="shared" si="84"/>
        <v>0</v>
      </c>
      <c r="AY67" s="132" t="s">
        <v>274</v>
      </c>
      <c r="AZ67" s="132" t="s">
        <v>275</v>
      </c>
      <c r="BA67" s="115" t="s">
        <v>63</v>
      </c>
      <c r="BC67" s="131">
        <f t="shared" si="85"/>
        <v>0</v>
      </c>
      <c r="BD67" s="131">
        <f t="shared" si="86"/>
        <v>0</v>
      </c>
      <c r="BE67" s="131">
        <v>0</v>
      </c>
      <c r="BF67" s="131">
        <f>67</f>
        <v>67</v>
      </c>
      <c r="BH67" s="131">
        <f t="shared" si="87"/>
        <v>0</v>
      </c>
      <c r="BI67" s="131">
        <f t="shared" si="88"/>
        <v>0</v>
      </c>
      <c r="BJ67" s="131">
        <f t="shared" si="89"/>
        <v>0</v>
      </c>
      <c r="BK67" s="131"/>
      <c r="BL67" s="131">
        <v>91</v>
      </c>
      <c r="BW67" s="131">
        <v>21</v>
      </c>
      <c r="BX67" s="133" t="s">
        <v>554</v>
      </c>
    </row>
    <row r="68" spans="1:76" x14ac:dyDescent="0.25">
      <c r="A68" s="127" t="s">
        <v>212</v>
      </c>
      <c r="B68" s="128" t="s">
        <v>284</v>
      </c>
      <c r="C68" s="277" t="s">
        <v>285</v>
      </c>
      <c r="D68" s="278"/>
      <c r="E68" s="128" t="s">
        <v>67</v>
      </c>
      <c r="F68" s="129">
        <v>165</v>
      </c>
      <c r="G68" s="178">
        <v>0</v>
      </c>
      <c r="H68" s="129">
        <f t="shared" si="68"/>
        <v>0</v>
      </c>
      <c r="I68" s="129">
        <f t="shared" si="69"/>
        <v>0</v>
      </c>
      <c r="J68" s="129">
        <f t="shared" si="70"/>
        <v>0</v>
      </c>
      <c r="K68" s="130" t="s">
        <v>60</v>
      </c>
      <c r="Z68" s="131">
        <f t="shared" si="71"/>
        <v>0</v>
      </c>
      <c r="AB68" s="131">
        <f t="shared" si="72"/>
        <v>0</v>
      </c>
      <c r="AC68" s="131">
        <f t="shared" si="73"/>
        <v>0</v>
      </c>
      <c r="AD68" s="131">
        <f t="shared" si="74"/>
        <v>0</v>
      </c>
      <c r="AE68" s="131">
        <f t="shared" si="75"/>
        <v>0</v>
      </c>
      <c r="AF68" s="131">
        <f t="shared" si="76"/>
        <v>0</v>
      </c>
      <c r="AG68" s="131">
        <f t="shared" si="77"/>
        <v>0</v>
      </c>
      <c r="AH68" s="131">
        <f t="shared" si="78"/>
        <v>0</v>
      </c>
      <c r="AI68" s="115" t="s">
        <v>53</v>
      </c>
      <c r="AJ68" s="131">
        <f t="shared" si="79"/>
        <v>0</v>
      </c>
      <c r="AK68" s="131">
        <f t="shared" si="80"/>
        <v>0</v>
      </c>
      <c r="AL68" s="131">
        <f t="shared" si="81"/>
        <v>0</v>
      </c>
      <c r="AN68" s="131">
        <v>21</v>
      </c>
      <c r="AO68" s="131">
        <f>G68*0.092537313</f>
        <v>0</v>
      </c>
      <c r="AP68" s="131">
        <f>G68*(1-0.092537313)</f>
        <v>0</v>
      </c>
      <c r="AQ68" s="132" t="s">
        <v>56</v>
      </c>
      <c r="AV68" s="131">
        <f t="shared" si="82"/>
        <v>0</v>
      </c>
      <c r="AW68" s="131">
        <f t="shared" si="83"/>
        <v>0</v>
      </c>
      <c r="AX68" s="131">
        <f t="shared" si="84"/>
        <v>0</v>
      </c>
      <c r="AY68" s="132" t="s">
        <v>274</v>
      </c>
      <c r="AZ68" s="132" t="s">
        <v>275</v>
      </c>
      <c r="BA68" s="115" t="s">
        <v>63</v>
      </c>
      <c r="BC68" s="131">
        <f t="shared" si="85"/>
        <v>0</v>
      </c>
      <c r="BD68" s="131">
        <f t="shared" si="86"/>
        <v>0</v>
      </c>
      <c r="BE68" s="131">
        <v>0</v>
      </c>
      <c r="BF68" s="131">
        <f>68</f>
        <v>68</v>
      </c>
      <c r="BH68" s="131">
        <f t="shared" si="87"/>
        <v>0</v>
      </c>
      <c r="BI68" s="131">
        <f t="shared" si="88"/>
        <v>0</v>
      </c>
      <c r="BJ68" s="131">
        <f t="shared" si="89"/>
        <v>0</v>
      </c>
      <c r="BK68" s="131"/>
      <c r="BL68" s="131">
        <v>91</v>
      </c>
      <c r="BW68" s="131">
        <v>21</v>
      </c>
      <c r="BX68" s="133" t="s">
        <v>285</v>
      </c>
    </row>
    <row r="69" spans="1:76" x14ac:dyDescent="0.25">
      <c r="A69" s="127" t="s">
        <v>167</v>
      </c>
      <c r="B69" s="128" t="s">
        <v>284</v>
      </c>
      <c r="C69" s="277" t="s">
        <v>286</v>
      </c>
      <c r="D69" s="278"/>
      <c r="E69" s="128" t="s">
        <v>67</v>
      </c>
      <c r="F69" s="129">
        <v>30</v>
      </c>
      <c r="G69" s="178">
        <v>0</v>
      </c>
      <c r="H69" s="129">
        <f t="shared" si="68"/>
        <v>0</v>
      </c>
      <c r="I69" s="129">
        <f t="shared" si="69"/>
        <v>0</v>
      </c>
      <c r="J69" s="129">
        <f t="shared" si="70"/>
        <v>0</v>
      </c>
      <c r="K69" s="130" t="s">
        <v>60</v>
      </c>
      <c r="Z69" s="131">
        <f t="shared" si="71"/>
        <v>0</v>
      </c>
      <c r="AB69" s="131">
        <f t="shared" si="72"/>
        <v>0</v>
      </c>
      <c r="AC69" s="131">
        <f t="shared" si="73"/>
        <v>0</v>
      </c>
      <c r="AD69" s="131">
        <f t="shared" si="74"/>
        <v>0</v>
      </c>
      <c r="AE69" s="131">
        <f t="shared" si="75"/>
        <v>0</v>
      </c>
      <c r="AF69" s="131">
        <f t="shared" si="76"/>
        <v>0</v>
      </c>
      <c r="AG69" s="131">
        <f t="shared" si="77"/>
        <v>0</v>
      </c>
      <c r="AH69" s="131">
        <f t="shared" si="78"/>
        <v>0</v>
      </c>
      <c r="AI69" s="115" t="s">
        <v>53</v>
      </c>
      <c r="AJ69" s="131">
        <f t="shared" si="79"/>
        <v>0</v>
      </c>
      <c r="AK69" s="131">
        <f t="shared" si="80"/>
        <v>0</v>
      </c>
      <c r="AL69" s="131">
        <f t="shared" si="81"/>
        <v>0</v>
      </c>
      <c r="AN69" s="131">
        <v>21</v>
      </c>
      <c r="AO69" s="131">
        <f>G69*0.092537313</f>
        <v>0</v>
      </c>
      <c r="AP69" s="131">
        <f>G69*(1-0.092537313)</f>
        <v>0</v>
      </c>
      <c r="AQ69" s="132" t="s">
        <v>56</v>
      </c>
      <c r="AV69" s="131">
        <f t="shared" si="82"/>
        <v>0</v>
      </c>
      <c r="AW69" s="131">
        <f t="shared" si="83"/>
        <v>0</v>
      </c>
      <c r="AX69" s="131">
        <f t="shared" si="84"/>
        <v>0</v>
      </c>
      <c r="AY69" s="132" t="s">
        <v>274</v>
      </c>
      <c r="AZ69" s="132" t="s">
        <v>275</v>
      </c>
      <c r="BA69" s="115" t="s">
        <v>63</v>
      </c>
      <c r="BC69" s="131">
        <f t="shared" si="85"/>
        <v>0</v>
      </c>
      <c r="BD69" s="131">
        <f t="shared" si="86"/>
        <v>0</v>
      </c>
      <c r="BE69" s="131">
        <v>0</v>
      </c>
      <c r="BF69" s="131">
        <f>69</f>
        <v>69</v>
      </c>
      <c r="BH69" s="131">
        <f t="shared" si="87"/>
        <v>0</v>
      </c>
      <c r="BI69" s="131">
        <f t="shared" si="88"/>
        <v>0</v>
      </c>
      <c r="BJ69" s="131">
        <f t="shared" si="89"/>
        <v>0</v>
      </c>
      <c r="BK69" s="131"/>
      <c r="BL69" s="131">
        <v>91</v>
      </c>
      <c r="BW69" s="131">
        <v>21</v>
      </c>
      <c r="BX69" s="133" t="s">
        <v>286</v>
      </c>
    </row>
    <row r="70" spans="1:76" x14ac:dyDescent="0.25">
      <c r="A70" s="127" t="s">
        <v>220</v>
      </c>
      <c r="B70" s="128" t="s">
        <v>288</v>
      </c>
      <c r="C70" s="277" t="s">
        <v>289</v>
      </c>
      <c r="D70" s="278"/>
      <c r="E70" s="128" t="s">
        <v>59</v>
      </c>
      <c r="F70" s="129">
        <v>12.5</v>
      </c>
      <c r="G70" s="178">
        <v>0</v>
      </c>
      <c r="H70" s="129">
        <f t="shared" si="68"/>
        <v>0</v>
      </c>
      <c r="I70" s="129">
        <f t="shared" si="69"/>
        <v>0</v>
      </c>
      <c r="J70" s="129">
        <f t="shared" si="70"/>
        <v>0</v>
      </c>
      <c r="K70" s="130" t="s">
        <v>60</v>
      </c>
      <c r="Z70" s="131">
        <f t="shared" si="71"/>
        <v>0</v>
      </c>
      <c r="AB70" s="131">
        <f t="shared" si="72"/>
        <v>0</v>
      </c>
      <c r="AC70" s="131">
        <f t="shared" si="73"/>
        <v>0</v>
      </c>
      <c r="AD70" s="131">
        <f t="shared" si="74"/>
        <v>0</v>
      </c>
      <c r="AE70" s="131">
        <f t="shared" si="75"/>
        <v>0</v>
      </c>
      <c r="AF70" s="131">
        <f t="shared" si="76"/>
        <v>0</v>
      </c>
      <c r="AG70" s="131">
        <f t="shared" si="77"/>
        <v>0</v>
      </c>
      <c r="AH70" s="131">
        <f t="shared" si="78"/>
        <v>0</v>
      </c>
      <c r="AI70" s="115" t="s">
        <v>53</v>
      </c>
      <c r="AJ70" s="131">
        <f t="shared" si="79"/>
        <v>0</v>
      </c>
      <c r="AK70" s="131">
        <f t="shared" si="80"/>
        <v>0</v>
      </c>
      <c r="AL70" s="131">
        <f t="shared" si="81"/>
        <v>0</v>
      </c>
      <c r="AN70" s="131">
        <v>21</v>
      </c>
      <c r="AO70" s="131">
        <f>G70*0.005046491</f>
        <v>0</v>
      </c>
      <c r="AP70" s="131">
        <f>G70*(1-0.005046491)</f>
        <v>0</v>
      </c>
      <c r="AQ70" s="132" t="s">
        <v>56</v>
      </c>
      <c r="AV70" s="131">
        <f t="shared" si="82"/>
        <v>0</v>
      </c>
      <c r="AW70" s="131">
        <f t="shared" si="83"/>
        <v>0</v>
      </c>
      <c r="AX70" s="131">
        <f t="shared" si="84"/>
        <v>0</v>
      </c>
      <c r="AY70" s="132" t="s">
        <v>274</v>
      </c>
      <c r="AZ70" s="132" t="s">
        <v>275</v>
      </c>
      <c r="BA70" s="115" t="s">
        <v>63</v>
      </c>
      <c r="BC70" s="131">
        <f t="shared" si="85"/>
        <v>0</v>
      </c>
      <c r="BD70" s="131">
        <f t="shared" si="86"/>
        <v>0</v>
      </c>
      <c r="BE70" s="131">
        <v>0</v>
      </c>
      <c r="BF70" s="131">
        <f>70</f>
        <v>70</v>
      </c>
      <c r="BH70" s="131">
        <f t="shared" si="87"/>
        <v>0</v>
      </c>
      <c r="BI70" s="131">
        <f t="shared" si="88"/>
        <v>0</v>
      </c>
      <c r="BJ70" s="131">
        <f t="shared" si="89"/>
        <v>0</v>
      </c>
      <c r="BK70" s="131"/>
      <c r="BL70" s="131">
        <v>91</v>
      </c>
      <c r="BW70" s="131">
        <v>21</v>
      </c>
      <c r="BX70" s="133" t="s">
        <v>289</v>
      </c>
    </row>
    <row r="71" spans="1:76" x14ac:dyDescent="0.25">
      <c r="A71" s="134" t="s">
        <v>223</v>
      </c>
      <c r="B71" s="135" t="s">
        <v>291</v>
      </c>
      <c r="C71" s="270" t="s">
        <v>292</v>
      </c>
      <c r="D71" s="271"/>
      <c r="E71" s="135" t="s">
        <v>67</v>
      </c>
      <c r="F71" s="131">
        <v>30</v>
      </c>
      <c r="G71" s="179">
        <v>0</v>
      </c>
      <c r="H71" s="131">
        <f t="shared" si="68"/>
        <v>0</v>
      </c>
      <c r="I71" s="131">
        <f t="shared" si="69"/>
        <v>0</v>
      </c>
      <c r="J71" s="131">
        <f t="shared" si="70"/>
        <v>0</v>
      </c>
      <c r="K71" s="136" t="s">
        <v>60</v>
      </c>
      <c r="Z71" s="131">
        <f t="shared" si="71"/>
        <v>0</v>
      </c>
      <c r="AB71" s="131">
        <f t="shared" si="72"/>
        <v>0</v>
      </c>
      <c r="AC71" s="131">
        <f t="shared" si="73"/>
        <v>0</v>
      </c>
      <c r="AD71" s="131">
        <f t="shared" si="74"/>
        <v>0</v>
      </c>
      <c r="AE71" s="131">
        <f t="shared" si="75"/>
        <v>0</v>
      </c>
      <c r="AF71" s="131">
        <f t="shared" si="76"/>
        <v>0</v>
      </c>
      <c r="AG71" s="131">
        <f t="shared" si="77"/>
        <v>0</v>
      </c>
      <c r="AH71" s="131">
        <f t="shared" si="78"/>
        <v>0</v>
      </c>
      <c r="AI71" s="115" t="s">
        <v>53</v>
      </c>
      <c r="AJ71" s="131">
        <f t="shared" si="79"/>
        <v>0</v>
      </c>
      <c r="AK71" s="131">
        <f t="shared" si="80"/>
        <v>0</v>
      </c>
      <c r="AL71" s="131">
        <f t="shared" si="81"/>
        <v>0</v>
      </c>
      <c r="AN71" s="131">
        <v>21</v>
      </c>
      <c r="AO71" s="131">
        <f>G71*0.623611111</f>
        <v>0</v>
      </c>
      <c r="AP71" s="131">
        <f>G71*(1-0.623611111)</f>
        <v>0</v>
      </c>
      <c r="AQ71" s="132" t="s">
        <v>56</v>
      </c>
      <c r="AV71" s="131">
        <f t="shared" si="82"/>
        <v>0</v>
      </c>
      <c r="AW71" s="131">
        <f t="shared" si="83"/>
        <v>0</v>
      </c>
      <c r="AX71" s="131">
        <f t="shared" si="84"/>
        <v>0</v>
      </c>
      <c r="AY71" s="132" t="s">
        <v>274</v>
      </c>
      <c r="AZ71" s="132" t="s">
        <v>275</v>
      </c>
      <c r="BA71" s="115" t="s">
        <v>63</v>
      </c>
      <c r="BC71" s="131">
        <f t="shared" si="85"/>
        <v>0</v>
      </c>
      <c r="BD71" s="131">
        <f t="shared" si="86"/>
        <v>0</v>
      </c>
      <c r="BE71" s="131">
        <v>0</v>
      </c>
      <c r="BF71" s="131">
        <f>71</f>
        <v>71</v>
      </c>
      <c r="BH71" s="131">
        <f t="shared" si="87"/>
        <v>0</v>
      </c>
      <c r="BI71" s="131">
        <f t="shared" si="88"/>
        <v>0</v>
      </c>
      <c r="BJ71" s="131">
        <f t="shared" si="89"/>
        <v>0</v>
      </c>
      <c r="BK71" s="131"/>
      <c r="BL71" s="131">
        <v>91</v>
      </c>
      <c r="BW71" s="131">
        <v>21</v>
      </c>
      <c r="BX71" s="133" t="s">
        <v>292</v>
      </c>
    </row>
    <row r="72" spans="1:76" x14ac:dyDescent="0.25">
      <c r="A72" s="134" t="s">
        <v>226</v>
      </c>
      <c r="B72" s="135" t="s">
        <v>297</v>
      </c>
      <c r="C72" s="270" t="s">
        <v>298</v>
      </c>
      <c r="D72" s="271"/>
      <c r="E72" s="135" t="s">
        <v>59</v>
      </c>
      <c r="F72" s="131">
        <v>12.5</v>
      </c>
      <c r="G72" s="179">
        <v>0</v>
      </c>
      <c r="H72" s="131">
        <f t="shared" si="68"/>
        <v>0</v>
      </c>
      <c r="I72" s="131">
        <f t="shared" si="69"/>
        <v>0</v>
      </c>
      <c r="J72" s="131">
        <f t="shared" si="70"/>
        <v>0</v>
      </c>
      <c r="K72" s="136" t="s">
        <v>60</v>
      </c>
      <c r="Z72" s="131">
        <f t="shared" si="71"/>
        <v>0</v>
      </c>
      <c r="AB72" s="131">
        <f t="shared" si="72"/>
        <v>0</v>
      </c>
      <c r="AC72" s="131">
        <f t="shared" si="73"/>
        <v>0</v>
      </c>
      <c r="AD72" s="131">
        <f t="shared" si="74"/>
        <v>0</v>
      </c>
      <c r="AE72" s="131">
        <f t="shared" si="75"/>
        <v>0</v>
      </c>
      <c r="AF72" s="131">
        <f t="shared" si="76"/>
        <v>0</v>
      </c>
      <c r="AG72" s="131">
        <f t="shared" si="77"/>
        <v>0</v>
      </c>
      <c r="AH72" s="131">
        <f t="shared" si="78"/>
        <v>0</v>
      </c>
      <c r="AI72" s="115" t="s">
        <v>53</v>
      </c>
      <c r="AJ72" s="131">
        <f t="shared" si="79"/>
        <v>0</v>
      </c>
      <c r="AK72" s="131">
        <f t="shared" si="80"/>
        <v>0</v>
      </c>
      <c r="AL72" s="131">
        <f t="shared" si="81"/>
        <v>0</v>
      </c>
      <c r="AN72" s="131">
        <v>21</v>
      </c>
      <c r="AO72" s="131">
        <f>G72*0.440579251</f>
        <v>0</v>
      </c>
      <c r="AP72" s="131">
        <f>G72*(1-0.440579251)</f>
        <v>0</v>
      </c>
      <c r="AQ72" s="132" t="s">
        <v>56</v>
      </c>
      <c r="AV72" s="131">
        <f t="shared" si="82"/>
        <v>0</v>
      </c>
      <c r="AW72" s="131">
        <f t="shared" si="83"/>
        <v>0</v>
      </c>
      <c r="AX72" s="131">
        <f t="shared" si="84"/>
        <v>0</v>
      </c>
      <c r="AY72" s="132" t="s">
        <v>274</v>
      </c>
      <c r="AZ72" s="132" t="s">
        <v>275</v>
      </c>
      <c r="BA72" s="115" t="s">
        <v>63</v>
      </c>
      <c r="BC72" s="131">
        <f t="shared" si="85"/>
        <v>0</v>
      </c>
      <c r="BD72" s="131">
        <f t="shared" si="86"/>
        <v>0</v>
      </c>
      <c r="BE72" s="131">
        <v>0</v>
      </c>
      <c r="BF72" s="131">
        <f>72</f>
        <v>72</v>
      </c>
      <c r="BH72" s="131">
        <f t="shared" si="87"/>
        <v>0</v>
      </c>
      <c r="BI72" s="131">
        <f t="shared" si="88"/>
        <v>0</v>
      </c>
      <c r="BJ72" s="131">
        <f t="shared" si="89"/>
        <v>0</v>
      </c>
      <c r="BK72" s="131"/>
      <c r="BL72" s="131">
        <v>91</v>
      </c>
      <c r="BW72" s="131">
        <v>21</v>
      </c>
      <c r="BX72" s="133" t="s">
        <v>298</v>
      </c>
    </row>
    <row r="73" spans="1:76" x14ac:dyDescent="0.25">
      <c r="A73" s="123" t="s">
        <v>53</v>
      </c>
      <c r="B73" s="124" t="s">
        <v>299</v>
      </c>
      <c r="C73" s="272" t="s">
        <v>300</v>
      </c>
      <c r="D73" s="273"/>
      <c r="E73" s="125" t="s">
        <v>9</v>
      </c>
      <c r="F73" s="125" t="s">
        <v>9</v>
      </c>
      <c r="G73" s="125" t="s">
        <v>9</v>
      </c>
      <c r="H73" s="110">
        <f>SUM(H74:H74)</f>
        <v>0</v>
      </c>
      <c r="I73" s="110">
        <f>SUM(I74:I74)</f>
        <v>0</v>
      </c>
      <c r="J73" s="110">
        <f>SUM(J74:J74)</f>
        <v>0</v>
      </c>
      <c r="K73" s="126" t="s">
        <v>53</v>
      </c>
      <c r="AI73" s="115" t="s">
        <v>53</v>
      </c>
      <c r="AS73" s="110">
        <f>SUM(AJ74:AJ74)</f>
        <v>0</v>
      </c>
      <c r="AT73" s="110">
        <f>SUM(AK74:AK74)</f>
        <v>0</v>
      </c>
      <c r="AU73" s="110">
        <f>SUM(AL74:AL74)</f>
        <v>0</v>
      </c>
    </row>
    <row r="74" spans="1:76" x14ac:dyDescent="0.25">
      <c r="A74" s="127" t="s">
        <v>229</v>
      </c>
      <c r="B74" s="128" t="s">
        <v>302</v>
      </c>
      <c r="C74" s="277" t="s">
        <v>303</v>
      </c>
      <c r="D74" s="278"/>
      <c r="E74" s="128" t="s">
        <v>164</v>
      </c>
      <c r="F74" s="129">
        <v>2</v>
      </c>
      <c r="G74" s="178">
        <v>0</v>
      </c>
      <c r="H74" s="129">
        <f>F74*AO74</f>
        <v>0</v>
      </c>
      <c r="I74" s="129">
        <f>F74*AP74</f>
        <v>0</v>
      </c>
      <c r="J74" s="129">
        <f>F74*G74</f>
        <v>0</v>
      </c>
      <c r="K74" s="130" t="s">
        <v>60</v>
      </c>
      <c r="Z74" s="131">
        <f>IF(AQ74="5",BJ74,0)</f>
        <v>0</v>
      </c>
      <c r="AB74" s="131">
        <f>IF(AQ74="1",BH74,0)</f>
        <v>0</v>
      </c>
      <c r="AC74" s="131">
        <f>IF(AQ74="1",BI74,0)</f>
        <v>0</v>
      </c>
      <c r="AD74" s="131">
        <f>IF(AQ74="7",BH74,0)</f>
        <v>0</v>
      </c>
      <c r="AE74" s="131">
        <f>IF(AQ74="7",BI74,0)</f>
        <v>0</v>
      </c>
      <c r="AF74" s="131">
        <f>IF(AQ74="2",BH74,0)</f>
        <v>0</v>
      </c>
      <c r="AG74" s="131">
        <f>IF(AQ74="2",BI74,0)</f>
        <v>0</v>
      </c>
      <c r="AH74" s="131">
        <f>IF(AQ74="0",BJ74,0)</f>
        <v>0</v>
      </c>
      <c r="AI74" s="115" t="s">
        <v>53</v>
      </c>
      <c r="AJ74" s="131">
        <f>IF(AN74=0,J74,0)</f>
        <v>0</v>
      </c>
      <c r="AK74" s="131">
        <f>IF(AN74=12,J74,0)</f>
        <v>0</v>
      </c>
      <c r="AL74" s="131">
        <f>IF(AN74=21,J74,0)</f>
        <v>0</v>
      </c>
      <c r="AN74" s="131">
        <v>21</v>
      </c>
      <c r="AO74" s="131">
        <f>G74*0.025273982</f>
        <v>0</v>
      </c>
      <c r="AP74" s="131">
        <f>G74*(1-0.025273982)</f>
        <v>0</v>
      </c>
      <c r="AQ74" s="132" t="s">
        <v>56</v>
      </c>
      <c r="AV74" s="131">
        <f>AW74+AX74</f>
        <v>0</v>
      </c>
      <c r="AW74" s="131">
        <f>F74*AO74</f>
        <v>0</v>
      </c>
      <c r="AX74" s="131">
        <f>F74*AP74</f>
        <v>0</v>
      </c>
      <c r="AY74" s="132" t="s">
        <v>304</v>
      </c>
      <c r="AZ74" s="132" t="s">
        <v>275</v>
      </c>
      <c r="BA74" s="115" t="s">
        <v>63</v>
      </c>
      <c r="BC74" s="131">
        <f>AW74+AX74</f>
        <v>0</v>
      </c>
      <c r="BD74" s="131">
        <f>G74/(100-BE74)*100</f>
        <v>0</v>
      </c>
      <c r="BE74" s="131">
        <v>0</v>
      </c>
      <c r="BF74" s="131">
        <f>74</f>
        <v>74</v>
      </c>
      <c r="BH74" s="131">
        <f>F74*AO74</f>
        <v>0</v>
      </c>
      <c r="BI74" s="131">
        <f>F74*AP74</f>
        <v>0</v>
      </c>
      <c r="BJ74" s="131">
        <f>F74*G74</f>
        <v>0</v>
      </c>
      <c r="BK74" s="131"/>
      <c r="BL74" s="131">
        <v>93</v>
      </c>
      <c r="BW74" s="131">
        <v>21</v>
      </c>
      <c r="BX74" s="133" t="s">
        <v>303</v>
      </c>
    </row>
    <row r="75" spans="1:76" x14ac:dyDescent="0.25">
      <c r="A75" s="123" t="s">
        <v>53</v>
      </c>
      <c r="B75" s="124" t="s">
        <v>305</v>
      </c>
      <c r="C75" s="272" t="s">
        <v>306</v>
      </c>
      <c r="D75" s="273"/>
      <c r="E75" s="125" t="s">
        <v>9</v>
      </c>
      <c r="F75" s="125" t="s">
        <v>9</v>
      </c>
      <c r="G75" s="125" t="s">
        <v>9</v>
      </c>
      <c r="H75" s="110">
        <f>SUM(H76:H77)</f>
        <v>0</v>
      </c>
      <c r="I75" s="110">
        <f>SUM(I76:I77)</f>
        <v>0</v>
      </c>
      <c r="J75" s="110">
        <f>SUM(J76:J77)</f>
        <v>0</v>
      </c>
      <c r="K75" s="126" t="s">
        <v>53</v>
      </c>
      <c r="AI75" s="115" t="s">
        <v>53</v>
      </c>
      <c r="AS75" s="110">
        <f>SUM(AJ76:AJ77)</f>
        <v>0</v>
      </c>
      <c r="AT75" s="110">
        <f>SUM(AK76:AK77)</f>
        <v>0</v>
      </c>
      <c r="AU75" s="110">
        <f>SUM(AL76:AL77)</f>
        <v>0</v>
      </c>
    </row>
    <row r="76" spans="1:76" x14ac:dyDescent="0.25">
      <c r="A76" s="127" t="s">
        <v>234</v>
      </c>
      <c r="B76" s="128" t="s">
        <v>312</v>
      </c>
      <c r="C76" s="277" t="s">
        <v>313</v>
      </c>
      <c r="D76" s="278"/>
      <c r="E76" s="128" t="s">
        <v>67</v>
      </c>
      <c r="F76" s="129">
        <v>10</v>
      </c>
      <c r="G76" s="178">
        <v>0</v>
      </c>
      <c r="H76" s="129">
        <f>F76*AO76</f>
        <v>0</v>
      </c>
      <c r="I76" s="129">
        <f>F76*AP76</f>
        <v>0</v>
      </c>
      <c r="J76" s="129">
        <f>F76*G76</f>
        <v>0</v>
      </c>
      <c r="K76" s="130" t="s">
        <v>60</v>
      </c>
      <c r="Z76" s="131">
        <f>IF(AQ76="5",BJ76,0)</f>
        <v>0</v>
      </c>
      <c r="AB76" s="131">
        <f>IF(AQ76="1",BH76,0)</f>
        <v>0</v>
      </c>
      <c r="AC76" s="131">
        <f>IF(AQ76="1",BI76,0)</f>
        <v>0</v>
      </c>
      <c r="AD76" s="131">
        <f>IF(AQ76="7",BH76,0)</f>
        <v>0</v>
      </c>
      <c r="AE76" s="131">
        <f>IF(AQ76="7",BI76,0)</f>
        <v>0</v>
      </c>
      <c r="AF76" s="131">
        <f>IF(AQ76="2",BH76,0)</f>
        <v>0</v>
      </c>
      <c r="AG76" s="131">
        <f>IF(AQ76="2",BI76,0)</f>
        <v>0</v>
      </c>
      <c r="AH76" s="131">
        <f>IF(AQ76="0",BJ76,0)</f>
        <v>0</v>
      </c>
      <c r="AI76" s="115" t="s">
        <v>53</v>
      </c>
      <c r="AJ76" s="131">
        <f>IF(AN76=0,J76,0)</f>
        <v>0</v>
      </c>
      <c r="AK76" s="131">
        <f>IF(AN76=12,J76,0)</f>
        <v>0</v>
      </c>
      <c r="AL76" s="131">
        <f>IF(AN76=21,J76,0)</f>
        <v>0</v>
      </c>
      <c r="AN76" s="131">
        <v>21</v>
      </c>
      <c r="AO76" s="131">
        <f>G76*0</f>
        <v>0</v>
      </c>
      <c r="AP76" s="131">
        <f>G76*(1-0)</f>
        <v>0</v>
      </c>
      <c r="AQ76" s="132" t="s">
        <v>56</v>
      </c>
      <c r="AV76" s="131">
        <f>AW76+AX76</f>
        <v>0</v>
      </c>
      <c r="AW76" s="131">
        <f>F76*AO76</f>
        <v>0</v>
      </c>
      <c r="AX76" s="131">
        <f>F76*AP76</f>
        <v>0</v>
      </c>
      <c r="AY76" s="132" t="s">
        <v>310</v>
      </c>
      <c r="AZ76" s="132" t="s">
        <v>275</v>
      </c>
      <c r="BA76" s="115" t="s">
        <v>63</v>
      </c>
      <c r="BC76" s="131">
        <f>AW76+AX76</f>
        <v>0</v>
      </c>
      <c r="BD76" s="131">
        <f>G76/(100-BE76)*100</f>
        <v>0</v>
      </c>
      <c r="BE76" s="131">
        <v>0</v>
      </c>
      <c r="BF76" s="131">
        <f>76</f>
        <v>76</v>
      </c>
      <c r="BH76" s="131">
        <f>F76*AO76</f>
        <v>0</v>
      </c>
      <c r="BI76" s="131">
        <f>F76*AP76</f>
        <v>0</v>
      </c>
      <c r="BJ76" s="131">
        <f>F76*G76</f>
        <v>0</v>
      </c>
      <c r="BK76" s="131"/>
      <c r="BL76" s="131">
        <v>96</v>
      </c>
      <c r="BW76" s="131">
        <v>21</v>
      </c>
      <c r="BX76" s="133" t="s">
        <v>313</v>
      </c>
    </row>
    <row r="77" spans="1:76" x14ac:dyDescent="0.25">
      <c r="A77" s="127" t="s">
        <v>239</v>
      </c>
      <c r="B77" s="128" t="s">
        <v>318</v>
      </c>
      <c r="C77" s="277" t="s">
        <v>319</v>
      </c>
      <c r="D77" s="278"/>
      <c r="E77" s="128" t="s">
        <v>164</v>
      </c>
      <c r="F77" s="129">
        <v>3</v>
      </c>
      <c r="G77" s="178">
        <v>0</v>
      </c>
      <c r="H77" s="129">
        <f>F77*AO77</f>
        <v>0</v>
      </c>
      <c r="I77" s="129">
        <f>F77*AP77</f>
        <v>0</v>
      </c>
      <c r="J77" s="129">
        <f>F77*G77</f>
        <v>0</v>
      </c>
      <c r="K77" s="130" t="s">
        <v>60</v>
      </c>
      <c r="Z77" s="131">
        <f>IF(AQ77="5",BJ77,0)</f>
        <v>0</v>
      </c>
      <c r="AB77" s="131">
        <f>IF(AQ77="1",BH77,0)</f>
        <v>0</v>
      </c>
      <c r="AC77" s="131">
        <f>IF(AQ77="1",BI77,0)</f>
        <v>0</v>
      </c>
      <c r="AD77" s="131">
        <f>IF(AQ77="7",BH77,0)</f>
        <v>0</v>
      </c>
      <c r="AE77" s="131">
        <f>IF(AQ77="7",BI77,0)</f>
        <v>0</v>
      </c>
      <c r="AF77" s="131">
        <f>IF(AQ77="2",BH77,0)</f>
        <v>0</v>
      </c>
      <c r="AG77" s="131">
        <f>IF(AQ77="2",BI77,0)</f>
        <v>0</v>
      </c>
      <c r="AH77" s="131">
        <f>IF(AQ77="0",BJ77,0)</f>
        <v>0</v>
      </c>
      <c r="AI77" s="115" t="s">
        <v>53</v>
      </c>
      <c r="AJ77" s="131">
        <f>IF(AN77=0,J77,0)</f>
        <v>0</v>
      </c>
      <c r="AK77" s="131">
        <f>IF(AN77=12,J77,0)</f>
        <v>0</v>
      </c>
      <c r="AL77" s="131">
        <f>IF(AN77=21,J77,0)</f>
        <v>0</v>
      </c>
      <c r="AN77" s="131">
        <v>21</v>
      </c>
      <c r="AO77" s="131">
        <f>G77*0</f>
        <v>0</v>
      </c>
      <c r="AP77" s="131">
        <f>G77*(1-0)</f>
        <v>0</v>
      </c>
      <c r="AQ77" s="132" t="s">
        <v>56</v>
      </c>
      <c r="AV77" s="131">
        <f>AW77+AX77</f>
        <v>0</v>
      </c>
      <c r="AW77" s="131">
        <f>F77*AO77</f>
        <v>0</v>
      </c>
      <c r="AX77" s="131">
        <f>F77*AP77</f>
        <v>0</v>
      </c>
      <c r="AY77" s="132" t="s">
        <v>310</v>
      </c>
      <c r="AZ77" s="132" t="s">
        <v>275</v>
      </c>
      <c r="BA77" s="115" t="s">
        <v>63</v>
      </c>
      <c r="BC77" s="131">
        <f>AW77+AX77</f>
        <v>0</v>
      </c>
      <c r="BD77" s="131">
        <f>G77/(100-BE77)*100</f>
        <v>0</v>
      </c>
      <c r="BE77" s="131">
        <v>0</v>
      </c>
      <c r="BF77" s="131">
        <f>77</f>
        <v>77</v>
      </c>
      <c r="BH77" s="131">
        <f>F77*AO77</f>
        <v>0</v>
      </c>
      <c r="BI77" s="131">
        <f>F77*AP77</f>
        <v>0</v>
      </c>
      <c r="BJ77" s="131">
        <f>F77*G77</f>
        <v>0</v>
      </c>
      <c r="BK77" s="131"/>
      <c r="BL77" s="131">
        <v>96</v>
      </c>
      <c r="BW77" s="131">
        <v>21</v>
      </c>
      <c r="BX77" s="133" t="s">
        <v>319</v>
      </c>
    </row>
    <row r="78" spans="1:76" x14ac:dyDescent="0.25">
      <c r="A78" s="123" t="s">
        <v>53</v>
      </c>
      <c r="B78" s="124" t="s">
        <v>320</v>
      </c>
      <c r="C78" s="272" t="s">
        <v>321</v>
      </c>
      <c r="D78" s="273"/>
      <c r="E78" s="125" t="s">
        <v>9</v>
      </c>
      <c r="F78" s="125" t="s">
        <v>9</v>
      </c>
      <c r="G78" s="125" t="s">
        <v>9</v>
      </c>
      <c r="H78" s="110">
        <f>SUM(H79:H79)</f>
        <v>0</v>
      </c>
      <c r="I78" s="110">
        <f>SUM(I79:I79)</f>
        <v>0</v>
      </c>
      <c r="J78" s="110">
        <f>SUM(J79:J79)</f>
        <v>0</v>
      </c>
      <c r="K78" s="126" t="s">
        <v>53</v>
      </c>
      <c r="AI78" s="115" t="s">
        <v>53</v>
      </c>
      <c r="AS78" s="110">
        <f>SUM(AJ79:AJ79)</f>
        <v>0</v>
      </c>
      <c r="AT78" s="110">
        <f>SUM(AK79:AK79)</f>
        <v>0</v>
      </c>
      <c r="AU78" s="110">
        <f>SUM(AL79:AL79)</f>
        <v>0</v>
      </c>
    </row>
    <row r="79" spans="1:76" x14ac:dyDescent="0.25">
      <c r="A79" s="127" t="s">
        <v>244</v>
      </c>
      <c r="B79" s="128" t="s">
        <v>323</v>
      </c>
      <c r="C79" s="277" t="s">
        <v>324</v>
      </c>
      <c r="D79" s="278"/>
      <c r="E79" s="128" t="s">
        <v>122</v>
      </c>
      <c r="F79" s="129">
        <v>343.9</v>
      </c>
      <c r="G79" s="178">
        <v>0</v>
      </c>
      <c r="H79" s="129">
        <f>F79*AO79</f>
        <v>0</v>
      </c>
      <c r="I79" s="129">
        <f>F79*AP79</f>
        <v>0</v>
      </c>
      <c r="J79" s="129">
        <f>F79*G79</f>
        <v>0</v>
      </c>
      <c r="K79" s="130" t="s">
        <v>60</v>
      </c>
      <c r="Z79" s="131">
        <f>IF(AQ79="5",BJ79,0)</f>
        <v>0</v>
      </c>
      <c r="AB79" s="131">
        <f>IF(AQ79="1",BH79,0)</f>
        <v>0</v>
      </c>
      <c r="AC79" s="131">
        <f>IF(AQ79="1",BI79,0)</f>
        <v>0</v>
      </c>
      <c r="AD79" s="131">
        <f>IF(AQ79="7",BH79,0)</f>
        <v>0</v>
      </c>
      <c r="AE79" s="131">
        <f>IF(AQ79="7",BI79,0)</f>
        <v>0</v>
      </c>
      <c r="AF79" s="131">
        <f>IF(AQ79="2",BH79,0)</f>
        <v>0</v>
      </c>
      <c r="AG79" s="131">
        <f>IF(AQ79="2",BI79,0)</f>
        <v>0</v>
      </c>
      <c r="AH79" s="131">
        <f>IF(AQ79="0",BJ79,0)</f>
        <v>0</v>
      </c>
      <c r="AI79" s="115" t="s">
        <v>53</v>
      </c>
      <c r="AJ79" s="131">
        <f>IF(AN79=0,J79,0)</f>
        <v>0</v>
      </c>
      <c r="AK79" s="131">
        <f>IF(AN79=12,J79,0)</f>
        <v>0</v>
      </c>
      <c r="AL79" s="131">
        <f>IF(AN79=21,J79,0)</f>
        <v>0</v>
      </c>
      <c r="AN79" s="131">
        <v>21</v>
      </c>
      <c r="AO79" s="131">
        <f>G79*0</f>
        <v>0</v>
      </c>
      <c r="AP79" s="131">
        <f>G79*(1-0)</f>
        <v>0</v>
      </c>
      <c r="AQ79" s="132" t="s">
        <v>76</v>
      </c>
      <c r="AV79" s="131">
        <f>AW79+AX79</f>
        <v>0</v>
      </c>
      <c r="AW79" s="131">
        <f>F79*AO79</f>
        <v>0</v>
      </c>
      <c r="AX79" s="131">
        <f>F79*AP79</f>
        <v>0</v>
      </c>
      <c r="AY79" s="132" t="s">
        <v>325</v>
      </c>
      <c r="AZ79" s="132" t="s">
        <v>275</v>
      </c>
      <c r="BA79" s="115" t="s">
        <v>63</v>
      </c>
      <c r="BC79" s="131">
        <f>AW79+AX79</f>
        <v>0</v>
      </c>
      <c r="BD79" s="131">
        <f>G79/(100-BE79)*100</f>
        <v>0</v>
      </c>
      <c r="BE79" s="131">
        <v>0</v>
      </c>
      <c r="BF79" s="131">
        <f>79</f>
        <v>79</v>
      </c>
      <c r="BH79" s="131">
        <f>F79*AO79</f>
        <v>0</v>
      </c>
      <c r="BI79" s="131">
        <f>F79*AP79</f>
        <v>0</v>
      </c>
      <c r="BJ79" s="131">
        <f>F79*G79</f>
        <v>0</v>
      </c>
      <c r="BK79" s="131"/>
      <c r="BL79" s="131"/>
      <c r="BW79" s="131">
        <v>21</v>
      </c>
      <c r="BX79" s="133" t="s">
        <v>324</v>
      </c>
    </row>
    <row r="80" spans="1:76" x14ac:dyDescent="0.25">
      <c r="A80" s="123" t="s">
        <v>53</v>
      </c>
      <c r="B80" s="124" t="s">
        <v>326</v>
      </c>
      <c r="C80" s="272" t="s">
        <v>327</v>
      </c>
      <c r="D80" s="273"/>
      <c r="E80" s="125" t="s">
        <v>9</v>
      </c>
      <c r="F80" s="125" t="s">
        <v>9</v>
      </c>
      <c r="G80" s="125" t="s">
        <v>9</v>
      </c>
      <c r="H80" s="110">
        <f>SUM(H81:H83)</f>
        <v>0</v>
      </c>
      <c r="I80" s="110">
        <f>SUM(I81:I83)</f>
        <v>0</v>
      </c>
      <c r="J80" s="110">
        <f>SUM(J81:J83)</f>
        <v>0</v>
      </c>
      <c r="K80" s="126" t="s">
        <v>53</v>
      </c>
      <c r="AI80" s="115" t="s">
        <v>53</v>
      </c>
      <c r="AS80" s="110">
        <f>SUM(AJ81:AJ83)</f>
        <v>0</v>
      </c>
      <c r="AT80" s="110">
        <f>SUM(AK81:AK83)</f>
        <v>0</v>
      </c>
      <c r="AU80" s="110">
        <f>SUM(AL81:AL83)</f>
        <v>0</v>
      </c>
    </row>
    <row r="81" spans="1:76" x14ac:dyDescent="0.25">
      <c r="A81" s="127" t="s">
        <v>251</v>
      </c>
      <c r="B81" s="128" t="s">
        <v>329</v>
      </c>
      <c r="C81" s="277" t="s">
        <v>330</v>
      </c>
      <c r="D81" s="278"/>
      <c r="E81" s="128" t="s">
        <v>122</v>
      </c>
      <c r="F81" s="129">
        <v>75.97</v>
      </c>
      <c r="G81" s="178">
        <v>0</v>
      </c>
      <c r="H81" s="129">
        <f>F81*AO81</f>
        <v>0</v>
      </c>
      <c r="I81" s="129">
        <f>F81*AP81</f>
        <v>0</v>
      </c>
      <c r="J81" s="129">
        <f>F81*G81</f>
        <v>0</v>
      </c>
      <c r="K81" s="130" t="s">
        <v>60</v>
      </c>
      <c r="Z81" s="131">
        <f>IF(AQ81="5",BJ81,0)</f>
        <v>0</v>
      </c>
      <c r="AB81" s="131">
        <f>IF(AQ81="1",BH81,0)</f>
        <v>0</v>
      </c>
      <c r="AC81" s="131">
        <f>IF(AQ81="1",BI81,0)</f>
        <v>0</v>
      </c>
      <c r="AD81" s="131">
        <f>IF(AQ81="7",BH81,0)</f>
        <v>0</v>
      </c>
      <c r="AE81" s="131">
        <f>IF(AQ81="7",BI81,0)</f>
        <v>0</v>
      </c>
      <c r="AF81" s="131">
        <f>IF(AQ81="2",BH81,0)</f>
        <v>0</v>
      </c>
      <c r="AG81" s="131">
        <f>IF(AQ81="2",BI81,0)</f>
        <v>0</v>
      </c>
      <c r="AH81" s="131">
        <f>IF(AQ81="0",BJ81,0)</f>
        <v>0</v>
      </c>
      <c r="AI81" s="115" t="s">
        <v>53</v>
      </c>
      <c r="AJ81" s="131">
        <f>IF(AN81=0,J81,0)</f>
        <v>0</v>
      </c>
      <c r="AK81" s="131">
        <f>IF(AN81=12,J81,0)</f>
        <v>0</v>
      </c>
      <c r="AL81" s="131">
        <f>IF(AN81=21,J81,0)</f>
        <v>0</v>
      </c>
      <c r="AN81" s="131">
        <v>21</v>
      </c>
      <c r="AO81" s="131">
        <f>G81*0.010795586</f>
        <v>0</v>
      </c>
      <c r="AP81" s="131">
        <f>G81*(1-0.010795586)</f>
        <v>0</v>
      </c>
      <c r="AQ81" s="132" t="s">
        <v>76</v>
      </c>
      <c r="AV81" s="131">
        <f>AW81+AX81</f>
        <v>0</v>
      </c>
      <c r="AW81" s="131">
        <f>F81*AO81</f>
        <v>0</v>
      </c>
      <c r="AX81" s="131">
        <f>F81*AP81</f>
        <v>0</v>
      </c>
      <c r="AY81" s="132" t="s">
        <v>331</v>
      </c>
      <c r="AZ81" s="132" t="s">
        <v>275</v>
      </c>
      <c r="BA81" s="115" t="s">
        <v>63</v>
      </c>
      <c r="BC81" s="131">
        <f>AW81+AX81</f>
        <v>0</v>
      </c>
      <c r="BD81" s="131">
        <f>G81/(100-BE81)*100</f>
        <v>0</v>
      </c>
      <c r="BE81" s="131">
        <v>0</v>
      </c>
      <c r="BF81" s="131">
        <f>81</f>
        <v>81</v>
      </c>
      <c r="BH81" s="131">
        <f>F81*AO81</f>
        <v>0</v>
      </c>
      <c r="BI81" s="131">
        <f>F81*AP81</f>
        <v>0</v>
      </c>
      <c r="BJ81" s="131">
        <f>F81*G81</f>
        <v>0</v>
      </c>
      <c r="BK81" s="131"/>
      <c r="BL81" s="131"/>
      <c r="BW81" s="131">
        <v>21</v>
      </c>
      <c r="BX81" s="133" t="s">
        <v>330</v>
      </c>
    </row>
    <row r="82" spans="1:76" x14ac:dyDescent="0.25">
      <c r="A82" s="127" t="s">
        <v>257</v>
      </c>
      <c r="B82" s="128" t="s">
        <v>333</v>
      </c>
      <c r="C82" s="277" t="s">
        <v>334</v>
      </c>
      <c r="D82" s="278"/>
      <c r="E82" s="128" t="s">
        <v>122</v>
      </c>
      <c r="F82" s="129">
        <v>455.82</v>
      </c>
      <c r="G82" s="178">
        <v>0</v>
      </c>
      <c r="H82" s="129">
        <f>F82*AO82</f>
        <v>0</v>
      </c>
      <c r="I82" s="129">
        <f>F82*AP82</f>
        <v>0</v>
      </c>
      <c r="J82" s="129">
        <f>F82*G82</f>
        <v>0</v>
      </c>
      <c r="K82" s="130" t="s">
        <v>60</v>
      </c>
      <c r="Z82" s="131">
        <f>IF(AQ82="5",BJ82,0)</f>
        <v>0</v>
      </c>
      <c r="AB82" s="131">
        <f>IF(AQ82="1",BH82,0)</f>
        <v>0</v>
      </c>
      <c r="AC82" s="131">
        <f>IF(AQ82="1",BI82,0)</f>
        <v>0</v>
      </c>
      <c r="AD82" s="131">
        <f>IF(AQ82="7",BH82,0)</f>
        <v>0</v>
      </c>
      <c r="AE82" s="131">
        <f>IF(AQ82="7",BI82,0)</f>
        <v>0</v>
      </c>
      <c r="AF82" s="131">
        <f>IF(AQ82="2",BH82,0)</f>
        <v>0</v>
      </c>
      <c r="AG82" s="131">
        <f>IF(AQ82="2",BI82,0)</f>
        <v>0</v>
      </c>
      <c r="AH82" s="131">
        <f>IF(AQ82="0",BJ82,0)</f>
        <v>0</v>
      </c>
      <c r="AI82" s="115" t="s">
        <v>53</v>
      </c>
      <c r="AJ82" s="131">
        <f>IF(AN82=0,J82,0)</f>
        <v>0</v>
      </c>
      <c r="AK82" s="131">
        <f>IF(AN82=12,J82,0)</f>
        <v>0</v>
      </c>
      <c r="AL82" s="131">
        <f>IF(AN82=21,J82,0)</f>
        <v>0</v>
      </c>
      <c r="AN82" s="131">
        <v>21</v>
      </c>
      <c r="AO82" s="131">
        <f>G82*0</f>
        <v>0</v>
      </c>
      <c r="AP82" s="131">
        <f>G82*(1-0)</f>
        <v>0</v>
      </c>
      <c r="AQ82" s="132" t="s">
        <v>76</v>
      </c>
      <c r="AV82" s="131">
        <f>AW82+AX82</f>
        <v>0</v>
      </c>
      <c r="AW82" s="131">
        <f>F82*AO82</f>
        <v>0</v>
      </c>
      <c r="AX82" s="131">
        <f>F82*AP82</f>
        <v>0</v>
      </c>
      <c r="AY82" s="132" t="s">
        <v>331</v>
      </c>
      <c r="AZ82" s="132" t="s">
        <v>275</v>
      </c>
      <c r="BA82" s="115" t="s">
        <v>63</v>
      </c>
      <c r="BC82" s="131">
        <f>AW82+AX82</f>
        <v>0</v>
      </c>
      <c r="BD82" s="131">
        <f>G82/(100-BE82)*100</f>
        <v>0</v>
      </c>
      <c r="BE82" s="131">
        <v>0</v>
      </c>
      <c r="BF82" s="131">
        <f>82</f>
        <v>82</v>
      </c>
      <c r="BH82" s="131">
        <f>F82*AO82</f>
        <v>0</v>
      </c>
      <c r="BI82" s="131">
        <f>F82*AP82</f>
        <v>0</v>
      </c>
      <c r="BJ82" s="131">
        <f>F82*G82</f>
        <v>0</v>
      </c>
      <c r="BK82" s="131"/>
      <c r="BL82" s="131"/>
      <c r="BW82" s="131">
        <v>21</v>
      </c>
      <c r="BX82" s="133" t="s">
        <v>334</v>
      </c>
    </row>
    <row r="83" spans="1:76" ht="25.5" x14ac:dyDescent="0.25">
      <c r="A83" s="134" t="s">
        <v>262</v>
      </c>
      <c r="B83" s="135" t="s">
        <v>336</v>
      </c>
      <c r="C83" s="270" t="s">
        <v>337</v>
      </c>
      <c r="D83" s="271"/>
      <c r="E83" s="135" t="s">
        <v>122</v>
      </c>
      <c r="F83" s="131">
        <v>75.97</v>
      </c>
      <c r="G83" s="179">
        <v>0</v>
      </c>
      <c r="H83" s="131">
        <f>F83*AO83</f>
        <v>0</v>
      </c>
      <c r="I83" s="131">
        <f>F83*AP83</f>
        <v>0</v>
      </c>
      <c r="J83" s="131">
        <f>F83*G83</f>
        <v>0</v>
      </c>
      <c r="K83" s="136" t="s">
        <v>60</v>
      </c>
      <c r="Z83" s="131">
        <f>IF(AQ83="5",BJ83,0)</f>
        <v>0</v>
      </c>
      <c r="AB83" s="131">
        <f>IF(AQ83="1",BH83,0)</f>
        <v>0</v>
      </c>
      <c r="AC83" s="131">
        <f>IF(AQ83="1",BI83,0)</f>
        <v>0</v>
      </c>
      <c r="AD83" s="131">
        <f>IF(AQ83="7",BH83,0)</f>
        <v>0</v>
      </c>
      <c r="AE83" s="131">
        <f>IF(AQ83="7",BI83,0)</f>
        <v>0</v>
      </c>
      <c r="AF83" s="131">
        <f>IF(AQ83="2",BH83,0)</f>
        <v>0</v>
      </c>
      <c r="AG83" s="131">
        <f>IF(AQ83="2",BI83,0)</f>
        <v>0</v>
      </c>
      <c r="AH83" s="131">
        <f>IF(AQ83="0",BJ83,0)</f>
        <v>0</v>
      </c>
      <c r="AI83" s="115" t="s">
        <v>53</v>
      </c>
      <c r="AJ83" s="131">
        <f>IF(AN83=0,J83,0)</f>
        <v>0</v>
      </c>
      <c r="AK83" s="131">
        <f>IF(AN83=12,J83,0)</f>
        <v>0</v>
      </c>
      <c r="AL83" s="131">
        <f>IF(AN83=21,J83,0)</f>
        <v>0</v>
      </c>
      <c r="AN83" s="131">
        <v>21</v>
      </c>
      <c r="AO83" s="131">
        <f>G83*0</f>
        <v>0</v>
      </c>
      <c r="AP83" s="131">
        <f>G83*(1-0)</f>
        <v>0</v>
      </c>
      <c r="AQ83" s="132" t="s">
        <v>76</v>
      </c>
      <c r="AV83" s="131">
        <f>AW83+AX83</f>
        <v>0</v>
      </c>
      <c r="AW83" s="131">
        <f>F83*AO83</f>
        <v>0</v>
      </c>
      <c r="AX83" s="131">
        <f>F83*AP83</f>
        <v>0</v>
      </c>
      <c r="AY83" s="132" t="s">
        <v>331</v>
      </c>
      <c r="AZ83" s="132" t="s">
        <v>275</v>
      </c>
      <c r="BA83" s="115" t="s">
        <v>63</v>
      </c>
      <c r="BC83" s="131">
        <f>AW83+AX83</f>
        <v>0</v>
      </c>
      <c r="BD83" s="131">
        <f>G83/(100-BE83)*100</f>
        <v>0</v>
      </c>
      <c r="BE83" s="131">
        <v>0</v>
      </c>
      <c r="BF83" s="131">
        <f>83</f>
        <v>83</v>
      </c>
      <c r="BH83" s="131">
        <f>F83*AO83</f>
        <v>0</v>
      </c>
      <c r="BI83" s="131">
        <f>F83*AP83</f>
        <v>0</v>
      </c>
      <c r="BJ83" s="131">
        <f>F83*G83</f>
        <v>0</v>
      </c>
      <c r="BK83" s="131"/>
      <c r="BL83" s="131"/>
      <c r="BW83" s="131">
        <v>21</v>
      </c>
      <c r="BX83" s="133" t="s">
        <v>337</v>
      </c>
    </row>
    <row r="84" spans="1:76" x14ac:dyDescent="0.25">
      <c r="A84" s="123" t="s">
        <v>53</v>
      </c>
      <c r="B84" s="124" t="s">
        <v>338</v>
      </c>
      <c r="C84" s="272" t="s">
        <v>339</v>
      </c>
      <c r="D84" s="273"/>
      <c r="E84" s="125" t="s">
        <v>9</v>
      </c>
      <c r="F84" s="125" t="s">
        <v>9</v>
      </c>
      <c r="G84" s="125" t="s">
        <v>9</v>
      </c>
      <c r="H84" s="110">
        <f>SUM(H85:H108)</f>
        <v>0</v>
      </c>
      <c r="I84" s="110">
        <f>SUM(I85:I108)</f>
        <v>0</v>
      </c>
      <c r="J84" s="110">
        <f>SUM(J85:J108)</f>
        <v>0</v>
      </c>
      <c r="K84" s="126" t="s">
        <v>53</v>
      </c>
      <c r="AI84" s="115" t="s">
        <v>53</v>
      </c>
      <c r="AS84" s="110">
        <f>SUM(AJ85:AJ108)</f>
        <v>0</v>
      </c>
      <c r="AT84" s="110">
        <f>SUM(AK85:AK108)</f>
        <v>0</v>
      </c>
      <c r="AU84" s="110">
        <f>SUM(AL85:AL108)</f>
        <v>0</v>
      </c>
    </row>
    <row r="85" spans="1:76" x14ac:dyDescent="0.25">
      <c r="A85" s="127" t="s">
        <v>177</v>
      </c>
      <c r="B85" s="128" t="s">
        <v>341</v>
      </c>
      <c r="C85" s="277" t="s">
        <v>342</v>
      </c>
      <c r="D85" s="278"/>
      <c r="E85" s="128" t="s">
        <v>164</v>
      </c>
      <c r="F85" s="129">
        <v>228</v>
      </c>
      <c r="G85" s="178">
        <v>0</v>
      </c>
      <c r="H85" s="129">
        <f t="shared" ref="H85:H108" si="90">F85*AO85</f>
        <v>0</v>
      </c>
      <c r="I85" s="129">
        <f t="shared" ref="I85:I108" si="91">F85*AP85</f>
        <v>0</v>
      </c>
      <c r="J85" s="129">
        <f t="shared" ref="J85:J108" si="92">F85*G85</f>
        <v>0</v>
      </c>
      <c r="K85" s="130" t="s">
        <v>60</v>
      </c>
      <c r="Z85" s="131">
        <f t="shared" ref="Z85:Z108" si="93">IF(AQ85="5",BJ85,0)</f>
        <v>0</v>
      </c>
      <c r="AB85" s="131">
        <f t="shared" ref="AB85:AB108" si="94">IF(AQ85="1",BH85,0)</f>
        <v>0</v>
      </c>
      <c r="AC85" s="131">
        <f t="shared" ref="AC85:AC108" si="95">IF(AQ85="1",BI85,0)</f>
        <v>0</v>
      </c>
      <c r="AD85" s="131">
        <f t="shared" ref="AD85:AD108" si="96">IF(AQ85="7",BH85,0)</f>
        <v>0</v>
      </c>
      <c r="AE85" s="131">
        <f t="shared" ref="AE85:AE108" si="97">IF(AQ85="7",BI85,0)</f>
        <v>0</v>
      </c>
      <c r="AF85" s="131">
        <f t="shared" ref="AF85:AF108" si="98">IF(AQ85="2",BH85,0)</f>
        <v>0</v>
      </c>
      <c r="AG85" s="131">
        <f t="shared" ref="AG85:AG108" si="99">IF(AQ85="2",BI85,0)</f>
        <v>0</v>
      </c>
      <c r="AH85" s="131">
        <f t="shared" ref="AH85:AH108" si="100">IF(AQ85="0",BJ85,0)</f>
        <v>0</v>
      </c>
      <c r="AI85" s="115" t="s">
        <v>53</v>
      </c>
      <c r="AJ85" s="131">
        <f t="shared" ref="AJ85:AJ108" si="101">IF(AN85=0,J85,0)</f>
        <v>0</v>
      </c>
      <c r="AK85" s="131">
        <f t="shared" ref="AK85:AK108" si="102">IF(AN85=12,J85,0)</f>
        <v>0</v>
      </c>
      <c r="AL85" s="131">
        <f t="shared" ref="AL85:AL108" si="103">IF(AN85=21,J85,0)</f>
        <v>0</v>
      </c>
      <c r="AN85" s="131">
        <v>21</v>
      </c>
      <c r="AO85" s="131">
        <f t="shared" ref="AO85:AO108" si="104">G85*1</f>
        <v>0</v>
      </c>
      <c r="AP85" s="131">
        <f t="shared" ref="AP85:AP108" si="105">G85*(1-1)</f>
        <v>0</v>
      </c>
      <c r="AQ85" s="132" t="s">
        <v>343</v>
      </c>
      <c r="AV85" s="131">
        <f t="shared" ref="AV85:AV108" si="106">AW85+AX85</f>
        <v>0</v>
      </c>
      <c r="AW85" s="131">
        <f t="shared" ref="AW85:AW108" si="107">F85*AO85</f>
        <v>0</v>
      </c>
      <c r="AX85" s="131">
        <f t="shared" ref="AX85:AX108" si="108">F85*AP85</f>
        <v>0</v>
      </c>
      <c r="AY85" s="132" t="s">
        <v>344</v>
      </c>
      <c r="AZ85" s="132" t="s">
        <v>345</v>
      </c>
      <c r="BA85" s="115" t="s">
        <v>63</v>
      </c>
      <c r="BC85" s="131">
        <f t="shared" ref="BC85:BC108" si="109">AW85+AX85</f>
        <v>0</v>
      </c>
      <c r="BD85" s="131">
        <f t="shared" ref="BD85:BD108" si="110">G85/(100-BE85)*100</f>
        <v>0</v>
      </c>
      <c r="BE85" s="131">
        <v>0</v>
      </c>
      <c r="BF85" s="131">
        <f>85</f>
        <v>85</v>
      </c>
      <c r="BH85" s="131">
        <f t="shared" ref="BH85:BH108" si="111">F85*AO85</f>
        <v>0</v>
      </c>
      <c r="BI85" s="131">
        <f t="shared" ref="BI85:BI108" si="112">F85*AP85</f>
        <v>0</v>
      </c>
      <c r="BJ85" s="131">
        <f t="shared" ref="BJ85:BJ108" si="113">F85*G85</f>
        <v>0</v>
      </c>
      <c r="BK85" s="131"/>
      <c r="BL85" s="131"/>
      <c r="BW85" s="131">
        <v>21</v>
      </c>
      <c r="BX85" s="133" t="s">
        <v>342</v>
      </c>
    </row>
    <row r="86" spans="1:76" x14ac:dyDescent="0.25">
      <c r="A86" s="127" t="s">
        <v>206</v>
      </c>
      <c r="B86" s="128" t="s">
        <v>347</v>
      </c>
      <c r="C86" s="277" t="s">
        <v>348</v>
      </c>
      <c r="D86" s="278"/>
      <c r="E86" s="128" t="s">
        <v>164</v>
      </c>
      <c r="F86" s="129">
        <v>18</v>
      </c>
      <c r="G86" s="178">
        <v>0</v>
      </c>
      <c r="H86" s="129">
        <f t="shared" si="90"/>
        <v>0</v>
      </c>
      <c r="I86" s="129">
        <f t="shared" si="91"/>
        <v>0</v>
      </c>
      <c r="J86" s="129">
        <f t="shared" si="92"/>
        <v>0</v>
      </c>
      <c r="K86" s="130" t="s">
        <v>60</v>
      </c>
      <c r="Z86" s="131">
        <f t="shared" si="93"/>
        <v>0</v>
      </c>
      <c r="AB86" s="131">
        <f t="shared" si="94"/>
        <v>0</v>
      </c>
      <c r="AC86" s="131">
        <f t="shared" si="95"/>
        <v>0</v>
      </c>
      <c r="AD86" s="131">
        <f t="shared" si="96"/>
        <v>0</v>
      </c>
      <c r="AE86" s="131">
        <f t="shared" si="97"/>
        <v>0</v>
      </c>
      <c r="AF86" s="131">
        <f t="shared" si="98"/>
        <v>0</v>
      </c>
      <c r="AG86" s="131">
        <f t="shared" si="99"/>
        <v>0</v>
      </c>
      <c r="AH86" s="131">
        <f t="shared" si="100"/>
        <v>0</v>
      </c>
      <c r="AI86" s="115" t="s">
        <v>53</v>
      </c>
      <c r="AJ86" s="131">
        <f t="shared" si="101"/>
        <v>0</v>
      </c>
      <c r="AK86" s="131">
        <f t="shared" si="102"/>
        <v>0</v>
      </c>
      <c r="AL86" s="131">
        <f t="shared" si="103"/>
        <v>0</v>
      </c>
      <c r="AN86" s="131">
        <v>21</v>
      </c>
      <c r="AO86" s="131">
        <f t="shared" si="104"/>
        <v>0</v>
      </c>
      <c r="AP86" s="131">
        <f t="shared" si="105"/>
        <v>0</v>
      </c>
      <c r="AQ86" s="132" t="s">
        <v>343</v>
      </c>
      <c r="AV86" s="131">
        <f t="shared" si="106"/>
        <v>0</v>
      </c>
      <c r="AW86" s="131">
        <f t="shared" si="107"/>
        <v>0</v>
      </c>
      <c r="AX86" s="131">
        <f t="shared" si="108"/>
        <v>0</v>
      </c>
      <c r="AY86" s="132" t="s">
        <v>344</v>
      </c>
      <c r="AZ86" s="132" t="s">
        <v>345</v>
      </c>
      <c r="BA86" s="115" t="s">
        <v>63</v>
      </c>
      <c r="BC86" s="131">
        <f t="shared" si="109"/>
        <v>0</v>
      </c>
      <c r="BD86" s="131">
        <f t="shared" si="110"/>
        <v>0</v>
      </c>
      <c r="BE86" s="131">
        <v>0</v>
      </c>
      <c r="BF86" s="131">
        <f>86</f>
        <v>86</v>
      </c>
      <c r="BH86" s="131">
        <f t="shared" si="111"/>
        <v>0</v>
      </c>
      <c r="BI86" s="131">
        <f t="shared" si="112"/>
        <v>0</v>
      </c>
      <c r="BJ86" s="131">
        <f t="shared" si="113"/>
        <v>0</v>
      </c>
      <c r="BK86" s="131"/>
      <c r="BL86" s="131"/>
      <c r="BW86" s="131">
        <v>21</v>
      </c>
      <c r="BX86" s="133" t="s">
        <v>348</v>
      </c>
    </row>
    <row r="87" spans="1:76" x14ac:dyDescent="0.25">
      <c r="A87" s="127" t="s">
        <v>271</v>
      </c>
      <c r="B87" s="128" t="s">
        <v>350</v>
      </c>
      <c r="C87" s="277" t="s">
        <v>351</v>
      </c>
      <c r="D87" s="278"/>
      <c r="E87" s="128" t="s">
        <v>164</v>
      </c>
      <c r="F87" s="129">
        <v>18</v>
      </c>
      <c r="G87" s="178">
        <v>0</v>
      </c>
      <c r="H87" s="129">
        <f t="shared" si="90"/>
        <v>0</v>
      </c>
      <c r="I87" s="129">
        <f t="shared" si="91"/>
        <v>0</v>
      </c>
      <c r="J87" s="129">
        <f t="shared" si="92"/>
        <v>0</v>
      </c>
      <c r="K87" s="130" t="s">
        <v>60</v>
      </c>
      <c r="Z87" s="131">
        <f t="shared" si="93"/>
        <v>0</v>
      </c>
      <c r="AB87" s="131">
        <f t="shared" si="94"/>
        <v>0</v>
      </c>
      <c r="AC87" s="131">
        <f t="shared" si="95"/>
        <v>0</v>
      </c>
      <c r="AD87" s="131">
        <f t="shared" si="96"/>
        <v>0</v>
      </c>
      <c r="AE87" s="131">
        <f t="shared" si="97"/>
        <v>0</v>
      </c>
      <c r="AF87" s="131">
        <f t="shared" si="98"/>
        <v>0</v>
      </c>
      <c r="AG87" s="131">
        <f t="shared" si="99"/>
        <v>0</v>
      </c>
      <c r="AH87" s="131">
        <f t="shared" si="100"/>
        <v>0</v>
      </c>
      <c r="AI87" s="115" t="s">
        <v>53</v>
      </c>
      <c r="AJ87" s="131">
        <f t="shared" si="101"/>
        <v>0</v>
      </c>
      <c r="AK87" s="131">
        <f t="shared" si="102"/>
        <v>0</v>
      </c>
      <c r="AL87" s="131">
        <f t="shared" si="103"/>
        <v>0</v>
      </c>
      <c r="AN87" s="131">
        <v>21</v>
      </c>
      <c r="AO87" s="131">
        <f t="shared" si="104"/>
        <v>0</v>
      </c>
      <c r="AP87" s="131">
        <f t="shared" si="105"/>
        <v>0</v>
      </c>
      <c r="AQ87" s="132" t="s">
        <v>343</v>
      </c>
      <c r="AV87" s="131">
        <f t="shared" si="106"/>
        <v>0</v>
      </c>
      <c r="AW87" s="131">
        <f t="shared" si="107"/>
        <v>0</v>
      </c>
      <c r="AX87" s="131">
        <f t="shared" si="108"/>
        <v>0</v>
      </c>
      <c r="AY87" s="132" t="s">
        <v>344</v>
      </c>
      <c r="AZ87" s="132" t="s">
        <v>345</v>
      </c>
      <c r="BA87" s="115" t="s">
        <v>63</v>
      </c>
      <c r="BC87" s="131">
        <f t="shared" si="109"/>
        <v>0</v>
      </c>
      <c r="BD87" s="131">
        <f t="shared" si="110"/>
        <v>0</v>
      </c>
      <c r="BE87" s="131">
        <v>0</v>
      </c>
      <c r="BF87" s="131">
        <f>87</f>
        <v>87</v>
      </c>
      <c r="BH87" s="131">
        <f t="shared" si="111"/>
        <v>0</v>
      </c>
      <c r="BI87" s="131">
        <f t="shared" si="112"/>
        <v>0</v>
      </c>
      <c r="BJ87" s="131">
        <f t="shared" si="113"/>
        <v>0</v>
      </c>
      <c r="BK87" s="131"/>
      <c r="BL87" s="131"/>
      <c r="BW87" s="131">
        <v>21</v>
      </c>
      <c r="BX87" s="133" t="s">
        <v>351</v>
      </c>
    </row>
    <row r="88" spans="1:76" x14ac:dyDescent="0.25">
      <c r="A88" s="127" t="s">
        <v>215</v>
      </c>
      <c r="B88" s="128" t="s">
        <v>353</v>
      </c>
      <c r="C88" s="277" t="s">
        <v>354</v>
      </c>
      <c r="D88" s="278"/>
      <c r="E88" s="128" t="s">
        <v>164</v>
      </c>
      <c r="F88" s="129">
        <v>38</v>
      </c>
      <c r="G88" s="178">
        <v>0</v>
      </c>
      <c r="H88" s="129">
        <f t="shared" si="90"/>
        <v>0</v>
      </c>
      <c r="I88" s="129">
        <f t="shared" si="91"/>
        <v>0</v>
      </c>
      <c r="J88" s="129">
        <f t="shared" si="92"/>
        <v>0</v>
      </c>
      <c r="K88" s="130" t="s">
        <v>60</v>
      </c>
      <c r="Z88" s="131">
        <f t="shared" si="93"/>
        <v>0</v>
      </c>
      <c r="AB88" s="131">
        <f t="shared" si="94"/>
        <v>0</v>
      </c>
      <c r="AC88" s="131">
        <f t="shared" si="95"/>
        <v>0</v>
      </c>
      <c r="AD88" s="131">
        <f t="shared" si="96"/>
        <v>0</v>
      </c>
      <c r="AE88" s="131">
        <f t="shared" si="97"/>
        <v>0</v>
      </c>
      <c r="AF88" s="131">
        <f t="shared" si="98"/>
        <v>0</v>
      </c>
      <c r="AG88" s="131">
        <f t="shared" si="99"/>
        <v>0</v>
      </c>
      <c r="AH88" s="131">
        <f t="shared" si="100"/>
        <v>0</v>
      </c>
      <c r="AI88" s="115" t="s">
        <v>53</v>
      </c>
      <c r="AJ88" s="131">
        <f t="shared" si="101"/>
        <v>0</v>
      </c>
      <c r="AK88" s="131">
        <f t="shared" si="102"/>
        <v>0</v>
      </c>
      <c r="AL88" s="131">
        <f t="shared" si="103"/>
        <v>0</v>
      </c>
      <c r="AN88" s="131">
        <v>21</v>
      </c>
      <c r="AO88" s="131">
        <f t="shared" si="104"/>
        <v>0</v>
      </c>
      <c r="AP88" s="131">
        <f t="shared" si="105"/>
        <v>0</v>
      </c>
      <c r="AQ88" s="132" t="s">
        <v>343</v>
      </c>
      <c r="AV88" s="131">
        <f t="shared" si="106"/>
        <v>0</v>
      </c>
      <c r="AW88" s="131">
        <f t="shared" si="107"/>
        <v>0</v>
      </c>
      <c r="AX88" s="131">
        <f t="shared" si="108"/>
        <v>0</v>
      </c>
      <c r="AY88" s="132" t="s">
        <v>344</v>
      </c>
      <c r="AZ88" s="132" t="s">
        <v>345</v>
      </c>
      <c r="BA88" s="115" t="s">
        <v>63</v>
      </c>
      <c r="BC88" s="131">
        <f t="shared" si="109"/>
        <v>0</v>
      </c>
      <c r="BD88" s="131">
        <f t="shared" si="110"/>
        <v>0</v>
      </c>
      <c r="BE88" s="131">
        <v>0</v>
      </c>
      <c r="BF88" s="131">
        <f>88</f>
        <v>88</v>
      </c>
      <c r="BH88" s="131">
        <f t="shared" si="111"/>
        <v>0</v>
      </c>
      <c r="BI88" s="131">
        <f t="shared" si="112"/>
        <v>0</v>
      </c>
      <c r="BJ88" s="131">
        <f t="shared" si="113"/>
        <v>0</v>
      </c>
      <c r="BK88" s="131"/>
      <c r="BL88" s="131"/>
      <c r="BW88" s="131">
        <v>21</v>
      </c>
      <c r="BX88" s="133" t="s">
        <v>354</v>
      </c>
    </row>
    <row r="89" spans="1:76" x14ac:dyDescent="0.25">
      <c r="A89" s="127" t="s">
        <v>277</v>
      </c>
      <c r="B89" s="128" t="s">
        <v>356</v>
      </c>
      <c r="C89" s="277" t="s">
        <v>357</v>
      </c>
      <c r="D89" s="278"/>
      <c r="E89" s="128" t="s">
        <v>164</v>
      </c>
      <c r="F89" s="129">
        <v>462</v>
      </c>
      <c r="G89" s="178">
        <v>0</v>
      </c>
      <c r="H89" s="129">
        <f t="shared" si="90"/>
        <v>0</v>
      </c>
      <c r="I89" s="129">
        <f t="shared" si="91"/>
        <v>0</v>
      </c>
      <c r="J89" s="129">
        <f t="shared" si="92"/>
        <v>0</v>
      </c>
      <c r="K89" s="130" t="s">
        <v>60</v>
      </c>
      <c r="Z89" s="131">
        <f t="shared" si="93"/>
        <v>0</v>
      </c>
      <c r="AB89" s="131">
        <f t="shared" si="94"/>
        <v>0</v>
      </c>
      <c r="AC89" s="131">
        <f t="shared" si="95"/>
        <v>0</v>
      </c>
      <c r="AD89" s="131">
        <f t="shared" si="96"/>
        <v>0</v>
      </c>
      <c r="AE89" s="131">
        <f t="shared" si="97"/>
        <v>0</v>
      </c>
      <c r="AF89" s="131">
        <f t="shared" si="98"/>
        <v>0</v>
      </c>
      <c r="AG89" s="131">
        <f t="shared" si="99"/>
        <v>0</v>
      </c>
      <c r="AH89" s="131">
        <f t="shared" si="100"/>
        <v>0</v>
      </c>
      <c r="AI89" s="115" t="s">
        <v>53</v>
      </c>
      <c r="AJ89" s="131">
        <f t="shared" si="101"/>
        <v>0</v>
      </c>
      <c r="AK89" s="131">
        <f t="shared" si="102"/>
        <v>0</v>
      </c>
      <c r="AL89" s="131">
        <f t="shared" si="103"/>
        <v>0</v>
      </c>
      <c r="AN89" s="131">
        <v>21</v>
      </c>
      <c r="AO89" s="131">
        <f t="shared" si="104"/>
        <v>0</v>
      </c>
      <c r="AP89" s="131">
        <f t="shared" si="105"/>
        <v>0</v>
      </c>
      <c r="AQ89" s="132" t="s">
        <v>343</v>
      </c>
      <c r="AV89" s="131">
        <f t="shared" si="106"/>
        <v>0</v>
      </c>
      <c r="AW89" s="131">
        <f t="shared" si="107"/>
        <v>0</v>
      </c>
      <c r="AX89" s="131">
        <f t="shared" si="108"/>
        <v>0</v>
      </c>
      <c r="AY89" s="132" t="s">
        <v>344</v>
      </c>
      <c r="AZ89" s="132" t="s">
        <v>345</v>
      </c>
      <c r="BA89" s="115" t="s">
        <v>63</v>
      </c>
      <c r="BC89" s="131">
        <f t="shared" si="109"/>
        <v>0</v>
      </c>
      <c r="BD89" s="131">
        <f t="shared" si="110"/>
        <v>0</v>
      </c>
      <c r="BE89" s="131">
        <v>0</v>
      </c>
      <c r="BF89" s="131">
        <f>89</f>
        <v>89</v>
      </c>
      <c r="BH89" s="131">
        <f t="shared" si="111"/>
        <v>0</v>
      </c>
      <c r="BI89" s="131">
        <f t="shared" si="112"/>
        <v>0</v>
      </c>
      <c r="BJ89" s="131">
        <f t="shared" si="113"/>
        <v>0</v>
      </c>
      <c r="BK89" s="131"/>
      <c r="BL89" s="131"/>
      <c r="BW89" s="131">
        <v>21</v>
      </c>
      <c r="BX89" s="133" t="s">
        <v>357</v>
      </c>
    </row>
    <row r="90" spans="1:76" x14ac:dyDescent="0.25">
      <c r="A90" s="127" t="s">
        <v>280</v>
      </c>
      <c r="B90" s="128" t="s">
        <v>359</v>
      </c>
      <c r="C90" s="277" t="s">
        <v>360</v>
      </c>
      <c r="D90" s="278"/>
      <c r="E90" s="128" t="s">
        <v>59</v>
      </c>
      <c r="F90" s="129">
        <v>288.10000000000002</v>
      </c>
      <c r="G90" s="178">
        <v>0</v>
      </c>
      <c r="H90" s="129">
        <f t="shared" si="90"/>
        <v>0</v>
      </c>
      <c r="I90" s="129">
        <f t="shared" si="91"/>
        <v>0</v>
      </c>
      <c r="J90" s="129">
        <f t="shared" si="92"/>
        <v>0</v>
      </c>
      <c r="K90" s="130" t="s">
        <v>60</v>
      </c>
      <c r="Z90" s="131">
        <f t="shared" si="93"/>
        <v>0</v>
      </c>
      <c r="AB90" s="131">
        <f t="shared" si="94"/>
        <v>0</v>
      </c>
      <c r="AC90" s="131">
        <f t="shared" si="95"/>
        <v>0</v>
      </c>
      <c r="AD90" s="131">
        <f t="shared" si="96"/>
        <v>0</v>
      </c>
      <c r="AE90" s="131">
        <f t="shared" si="97"/>
        <v>0</v>
      </c>
      <c r="AF90" s="131">
        <f t="shared" si="98"/>
        <v>0</v>
      </c>
      <c r="AG90" s="131">
        <f t="shared" si="99"/>
        <v>0</v>
      </c>
      <c r="AH90" s="131">
        <f t="shared" si="100"/>
        <v>0</v>
      </c>
      <c r="AI90" s="115" t="s">
        <v>53</v>
      </c>
      <c r="AJ90" s="131">
        <f t="shared" si="101"/>
        <v>0</v>
      </c>
      <c r="AK90" s="131">
        <f t="shared" si="102"/>
        <v>0</v>
      </c>
      <c r="AL90" s="131">
        <f t="shared" si="103"/>
        <v>0</v>
      </c>
      <c r="AN90" s="131">
        <v>21</v>
      </c>
      <c r="AO90" s="131">
        <f t="shared" si="104"/>
        <v>0</v>
      </c>
      <c r="AP90" s="131">
        <f t="shared" si="105"/>
        <v>0</v>
      </c>
      <c r="AQ90" s="132" t="s">
        <v>343</v>
      </c>
      <c r="AV90" s="131">
        <f t="shared" si="106"/>
        <v>0</v>
      </c>
      <c r="AW90" s="131">
        <f t="shared" si="107"/>
        <v>0</v>
      </c>
      <c r="AX90" s="131">
        <f t="shared" si="108"/>
        <v>0</v>
      </c>
      <c r="AY90" s="132" t="s">
        <v>344</v>
      </c>
      <c r="AZ90" s="132" t="s">
        <v>345</v>
      </c>
      <c r="BA90" s="115" t="s">
        <v>63</v>
      </c>
      <c r="BC90" s="131">
        <f t="shared" si="109"/>
        <v>0</v>
      </c>
      <c r="BD90" s="131">
        <f t="shared" si="110"/>
        <v>0</v>
      </c>
      <c r="BE90" s="131">
        <v>0</v>
      </c>
      <c r="BF90" s="131">
        <f>90</f>
        <v>90</v>
      </c>
      <c r="BH90" s="131">
        <f t="shared" si="111"/>
        <v>0</v>
      </c>
      <c r="BI90" s="131">
        <f t="shared" si="112"/>
        <v>0</v>
      </c>
      <c r="BJ90" s="131">
        <f t="shared" si="113"/>
        <v>0</v>
      </c>
      <c r="BK90" s="131"/>
      <c r="BL90" s="131"/>
      <c r="BW90" s="131">
        <v>21</v>
      </c>
      <c r="BX90" s="133" t="s">
        <v>360</v>
      </c>
    </row>
    <row r="91" spans="1:76" x14ac:dyDescent="0.25">
      <c r="A91" s="127" t="s">
        <v>283</v>
      </c>
      <c r="B91" s="128" t="s">
        <v>368</v>
      </c>
      <c r="C91" s="277" t="s">
        <v>369</v>
      </c>
      <c r="D91" s="278"/>
      <c r="E91" s="128" t="s">
        <v>59</v>
      </c>
      <c r="F91" s="129">
        <v>3.7</v>
      </c>
      <c r="G91" s="178">
        <v>0</v>
      </c>
      <c r="H91" s="129">
        <f t="shared" si="90"/>
        <v>0</v>
      </c>
      <c r="I91" s="129">
        <f t="shared" si="91"/>
        <v>0</v>
      </c>
      <c r="J91" s="129">
        <f t="shared" si="92"/>
        <v>0</v>
      </c>
      <c r="K91" s="130" t="s">
        <v>60</v>
      </c>
      <c r="Z91" s="131">
        <f t="shared" si="93"/>
        <v>0</v>
      </c>
      <c r="AB91" s="131">
        <f t="shared" si="94"/>
        <v>0</v>
      </c>
      <c r="AC91" s="131">
        <f t="shared" si="95"/>
        <v>0</v>
      </c>
      <c r="AD91" s="131">
        <f t="shared" si="96"/>
        <v>0</v>
      </c>
      <c r="AE91" s="131">
        <f t="shared" si="97"/>
        <v>0</v>
      </c>
      <c r="AF91" s="131">
        <f t="shared" si="98"/>
        <v>0</v>
      </c>
      <c r="AG91" s="131">
        <f t="shared" si="99"/>
        <v>0</v>
      </c>
      <c r="AH91" s="131">
        <f t="shared" si="100"/>
        <v>0</v>
      </c>
      <c r="AI91" s="115" t="s">
        <v>53</v>
      </c>
      <c r="AJ91" s="131">
        <f t="shared" si="101"/>
        <v>0</v>
      </c>
      <c r="AK91" s="131">
        <f t="shared" si="102"/>
        <v>0</v>
      </c>
      <c r="AL91" s="131">
        <f t="shared" si="103"/>
        <v>0</v>
      </c>
      <c r="AN91" s="131">
        <v>21</v>
      </c>
      <c r="AO91" s="131">
        <f t="shared" si="104"/>
        <v>0</v>
      </c>
      <c r="AP91" s="131">
        <f t="shared" si="105"/>
        <v>0</v>
      </c>
      <c r="AQ91" s="132" t="s">
        <v>343</v>
      </c>
      <c r="AV91" s="131">
        <f t="shared" si="106"/>
        <v>0</v>
      </c>
      <c r="AW91" s="131">
        <f t="shared" si="107"/>
        <v>0</v>
      </c>
      <c r="AX91" s="131">
        <f t="shared" si="108"/>
        <v>0</v>
      </c>
      <c r="AY91" s="132" t="s">
        <v>344</v>
      </c>
      <c r="AZ91" s="132" t="s">
        <v>345</v>
      </c>
      <c r="BA91" s="115" t="s">
        <v>63</v>
      </c>
      <c r="BC91" s="131">
        <f t="shared" si="109"/>
        <v>0</v>
      </c>
      <c r="BD91" s="131">
        <f t="shared" si="110"/>
        <v>0</v>
      </c>
      <c r="BE91" s="131">
        <v>0</v>
      </c>
      <c r="BF91" s="131">
        <f>91</f>
        <v>91</v>
      </c>
      <c r="BH91" s="131">
        <f t="shared" si="111"/>
        <v>0</v>
      </c>
      <c r="BI91" s="131">
        <f t="shared" si="112"/>
        <v>0</v>
      </c>
      <c r="BJ91" s="131">
        <f t="shared" si="113"/>
        <v>0</v>
      </c>
      <c r="BK91" s="131"/>
      <c r="BL91" s="131"/>
      <c r="BW91" s="131">
        <v>21</v>
      </c>
      <c r="BX91" s="133" t="s">
        <v>369</v>
      </c>
    </row>
    <row r="92" spans="1:76" x14ac:dyDescent="0.25">
      <c r="A92" s="127" t="s">
        <v>232</v>
      </c>
      <c r="B92" s="128" t="s">
        <v>365</v>
      </c>
      <c r="C92" s="277" t="s">
        <v>366</v>
      </c>
      <c r="D92" s="278"/>
      <c r="E92" s="128" t="s">
        <v>59</v>
      </c>
      <c r="F92" s="129">
        <v>65.599999999999994</v>
      </c>
      <c r="G92" s="178">
        <v>0</v>
      </c>
      <c r="H92" s="129">
        <f t="shared" si="90"/>
        <v>0</v>
      </c>
      <c r="I92" s="129">
        <f t="shared" si="91"/>
        <v>0</v>
      </c>
      <c r="J92" s="129">
        <f t="shared" si="92"/>
        <v>0</v>
      </c>
      <c r="K92" s="130" t="s">
        <v>60</v>
      </c>
      <c r="Z92" s="131">
        <f t="shared" si="93"/>
        <v>0</v>
      </c>
      <c r="AB92" s="131">
        <f t="shared" si="94"/>
        <v>0</v>
      </c>
      <c r="AC92" s="131">
        <f t="shared" si="95"/>
        <v>0</v>
      </c>
      <c r="AD92" s="131">
        <f t="shared" si="96"/>
        <v>0</v>
      </c>
      <c r="AE92" s="131">
        <f t="shared" si="97"/>
        <v>0</v>
      </c>
      <c r="AF92" s="131">
        <f t="shared" si="98"/>
        <v>0</v>
      </c>
      <c r="AG92" s="131">
        <f t="shared" si="99"/>
        <v>0</v>
      </c>
      <c r="AH92" s="131">
        <f t="shared" si="100"/>
        <v>0</v>
      </c>
      <c r="AI92" s="115" t="s">
        <v>53</v>
      </c>
      <c r="AJ92" s="131">
        <f t="shared" si="101"/>
        <v>0</v>
      </c>
      <c r="AK92" s="131">
        <f t="shared" si="102"/>
        <v>0</v>
      </c>
      <c r="AL92" s="131">
        <f t="shared" si="103"/>
        <v>0</v>
      </c>
      <c r="AN92" s="131">
        <v>21</v>
      </c>
      <c r="AO92" s="131">
        <f t="shared" si="104"/>
        <v>0</v>
      </c>
      <c r="AP92" s="131">
        <f t="shared" si="105"/>
        <v>0</v>
      </c>
      <c r="AQ92" s="132" t="s">
        <v>343</v>
      </c>
      <c r="AV92" s="131">
        <f t="shared" si="106"/>
        <v>0</v>
      </c>
      <c r="AW92" s="131">
        <f t="shared" si="107"/>
        <v>0</v>
      </c>
      <c r="AX92" s="131">
        <f t="shared" si="108"/>
        <v>0</v>
      </c>
      <c r="AY92" s="132" t="s">
        <v>344</v>
      </c>
      <c r="AZ92" s="132" t="s">
        <v>345</v>
      </c>
      <c r="BA92" s="115" t="s">
        <v>63</v>
      </c>
      <c r="BC92" s="131">
        <f t="shared" si="109"/>
        <v>0</v>
      </c>
      <c r="BD92" s="131">
        <f t="shared" si="110"/>
        <v>0</v>
      </c>
      <c r="BE92" s="131">
        <v>0</v>
      </c>
      <c r="BF92" s="131">
        <f>92</f>
        <v>92</v>
      </c>
      <c r="BH92" s="131">
        <f t="shared" si="111"/>
        <v>0</v>
      </c>
      <c r="BI92" s="131">
        <f t="shared" si="112"/>
        <v>0</v>
      </c>
      <c r="BJ92" s="131">
        <f t="shared" si="113"/>
        <v>0</v>
      </c>
      <c r="BK92" s="131"/>
      <c r="BL92" s="131"/>
      <c r="BW92" s="131">
        <v>21</v>
      </c>
      <c r="BX92" s="133" t="s">
        <v>366</v>
      </c>
    </row>
    <row r="93" spans="1:76" x14ac:dyDescent="0.25">
      <c r="A93" s="127" t="s">
        <v>287</v>
      </c>
      <c r="B93" s="128" t="s">
        <v>362</v>
      </c>
      <c r="C93" s="277" t="s">
        <v>363</v>
      </c>
      <c r="D93" s="278"/>
      <c r="E93" s="128" t="s">
        <v>59</v>
      </c>
      <c r="F93" s="129">
        <v>15.1</v>
      </c>
      <c r="G93" s="178">
        <v>0</v>
      </c>
      <c r="H93" s="129">
        <f t="shared" si="90"/>
        <v>0</v>
      </c>
      <c r="I93" s="129">
        <f t="shared" si="91"/>
        <v>0</v>
      </c>
      <c r="J93" s="129">
        <f t="shared" si="92"/>
        <v>0</v>
      </c>
      <c r="K93" s="130" t="s">
        <v>60</v>
      </c>
      <c r="Z93" s="131">
        <f t="shared" si="93"/>
        <v>0</v>
      </c>
      <c r="AB93" s="131">
        <f t="shared" si="94"/>
        <v>0</v>
      </c>
      <c r="AC93" s="131">
        <f t="shared" si="95"/>
        <v>0</v>
      </c>
      <c r="AD93" s="131">
        <f t="shared" si="96"/>
        <v>0</v>
      </c>
      <c r="AE93" s="131">
        <f t="shared" si="97"/>
        <v>0</v>
      </c>
      <c r="AF93" s="131">
        <f t="shared" si="98"/>
        <v>0</v>
      </c>
      <c r="AG93" s="131">
        <f t="shared" si="99"/>
        <v>0</v>
      </c>
      <c r="AH93" s="131">
        <f t="shared" si="100"/>
        <v>0</v>
      </c>
      <c r="AI93" s="115" t="s">
        <v>53</v>
      </c>
      <c r="AJ93" s="131">
        <f t="shared" si="101"/>
        <v>0</v>
      </c>
      <c r="AK93" s="131">
        <f t="shared" si="102"/>
        <v>0</v>
      </c>
      <c r="AL93" s="131">
        <f t="shared" si="103"/>
        <v>0</v>
      </c>
      <c r="AN93" s="131">
        <v>21</v>
      </c>
      <c r="AO93" s="131">
        <f t="shared" si="104"/>
        <v>0</v>
      </c>
      <c r="AP93" s="131">
        <f t="shared" si="105"/>
        <v>0</v>
      </c>
      <c r="AQ93" s="132" t="s">
        <v>343</v>
      </c>
      <c r="AV93" s="131">
        <f t="shared" si="106"/>
        <v>0</v>
      </c>
      <c r="AW93" s="131">
        <f t="shared" si="107"/>
        <v>0</v>
      </c>
      <c r="AX93" s="131">
        <f t="shared" si="108"/>
        <v>0</v>
      </c>
      <c r="AY93" s="132" t="s">
        <v>344</v>
      </c>
      <c r="AZ93" s="132" t="s">
        <v>345</v>
      </c>
      <c r="BA93" s="115" t="s">
        <v>63</v>
      </c>
      <c r="BC93" s="131">
        <f t="shared" si="109"/>
        <v>0</v>
      </c>
      <c r="BD93" s="131">
        <f t="shared" si="110"/>
        <v>0</v>
      </c>
      <c r="BE93" s="131">
        <v>0</v>
      </c>
      <c r="BF93" s="131">
        <f>93</f>
        <v>93</v>
      </c>
      <c r="BH93" s="131">
        <f t="shared" si="111"/>
        <v>0</v>
      </c>
      <c r="BI93" s="131">
        <f t="shared" si="112"/>
        <v>0</v>
      </c>
      <c r="BJ93" s="131">
        <f t="shared" si="113"/>
        <v>0</v>
      </c>
      <c r="BK93" s="131"/>
      <c r="BL93" s="131"/>
      <c r="BW93" s="131">
        <v>21</v>
      </c>
      <c r="BX93" s="133" t="s">
        <v>363</v>
      </c>
    </row>
    <row r="94" spans="1:76" x14ac:dyDescent="0.25">
      <c r="A94" s="127" t="s">
        <v>290</v>
      </c>
      <c r="B94" s="128" t="s">
        <v>371</v>
      </c>
      <c r="C94" s="277" t="s">
        <v>372</v>
      </c>
      <c r="D94" s="278"/>
      <c r="E94" s="128" t="s">
        <v>164</v>
      </c>
      <c r="F94" s="129">
        <v>16</v>
      </c>
      <c r="G94" s="178">
        <v>0</v>
      </c>
      <c r="H94" s="129">
        <f t="shared" si="90"/>
        <v>0</v>
      </c>
      <c r="I94" s="129">
        <f t="shared" si="91"/>
        <v>0</v>
      </c>
      <c r="J94" s="129">
        <f t="shared" si="92"/>
        <v>0</v>
      </c>
      <c r="K94" s="130" t="s">
        <v>60</v>
      </c>
      <c r="Z94" s="131">
        <f t="shared" si="93"/>
        <v>0</v>
      </c>
      <c r="AB94" s="131">
        <f t="shared" si="94"/>
        <v>0</v>
      </c>
      <c r="AC94" s="131">
        <f t="shared" si="95"/>
        <v>0</v>
      </c>
      <c r="AD94" s="131">
        <f t="shared" si="96"/>
        <v>0</v>
      </c>
      <c r="AE94" s="131">
        <f t="shared" si="97"/>
        <v>0</v>
      </c>
      <c r="AF94" s="131">
        <f t="shared" si="98"/>
        <v>0</v>
      </c>
      <c r="AG94" s="131">
        <f t="shared" si="99"/>
        <v>0</v>
      </c>
      <c r="AH94" s="131">
        <f t="shared" si="100"/>
        <v>0</v>
      </c>
      <c r="AI94" s="115" t="s">
        <v>53</v>
      </c>
      <c r="AJ94" s="131">
        <f t="shared" si="101"/>
        <v>0</v>
      </c>
      <c r="AK94" s="131">
        <f t="shared" si="102"/>
        <v>0</v>
      </c>
      <c r="AL94" s="131">
        <f t="shared" si="103"/>
        <v>0</v>
      </c>
      <c r="AN94" s="131">
        <v>21</v>
      </c>
      <c r="AO94" s="131">
        <f t="shared" si="104"/>
        <v>0</v>
      </c>
      <c r="AP94" s="131">
        <f t="shared" si="105"/>
        <v>0</v>
      </c>
      <c r="AQ94" s="132" t="s">
        <v>343</v>
      </c>
      <c r="AV94" s="131">
        <f t="shared" si="106"/>
        <v>0</v>
      </c>
      <c r="AW94" s="131">
        <f t="shared" si="107"/>
        <v>0</v>
      </c>
      <c r="AX94" s="131">
        <f t="shared" si="108"/>
        <v>0</v>
      </c>
      <c r="AY94" s="132" t="s">
        <v>344</v>
      </c>
      <c r="AZ94" s="132" t="s">
        <v>345</v>
      </c>
      <c r="BA94" s="115" t="s">
        <v>63</v>
      </c>
      <c r="BC94" s="131">
        <f t="shared" si="109"/>
        <v>0</v>
      </c>
      <c r="BD94" s="131">
        <f t="shared" si="110"/>
        <v>0</v>
      </c>
      <c r="BE94" s="131">
        <v>0</v>
      </c>
      <c r="BF94" s="131">
        <f>94</f>
        <v>94</v>
      </c>
      <c r="BH94" s="131">
        <f t="shared" si="111"/>
        <v>0</v>
      </c>
      <c r="BI94" s="131">
        <f t="shared" si="112"/>
        <v>0</v>
      </c>
      <c r="BJ94" s="131">
        <f t="shared" si="113"/>
        <v>0</v>
      </c>
      <c r="BK94" s="131"/>
      <c r="BL94" s="131"/>
      <c r="BW94" s="131">
        <v>21</v>
      </c>
      <c r="BX94" s="133" t="s">
        <v>372</v>
      </c>
    </row>
    <row r="95" spans="1:76" x14ac:dyDescent="0.25">
      <c r="A95" s="127" t="s">
        <v>293</v>
      </c>
      <c r="B95" s="128" t="s">
        <v>374</v>
      </c>
      <c r="C95" s="277" t="s">
        <v>375</v>
      </c>
      <c r="D95" s="278"/>
      <c r="E95" s="128" t="s">
        <v>164</v>
      </c>
      <c r="F95" s="129">
        <v>11.43</v>
      </c>
      <c r="G95" s="178">
        <v>0</v>
      </c>
      <c r="H95" s="129">
        <f t="shared" si="90"/>
        <v>0</v>
      </c>
      <c r="I95" s="129">
        <f t="shared" si="91"/>
        <v>0</v>
      </c>
      <c r="J95" s="129">
        <f t="shared" si="92"/>
        <v>0</v>
      </c>
      <c r="K95" s="130" t="s">
        <v>60</v>
      </c>
      <c r="Z95" s="131">
        <f t="shared" si="93"/>
        <v>0</v>
      </c>
      <c r="AB95" s="131">
        <f t="shared" si="94"/>
        <v>0</v>
      </c>
      <c r="AC95" s="131">
        <f t="shared" si="95"/>
        <v>0</v>
      </c>
      <c r="AD95" s="131">
        <f t="shared" si="96"/>
        <v>0</v>
      </c>
      <c r="AE95" s="131">
        <f t="shared" si="97"/>
        <v>0</v>
      </c>
      <c r="AF95" s="131">
        <f t="shared" si="98"/>
        <v>0</v>
      </c>
      <c r="AG95" s="131">
        <f t="shared" si="99"/>
        <v>0</v>
      </c>
      <c r="AH95" s="131">
        <f t="shared" si="100"/>
        <v>0</v>
      </c>
      <c r="AI95" s="115" t="s">
        <v>53</v>
      </c>
      <c r="AJ95" s="131">
        <f t="shared" si="101"/>
        <v>0</v>
      </c>
      <c r="AK95" s="131">
        <f t="shared" si="102"/>
        <v>0</v>
      </c>
      <c r="AL95" s="131">
        <f t="shared" si="103"/>
        <v>0</v>
      </c>
      <c r="AN95" s="131">
        <v>21</v>
      </c>
      <c r="AO95" s="131">
        <f t="shared" si="104"/>
        <v>0</v>
      </c>
      <c r="AP95" s="131">
        <f t="shared" si="105"/>
        <v>0</v>
      </c>
      <c r="AQ95" s="132" t="s">
        <v>343</v>
      </c>
      <c r="AV95" s="131">
        <f t="shared" si="106"/>
        <v>0</v>
      </c>
      <c r="AW95" s="131">
        <f t="shared" si="107"/>
        <v>0</v>
      </c>
      <c r="AX95" s="131">
        <f t="shared" si="108"/>
        <v>0</v>
      </c>
      <c r="AY95" s="132" t="s">
        <v>344</v>
      </c>
      <c r="AZ95" s="132" t="s">
        <v>345</v>
      </c>
      <c r="BA95" s="115" t="s">
        <v>63</v>
      </c>
      <c r="BC95" s="131">
        <f t="shared" si="109"/>
        <v>0</v>
      </c>
      <c r="BD95" s="131">
        <f t="shared" si="110"/>
        <v>0</v>
      </c>
      <c r="BE95" s="131">
        <v>0</v>
      </c>
      <c r="BF95" s="131">
        <f>95</f>
        <v>95</v>
      </c>
      <c r="BH95" s="131">
        <f t="shared" si="111"/>
        <v>0</v>
      </c>
      <c r="BI95" s="131">
        <f t="shared" si="112"/>
        <v>0</v>
      </c>
      <c r="BJ95" s="131">
        <f t="shared" si="113"/>
        <v>0</v>
      </c>
      <c r="BK95" s="131"/>
      <c r="BL95" s="131"/>
      <c r="BW95" s="131">
        <v>21</v>
      </c>
      <c r="BX95" s="133" t="s">
        <v>375</v>
      </c>
    </row>
    <row r="96" spans="1:76" x14ac:dyDescent="0.25">
      <c r="A96" s="127" t="s">
        <v>296</v>
      </c>
      <c r="B96" s="128" t="s">
        <v>555</v>
      </c>
      <c r="C96" s="277" t="s">
        <v>556</v>
      </c>
      <c r="D96" s="278"/>
      <c r="E96" s="128" t="s">
        <v>164</v>
      </c>
      <c r="F96" s="129">
        <v>6.86</v>
      </c>
      <c r="G96" s="178">
        <v>0</v>
      </c>
      <c r="H96" s="129">
        <f t="shared" si="90"/>
        <v>0</v>
      </c>
      <c r="I96" s="129">
        <f t="shared" si="91"/>
        <v>0</v>
      </c>
      <c r="J96" s="129">
        <f t="shared" si="92"/>
        <v>0</v>
      </c>
      <c r="K96" s="130" t="s">
        <v>60</v>
      </c>
      <c r="Z96" s="131">
        <f t="shared" si="93"/>
        <v>0</v>
      </c>
      <c r="AB96" s="131">
        <f t="shared" si="94"/>
        <v>0</v>
      </c>
      <c r="AC96" s="131">
        <f t="shared" si="95"/>
        <v>0</v>
      </c>
      <c r="AD96" s="131">
        <f t="shared" si="96"/>
        <v>0</v>
      </c>
      <c r="AE96" s="131">
        <f t="shared" si="97"/>
        <v>0</v>
      </c>
      <c r="AF96" s="131">
        <f t="shared" si="98"/>
        <v>0</v>
      </c>
      <c r="AG96" s="131">
        <f t="shared" si="99"/>
        <v>0</v>
      </c>
      <c r="AH96" s="131">
        <f t="shared" si="100"/>
        <v>0</v>
      </c>
      <c r="AI96" s="115" t="s">
        <v>53</v>
      </c>
      <c r="AJ96" s="131">
        <f t="shared" si="101"/>
        <v>0</v>
      </c>
      <c r="AK96" s="131">
        <f t="shared" si="102"/>
        <v>0</v>
      </c>
      <c r="AL96" s="131">
        <f t="shared" si="103"/>
        <v>0</v>
      </c>
      <c r="AN96" s="131">
        <v>21</v>
      </c>
      <c r="AO96" s="131">
        <f t="shared" si="104"/>
        <v>0</v>
      </c>
      <c r="AP96" s="131">
        <f t="shared" si="105"/>
        <v>0</v>
      </c>
      <c r="AQ96" s="132" t="s">
        <v>343</v>
      </c>
      <c r="AV96" s="131">
        <f t="shared" si="106"/>
        <v>0</v>
      </c>
      <c r="AW96" s="131">
        <f t="shared" si="107"/>
        <v>0</v>
      </c>
      <c r="AX96" s="131">
        <f t="shared" si="108"/>
        <v>0</v>
      </c>
      <c r="AY96" s="132" t="s">
        <v>344</v>
      </c>
      <c r="AZ96" s="132" t="s">
        <v>345</v>
      </c>
      <c r="BA96" s="115" t="s">
        <v>63</v>
      </c>
      <c r="BC96" s="131">
        <f t="shared" si="109"/>
        <v>0</v>
      </c>
      <c r="BD96" s="131">
        <f t="shared" si="110"/>
        <v>0</v>
      </c>
      <c r="BE96" s="131">
        <v>0</v>
      </c>
      <c r="BF96" s="131">
        <f>96</f>
        <v>96</v>
      </c>
      <c r="BH96" s="131">
        <f t="shared" si="111"/>
        <v>0</v>
      </c>
      <c r="BI96" s="131">
        <f t="shared" si="112"/>
        <v>0</v>
      </c>
      <c r="BJ96" s="131">
        <f t="shared" si="113"/>
        <v>0</v>
      </c>
      <c r="BK96" s="131"/>
      <c r="BL96" s="131"/>
      <c r="BW96" s="131">
        <v>21</v>
      </c>
      <c r="BX96" s="133" t="s">
        <v>556</v>
      </c>
    </row>
    <row r="97" spans="1:76" x14ac:dyDescent="0.25">
      <c r="A97" s="127" t="s">
        <v>301</v>
      </c>
      <c r="B97" s="128" t="s">
        <v>377</v>
      </c>
      <c r="C97" s="277" t="s">
        <v>378</v>
      </c>
      <c r="D97" s="278"/>
      <c r="E97" s="128" t="s">
        <v>164</v>
      </c>
      <c r="F97" s="129">
        <v>133.71</v>
      </c>
      <c r="G97" s="178">
        <v>0</v>
      </c>
      <c r="H97" s="129">
        <f t="shared" si="90"/>
        <v>0</v>
      </c>
      <c r="I97" s="129">
        <f t="shared" si="91"/>
        <v>0</v>
      </c>
      <c r="J97" s="129">
        <f t="shared" si="92"/>
        <v>0</v>
      </c>
      <c r="K97" s="130" t="s">
        <v>60</v>
      </c>
      <c r="Z97" s="131">
        <f t="shared" si="93"/>
        <v>0</v>
      </c>
      <c r="AB97" s="131">
        <f t="shared" si="94"/>
        <v>0</v>
      </c>
      <c r="AC97" s="131">
        <f t="shared" si="95"/>
        <v>0</v>
      </c>
      <c r="AD97" s="131">
        <f t="shared" si="96"/>
        <v>0</v>
      </c>
      <c r="AE97" s="131">
        <f t="shared" si="97"/>
        <v>0</v>
      </c>
      <c r="AF97" s="131">
        <f t="shared" si="98"/>
        <v>0</v>
      </c>
      <c r="AG97" s="131">
        <f t="shared" si="99"/>
        <v>0</v>
      </c>
      <c r="AH97" s="131">
        <f t="shared" si="100"/>
        <v>0</v>
      </c>
      <c r="AI97" s="115" t="s">
        <v>53</v>
      </c>
      <c r="AJ97" s="131">
        <f t="shared" si="101"/>
        <v>0</v>
      </c>
      <c r="AK97" s="131">
        <f t="shared" si="102"/>
        <v>0</v>
      </c>
      <c r="AL97" s="131">
        <f t="shared" si="103"/>
        <v>0</v>
      </c>
      <c r="AN97" s="131">
        <v>21</v>
      </c>
      <c r="AO97" s="131">
        <f t="shared" si="104"/>
        <v>0</v>
      </c>
      <c r="AP97" s="131">
        <f t="shared" si="105"/>
        <v>0</v>
      </c>
      <c r="AQ97" s="132" t="s">
        <v>343</v>
      </c>
      <c r="AV97" s="131">
        <f t="shared" si="106"/>
        <v>0</v>
      </c>
      <c r="AW97" s="131">
        <f t="shared" si="107"/>
        <v>0</v>
      </c>
      <c r="AX97" s="131">
        <f t="shared" si="108"/>
        <v>0</v>
      </c>
      <c r="AY97" s="132" t="s">
        <v>344</v>
      </c>
      <c r="AZ97" s="132" t="s">
        <v>345</v>
      </c>
      <c r="BA97" s="115" t="s">
        <v>63</v>
      </c>
      <c r="BC97" s="131">
        <f t="shared" si="109"/>
        <v>0</v>
      </c>
      <c r="BD97" s="131">
        <f t="shared" si="110"/>
        <v>0</v>
      </c>
      <c r="BE97" s="131">
        <v>0</v>
      </c>
      <c r="BF97" s="131">
        <f>97</f>
        <v>97</v>
      </c>
      <c r="BH97" s="131">
        <f t="shared" si="111"/>
        <v>0</v>
      </c>
      <c r="BI97" s="131">
        <f t="shared" si="112"/>
        <v>0</v>
      </c>
      <c r="BJ97" s="131">
        <f t="shared" si="113"/>
        <v>0</v>
      </c>
      <c r="BK97" s="131"/>
      <c r="BL97" s="131"/>
      <c r="BW97" s="131">
        <v>21</v>
      </c>
      <c r="BX97" s="133" t="s">
        <v>378</v>
      </c>
    </row>
    <row r="98" spans="1:76" x14ac:dyDescent="0.25">
      <c r="A98" s="127" t="s">
        <v>307</v>
      </c>
      <c r="B98" s="128" t="s">
        <v>557</v>
      </c>
      <c r="C98" s="277" t="s">
        <v>558</v>
      </c>
      <c r="D98" s="278"/>
      <c r="E98" s="128" t="s">
        <v>164</v>
      </c>
      <c r="F98" s="129">
        <v>58.89</v>
      </c>
      <c r="G98" s="178">
        <v>0</v>
      </c>
      <c r="H98" s="129">
        <f t="shared" si="90"/>
        <v>0</v>
      </c>
      <c r="I98" s="129">
        <f t="shared" si="91"/>
        <v>0</v>
      </c>
      <c r="J98" s="129">
        <f t="shared" si="92"/>
        <v>0</v>
      </c>
      <c r="K98" s="130" t="s">
        <v>60</v>
      </c>
      <c r="Z98" s="131">
        <f t="shared" si="93"/>
        <v>0</v>
      </c>
      <c r="AB98" s="131">
        <f t="shared" si="94"/>
        <v>0</v>
      </c>
      <c r="AC98" s="131">
        <f t="shared" si="95"/>
        <v>0</v>
      </c>
      <c r="AD98" s="131">
        <f t="shared" si="96"/>
        <v>0</v>
      </c>
      <c r="AE98" s="131">
        <f t="shared" si="97"/>
        <v>0</v>
      </c>
      <c r="AF98" s="131">
        <f t="shared" si="98"/>
        <v>0</v>
      </c>
      <c r="AG98" s="131">
        <f t="shared" si="99"/>
        <v>0</v>
      </c>
      <c r="AH98" s="131">
        <f t="shared" si="100"/>
        <v>0</v>
      </c>
      <c r="AI98" s="115" t="s">
        <v>53</v>
      </c>
      <c r="AJ98" s="131">
        <f t="shared" si="101"/>
        <v>0</v>
      </c>
      <c r="AK98" s="131">
        <f t="shared" si="102"/>
        <v>0</v>
      </c>
      <c r="AL98" s="131">
        <f t="shared" si="103"/>
        <v>0</v>
      </c>
      <c r="AN98" s="131">
        <v>21</v>
      </c>
      <c r="AO98" s="131">
        <f t="shared" si="104"/>
        <v>0</v>
      </c>
      <c r="AP98" s="131">
        <f t="shared" si="105"/>
        <v>0</v>
      </c>
      <c r="AQ98" s="132" t="s">
        <v>343</v>
      </c>
      <c r="AV98" s="131">
        <f t="shared" si="106"/>
        <v>0</v>
      </c>
      <c r="AW98" s="131">
        <f t="shared" si="107"/>
        <v>0</v>
      </c>
      <c r="AX98" s="131">
        <f t="shared" si="108"/>
        <v>0</v>
      </c>
      <c r="AY98" s="132" t="s">
        <v>344</v>
      </c>
      <c r="AZ98" s="132" t="s">
        <v>345</v>
      </c>
      <c r="BA98" s="115" t="s">
        <v>63</v>
      </c>
      <c r="BC98" s="131">
        <f t="shared" si="109"/>
        <v>0</v>
      </c>
      <c r="BD98" s="131">
        <f t="shared" si="110"/>
        <v>0</v>
      </c>
      <c r="BE98" s="131">
        <v>0</v>
      </c>
      <c r="BF98" s="131">
        <f>98</f>
        <v>98</v>
      </c>
      <c r="BH98" s="131">
        <f t="shared" si="111"/>
        <v>0</v>
      </c>
      <c r="BI98" s="131">
        <f t="shared" si="112"/>
        <v>0</v>
      </c>
      <c r="BJ98" s="131">
        <f t="shared" si="113"/>
        <v>0</v>
      </c>
      <c r="BK98" s="131"/>
      <c r="BL98" s="131"/>
      <c r="BW98" s="131">
        <v>21</v>
      </c>
      <c r="BX98" s="133" t="s">
        <v>558</v>
      </c>
    </row>
    <row r="99" spans="1:76" x14ac:dyDescent="0.25">
      <c r="A99" s="127" t="s">
        <v>311</v>
      </c>
      <c r="B99" s="128" t="s">
        <v>559</v>
      </c>
      <c r="C99" s="277" t="s">
        <v>560</v>
      </c>
      <c r="D99" s="278"/>
      <c r="E99" s="128" t="s">
        <v>164</v>
      </c>
      <c r="F99" s="129">
        <v>54.44</v>
      </c>
      <c r="G99" s="178">
        <v>0</v>
      </c>
      <c r="H99" s="129">
        <f t="shared" si="90"/>
        <v>0</v>
      </c>
      <c r="I99" s="129">
        <f t="shared" si="91"/>
        <v>0</v>
      </c>
      <c r="J99" s="129">
        <f t="shared" si="92"/>
        <v>0</v>
      </c>
      <c r="K99" s="130" t="s">
        <v>60</v>
      </c>
      <c r="Z99" s="131">
        <f t="shared" si="93"/>
        <v>0</v>
      </c>
      <c r="AB99" s="131">
        <f t="shared" si="94"/>
        <v>0</v>
      </c>
      <c r="AC99" s="131">
        <f t="shared" si="95"/>
        <v>0</v>
      </c>
      <c r="AD99" s="131">
        <f t="shared" si="96"/>
        <v>0</v>
      </c>
      <c r="AE99" s="131">
        <f t="shared" si="97"/>
        <v>0</v>
      </c>
      <c r="AF99" s="131">
        <f t="shared" si="98"/>
        <v>0</v>
      </c>
      <c r="AG99" s="131">
        <f t="shared" si="99"/>
        <v>0</v>
      </c>
      <c r="AH99" s="131">
        <f t="shared" si="100"/>
        <v>0</v>
      </c>
      <c r="AI99" s="115" t="s">
        <v>53</v>
      </c>
      <c r="AJ99" s="131">
        <f t="shared" si="101"/>
        <v>0</v>
      </c>
      <c r="AK99" s="131">
        <f t="shared" si="102"/>
        <v>0</v>
      </c>
      <c r="AL99" s="131">
        <f t="shared" si="103"/>
        <v>0</v>
      </c>
      <c r="AN99" s="131">
        <v>21</v>
      </c>
      <c r="AO99" s="131">
        <f t="shared" si="104"/>
        <v>0</v>
      </c>
      <c r="AP99" s="131">
        <f t="shared" si="105"/>
        <v>0</v>
      </c>
      <c r="AQ99" s="132" t="s">
        <v>343</v>
      </c>
      <c r="AV99" s="131">
        <f t="shared" si="106"/>
        <v>0</v>
      </c>
      <c r="AW99" s="131">
        <f t="shared" si="107"/>
        <v>0</v>
      </c>
      <c r="AX99" s="131">
        <f t="shared" si="108"/>
        <v>0</v>
      </c>
      <c r="AY99" s="132" t="s">
        <v>344</v>
      </c>
      <c r="AZ99" s="132" t="s">
        <v>345</v>
      </c>
      <c r="BA99" s="115" t="s">
        <v>63</v>
      </c>
      <c r="BC99" s="131">
        <f t="shared" si="109"/>
        <v>0</v>
      </c>
      <c r="BD99" s="131">
        <f t="shared" si="110"/>
        <v>0</v>
      </c>
      <c r="BE99" s="131">
        <v>0</v>
      </c>
      <c r="BF99" s="131">
        <f>99</f>
        <v>99</v>
      </c>
      <c r="BH99" s="131">
        <f t="shared" si="111"/>
        <v>0</v>
      </c>
      <c r="BI99" s="131">
        <f t="shared" si="112"/>
        <v>0</v>
      </c>
      <c r="BJ99" s="131">
        <f t="shared" si="113"/>
        <v>0</v>
      </c>
      <c r="BK99" s="131"/>
      <c r="BL99" s="131"/>
      <c r="BW99" s="131">
        <v>21</v>
      </c>
      <c r="BX99" s="133" t="s">
        <v>560</v>
      </c>
    </row>
    <row r="100" spans="1:76" x14ac:dyDescent="0.25">
      <c r="A100" s="134" t="s">
        <v>314</v>
      </c>
      <c r="B100" s="135" t="s">
        <v>400</v>
      </c>
      <c r="C100" s="270" t="s">
        <v>401</v>
      </c>
      <c r="D100" s="271"/>
      <c r="E100" s="135" t="s">
        <v>164</v>
      </c>
      <c r="F100" s="131">
        <v>6</v>
      </c>
      <c r="G100" s="179">
        <v>0</v>
      </c>
      <c r="H100" s="131">
        <f t="shared" si="90"/>
        <v>0</v>
      </c>
      <c r="I100" s="131">
        <f t="shared" si="91"/>
        <v>0</v>
      </c>
      <c r="J100" s="131">
        <f t="shared" si="92"/>
        <v>0</v>
      </c>
      <c r="K100" s="136" t="s">
        <v>53</v>
      </c>
      <c r="Z100" s="131">
        <f t="shared" si="93"/>
        <v>0</v>
      </c>
      <c r="AB100" s="131">
        <f t="shared" si="94"/>
        <v>0</v>
      </c>
      <c r="AC100" s="131">
        <f t="shared" si="95"/>
        <v>0</v>
      </c>
      <c r="AD100" s="131">
        <f t="shared" si="96"/>
        <v>0</v>
      </c>
      <c r="AE100" s="131">
        <f t="shared" si="97"/>
        <v>0</v>
      </c>
      <c r="AF100" s="131">
        <f t="shared" si="98"/>
        <v>0</v>
      </c>
      <c r="AG100" s="131">
        <f t="shared" si="99"/>
        <v>0</v>
      </c>
      <c r="AH100" s="131">
        <f t="shared" si="100"/>
        <v>0</v>
      </c>
      <c r="AI100" s="115" t="s">
        <v>53</v>
      </c>
      <c r="AJ100" s="131">
        <f t="shared" si="101"/>
        <v>0</v>
      </c>
      <c r="AK100" s="131">
        <f t="shared" si="102"/>
        <v>0</v>
      </c>
      <c r="AL100" s="131">
        <f t="shared" si="103"/>
        <v>0</v>
      </c>
      <c r="AN100" s="131">
        <v>21</v>
      </c>
      <c r="AO100" s="131">
        <f t="shared" si="104"/>
        <v>0</v>
      </c>
      <c r="AP100" s="131">
        <f t="shared" si="105"/>
        <v>0</v>
      </c>
      <c r="AQ100" s="132" t="s">
        <v>343</v>
      </c>
      <c r="AV100" s="131">
        <f t="shared" si="106"/>
        <v>0</v>
      </c>
      <c r="AW100" s="131">
        <f t="shared" si="107"/>
        <v>0</v>
      </c>
      <c r="AX100" s="131">
        <f t="shared" si="108"/>
        <v>0</v>
      </c>
      <c r="AY100" s="132" t="s">
        <v>344</v>
      </c>
      <c r="AZ100" s="132" t="s">
        <v>345</v>
      </c>
      <c r="BA100" s="115" t="s">
        <v>63</v>
      </c>
      <c r="BC100" s="131">
        <f t="shared" si="109"/>
        <v>0</v>
      </c>
      <c r="BD100" s="131">
        <f t="shared" si="110"/>
        <v>0</v>
      </c>
      <c r="BE100" s="131">
        <v>0</v>
      </c>
      <c r="BF100" s="131">
        <f>100</f>
        <v>100</v>
      </c>
      <c r="BH100" s="131">
        <f t="shared" si="111"/>
        <v>0</v>
      </c>
      <c r="BI100" s="131">
        <f t="shared" si="112"/>
        <v>0</v>
      </c>
      <c r="BJ100" s="131">
        <f t="shared" si="113"/>
        <v>0</v>
      </c>
      <c r="BK100" s="131"/>
      <c r="BL100" s="131"/>
      <c r="BW100" s="131">
        <v>21</v>
      </c>
      <c r="BX100" s="133" t="s">
        <v>401</v>
      </c>
    </row>
    <row r="101" spans="1:76" x14ac:dyDescent="0.25">
      <c r="A101" s="134" t="s">
        <v>317</v>
      </c>
      <c r="B101" s="135" t="s">
        <v>397</v>
      </c>
      <c r="C101" s="270" t="s">
        <v>398</v>
      </c>
      <c r="D101" s="271"/>
      <c r="E101" s="135" t="s">
        <v>164</v>
      </c>
      <c r="F101" s="131">
        <v>6</v>
      </c>
      <c r="G101" s="179">
        <v>0</v>
      </c>
      <c r="H101" s="131">
        <f t="shared" si="90"/>
        <v>0</v>
      </c>
      <c r="I101" s="131">
        <f t="shared" si="91"/>
        <v>0</v>
      </c>
      <c r="J101" s="131">
        <f t="shared" si="92"/>
        <v>0</v>
      </c>
      <c r="K101" s="136" t="s">
        <v>53</v>
      </c>
      <c r="Z101" s="131">
        <f t="shared" si="93"/>
        <v>0</v>
      </c>
      <c r="AB101" s="131">
        <f t="shared" si="94"/>
        <v>0</v>
      </c>
      <c r="AC101" s="131">
        <f t="shared" si="95"/>
        <v>0</v>
      </c>
      <c r="AD101" s="131">
        <f t="shared" si="96"/>
        <v>0</v>
      </c>
      <c r="AE101" s="131">
        <f t="shared" si="97"/>
        <v>0</v>
      </c>
      <c r="AF101" s="131">
        <f t="shared" si="98"/>
        <v>0</v>
      </c>
      <c r="AG101" s="131">
        <f t="shared" si="99"/>
        <v>0</v>
      </c>
      <c r="AH101" s="131">
        <f t="shared" si="100"/>
        <v>0</v>
      </c>
      <c r="AI101" s="115" t="s">
        <v>53</v>
      </c>
      <c r="AJ101" s="131">
        <f t="shared" si="101"/>
        <v>0</v>
      </c>
      <c r="AK101" s="131">
        <f t="shared" si="102"/>
        <v>0</v>
      </c>
      <c r="AL101" s="131">
        <f t="shared" si="103"/>
        <v>0</v>
      </c>
      <c r="AN101" s="131">
        <v>21</v>
      </c>
      <c r="AO101" s="131">
        <f t="shared" si="104"/>
        <v>0</v>
      </c>
      <c r="AP101" s="131">
        <f t="shared" si="105"/>
        <v>0</v>
      </c>
      <c r="AQ101" s="132" t="s">
        <v>343</v>
      </c>
      <c r="AV101" s="131">
        <f t="shared" si="106"/>
        <v>0</v>
      </c>
      <c r="AW101" s="131">
        <f t="shared" si="107"/>
        <v>0</v>
      </c>
      <c r="AX101" s="131">
        <f t="shared" si="108"/>
        <v>0</v>
      </c>
      <c r="AY101" s="132" t="s">
        <v>344</v>
      </c>
      <c r="AZ101" s="132" t="s">
        <v>345</v>
      </c>
      <c r="BA101" s="115" t="s">
        <v>63</v>
      </c>
      <c r="BC101" s="131">
        <f t="shared" si="109"/>
        <v>0</v>
      </c>
      <c r="BD101" s="131">
        <f t="shared" si="110"/>
        <v>0</v>
      </c>
      <c r="BE101" s="131">
        <v>0</v>
      </c>
      <c r="BF101" s="131">
        <f>101</f>
        <v>101</v>
      </c>
      <c r="BH101" s="131">
        <f t="shared" si="111"/>
        <v>0</v>
      </c>
      <c r="BI101" s="131">
        <f t="shared" si="112"/>
        <v>0</v>
      </c>
      <c r="BJ101" s="131">
        <f t="shared" si="113"/>
        <v>0</v>
      </c>
      <c r="BK101" s="131"/>
      <c r="BL101" s="131"/>
      <c r="BW101" s="131">
        <v>21</v>
      </c>
      <c r="BX101" s="133" t="s">
        <v>398</v>
      </c>
    </row>
    <row r="102" spans="1:76" x14ac:dyDescent="0.25">
      <c r="A102" s="127" t="s">
        <v>322</v>
      </c>
      <c r="B102" s="128" t="s">
        <v>561</v>
      </c>
      <c r="C102" s="277" t="s">
        <v>562</v>
      </c>
      <c r="D102" s="278"/>
      <c r="E102" s="128" t="s">
        <v>164</v>
      </c>
      <c r="F102" s="129">
        <v>1</v>
      </c>
      <c r="G102" s="178">
        <v>0</v>
      </c>
      <c r="H102" s="129">
        <f t="shared" si="90"/>
        <v>0</v>
      </c>
      <c r="I102" s="129">
        <f t="shared" si="91"/>
        <v>0</v>
      </c>
      <c r="J102" s="129">
        <f t="shared" si="92"/>
        <v>0</v>
      </c>
      <c r="K102" s="130" t="s">
        <v>60</v>
      </c>
      <c r="Z102" s="131">
        <f t="shared" si="93"/>
        <v>0</v>
      </c>
      <c r="AB102" s="131">
        <f t="shared" si="94"/>
        <v>0</v>
      </c>
      <c r="AC102" s="131">
        <f t="shared" si="95"/>
        <v>0</v>
      </c>
      <c r="AD102" s="131">
        <f t="shared" si="96"/>
        <v>0</v>
      </c>
      <c r="AE102" s="131">
        <f t="shared" si="97"/>
        <v>0</v>
      </c>
      <c r="AF102" s="131">
        <f t="shared" si="98"/>
        <v>0</v>
      </c>
      <c r="AG102" s="131">
        <f t="shared" si="99"/>
        <v>0</v>
      </c>
      <c r="AH102" s="131">
        <f t="shared" si="100"/>
        <v>0</v>
      </c>
      <c r="AI102" s="115" t="s">
        <v>53</v>
      </c>
      <c r="AJ102" s="131">
        <f t="shared" si="101"/>
        <v>0</v>
      </c>
      <c r="AK102" s="131">
        <f t="shared" si="102"/>
        <v>0</v>
      </c>
      <c r="AL102" s="131">
        <f t="shared" si="103"/>
        <v>0</v>
      </c>
      <c r="AN102" s="131">
        <v>21</v>
      </c>
      <c r="AO102" s="131">
        <f t="shared" si="104"/>
        <v>0</v>
      </c>
      <c r="AP102" s="131">
        <f t="shared" si="105"/>
        <v>0</v>
      </c>
      <c r="AQ102" s="132" t="s">
        <v>343</v>
      </c>
      <c r="AV102" s="131">
        <f t="shared" si="106"/>
        <v>0</v>
      </c>
      <c r="AW102" s="131">
        <f t="shared" si="107"/>
        <v>0</v>
      </c>
      <c r="AX102" s="131">
        <f t="shared" si="108"/>
        <v>0</v>
      </c>
      <c r="AY102" s="132" t="s">
        <v>344</v>
      </c>
      <c r="AZ102" s="132" t="s">
        <v>345</v>
      </c>
      <c r="BA102" s="115" t="s">
        <v>63</v>
      </c>
      <c r="BC102" s="131">
        <f t="shared" si="109"/>
        <v>0</v>
      </c>
      <c r="BD102" s="131">
        <f t="shared" si="110"/>
        <v>0</v>
      </c>
      <c r="BE102" s="131">
        <v>0</v>
      </c>
      <c r="BF102" s="131">
        <f>102</f>
        <v>102</v>
      </c>
      <c r="BH102" s="131">
        <f t="shared" si="111"/>
        <v>0</v>
      </c>
      <c r="BI102" s="131">
        <f t="shared" si="112"/>
        <v>0</v>
      </c>
      <c r="BJ102" s="131">
        <f t="shared" si="113"/>
        <v>0</v>
      </c>
      <c r="BK102" s="131"/>
      <c r="BL102" s="131"/>
      <c r="BW102" s="131">
        <v>21</v>
      </c>
      <c r="BX102" s="133" t="s">
        <v>562</v>
      </c>
    </row>
    <row r="103" spans="1:76" x14ac:dyDescent="0.25">
      <c r="A103" s="127" t="s">
        <v>328</v>
      </c>
      <c r="B103" s="128" t="s">
        <v>563</v>
      </c>
      <c r="C103" s="277" t="s">
        <v>564</v>
      </c>
      <c r="D103" s="278"/>
      <c r="E103" s="128" t="s">
        <v>164</v>
      </c>
      <c r="F103" s="129">
        <v>1</v>
      </c>
      <c r="G103" s="178">
        <v>0</v>
      </c>
      <c r="H103" s="129">
        <f t="shared" si="90"/>
        <v>0</v>
      </c>
      <c r="I103" s="129">
        <f t="shared" si="91"/>
        <v>0</v>
      </c>
      <c r="J103" s="129">
        <f t="shared" si="92"/>
        <v>0</v>
      </c>
      <c r="K103" s="130" t="s">
        <v>60</v>
      </c>
      <c r="Z103" s="131">
        <f t="shared" si="93"/>
        <v>0</v>
      </c>
      <c r="AB103" s="131">
        <f t="shared" si="94"/>
        <v>0</v>
      </c>
      <c r="AC103" s="131">
        <f t="shared" si="95"/>
        <v>0</v>
      </c>
      <c r="AD103" s="131">
        <f t="shared" si="96"/>
        <v>0</v>
      </c>
      <c r="AE103" s="131">
        <f t="shared" si="97"/>
        <v>0</v>
      </c>
      <c r="AF103" s="131">
        <f t="shared" si="98"/>
        <v>0</v>
      </c>
      <c r="AG103" s="131">
        <f t="shared" si="99"/>
        <v>0</v>
      </c>
      <c r="AH103" s="131">
        <f t="shared" si="100"/>
        <v>0</v>
      </c>
      <c r="AI103" s="115" t="s">
        <v>53</v>
      </c>
      <c r="AJ103" s="131">
        <f t="shared" si="101"/>
        <v>0</v>
      </c>
      <c r="AK103" s="131">
        <f t="shared" si="102"/>
        <v>0</v>
      </c>
      <c r="AL103" s="131">
        <f t="shared" si="103"/>
        <v>0</v>
      </c>
      <c r="AN103" s="131">
        <v>21</v>
      </c>
      <c r="AO103" s="131">
        <f t="shared" si="104"/>
        <v>0</v>
      </c>
      <c r="AP103" s="131">
        <f t="shared" si="105"/>
        <v>0</v>
      </c>
      <c r="AQ103" s="132" t="s">
        <v>343</v>
      </c>
      <c r="AV103" s="131">
        <f t="shared" si="106"/>
        <v>0</v>
      </c>
      <c r="AW103" s="131">
        <f t="shared" si="107"/>
        <v>0</v>
      </c>
      <c r="AX103" s="131">
        <f t="shared" si="108"/>
        <v>0</v>
      </c>
      <c r="AY103" s="132" t="s">
        <v>344</v>
      </c>
      <c r="AZ103" s="132" t="s">
        <v>345</v>
      </c>
      <c r="BA103" s="115" t="s">
        <v>63</v>
      </c>
      <c r="BC103" s="131">
        <f t="shared" si="109"/>
        <v>0</v>
      </c>
      <c r="BD103" s="131">
        <f t="shared" si="110"/>
        <v>0</v>
      </c>
      <c r="BE103" s="131">
        <v>0</v>
      </c>
      <c r="BF103" s="131">
        <f>103</f>
        <v>103</v>
      </c>
      <c r="BH103" s="131">
        <f t="shared" si="111"/>
        <v>0</v>
      </c>
      <c r="BI103" s="131">
        <f t="shared" si="112"/>
        <v>0</v>
      </c>
      <c r="BJ103" s="131">
        <f t="shared" si="113"/>
        <v>0</v>
      </c>
      <c r="BK103" s="131"/>
      <c r="BL103" s="131"/>
      <c r="BW103" s="131">
        <v>21</v>
      </c>
      <c r="BX103" s="133" t="s">
        <v>564</v>
      </c>
    </row>
    <row r="104" spans="1:76" x14ac:dyDescent="0.25">
      <c r="A104" s="127" t="s">
        <v>332</v>
      </c>
      <c r="B104" s="128" t="s">
        <v>395</v>
      </c>
      <c r="C104" s="277" t="s">
        <v>396</v>
      </c>
      <c r="D104" s="278"/>
      <c r="E104" s="128" t="s">
        <v>164</v>
      </c>
      <c r="F104" s="129">
        <v>2</v>
      </c>
      <c r="G104" s="178">
        <v>0</v>
      </c>
      <c r="H104" s="129">
        <f t="shared" si="90"/>
        <v>0</v>
      </c>
      <c r="I104" s="129">
        <f t="shared" si="91"/>
        <v>0</v>
      </c>
      <c r="J104" s="129">
        <f t="shared" si="92"/>
        <v>0</v>
      </c>
      <c r="K104" s="130" t="s">
        <v>60</v>
      </c>
      <c r="Z104" s="131">
        <f t="shared" si="93"/>
        <v>0</v>
      </c>
      <c r="AB104" s="131">
        <f t="shared" si="94"/>
        <v>0</v>
      </c>
      <c r="AC104" s="131">
        <f t="shared" si="95"/>
        <v>0</v>
      </c>
      <c r="AD104" s="131">
        <f t="shared" si="96"/>
        <v>0</v>
      </c>
      <c r="AE104" s="131">
        <f t="shared" si="97"/>
        <v>0</v>
      </c>
      <c r="AF104" s="131">
        <f t="shared" si="98"/>
        <v>0</v>
      </c>
      <c r="AG104" s="131">
        <f t="shared" si="99"/>
        <v>0</v>
      </c>
      <c r="AH104" s="131">
        <f t="shared" si="100"/>
        <v>0</v>
      </c>
      <c r="AI104" s="115" t="s">
        <v>53</v>
      </c>
      <c r="AJ104" s="131">
        <f t="shared" si="101"/>
        <v>0</v>
      </c>
      <c r="AK104" s="131">
        <f t="shared" si="102"/>
        <v>0</v>
      </c>
      <c r="AL104" s="131">
        <f t="shared" si="103"/>
        <v>0</v>
      </c>
      <c r="AN104" s="131">
        <v>21</v>
      </c>
      <c r="AO104" s="131">
        <f t="shared" si="104"/>
        <v>0</v>
      </c>
      <c r="AP104" s="131">
        <f t="shared" si="105"/>
        <v>0</v>
      </c>
      <c r="AQ104" s="132" t="s">
        <v>343</v>
      </c>
      <c r="AV104" s="131">
        <f t="shared" si="106"/>
        <v>0</v>
      </c>
      <c r="AW104" s="131">
        <f t="shared" si="107"/>
        <v>0</v>
      </c>
      <c r="AX104" s="131">
        <f t="shared" si="108"/>
        <v>0</v>
      </c>
      <c r="AY104" s="132" t="s">
        <v>344</v>
      </c>
      <c r="AZ104" s="132" t="s">
        <v>345</v>
      </c>
      <c r="BA104" s="115" t="s">
        <v>63</v>
      </c>
      <c r="BC104" s="131">
        <f t="shared" si="109"/>
        <v>0</v>
      </c>
      <c r="BD104" s="131">
        <f t="shared" si="110"/>
        <v>0</v>
      </c>
      <c r="BE104" s="131">
        <v>0</v>
      </c>
      <c r="BF104" s="131">
        <f>104</f>
        <v>104</v>
      </c>
      <c r="BH104" s="131">
        <f t="shared" si="111"/>
        <v>0</v>
      </c>
      <c r="BI104" s="131">
        <f t="shared" si="112"/>
        <v>0</v>
      </c>
      <c r="BJ104" s="131">
        <f t="shared" si="113"/>
        <v>0</v>
      </c>
      <c r="BK104" s="131"/>
      <c r="BL104" s="131"/>
      <c r="BW104" s="131">
        <v>21</v>
      </c>
      <c r="BX104" s="133" t="s">
        <v>396</v>
      </c>
    </row>
    <row r="105" spans="1:76" x14ac:dyDescent="0.25">
      <c r="A105" s="127" t="s">
        <v>335</v>
      </c>
      <c r="B105" s="128" t="s">
        <v>565</v>
      </c>
      <c r="C105" s="277" t="s">
        <v>566</v>
      </c>
      <c r="D105" s="278"/>
      <c r="E105" s="128" t="s">
        <v>164</v>
      </c>
      <c r="F105" s="129">
        <v>2</v>
      </c>
      <c r="G105" s="178">
        <v>0</v>
      </c>
      <c r="H105" s="129">
        <f t="shared" si="90"/>
        <v>0</v>
      </c>
      <c r="I105" s="129">
        <f t="shared" si="91"/>
        <v>0</v>
      </c>
      <c r="J105" s="129">
        <f t="shared" si="92"/>
        <v>0</v>
      </c>
      <c r="K105" s="130" t="s">
        <v>60</v>
      </c>
      <c r="Z105" s="131">
        <f t="shared" si="93"/>
        <v>0</v>
      </c>
      <c r="AB105" s="131">
        <f t="shared" si="94"/>
        <v>0</v>
      </c>
      <c r="AC105" s="131">
        <f t="shared" si="95"/>
        <v>0</v>
      </c>
      <c r="AD105" s="131">
        <f t="shared" si="96"/>
        <v>0</v>
      </c>
      <c r="AE105" s="131">
        <f t="shared" si="97"/>
        <v>0</v>
      </c>
      <c r="AF105" s="131">
        <f t="shared" si="98"/>
        <v>0</v>
      </c>
      <c r="AG105" s="131">
        <f t="shared" si="99"/>
        <v>0</v>
      </c>
      <c r="AH105" s="131">
        <f t="shared" si="100"/>
        <v>0</v>
      </c>
      <c r="AI105" s="115" t="s">
        <v>53</v>
      </c>
      <c r="AJ105" s="131">
        <f t="shared" si="101"/>
        <v>0</v>
      </c>
      <c r="AK105" s="131">
        <f t="shared" si="102"/>
        <v>0</v>
      </c>
      <c r="AL105" s="131">
        <f t="shared" si="103"/>
        <v>0</v>
      </c>
      <c r="AN105" s="131">
        <v>21</v>
      </c>
      <c r="AO105" s="131">
        <f t="shared" si="104"/>
        <v>0</v>
      </c>
      <c r="AP105" s="131">
        <f t="shared" si="105"/>
        <v>0</v>
      </c>
      <c r="AQ105" s="132" t="s">
        <v>343</v>
      </c>
      <c r="AV105" s="131">
        <f t="shared" si="106"/>
        <v>0</v>
      </c>
      <c r="AW105" s="131">
        <f t="shared" si="107"/>
        <v>0</v>
      </c>
      <c r="AX105" s="131">
        <f t="shared" si="108"/>
        <v>0</v>
      </c>
      <c r="AY105" s="132" t="s">
        <v>344</v>
      </c>
      <c r="AZ105" s="132" t="s">
        <v>345</v>
      </c>
      <c r="BA105" s="115" t="s">
        <v>63</v>
      </c>
      <c r="BC105" s="131">
        <f t="shared" si="109"/>
        <v>0</v>
      </c>
      <c r="BD105" s="131">
        <f t="shared" si="110"/>
        <v>0</v>
      </c>
      <c r="BE105" s="131">
        <v>0</v>
      </c>
      <c r="BF105" s="131">
        <f>105</f>
        <v>105</v>
      </c>
      <c r="BH105" s="131">
        <f t="shared" si="111"/>
        <v>0</v>
      </c>
      <c r="BI105" s="131">
        <f t="shared" si="112"/>
        <v>0</v>
      </c>
      <c r="BJ105" s="131">
        <f t="shared" si="113"/>
        <v>0</v>
      </c>
      <c r="BK105" s="131"/>
      <c r="BL105" s="131"/>
      <c r="BW105" s="131">
        <v>21</v>
      </c>
      <c r="BX105" s="133" t="s">
        <v>566</v>
      </c>
    </row>
    <row r="106" spans="1:76" x14ac:dyDescent="0.25">
      <c r="A106" s="127" t="s">
        <v>340</v>
      </c>
      <c r="B106" s="128" t="s">
        <v>567</v>
      </c>
      <c r="C106" s="277" t="s">
        <v>568</v>
      </c>
      <c r="D106" s="278"/>
      <c r="E106" s="128" t="s">
        <v>569</v>
      </c>
      <c r="F106" s="129">
        <v>10</v>
      </c>
      <c r="G106" s="178">
        <v>0</v>
      </c>
      <c r="H106" s="129">
        <f t="shared" si="90"/>
        <v>0</v>
      </c>
      <c r="I106" s="129">
        <f t="shared" si="91"/>
        <v>0</v>
      </c>
      <c r="J106" s="129">
        <f t="shared" si="92"/>
        <v>0</v>
      </c>
      <c r="K106" s="130" t="s">
        <v>60</v>
      </c>
      <c r="Z106" s="131">
        <f t="shared" si="93"/>
        <v>0</v>
      </c>
      <c r="AB106" s="131">
        <f t="shared" si="94"/>
        <v>0</v>
      </c>
      <c r="AC106" s="131">
        <f t="shared" si="95"/>
        <v>0</v>
      </c>
      <c r="AD106" s="131">
        <f t="shared" si="96"/>
        <v>0</v>
      </c>
      <c r="AE106" s="131">
        <f t="shared" si="97"/>
        <v>0</v>
      </c>
      <c r="AF106" s="131">
        <f t="shared" si="98"/>
        <v>0</v>
      </c>
      <c r="AG106" s="131">
        <f t="shared" si="99"/>
        <v>0</v>
      </c>
      <c r="AH106" s="131">
        <f t="shared" si="100"/>
        <v>0</v>
      </c>
      <c r="AI106" s="115" t="s">
        <v>53</v>
      </c>
      <c r="AJ106" s="131">
        <f t="shared" si="101"/>
        <v>0</v>
      </c>
      <c r="AK106" s="131">
        <f t="shared" si="102"/>
        <v>0</v>
      </c>
      <c r="AL106" s="131">
        <f t="shared" si="103"/>
        <v>0</v>
      </c>
      <c r="AN106" s="131">
        <v>21</v>
      </c>
      <c r="AO106" s="131">
        <f t="shared" si="104"/>
        <v>0</v>
      </c>
      <c r="AP106" s="131">
        <f t="shared" si="105"/>
        <v>0</v>
      </c>
      <c r="AQ106" s="132" t="s">
        <v>343</v>
      </c>
      <c r="AV106" s="131">
        <f t="shared" si="106"/>
        <v>0</v>
      </c>
      <c r="AW106" s="131">
        <f t="shared" si="107"/>
        <v>0</v>
      </c>
      <c r="AX106" s="131">
        <f t="shared" si="108"/>
        <v>0</v>
      </c>
      <c r="AY106" s="132" t="s">
        <v>344</v>
      </c>
      <c r="AZ106" s="132" t="s">
        <v>345</v>
      </c>
      <c r="BA106" s="115" t="s">
        <v>63</v>
      </c>
      <c r="BC106" s="131">
        <f t="shared" si="109"/>
        <v>0</v>
      </c>
      <c r="BD106" s="131">
        <f t="shared" si="110"/>
        <v>0</v>
      </c>
      <c r="BE106" s="131">
        <v>0</v>
      </c>
      <c r="BF106" s="131">
        <f>106</f>
        <v>106</v>
      </c>
      <c r="BH106" s="131">
        <f t="shared" si="111"/>
        <v>0</v>
      </c>
      <c r="BI106" s="131">
        <f t="shared" si="112"/>
        <v>0</v>
      </c>
      <c r="BJ106" s="131">
        <f t="shared" si="113"/>
        <v>0</v>
      </c>
      <c r="BK106" s="131"/>
      <c r="BL106" s="131"/>
      <c r="BW106" s="131">
        <v>21</v>
      </c>
      <c r="BX106" s="133" t="s">
        <v>568</v>
      </c>
    </row>
    <row r="107" spans="1:76" x14ac:dyDescent="0.25">
      <c r="A107" s="134" t="s">
        <v>346</v>
      </c>
      <c r="B107" s="135" t="s">
        <v>570</v>
      </c>
      <c r="C107" s="270" t="s">
        <v>571</v>
      </c>
      <c r="D107" s="271"/>
      <c r="E107" s="135" t="s">
        <v>164</v>
      </c>
      <c r="F107" s="131">
        <v>5</v>
      </c>
      <c r="G107" s="179">
        <v>0</v>
      </c>
      <c r="H107" s="131">
        <f t="shared" si="90"/>
        <v>0</v>
      </c>
      <c r="I107" s="131">
        <f t="shared" si="91"/>
        <v>0</v>
      </c>
      <c r="J107" s="131">
        <f t="shared" si="92"/>
        <v>0</v>
      </c>
      <c r="K107" s="136" t="s">
        <v>53</v>
      </c>
      <c r="Z107" s="131">
        <f t="shared" si="93"/>
        <v>0</v>
      </c>
      <c r="AB107" s="131">
        <f t="shared" si="94"/>
        <v>0</v>
      </c>
      <c r="AC107" s="131">
        <f t="shared" si="95"/>
        <v>0</v>
      </c>
      <c r="AD107" s="131">
        <f t="shared" si="96"/>
        <v>0</v>
      </c>
      <c r="AE107" s="131">
        <f t="shared" si="97"/>
        <v>0</v>
      </c>
      <c r="AF107" s="131">
        <f t="shared" si="98"/>
        <v>0</v>
      </c>
      <c r="AG107" s="131">
        <f t="shared" si="99"/>
        <v>0</v>
      </c>
      <c r="AH107" s="131">
        <f t="shared" si="100"/>
        <v>0</v>
      </c>
      <c r="AI107" s="115" t="s">
        <v>53</v>
      </c>
      <c r="AJ107" s="131">
        <f t="shared" si="101"/>
        <v>0</v>
      </c>
      <c r="AK107" s="131">
        <f t="shared" si="102"/>
        <v>0</v>
      </c>
      <c r="AL107" s="131">
        <f t="shared" si="103"/>
        <v>0</v>
      </c>
      <c r="AN107" s="131">
        <v>21</v>
      </c>
      <c r="AO107" s="131">
        <f t="shared" si="104"/>
        <v>0</v>
      </c>
      <c r="AP107" s="131">
        <f t="shared" si="105"/>
        <v>0</v>
      </c>
      <c r="AQ107" s="132" t="s">
        <v>343</v>
      </c>
      <c r="AV107" s="131">
        <f t="shared" si="106"/>
        <v>0</v>
      </c>
      <c r="AW107" s="131">
        <f t="shared" si="107"/>
        <v>0</v>
      </c>
      <c r="AX107" s="131">
        <f t="shared" si="108"/>
        <v>0</v>
      </c>
      <c r="AY107" s="132" t="s">
        <v>344</v>
      </c>
      <c r="AZ107" s="132" t="s">
        <v>345</v>
      </c>
      <c r="BA107" s="115" t="s">
        <v>63</v>
      </c>
      <c r="BC107" s="131">
        <f t="shared" si="109"/>
        <v>0</v>
      </c>
      <c r="BD107" s="131">
        <f t="shared" si="110"/>
        <v>0</v>
      </c>
      <c r="BE107" s="131">
        <v>0</v>
      </c>
      <c r="BF107" s="131">
        <f>107</f>
        <v>107</v>
      </c>
      <c r="BH107" s="131">
        <f t="shared" si="111"/>
        <v>0</v>
      </c>
      <c r="BI107" s="131">
        <f t="shared" si="112"/>
        <v>0</v>
      </c>
      <c r="BJ107" s="131">
        <f t="shared" si="113"/>
        <v>0</v>
      </c>
      <c r="BK107" s="131"/>
      <c r="BL107" s="131"/>
      <c r="BW107" s="131">
        <v>21</v>
      </c>
      <c r="BX107" s="133" t="s">
        <v>571</v>
      </c>
    </row>
    <row r="108" spans="1:76" x14ac:dyDescent="0.25">
      <c r="A108" s="127" t="s">
        <v>349</v>
      </c>
      <c r="B108" s="128" t="s">
        <v>406</v>
      </c>
      <c r="C108" s="277" t="s">
        <v>407</v>
      </c>
      <c r="D108" s="278"/>
      <c r="E108" s="128" t="s">
        <v>408</v>
      </c>
      <c r="F108" s="129">
        <v>1.06</v>
      </c>
      <c r="G108" s="178">
        <v>0</v>
      </c>
      <c r="H108" s="129">
        <f t="shared" si="90"/>
        <v>0</v>
      </c>
      <c r="I108" s="129">
        <f t="shared" si="91"/>
        <v>0</v>
      </c>
      <c r="J108" s="129">
        <f t="shared" si="92"/>
        <v>0</v>
      </c>
      <c r="K108" s="130" t="s">
        <v>60</v>
      </c>
      <c r="Z108" s="131">
        <f t="shared" si="93"/>
        <v>0</v>
      </c>
      <c r="AB108" s="131">
        <f t="shared" si="94"/>
        <v>0</v>
      </c>
      <c r="AC108" s="131">
        <f t="shared" si="95"/>
        <v>0</v>
      </c>
      <c r="AD108" s="131">
        <f t="shared" si="96"/>
        <v>0</v>
      </c>
      <c r="AE108" s="131">
        <f t="shared" si="97"/>
        <v>0</v>
      </c>
      <c r="AF108" s="131">
        <f t="shared" si="98"/>
        <v>0</v>
      </c>
      <c r="AG108" s="131">
        <f t="shared" si="99"/>
        <v>0</v>
      </c>
      <c r="AH108" s="131">
        <f t="shared" si="100"/>
        <v>0</v>
      </c>
      <c r="AI108" s="115" t="s">
        <v>53</v>
      </c>
      <c r="AJ108" s="131">
        <f t="shared" si="101"/>
        <v>0</v>
      </c>
      <c r="AK108" s="131">
        <f t="shared" si="102"/>
        <v>0</v>
      </c>
      <c r="AL108" s="131">
        <f t="shared" si="103"/>
        <v>0</v>
      </c>
      <c r="AN108" s="131">
        <v>21</v>
      </c>
      <c r="AO108" s="131">
        <f t="shared" si="104"/>
        <v>0</v>
      </c>
      <c r="AP108" s="131">
        <f t="shared" si="105"/>
        <v>0</v>
      </c>
      <c r="AQ108" s="132" t="s">
        <v>343</v>
      </c>
      <c r="AV108" s="131">
        <f t="shared" si="106"/>
        <v>0</v>
      </c>
      <c r="AW108" s="131">
        <f t="shared" si="107"/>
        <v>0</v>
      </c>
      <c r="AX108" s="131">
        <f t="shared" si="108"/>
        <v>0</v>
      </c>
      <c r="AY108" s="132" t="s">
        <v>344</v>
      </c>
      <c r="AZ108" s="132" t="s">
        <v>345</v>
      </c>
      <c r="BA108" s="115" t="s">
        <v>63</v>
      </c>
      <c r="BC108" s="131">
        <f t="shared" si="109"/>
        <v>0</v>
      </c>
      <c r="BD108" s="131">
        <f t="shared" si="110"/>
        <v>0</v>
      </c>
      <c r="BE108" s="131">
        <v>0</v>
      </c>
      <c r="BF108" s="131">
        <f>108</f>
        <v>108</v>
      </c>
      <c r="BH108" s="131">
        <f t="shared" si="111"/>
        <v>0</v>
      </c>
      <c r="BI108" s="131">
        <f t="shared" si="112"/>
        <v>0</v>
      </c>
      <c r="BJ108" s="131">
        <f t="shared" si="113"/>
        <v>0</v>
      </c>
      <c r="BK108" s="131"/>
      <c r="BL108" s="131"/>
      <c r="BW108" s="131">
        <v>21</v>
      </c>
      <c r="BX108" s="133" t="s">
        <v>407</v>
      </c>
    </row>
    <row r="109" spans="1:76" x14ac:dyDescent="0.25">
      <c r="A109" s="123" t="s">
        <v>53</v>
      </c>
      <c r="B109" s="124" t="s">
        <v>409</v>
      </c>
      <c r="C109" s="272" t="s">
        <v>410</v>
      </c>
      <c r="D109" s="273"/>
      <c r="E109" s="125" t="s">
        <v>9</v>
      </c>
      <c r="F109" s="125" t="s">
        <v>9</v>
      </c>
      <c r="G109" s="125" t="s">
        <v>9</v>
      </c>
      <c r="H109" s="110">
        <f>H110+H112+H114</f>
        <v>0</v>
      </c>
      <c r="I109" s="110">
        <f>I110+I112+I114</f>
        <v>0</v>
      </c>
      <c r="J109" s="110">
        <f>J110+J112+J114</f>
        <v>0</v>
      </c>
      <c r="K109" s="126" t="s">
        <v>53</v>
      </c>
      <c r="AI109" s="115" t="s">
        <v>53</v>
      </c>
    </row>
    <row r="110" spans="1:76" x14ac:dyDescent="0.25">
      <c r="A110" s="123" t="s">
        <v>53</v>
      </c>
      <c r="B110" s="124" t="s">
        <v>411</v>
      </c>
      <c r="C110" s="272" t="s">
        <v>412</v>
      </c>
      <c r="D110" s="273"/>
      <c r="E110" s="125" t="s">
        <v>9</v>
      </c>
      <c r="F110" s="125" t="s">
        <v>9</v>
      </c>
      <c r="G110" s="125" t="s">
        <v>9</v>
      </c>
      <c r="H110" s="110">
        <f>SUM(H111:H111)</f>
        <v>0</v>
      </c>
      <c r="I110" s="110">
        <f>SUM(I111:I111)</f>
        <v>0</v>
      </c>
      <c r="J110" s="110">
        <f>SUM(J111:J111)</f>
        <v>0</v>
      </c>
      <c r="K110" s="126" t="s">
        <v>53</v>
      </c>
      <c r="AI110" s="115" t="s">
        <v>53</v>
      </c>
      <c r="AS110" s="110">
        <f>SUM(AJ111:AJ111)</f>
        <v>0</v>
      </c>
      <c r="AT110" s="110">
        <f>SUM(AK111:AK111)</f>
        <v>0</v>
      </c>
      <c r="AU110" s="110">
        <f>SUM(AL111:AL111)</f>
        <v>0</v>
      </c>
    </row>
    <row r="111" spans="1:76" x14ac:dyDescent="0.25">
      <c r="A111" s="134" t="s">
        <v>352</v>
      </c>
      <c r="B111" s="135" t="s">
        <v>414</v>
      </c>
      <c r="C111" s="270" t="s">
        <v>415</v>
      </c>
      <c r="D111" s="271"/>
      <c r="E111" s="135" t="s">
        <v>416</v>
      </c>
      <c r="F111" s="131">
        <v>1</v>
      </c>
      <c r="G111" s="179">
        <v>0</v>
      </c>
      <c r="H111" s="131">
        <f>F111*AO111</f>
        <v>0</v>
      </c>
      <c r="I111" s="131">
        <f>F111*AP111</f>
        <v>0</v>
      </c>
      <c r="J111" s="131">
        <f>F111*G111</f>
        <v>0</v>
      </c>
      <c r="K111" s="136" t="s">
        <v>53</v>
      </c>
      <c r="Z111" s="131">
        <f>IF(AQ111="5",BJ111,0)</f>
        <v>0</v>
      </c>
      <c r="AB111" s="131">
        <f>IF(AQ111="1",BH111,0)</f>
        <v>0</v>
      </c>
      <c r="AC111" s="131">
        <f>IF(AQ111="1",BI111,0)</f>
        <v>0</v>
      </c>
      <c r="AD111" s="131">
        <f>IF(AQ111="7",BH111,0)</f>
        <v>0</v>
      </c>
      <c r="AE111" s="131">
        <f>IF(AQ111="7",BI111,0)</f>
        <v>0</v>
      </c>
      <c r="AF111" s="131">
        <f>IF(AQ111="2",BH111,0)</f>
        <v>0</v>
      </c>
      <c r="AG111" s="131">
        <f>IF(AQ111="2",BI111,0)</f>
        <v>0</v>
      </c>
      <c r="AH111" s="131">
        <f>IF(AQ111="0",BJ111,0)</f>
        <v>0</v>
      </c>
      <c r="AI111" s="115" t="s">
        <v>53</v>
      </c>
      <c r="AJ111" s="131">
        <f>IF(AN111=0,J111,0)</f>
        <v>0</v>
      </c>
      <c r="AK111" s="131">
        <f>IF(AN111=12,J111,0)</f>
        <v>0</v>
      </c>
      <c r="AL111" s="131">
        <f>IF(AN111=21,J111,0)</f>
        <v>0</v>
      </c>
      <c r="AN111" s="131">
        <v>21</v>
      </c>
      <c r="AO111" s="131">
        <f>G111*0</f>
        <v>0</v>
      </c>
      <c r="AP111" s="131">
        <f>G111*(1-0)</f>
        <v>0</v>
      </c>
      <c r="AQ111" s="132" t="s">
        <v>405</v>
      </c>
      <c r="AV111" s="131">
        <f>AW111+AX111</f>
        <v>0</v>
      </c>
      <c r="AW111" s="131">
        <f>F111*AO111</f>
        <v>0</v>
      </c>
      <c r="AX111" s="131">
        <f>F111*AP111</f>
        <v>0</v>
      </c>
      <c r="AY111" s="132" t="s">
        <v>417</v>
      </c>
      <c r="AZ111" s="132" t="s">
        <v>418</v>
      </c>
      <c r="BA111" s="115" t="s">
        <v>63</v>
      </c>
      <c r="BC111" s="131">
        <f>AW111+AX111</f>
        <v>0</v>
      </c>
      <c r="BD111" s="131">
        <f>G111/(100-BE111)*100</f>
        <v>0</v>
      </c>
      <c r="BE111" s="131">
        <v>0</v>
      </c>
      <c r="BF111" s="131">
        <f>111</f>
        <v>111</v>
      </c>
      <c r="BH111" s="131">
        <f>F111*AO111</f>
        <v>0</v>
      </c>
      <c r="BI111" s="131">
        <f>F111*AP111</f>
        <v>0</v>
      </c>
      <c r="BJ111" s="131">
        <f>F111*G111</f>
        <v>0</v>
      </c>
      <c r="BK111" s="131"/>
      <c r="BL111" s="131"/>
      <c r="BM111" s="131">
        <f>F111*G111</f>
        <v>0</v>
      </c>
      <c r="BW111" s="131">
        <v>21</v>
      </c>
      <c r="BX111" s="133" t="s">
        <v>415</v>
      </c>
    </row>
    <row r="112" spans="1:76" x14ac:dyDescent="0.25">
      <c r="A112" s="123" t="s">
        <v>53</v>
      </c>
      <c r="B112" s="124" t="s">
        <v>419</v>
      </c>
      <c r="C112" s="272" t="s">
        <v>420</v>
      </c>
      <c r="D112" s="273"/>
      <c r="E112" s="125" t="s">
        <v>9</v>
      </c>
      <c r="F112" s="125" t="s">
        <v>9</v>
      </c>
      <c r="G112" s="125" t="s">
        <v>9</v>
      </c>
      <c r="H112" s="110">
        <f>SUM(H113:H113)</f>
        <v>0</v>
      </c>
      <c r="I112" s="110">
        <f>SUM(I113:I113)</f>
        <v>0</v>
      </c>
      <c r="J112" s="110">
        <f>SUM(J113:J113)</f>
        <v>0</v>
      </c>
      <c r="K112" s="126" t="s">
        <v>53</v>
      </c>
      <c r="AI112" s="115" t="s">
        <v>53</v>
      </c>
      <c r="AS112" s="110">
        <f>SUM(AJ113:AJ113)</f>
        <v>0</v>
      </c>
      <c r="AT112" s="110">
        <f>SUM(AK113:AK113)</f>
        <v>0</v>
      </c>
      <c r="AU112" s="110">
        <f>SUM(AL113:AL113)</f>
        <v>0</v>
      </c>
    </row>
    <row r="113" spans="1:76" x14ac:dyDescent="0.25">
      <c r="A113" s="134" t="s">
        <v>355</v>
      </c>
      <c r="B113" s="135" t="s">
        <v>422</v>
      </c>
      <c r="C113" s="270" t="s">
        <v>420</v>
      </c>
      <c r="D113" s="271"/>
      <c r="E113" s="135" t="s">
        <v>416</v>
      </c>
      <c r="F113" s="131">
        <v>1</v>
      </c>
      <c r="G113" s="179">
        <v>0</v>
      </c>
      <c r="H113" s="131">
        <f>F113*AO113</f>
        <v>0</v>
      </c>
      <c r="I113" s="131">
        <f>F113*AP113</f>
        <v>0</v>
      </c>
      <c r="J113" s="131">
        <f>F113*G113</f>
        <v>0</v>
      </c>
      <c r="K113" s="136" t="s">
        <v>53</v>
      </c>
      <c r="Z113" s="131">
        <f>IF(AQ113="5",BJ113,0)</f>
        <v>0</v>
      </c>
      <c r="AB113" s="131">
        <f>IF(AQ113="1",BH113,0)</f>
        <v>0</v>
      </c>
      <c r="AC113" s="131">
        <f>IF(AQ113="1",BI113,0)</f>
        <v>0</v>
      </c>
      <c r="AD113" s="131">
        <f>IF(AQ113="7",BH113,0)</f>
        <v>0</v>
      </c>
      <c r="AE113" s="131">
        <f>IF(AQ113="7",BI113,0)</f>
        <v>0</v>
      </c>
      <c r="AF113" s="131">
        <f>IF(AQ113="2",BH113,0)</f>
        <v>0</v>
      </c>
      <c r="AG113" s="131">
        <f>IF(AQ113="2",BI113,0)</f>
        <v>0</v>
      </c>
      <c r="AH113" s="131">
        <f>IF(AQ113="0",BJ113,0)</f>
        <v>0</v>
      </c>
      <c r="AI113" s="115" t="s">
        <v>53</v>
      </c>
      <c r="AJ113" s="131">
        <f>IF(AN113=0,J113,0)</f>
        <v>0</v>
      </c>
      <c r="AK113" s="131">
        <f>IF(AN113=12,J113,0)</f>
        <v>0</v>
      </c>
      <c r="AL113" s="131">
        <f>IF(AN113=21,J113,0)</f>
        <v>0</v>
      </c>
      <c r="AN113" s="131">
        <v>21</v>
      </c>
      <c r="AO113" s="131">
        <f>G113*0</f>
        <v>0</v>
      </c>
      <c r="AP113" s="131">
        <f>G113*(1-0)</f>
        <v>0</v>
      </c>
      <c r="AQ113" s="132" t="s">
        <v>405</v>
      </c>
      <c r="AV113" s="131">
        <f>AW113+AX113</f>
        <v>0</v>
      </c>
      <c r="AW113" s="131">
        <f>F113*AO113</f>
        <v>0</v>
      </c>
      <c r="AX113" s="131">
        <f>F113*AP113</f>
        <v>0</v>
      </c>
      <c r="AY113" s="132" t="s">
        <v>423</v>
      </c>
      <c r="AZ113" s="132" t="s">
        <v>418</v>
      </c>
      <c r="BA113" s="115" t="s">
        <v>63</v>
      </c>
      <c r="BC113" s="131">
        <f>AW113+AX113</f>
        <v>0</v>
      </c>
      <c r="BD113" s="131">
        <f>G113/(100-BE113)*100</f>
        <v>0</v>
      </c>
      <c r="BE113" s="131">
        <v>0</v>
      </c>
      <c r="BF113" s="131">
        <f>113</f>
        <v>113</v>
      </c>
      <c r="BH113" s="131">
        <f>F113*AO113</f>
        <v>0</v>
      </c>
      <c r="BI113" s="131">
        <f>F113*AP113</f>
        <v>0</v>
      </c>
      <c r="BJ113" s="131">
        <f>F113*G113</f>
        <v>0</v>
      </c>
      <c r="BK113" s="131"/>
      <c r="BL113" s="131"/>
      <c r="BO113" s="131">
        <f>F113*G113</f>
        <v>0</v>
      </c>
      <c r="BW113" s="131">
        <v>21</v>
      </c>
      <c r="BX113" s="133" t="s">
        <v>420</v>
      </c>
    </row>
    <row r="114" spans="1:76" x14ac:dyDescent="0.25">
      <c r="A114" s="123" t="s">
        <v>53</v>
      </c>
      <c r="B114" s="124" t="s">
        <v>424</v>
      </c>
      <c r="C114" s="272" t="s">
        <v>425</v>
      </c>
      <c r="D114" s="273"/>
      <c r="E114" s="125" t="s">
        <v>9</v>
      </c>
      <c r="F114" s="125" t="s">
        <v>9</v>
      </c>
      <c r="G114" s="125" t="s">
        <v>9</v>
      </c>
      <c r="H114" s="110">
        <f>SUM(H115:H115)</f>
        <v>0</v>
      </c>
      <c r="I114" s="110">
        <f>SUM(I115:I115)</f>
        <v>0</v>
      </c>
      <c r="J114" s="110">
        <f>SUM(J115:J115)</f>
        <v>0</v>
      </c>
      <c r="K114" s="126" t="s">
        <v>53</v>
      </c>
      <c r="AI114" s="115" t="s">
        <v>53</v>
      </c>
      <c r="AS114" s="110">
        <f>SUM(AJ115:AJ115)</f>
        <v>0</v>
      </c>
      <c r="AT114" s="110">
        <f>SUM(AK115:AK115)</f>
        <v>0</v>
      </c>
      <c r="AU114" s="110">
        <f>SUM(AL115:AL115)</f>
        <v>0</v>
      </c>
    </row>
    <row r="115" spans="1:76" x14ac:dyDescent="0.25">
      <c r="A115" s="137" t="s">
        <v>358</v>
      </c>
      <c r="B115" s="138" t="s">
        <v>427</v>
      </c>
      <c r="C115" s="274" t="s">
        <v>428</v>
      </c>
      <c r="D115" s="275"/>
      <c r="E115" s="138" t="s">
        <v>416</v>
      </c>
      <c r="F115" s="139">
        <v>1</v>
      </c>
      <c r="G115" s="180">
        <v>0</v>
      </c>
      <c r="H115" s="139">
        <f>F115*AO115</f>
        <v>0</v>
      </c>
      <c r="I115" s="139">
        <f>F115*AP115</f>
        <v>0</v>
      </c>
      <c r="J115" s="139">
        <f>F115*G115</f>
        <v>0</v>
      </c>
      <c r="K115" s="140" t="s">
        <v>53</v>
      </c>
      <c r="Z115" s="131">
        <f>IF(AQ115="5",BJ115,0)</f>
        <v>0</v>
      </c>
      <c r="AB115" s="131">
        <f>IF(AQ115="1",BH115,0)</f>
        <v>0</v>
      </c>
      <c r="AC115" s="131">
        <f>IF(AQ115="1",BI115,0)</f>
        <v>0</v>
      </c>
      <c r="AD115" s="131">
        <f>IF(AQ115="7",BH115,0)</f>
        <v>0</v>
      </c>
      <c r="AE115" s="131">
        <f>IF(AQ115="7",BI115,0)</f>
        <v>0</v>
      </c>
      <c r="AF115" s="131">
        <f>IF(AQ115="2",BH115,0)</f>
        <v>0</v>
      </c>
      <c r="AG115" s="131">
        <f>IF(AQ115="2",BI115,0)</f>
        <v>0</v>
      </c>
      <c r="AH115" s="131">
        <f>IF(AQ115="0",BJ115,0)</f>
        <v>0</v>
      </c>
      <c r="AI115" s="115" t="s">
        <v>53</v>
      </c>
      <c r="AJ115" s="131">
        <f>IF(AN115=0,J115,0)</f>
        <v>0</v>
      </c>
      <c r="AK115" s="131">
        <f>IF(AN115=12,J115,0)</f>
        <v>0</v>
      </c>
      <c r="AL115" s="131">
        <f>IF(AN115=21,J115,0)</f>
        <v>0</v>
      </c>
      <c r="AN115" s="131">
        <v>21</v>
      </c>
      <c r="AO115" s="131">
        <f>G115*0</f>
        <v>0</v>
      </c>
      <c r="AP115" s="131">
        <f>G115*(1-0)</f>
        <v>0</v>
      </c>
      <c r="AQ115" s="132" t="s">
        <v>405</v>
      </c>
      <c r="AV115" s="131">
        <f>AW115+AX115</f>
        <v>0</v>
      </c>
      <c r="AW115" s="131">
        <f>F115*AO115</f>
        <v>0</v>
      </c>
      <c r="AX115" s="131">
        <f>F115*AP115</f>
        <v>0</v>
      </c>
      <c r="AY115" s="132" t="s">
        <v>429</v>
      </c>
      <c r="AZ115" s="132" t="s">
        <v>418</v>
      </c>
      <c r="BA115" s="115" t="s">
        <v>63</v>
      </c>
      <c r="BC115" s="131">
        <f>AW115+AX115</f>
        <v>0</v>
      </c>
      <c r="BD115" s="131">
        <f>G115/(100-BE115)*100</f>
        <v>0</v>
      </c>
      <c r="BE115" s="131">
        <v>0</v>
      </c>
      <c r="BF115" s="131">
        <f>115</f>
        <v>115</v>
      </c>
      <c r="BH115" s="131">
        <f>F115*AO115</f>
        <v>0</v>
      </c>
      <c r="BI115" s="131">
        <f>F115*AP115</f>
        <v>0</v>
      </c>
      <c r="BJ115" s="131">
        <f>F115*G115</f>
        <v>0</v>
      </c>
      <c r="BK115" s="131"/>
      <c r="BL115" s="131"/>
      <c r="BR115" s="131">
        <f>F115*G115</f>
        <v>0</v>
      </c>
      <c r="BW115" s="131">
        <v>21</v>
      </c>
      <c r="BX115" s="133" t="s">
        <v>428</v>
      </c>
    </row>
    <row r="116" spans="1:76" x14ac:dyDescent="0.25">
      <c r="H116" s="276" t="s">
        <v>430</v>
      </c>
      <c r="I116" s="276"/>
      <c r="J116" s="141">
        <f>ROUND(J12+J15+J19+J21+J29+J33+J38+J46+J48+J55+J58+J60+J63+J73+J75+J78+J80+J84+J110+J112+J114,0)</f>
        <v>0</v>
      </c>
    </row>
    <row r="117" spans="1:76" x14ac:dyDescent="0.25">
      <c r="A117" s="142" t="s">
        <v>431</v>
      </c>
    </row>
    <row r="118" spans="1:76" ht="12.75" customHeight="1" x14ac:dyDescent="0.25">
      <c r="A118" s="270" t="s">
        <v>53</v>
      </c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</row>
  </sheetData>
  <mergeCells count="134">
    <mergeCell ref="A4:B5"/>
    <mergeCell ref="C4:D5"/>
    <mergeCell ref="E4:F5"/>
    <mergeCell ref="G4:G5"/>
    <mergeCell ref="H4:H5"/>
    <mergeCell ref="I4:K5"/>
    <mergeCell ref="A1:K1"/>
    <mergeCell ref="A2:B3"/>
    <mergeCell ref="C2:D3"/>
    <mergeCell ref="E2:F3"/>
    <mergeCell ref="G2:G3"/>
    <mergeCell ref="H2:H3"/>
    <mergeCell ref="I2:K3"/>
    <mergeCell ref="A8:B9"/>
    <mergeCell ref="C8:D9"/>
    <mergeCell ref="E8:F9"/>
    <mergeCell ref="G8:G9"/>
    <mergeCell ref="H8:H9"/>
    <mergeCell ref="I8:K9"/>
    <mergeCell ref="A6:B7"/>
    <mergeCell ref="C6:D7"/>
    <mergeCell ref="E6:F7"/>
    <mergeCell ref="G6:G7"/>
    <mergeCell ref="H6:H7"/>
    <mergeCell ref="I6:K7"/>
    <mergeCell ref="C15:D15"/>
    <mergeCell ref="C16:D16"/>
    <mergeCell ref="C17:D17"/>
    <mergeCell ref="C18:D18"/>
    <mergeCell ref="C19:D19"/>
    <mergeCell ref="C20:D20"/>
    <mergeCell ref="C10:D10"/>
    <mergeCell ref="H10:J10"/>
    <mergeCell ref="C11:D11"/>
    <mergeCell ref="C12:D12"/>
    <mergeCell ref="C13:D13"/>
    <mergeCell ref="C14:D14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A118:K118"/>
    <mergeCell ref="C111:D111"/>
    <mergeCell ref="C112:D112"/>
    <mergeCell ref="C113:D113"/>
    <mergeCell ref="C114:D114"/>
    <mergeCell ref="C115:D115"/>
    <mergeCell ref="H116:I116"/>
    <mergeCell ref="C105:D105"/>
    <mergeCell ref="C106:D106"/>
    <mergeCell ref="C107:D107"/>
    <mergeCell ref="C108:D108"/>
    <mergeCell ref="C109:D109"/>
    <mergeCell ref="C110:D110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F14" sqref="F14"/>
    </sheetView>
  </sheetViews>
  <sheetFormatPr defaultColWidth="12.140625" defaultRowHeight="15" customHeight="1" x14ac:dyDescent="0.25"/>
  <cols>
    <col min="1" max="1" width="9.140625" style="109" customWidth="1"/>
    <col min="2" max="2" width="12.85546875" style="109" customWidth="1"/>
    <col min="3" max="3" width="27.140625" style="109" customWidth="1"/>
    <col min="4" max="4" width="10" style="109" customWidth="1"/>
    <col min="5" max="5" width="14" style="109" customWidth="1"/>
    <col min="6" max="6" width="27.140625" style="109" customWidth="1"/>
    <col min="7" max="7" width="9.140625" style="109" customWidth="1"/>
    <col min="8" max="8" width="12.85546875" style="109" customWidth="1"/>
    <col min="9" max="9" width="27.140625" style="109" customWidth="1"/>
    <col min="10" max="16384" width="12.140625" style="109"/>
  </cols>
  <sheetData>
    <row r="1" spans="1:9" ht="54.75" customHeight="1" x14ac:dyDescent="0.25">
      <c r="A1" s="327" t="s">
        <v>478</v>
      </c>
      <c r="B1" s="289"/>
      <c r="C1" s="289"/>
      <c r="D1" s="289"/>
      <c r="E1" s="289"/>
      <c r="F1" s="289"/>
      <c r="G1" s="289"/>
      <c r="H1" s="289"/>
      <c r="I1" s="289"/>
    </row>
    <row r="2" spans="1:9" x14ac:dyDescent="0.25">
      <c r="A2" s="290" t="s">
        <v>1</v>
      </c>
      <c r="B2" s="291"/>
      <c r="C2" s="292" t="str">
        <f>'[1]Stavební rozpočet'!C2</f>
        <v>NEDRAŽICE - CHODNÍKY A ÚPRAVY VNITŘNÍCH PROSTOR</v>
      </c>
      <c r="D2" s="293"/>
      <c r="E2" s="294" t="s">
        <v>5</v>
      </c>
      <c r="F2" s="294" t="str">
        <f>'[1]Stavební rozpočet'!I2</f>
        <v>Obec Kostelec, Kostelec 34, 349 01 Stříbro</v>
      </c>
      <c r="G2" s="291"/>
      <c r="H2" s="294" t="s">
        <v>479</v>
      </c>
      <c r="I2" s="295" t="s">
        <v>480</v>
      </c>
    </row>
    <row r="3" spans="1:9" ht="15" customHeight="1" x14ac:dyDescent="0.25">
      <c r="A3" s="287"/>
      <c r="B3" s="271"/>
      <c r="C3" s="276"/>
      <c r="D3" s="276"/>
      <c r="E3" s="271"/>
      <c r="F3" s="271"/>
      <c r="G3" s="271"/>
      <c r="H3" s="271"/>
      <c r="I3" s="288"/>
    </row>
    <row r="4" spans="1:9" x14ac:dyDescent="0.25">
      <c r="A4" s="286" t="s">
        <v>7</v>
      </c>
      <c r="B4" s="271"/>
      <c r="C4" s="270" t="str">
        <f>'SO-102'!C4</f>
        <v>SO-102 Chodníky a sjezdy u silnice III/19335</v>
      </c>
      <c r="D4" s="271"/>
      <c r="E4" s="270" t="s">
        <v>10</v>
      </c>
      <c r="F4" s="270" t="str">
        <f>'[1]Stavební rozpočet'!I4</f>
        <v>ing. Rudolf Moses, Zárečná 1521, 347 01 Tachov</v>
      </c>
      <c r="G4" s="271"/>
      <c r="H4" s="270" t="s">
        <v>479</v>
      </c>
      <c r="I4" s="288" t="s">
        <v>481</v>
      </c>
    </row>
    <row r="5" spans="1:9" ht="15" customHeight="1" x14ac:dyDescent="0.25">
      <c r="A5" s="287"/>
      <c r="B5" s="271"/>
      <c r="C5" s="271"/>
      <c r="D5" s="271"/>
      <c r="E5" s="271"/>
      <c r="F5" s="271"/>
      <c r="G5" s="271"/>
      <c r="H5" s="271"/>
      <c r="I5" s="288"/>
    </row>
    <row r="6" spans="1:9" x14ac:dyDescent="0.25">
      <c r="A6" s="286" t="s">
        <v>12</v>
      </c>
      <c r="B6" s="271"/>
      <c r="C6" s="270" t="str">
        <f>'[1]Stavební rozpočet'!C6</f>
        <v>Nedražice</v>
      </c>
      <c r="D6" s="271"/>
      <c r="E6" s="270" t="s">
        <v>16</v>
      </c>
      <c r="F6" s="270" t="str">
        <f>'[1]Stavební rozpočet'!I6</f>
        <v>dle výběr. řízení</v>
      </c>
      <c r="G6" s="271"/>
      <c r="H6" s="270" t="s">
        <v>479</v>
      </c>
      <c r="I6" s="288" t="s">
        <v>482</v>
      </c>
    </row>
    <row r="7" spans="1:9" ht="15" customHeight="1" x14ac:dyDescent="0.25">
      <c r="A7" s="287"/>
      <c r="B7" s="271"/>
      <c r="C7" s="271"/>
      <c r="D7" s="271"/>
      <c r="E7" s="271"/>
      <c r="F7" s="271"/>
      <c r="G7" s="271"/>
      <c r="H7" s="271"/>
      <c r="I7" s="288"/>
    </row>
    <row r="8" spans="1:9" x14ac:dyDescent="0.25">
      <c r="A8" s="286" t="s">
        <v>8</v>
      </c>
      <c r="B8" s="271"/>
      <c r="C8" s="270" t="str">
        <f>'[1]Stavební rozpočet'!G4</f>
        <v xml:space="preserve"> </v>
      </c>
      <c r="D8" s="271"/>
      <c r="E8" s="270" t="s">
        <v>14</v>
      </c>
      <c r="F8" s="270" t="str">
        <f>'[1]Stavební rozpočet'!G6</f>
        <v>31.10.2025</v>
      </c>
      <c r="G8" s="271"/>
      <c r="H8" s="271" t="s">
        <v>483</v>
      </c>
      <c r="I8" s="326">
        <v>82</v>
      </c>
    </row>
    <row r="9" spans="1:9" x14ac:dyDescent="0.25">
      <c r="A9" s="287"/>
      <c r="B9" s="271"/>
      <c r="C9" s="271"/>
      <c r="D9" s="271"/>
      <c r="E9" s="271"/>
      <c r="F9" s="271"/>
      <c r="G9" s="271"/>
      <c r="H9" s="271"/>
      <c r="I9" s="288"/>
    </row>
    <row r="10" spans="1:9" x14ac:dyDescent="0.25">
      <c r="A10" s="286" t="s">
        <v>18</v>
      </c>
      <c r="B10" s="271"/>
      <c r="C10" s="270" t="str">
        <f>'[1]Stavební rozpočet'!C8</f>
        <v>8222931</v>
      </c>
      <c r="D10" s="271"/>
      <c r="E10" s="270" t="s">
        <v>22</v>
      </c>
      <c r="F10" s="270" t="str">
        <f>'[1]Stavební rozpočet'!I8</f>
        <v>Ing. Moses</v>
      </c>
      <c r="G10" s="271"/>
      <c r="H10" s="271" t="s">
        <v>484</v>
      </c>
      <c r="I10" s="324" t="str">
        <f>'[1]Stavební rozpočet'!G8</f>
        <v>21.10.2024</v>
      </c>
    </row>
    <row r="11" spans="1:9" x14ac:dyDescent="0.25">
      <c r="A11" s="323"/>
      <c r="B11" s="275"/>
      <c r="C11" s="275"/>
      <c r="D11" s="275"/>
      <c r="E11" s="275"/>
      <c r="F11" s="275"/>
      <c r="G11" s="275"/>
      <c r="H11" s="275"/>
      <c r="I11" s="325"/>
    </row>
    <row r="12" spans="1:9" ht="23.25" x14ac:dyDescent="0.25">
      <c r="A12" s="320" t="s">
        <v>485</v>
      </c>
      <c r="B12" s="320"/>
      <c r="C12" s="320"/>
      <c r="D12" s="320"/>
      <c r="E12" s="320"/>
      <c r="F12" s="320"/>
      <c r="G12" s="320"/>
      <c r="H12" s="320"/>
      <c r="I12" s="320"/>
    </row>
    <row r="13" spans="1:9" ht="26.25" customHeight="1" x14ac:dyDescent="0.25">
      <c r="A13" s="157" t="s">
        <v>486</v>
      </c>
      <c r="B13" s="321" t="s">
        <v>487</v>
      </c>
      <c r="C13" s="322"/>
      <c r="D13" s="158" t="s">
        <v>488</v>
      </c>
      <c r="E13" s="321" t="s">
        <v>489</v>
      </c>
      <c r="F13" s="322"/>
      <c r="G13" s="158" t="s">
        <v>490</v>
      </c>
      <c r="H13" s="321" t="s">
        <v>491</v>
      </c>
      <c r="I13" s="322"/>
    </row>
    <row r="14" spans="1:9" ht="15.75" x14ac:dyDescent="0.25">
      <c r="A14" s="159" t="s">
        <v>492</v>
      </c>
      <c r="B14" s="160" t="s">
        <v>493</v>
      </c>
      <c r="C14" s="161">
        <f>SUM('SO-102'!AB12:AB115)</f>
        <v>0</v>
      </c>
      <c r="D14" s="318" t="s">
        <v>494</v>
      </c>
      <c r="E14" s="319"/>
      <c r="F14" s="161">
        <f>[1]VORN!I15</f>
        <v>0</v>
      </c>
      <c r="G14" s="318" t="s">
        <v>420</v>
      </c>
      <c r="H14" s="319"/>
      <c r="I14" s="162">
        <f>[1]VORN!I21</f>
        <v>0</v>
      </c>
    </row>
    <row r="15" spans="1:9" ht="15.75" x14ac:dyDescent="0.25">
      <c r="A15" s="163" t="s">
        <v>53</v>
      </c>
      <c r="B15" s="160" t="s">
        <v>38</v>
      </c>
      <c r="C15" s="161">
        <f>SUM('SO-102'!AC12:AC115)</f>
        <v>0</v>
      </c>
      <c r="D15" s="318" t="s">
        <v>495</v>
      </c>
      <c r="E15" s="319"/>
      <c r="F15" s="161">
        <f>[1]VORN!I16</f>
        <v>0</v>
      </c>
      <c r="G15" s="318" t="s">
        <v>496</v>
      </c>
      <c r="H15" s="319"/>
      <c r="I15" s="162">
        <f>[1]VORN!I22</f>
        <v>0</v>
      </c>
    </row>
    <row r="16" spans="1:9" ht="15.75" x14ac:dyDescent="0.25">
      <c r="A16" s="159" t="s">
        <v>497</v>
      </c>
      <c r="B16" s="160" t="s">
        <v>493</v>
      </c>
      <c r="C16" s="161">
        <f>SUM('SO-102'!AD12:AD115)</f>
        <v>0</v>
      </c>
      <c r="D16" s="318" t="s">
        <v>498</v>
      </c>
      <c r="E16" s="319"/>
      <c r="F16" s="161">
        <f>[1]VORN!I17</f>
        <v>0</v>
      </c>
      <c r="G16" s="318" t="s">
        <v>425</v>
      </c>
      <c r="H16" s="319"/>
      <c r="I16" s="162">
        <f>[1]VORN!I23</f>
        <v>0</v>
      </c>
    </row>
    <row r="17" spans="1:9" ht="15.75" x14ac:dyDescent="0.25">
      <c r="A17" s="163" t="s">
        <v>53</v>
      </c>
      <c r="B17" s="160" t="s">
        <v>38</v>
      </c>
      <c r="C17" s="161">
        <f>SUM('SO-102'!AE12:AE115)</f>
        <v>0</v>
      </c>
      <c r="D17" s="318" t="s">
        <v>53</v>
      </c>
      <c r="E17" s="319"/>
      <c r="F17" s="162" t="s">
        <v>53</v>
      </c>
      <c r="G17" s="318" t="s">
        <v>499</v>
      </c>
      <c r="H17" s="319"/>
      <c r="I17" s="162">
        <f>[1]VORN!I24</f>
        <v>0</v>
      </c>
    </row>
    <row r="18" spans="1:9" ht="15.75" x14ac:dyDescent="0.25">
      <c r="A18" s="159" t="s">
        <v>500</v>
      </c>
      <c r="B18" s="160" t="s">
        <v>493</v>
      </c>
      <c r="C18" s="161">
        <f>SUM('SO-102'!AF12:AF115)</f>
        <v>0</v>
      </c>
      <c r="D18" s="318" t="s">
        <v>53</v>
      </c>
      <c r="E18" s="319"/>
      <c r="F18" s="162" t="s">
        <v>53</v>
      </c>
      <c r="G18" s="318" t="s">
        <v>501</v>
      </c>
      <c r="H18" s="319"/>
      <c r="I18" s="162">
        <f>[1]VORN!I25</f>
        <v>0</v>
      </c>
    </row>
    <row r="19" spans="1:9" ht="15.75" x14ac:dyDescent="0.25">
      <c r="A19" s="163" t="s">
        <v>53</v>
      </c>
      <c r="B19" s="160" t="s">
        <v>38</v>
      </c>
      <c r="C19" s="161">
        <f>SUM('SO-102'!AG12:AG115)</f>
        <v>0</v>
      </c>
      <c r="D19" s="318" t="s">
        <v>53</v>
      </c>
      <c r="E19" s="319"/>
      <c r="F19" s="162" t="s">
        <v>53</v>
      </c>
      <c r="G19" s="318" t="s">
        <v>502</v>
      </c>
      <c r="H19" s="319"/>
      <c r="I19" s="162">
        <f>[1]VORN!I26</f>
        <v>0</v>
      </c>
    </row>
    <row r="20" spans="1:9" ht="15.75" x14ac:dyDescent="0.25">
      <c r="A20" s="307" t="s">
        <v>339</v>
      </c>
      <c r="B20" s="308"/>
      <c r="C20" s="161">
        <f>SUM('SO-102'!AH12:AH115)</f>
        <v>0</v>
      </c>
      <c r="D20" s="318" t="s">
        <v>53</v>
      </c>
      <c r="E20" s="319"/>
      <c r="F20" s="162" t="s">
        <v>53</v>
      </c>
      <c r="G20" s="318" t="s">
        <v>53</v>
      </c>
      <c r="H20" s="319"/>
      <c r="I20" s="162" t="s">
        <v>53</v>
      </c>
    </row>
    <row r="21" spans="1:9" ht="15.75" x14ac:dyDescent="0.25">
      <c r="A21" s="312" t="s">
        <v>503</v>
      </c>
      <c r="B21" s="313"/>
      <c r="C21" s="164">
        <f>SUM('SO-102'!Z12:Z115)</f>
        <v>0</v>
      </c>
      <c r="D21" s="297" t="s">
        <v>53</v>
      </c>
      <c r="E21" s="314"/>
      <c r="F21" s="165" t="s">
        <v>53</v>
      </c>
      <c r="G21" s="297" t="s">
        <v>53</v>
      </c>
      <c r="H21" s="314"/>
      <c r="I21" s="165" t="s">
        <v>53</v>
      </c>
    </row>
    <row r="22" spans="1:9" ht="16.5" customHeight="1" x14ac:dyDescent="0.25">
      <c r="A22" s="315" t="s">
        <v>504</v>
      </c>
      <c r="B22" s="316"/>
      <c r="C22" s="166">
        <f>ROUND(SUM(C14:C21),0)</f>
        <v>0</v>
      </c>
      <c r="D22" s="317" t="s">
        <v>505</v>
      </c>
      <c r="E22" s="316"/>
      <c r="F22" s="166">
        <f>SUM(F14:F21)</f>
        <v>0</v>
      </c>
      <c r="G22" s="317" t="s">
        <v>506</v>
      </c>
      <c r="H22" s="316"/>
      <c r="I22" s="166">
        <f>SUM(I14:I21)</f>
        <v>0</v>
      </c>
    </row>
    <row r="23" spans="1:9" ht="16.5" thickBot="1" x14ac:dyDescent="0.3">
      <c r="D23" s="307" t="s">
        <v>507</v>
      </c>
      <c r="E23" s="308"/>
      <c r="F23" s="167">
        <v>0</v>
      </c>
      <c r="G23" s="309" t="s">
        <v>508</v>
      </c>
      <c r="H23" s="308"/>
      <c r="I23" s="161">
        <v>0</v>
      </c>
    </row>
    <row r="24" spans="1:9" ht="15.75" x14ac:dyDescent="0.25">
      <c r="G24" s="307" t="s">
        <v>509</v>
      </c>
      <c r="H24" s="308"/>
      <c r="I24" s="164">
        <f>vorn_sum</f>
        <v>0</v>
      </c>
    </row>
    <row r="25" spans="1:9" ht="15.75" x14ac:dyDescent="0.25">
      <c r="G25" s="307" t="s">
        <v>510</v>
      </c>
      <c r="H25" s="308"/>
      <c r="I25" s="166">
        <v>0</v>
      </c>
    </row>
    <row r="27" spans="1:9" ht="15.75" x14ac:dyDescent="0.25">
      <c r="A27" s="310" t="s">
        <v>511</v>
      </c>
      <c r="B27" s="311"/>
      <c r="C27" s="168">
        <f>ROUND(SUM('SO-102'!AJ12:AJ115),0)</f>
        <v>0</v>
      </c>
    </row>
    <row r="28" spans="1:9" ht="15.75" x14ac:dyDescent="0.25">
      <c r="A28" s="302" t="s">
        <v>512</v>
      </c>
      <c r="B28" s="303"/>
      <c r="C28" s="169">
        <f>ROUND(SUM('SO-102'!AK12:AK115),0)</f>
        <v>0</v>
      </c>
      <c r="D28" s="311" t="s">
        <v>513</v>
      </c>
      <c r="E28" s="311"/>
      <c r="F28" s="168">
        <f>ROUND(C28*(12/100),2)</f>
        <v>0</v>
      </c>
      <c r="G28" s="311" t="s">
        <v>514</v>
      </c>
      <c r="H28" s="311"/>
      <c r="I28" s="168">
        <f>ROUND(SUM(C27:C29),0)</f>
        <v>0</v>
      </c>
    </row>
    <row r="29" spans="1:9" ht="15.75" x14ac:dyDescent="0.25">
      <c r="A29" s="302" t="s">
        <v>515</v>
      </c>
      <c r="B29" s="303"/>
      <c r="C29" s="169">
        <f>ROUND(SUM('SO-102'!AL12:AL115),0)</f>
        <v>0</v>
      </c>
      <c r="D29" s="303" t="s">
        <v>516</v>
      </c>
      <c r="E29" s="303"/>
      <c r="F29" s="169">
        <f>ROUND(C29*(21/100),2)</f>
        <v>0</v>
      </c>
      <c r="G29" s="303" t="s">
        <v>517</v>
      </c>
      <c r="H29" s="303"/>
      <c r="I29" s="169">
        <f>ROUND(SUM(F28:F29)+I28,0)</f>
        <v>0</v>
      </c>
    </row>
    <row r="31" spans="1:9" x14ac:dyDescent="0.25">
      <c r="A31" s="304" t="s">
        <v>518</v>
      </c>
      <c r="B31" s="305"/>
      <c r="C31" s="306"/>
      <c r="D31" s="305" t="s">
        <v>519</v>
      </c>
      <c r="E31" s="305"/>
      <c r="F31" s="306"/>
      <c r="G31" s="305" t="s">
        <v>520</v>
      </c>
      <c r="H31" s="305"/>
      <c r="I31" s="306"/>
    </row>
    <row r="32" spans="1:9" x14ac:dyDescent="0.25">
      <c r="A32" s="296" t="s">
        <v>53</v>
      </c>
      <c r="B32" s="297"/>
      <c r="C32" s="298"/>
      <c r="D32" s="297" t="s">
        <v>53</v>
      </c>
      <c r="E32" s="297"/>
      <c r="F32" s="298"/>
      <c r="G32" s="297" t="s">
        <v>53</v>
      </c>
      <c r="H32" s="297"/>
      <c r="I32" s="298"/>
    </row>
    <row r="33" spans="1:9" x14ac:dyDescent="0.25">
      <c r="A33" s="296" t="s">
        <v>53</v>
      </c>
      <c r="B33" s="297"/>
      <c r="C33" s="298"/>
      <c r="D33" s="297" t="s">
        <v>53</v>
      </c>
      <c r="E33" s="297"/>
      <c r="F33" s="298"/>
      <c r="G33" s="297" t="s">
        <v>53</v>
      </c>
      <c r="H33" s="297"/>
      <c r="I33" s="298"/>
    </row>
    <row r="34" spans="1:9" x14ac:dyDescent="0.25">
      <c r="A34" s="296" t="s">
        <v>53</v>
      </c>
      <c r="B34" s="297"/>
      <c r="C34" s="298"/>
      <c r="D34" s="297" t="s">
        <v>53</v>
      </c>
      <c r="E34" s="297"/>
      <c r="F34" s="298"/>
      <c r="G34" s="297" t="s">
        <v>53</v>
      </c>
      <c r="H34" s="297"/>
      <c r="I34" s="298"/>
    </row>
    <row r="35" spans="1:9" ht="15.75" thickBot="1" x14ac:dyDescent="0.3">
      <c r="A35" s="299" t="s">
        <v>521</v>
      </c>
      <c r="B35" s="300"/>
      <c r="C35" s="301"/>
      <c r="D35" s="300" t="s">
        <v>521</v>
      </c>
      <c r="E35" s="300"/>
      <c r="F35" s="301"/>
      <c r="G35" s="300" t="s">
        <v>521</v>
      </c>
      <c r="H35" s="300"/>
      <c r="I35" s="301"/>
    </row>
    <row r="36" spans="1:9" x14ac:dyDescent="0.25">
      <c r="A36" s="142" t="s">
        <v>431</v>
      </c>
    </row>
    <row r="37" spans="1:9" ht="12.75" customHeight="1" x14ac:dyDescent="0.25">
      <c r="A37" s="270" t="s">
        <v>53</v>
      </c>
      <c r="B37" s="271"/>
      <c r="C37" s="271"/>
      <c r="D37" s="271"/>
      <c r="E37" s="271"/>
      <c r="F37" s="271"/>
      <c r="G37" s="271"/>
      <c r="H37" s="271"/>
      <c r="I37" s="271"/>
    </row>
  </sheetData>
  <mergeCells count="83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8"/>
  <sheetViews>
    <sheetView workbookViewId="0">
      <selection activeCell="C4" sqref="C4:D5"/>
    </sheetView>
  </sheetViews>
  <sheetFormatPr defaultColWidth="12.140625" defaultRowHeight="15" customHeight="1" x14ac:dyDescent="0.25"/>
  <cols>
    <col min="1" max="2" width="9.140625" style="109" customWidth="1"/>
    <col min="3" max="3" width="14.28515625" style="109" customWidth="1"/>
    <col min="4" max="4" width="53.28515625" style="109" customWidth="1"/>
    <col min="5" max="5" width="31.42578125" style="109" customWidth="1"/>
    <col min="6" max="6" width="24.140625" style="109" customWidth="1"/>
    <col min="7" max="7" width="15.7109375" style="109" customWidth="1"/>
    <col min="8" max="8" width="20" style="109" customWidth="1"/>
    <col min="9" max="16384" width="12.140625" style="109"/>
  </cols>
  <sheetData>
    <row r="1" spans="1:8" ht="54.75" customHeight="1" x14ac:dyDescent="0.25">
      <c r="A1" s="289" t="s">
        <v>432</v>
      </c>
      <c r="B1" s="289"/>
      <c r="C1" s="289"/>
      <c r="D1" s="289"/>
      <c r="E1" s="289"/>
      <c r="F1" s="289"/>
      <c r="G1" s="289"/>
      <c r="H1" s="289"/>
    </row>
    <row r="2" spans="1:8" x14ac:dyDescent="0.25">
      <c r="A2" s="290" t="s">
        <v>1</v>
      </c>
      <c r="B2" s="291"/>
      <c r="C2" s="292" t="str">
        <f>'SO-102'!C2</f>
        <v>NEDRAŽICE - CHODNÍKY A ÚPRAVY VNITŘNÍCH PROSTOR</v>
      </c>
      <c r="D2" s="293"/>
      <c r="E2" s="294" t="s">
        <v>5</v>
      </c>
      <c r="F2" s="294" t="str">
        <f>'SO-102'!I2</f>
        <v>Obec Kostelec, Kostelec 34, 349 01 Stříbro</v>
      </c>
      <c r="G2" s="291"/>
      <c r="H2" s="295"/>
    </row>
    <row r="3" spans="1:8" ht="15" customHeight="1" x14ac:dyDescent="0.25">
      <c r="A3" s="287"/>
      <c r="B3" s="271"/>
      <c r="C3" s="276"/>
      <c r="D3" s="276"/>
      <c r="E3" s="271"/>
      <c r="F3" s="271"/>
      <c r="G3" s="271"/>
      <c r="H3" s="288"/>
    </row>
    <row r="4" spans="1:8" x14ac:dyDescent="0.25">
      <c r="A4" s="286" t="s">
        <v>7</v>
      </c>
      <c r="B4" s="271"/>
      <c r="C4" s="270" t="str">
        <f>'SO-102'!C4</f>
        <v>SO-102 Chodníky a sjezdy u silnice III/19335</v>
      </c>
      <c r="D4" s="271"/>
      <c r="E4" s="270" t="s">
        <v>10</v>
      </c>
      <c r="F4" s="270" t="str">
        <f>'SO-102'!I4</f>
        <v>ing. Rudolf Moses, Zárečná 1521, 347 01 Tachov</v>
      </c>
      <c r="G4" s="271"/>
      <c r="H4" s="288"/>
    </row>
    <row r="5" spans="1:8" ht="15" customHeight="1" x14ac:dyDescent="0.25">
      <c r="A5" s="287"/>
      <c r="B5" s="271"/>
      <c r="C5" s="271"/>
      <c r="D5" s="271"/>
      <c r="E5" s="271"/>
      <c r="F5" s="271"/>
      <c r="G5" s="271"/>
      <c r="H5" s="288"/>
    </row>
    <row r="6" spans="1:8" x14ac:dyDescent="0.25">
      <c r="A6" s="286" t="s">
        <v>12</v>
      </c>
      <c r="B6" s="271"/>
      <c r="C6" s="270" t="str">
        <f>'SO-102'!C6</f>
        <v>Nedražice</v>
      </c>
      <c r="D6" s="271"/>
      <c r="E6" s="270" t="s">
        <v>16</v>
      </c>
      <c r="F6" s="270" t="str">
        <f>'SO-102'!I6</f>
        <v>dle výběr. řízení</v>
      </c>
      <c r="G6" s="271"/>
      <c r="H6" s="288"/>
    </row>
    <row r="7" spans="1:8" ht="15" customHeight="1" x14ac:dyDescent="0.25">
      <c r="A7" s="287"/>
      <c r="B7" s="271"/>
      <c r="C7" s="271"/>
      <c r="D7" s="271"/>
      <c r="E7" s="271"/>
      <c r="F7" s="271"/>
      <c r="G7" s="271"/>
      <c r="H7" s="288"/>
    </row>
    <row r="8" spans="1:8" x14ac:dyDescent="0.25">
      <c r="A8" s="286" t="s">
        <v>22</v>
      </c>
      <c r="B8" s="271"/>
      <c r="C8" s="270" t="str">
        <f>'SO-102'!I8</f>
        <v>Ing. Moses</v>
      </c>
      <c r="D8" s="271"/>
      <c r="E8" s="270" t="s">
        <v>20</v>
      </c>
      <c r="F8" s="270" t="str">
        <f>'SO-102'!G8</f>
        <v>21.10.2024</v>
      </c>
      <c r="G8" s="271"/>
      <c r="H8" s="288"/>
    </row>
    <row r="9" spans="1:8" ht="15.75" thickBot="1" x14ac:dyDescent="0.3">
      <c r="A9" s="287"/>
      <c r="B9" s="271"/>
      <c r="C9" s="271"/>
      <c r="D9" s="271"/>
      <c r="E9" s="271"/>
      <c r="F9" s="271"/>
      <c r="G9" s="271"/>
      <c r="H9" s="288"/>
    </row>
    <row r="10" spans="1:8" ht="15.75" thickBot="1" x14ac:dyDescent="0.3">
      <c r="A10" s="143" t="s">
        <v>24</v>
      </c>
      <c r="B10" s="144" t="s">
        <v>433</v>
      </c>
      <c r="C10" s="144" t="s">
        <v>25</v>
      </c>
      <c r="D10" s="330" t="s">
        <v>26</v>
      </c>
      <c r="E10" s="331"/>
      <c r="F10" s="144" t="s">
        <v>27</v>
      </c>
      <c r="G10" s="145" t="s">
        <v>28</v>
      </c>
      <c r="H10" s="146" t="s">
        <v>434</v>
      </c>
    </row>
    <row r="11" spans="1:8" x14ac:dyDescent="0.25">
      <c r="A11" s="134" t="s">
        <v>56</v>
      </c>
      <c r="B11" s="135" t="s">
        <v>53</v>
      </c>
      <c r="C11" s="135" t="s">
        <v>65</v>
      </c>
      <c r="D11" s="271" t="s">
        <v>540</v>
      </c>
      <c r="E11" s="271"/>
      <c r="F11" s="135" t="s">
        <v>67</v>
      </c>
      <c r="G11" s="131">
        <v>135</v>
      </c>
      <c r="H11" s="147">
        <v>0</v>
      </c>
    </row>
    <row r="12" spans="1:8" x14ac:dyDescent="0.25">
      <c r="A12" s="148"/>
      <c r="D12" s="149" t="s">
        <v>572</v>
      </c>
      <c r="E12" s="328" t="s">
        <v>53</v>
      </c>
      <c r="F12" s="328"/>
      <c r="G12" s="150">
        <v>135</v>
      </c>
      <c r="H12" s="151"/>
    </row>
    <row r="13" spans="1:8" x14ac:dyDescent="0.25">
      <c r="A13" s="134" t="s">
        <v>64</v>
      </c>
      <c r="B13" s="135" t="s">
        <v>53</v>
      </c>
      <c r="C13" s="135" t="s">
        <v>57</v>
      </c>
      <c r="D13" s="271" t="s">
        <v>58</v>
      </c>
      <c r="E13" s="271"/>
      <c r="F13" s="135" t="s">
        <v>59</v>
      </c>
      <c r="G13" s="131">
        <v>240</v>
      </c>
      <c r="H13" s="147">
        <v>0</v>
      </c>
    </row>
    <row r="14" spans="1:8" x14ac:dyDescent="0.25">
      <c r="A14" s="148"/>
      <c r="D14" s="149" t="s">
        <v>573</v>
      </c>
      <c r="E14" s="328" t="s">
        <v>53</v>
      </c>
      <c r="F14" s="328"/>
      <c r="G14" s="150">
        <v>240</v>
      </c>
      <c r="H14" s="151"/>
    </row>
    <row r="15" spans="1:8" x14ac:dyDescent="0.25">
      <c r="A15" s="134" t="s">
        <v>68</v>
      </c>
      <c r="B15" s="135" t="s">
        <v>53</v>
      </c>
      <c r="C15" s="135" t="s">
        <v>77</v>
      </c>
      <c r="D15" s="271" t="s">
        <v>78</v>
      </c>
      <c r="E15" s="271"/>
      <c r="F15" s="135" t="s">
        <v>79</v>
      </c>
      <c r="G15" s="131">
        <v>39.75</v>
      </c>
      <c r="H15" s="147">
        <v>0</v>
      </c>
    </row>
    <row r="16" spans="1:8" x14ac:dyDescent="0.25">
      <c r="A16" s="148"/>
      <c r="D16" s="149" t="s">
        <v>574</v>
      </c>
      <c r="E16" s="328" t="s">
        <v>53</v>
      </c>
      <c r="F16" s="328"/>
      <c r="G16" s="150">
        <v>39.75</v>
      </c>
      <c r="H16" s="151"/>
    </row>
    <row r="17" spans="1:8" x14ac:dyDescent="0.25">
      <c r="A17" s="134" t="s">
        <v>71</v>
      </c>
      <c r="B17" s="135" t="s">
        <v>53</v>
      </c>
      <c r="C17" s="135" t="s">
        <v>82</v>
      </c>
      <c r="D17" s="271" t="s">
        <v>83</v>
      </c>
      <c r="E17" s="271"/>
      <c r="F17" s="135" t="s">
        <v>79</v>
      </c>
      <c r="G17" s="131">
        <v>37.200000000000003</v>
      </c>
      <c r="H17" s="147">
        <v>0</v>
      </c>
    </row>
    <row r="18" spans="1:8" x14ac:dyDescent="0.25">
      <c r="A18" s="148"/>
      <c r="D18" s="149" t="s">
        <v>575</v>
      </c>
      <c r="E18" s="328" t="s">
        <v>53</v>
      </c>
      <c r="F18" s="328"/>
      <c r="G18" s="150">
        <v>37.200000000000003</v>
      </c>
      <c r="H18" s="151"/>
    </row>
    <row r="19" spans="1:8" x14ac:dyDescent="0.25">
      <c r="A19" s="134" t="s">
        <v>76</v>
      </c>
      <c r="B19" s="135" t="s">
        <v>53</v>
      </c>
      <c r="C19" s="135" t="s">
        <v>85</v>
      </c>
      <c r="D19" s="271" t="s">
        <v>541</v>
      </c>
      <c r="E19" s="271"/>
      <c r="F19" s="135" t="s">
        <v>79</v>
      </c>
      <c r="G19" s="131">
        <v>186.25</v>
      </c>
      <c r="H19" s="147">
        <v>0</v>
      </c>
    </row>
    <row r="20" spans="1:8" x14ac:dyDescent="0.25">
      <c r="A20" s="148"/>
      <c r="D20" s="149" t="s">
        <v>576</v>
      </c>
      <c r="E20" s="328" t="s">
        <v>53</v>
      </c>
      <c r="F20" s="328"/>
      <c r="G20" s="150">
        <v>186.25</v>
      </c>
      <c r="H20" s="151"/>
    </row>
    <row r="21" spans="1:8" x14ac:dyDescent="0.25">
      <c r="A21" s="134" t="s">
        <v>81</v>
      </c>
      <c r="B21" s="135" t="s">
        <v>53</v>
      </c>
      <c r="C21" s="135" t="s">
        <v>98</v>
      </c>
      <c r="D21" s="271" t="s">
        <v>99</v>
      </c>
      <c r="E21" s="271"/>
      <c r="F21" s="135" t="s">
        <v>79</v>
      </c>
      <c r="G21" s="131">
        <v>34.799999999999997</v>
      </c>
      <c r="H21" s="147">
        <v>0</v>
      </c>
    </row>
    <row r="22" spans="1:8" x14ac:dyDescent="0.25">
      <c r="A22" s="148"/>
      <c r="D22" s="149" t="s">
        <v>577</v>
      </c>
      <c r="E22" s="328" t="s">
        <v>53</v>
      </c>
      <c r="F22" s="328"/>
      <c r="G22" s="150">
        <v>34.799999999999997</v>
      </c>
      <c r="H22" s="151"/>
    </row>
    <row r="23" spans="1:8" x14ac:dyDescent="0.25">
      <c r="A23" s="134" t="s">
        <v>84</v>
      </c>
      <c r="B23" s="135" t="s">
        <v>53</v>
      </c>
      <c r="C23" s="135" t="s">
        <v>103</v>
      </c>
      <c r="D23" s="271" t="s">
        <v>104</v>
      </c>
      <c r="E23" s="271"/>
      <c r="F23" s="135" t="s">
        <v>79</v>
      </c>
      <c r="G23" s="131">
        <v>26</v>
      </c>
      <c r="H23" s="147">
        <v>0</v>
      </c>
    </row>
    <row r="24" spans="1:8" x14ac:dyDescent="0.25">
      <c r="A24" s="148"/>
      <c r="D24" s="149" t="s">
        <v>578</v>
      </c>
      <c r="E24" s="328" t="s">
        <v>53</v>
      </c>
      <c r="F24" s="328"/>
      <c r="G24" s="150">
        <v>26</v>
      </c>
      <c r="H24" s="151"/>
    </row>
    <row r="25" spans="1:8" x14ac:dyDescent="0.25">
      <c r="A25" s="134" t="s">
        <v>87</v>
      </c>
      <c r="B25" s="135" t="s">
        <v>53</v>
      </c>
      <c r="C25" s="135" t="s">
        <v>106</v>
      </c>
      <c r="D25" s="271" t="s">
        <v>107</v>
      </c>
      <c r="E25" s="271"/>
      <c r="F25" s="135" t="s">
        <v>79</v>
      </c>
      <c r="G25" s="131">
        <v>162</v>
      </c>
      <c r="H25" s="147">
        <v>0</v>
      </c>
    </row>
    <row r="26" spans="1:8" x14ac:dyDescent="0.25">
      <c r="A26" s="148"/>
      <c r="D26" s="149" t="s">
        <v>579</v>
      </c>
      <c r="E26" s="328" t="s">
        <v>53</v>
      </c>
      <c r="F26" s="328"/>
      <c r="G26" s="150">
        <v>162</v>
      </c>
      <c r="H26" s="151"/>
    </row>
    <row r="27" spans="1:8" x14ac:dyDescent="0.25">
      <c r="A27" s="134" t="s">
        <v>90</v>
      </c>
      <c r="B27" s="135" t="s">
        <v>53</v>
      </c>
      <c r="C27" s="135" t="s">
        <v>109</v>
      </c>
      <c r="D27" s="271" t="s">
        <v>110</v>
      </c>
      <c r="E27" s="271"/>
      <c r="F27" s="135" t="s">
        <v>79</v>
      </c>
      <c r="G27" s="131">
        <v>26</v>
      </c>
      <c r="H27" s="147">
        <v>0</v>
      </c>
    </row>
    <row r="28" spans="1:8" x14ac:dyDescent="0.25">
      <c r="A28" s="148"/>
      <c r="D28" s="149" t="s">
        <v>578</v>
      </c>
      <c r="E28" s="328" t="s">
        <v>53</v>
      </c>
      <c r="F28" s="328"/>
      <c r="G28" s="150">
        <v>26</v>
      </c>
      <c r="H28" s="151"/>
    </row>
    <row r="29" spans="1:8" x14ac:dyDescent="0.25">
      <c r="A29" s="134" t="s">
        <v>93</v>
      </c>
      <c r="B29" s="135" t="s">
        <v>53</v>
      </c>
      <c r="C29" s="135" t="s">
        <v>112</v>
      </c>
      <c r="D29" s="271" t="s">
        <v>113</v>
      </c>
      <c r="E29" s="271"/>
      <c r="F29" s="135" t="s">
        <v>79</v>
      </c>
      <c r="G29" s="131">
        <v>7</v>
      </c>
      <c r="H29" s="147">
        <v>0</v>
      </c>
    </row>
    <row r="30" spans="1:8" x14ac:dyDescent="0.25">
      <c r="A30" s="148"/>
      <c r="D30" s="149" t="s">
        <v>84</v>
      </c>
      <c r="E30" s="328" t="s">
        <v>53</v>
      </c>
      <c r="F30" s="328"/>
      <c r="G30" s="150">
        <v>7</v>
      </c>
      <c r="H30" s="151"/>
    </row>
    <row r="31" spans="1:8" x14ac:dyDescent="0.25">
      <c r="A31" s="134" t="s">
        <v>54</v>
      </c>
      <c r="B31" s="135" t="s">
        <v>53</v>
      </c>
      <c r="C31" s="135" t="s">
        <v>114</v>
      </c>
      <c r="D31" s="271" t="s">
        <v>115</v>
      </c>
      <c r="E31" s="271"/>
      <c r="F31" s="135" t="s">
        <v>79</v>
      </c>
      <c r="G31" s="131">
        <v>162</v>
      </c>
      <c r="H31" s="147">
        <v>0</v>
      </c>
    </row>
    <row r="32" spans="1:8" x14ac:dyDescent="0.25">
      <c r="A32" s="148"/>
      <c r="D32" s="149" t="s">
        <v>579</v>
      </c>
      <c r="E32" s="328" t="s">
        <v>53</v>
      </c>
      <c r="F32" s="328"/>
      <c r="G32" s="150">
        <v>162</v>
      </c>
      <c r="H32" s="151"/>
    </row>
    <row r="33" spans="1:8" x14ac:dyDescent="0.25">
      <c r="A33" s="134" t="s">
        <v>74</v>
      </c>
      <c r="B33" s="135" t="s">
        <v>53</v>
      </c>
      <c r="C33" s="135" t="s">
        <v>117</v>
      </c>
      <c r="D33" s="271" t="s">
        <v>118</v>
      </c>
      <c r="E33" s="271"/>
      <c r="F33" s="135" t="s">
        <v>79</v>
      </c>
      <c r="G33" s="131">
        <v>1620</v>
      </c>
      <c r="H33" s="147">
        <v>0</v>
      </c>
    </row>
    <row r="34" spans="1:8" x14ac:dyDescent="0.25">
      <c r="A34" s="148"/>
      <c r="D34" s="149" t="s">
        <v>580</v>
      </c>
      <c r="E34" s="328" t="s">
        <v>53</v>
      </c>
      <c r="F34" s="328"/>
      <c r="G34" s="150">
        <v>1620</v>
      </c>
      <c r="H34" s="151"/>
    </row>
    <row r="35" spans="1:8" x14ac:dyDescent="0.25">
      <c r="A35" s="134" t="s">
        <v>96</v>
      </c>
      <c r="B35" s="135" t="s">
        <v>53</v>
      </c>
      <c r="C35" s="135" t="s">
        <v>120</v>
      </c>
      <c r="D35" s="271" t="s">
        <v>121</v>
      </c>
      <c r="E35" s="271"/>
      <c r="F35" s="135" t="s">
        <v>122</v>
      </c>
      <c r="G35" s="131">
        <v>291.60000000000002</v>
      </c>
      <c r="H35" s="147">
        <v>0</v>
      </c>
    </row>
    <row r="36" spans="1:8" x14ac:dyDescent="0.25">
      <c r="A36" s="148"/>
      <c r="D36" s="149" t="s">
        <v>581</v>
      </c>
      <c r="E36" s="328" t="s">
        <v>53</v>
      </c>
      <c r="F36" s="328"/>
      <c r="G36" s="150">
        <v>291.60000000000002</v>
      </c>
      <c r="H36" s="151"/>
    </row>
    <row r="37" spans="1:8" x14ac:dyDescent="0.25">
      <c r="A37" s="134" t="s">
        <v>108</v>
      </c>
      <c r="B37" s="135" t="s">
        <v>53</v>
      </c>
      <c r="C37" s="135" t="s">
        <v>125</v>
      </c>
      <c r="D37" s="271" t="s">
        <v>126</v>
      </c>
      <c r="E37" s="271"/>
      <c r="F37" s="135" t="s">
        <v>79</v>
      </c>
      <c r="G37" s="131">
        <v>26</v>
      </c>
      <c r="H37" s="147">
        <v>0</v>
      </c>
    </row>
    <row r="38" spans="1:8" x14ac:dyDescent="0.25">
      <c r="A38" s="148"/>
      <c r="D38" s="149" t="s">
        <v>578</v>
      </c>
      <c r="E38" s="328" t="s">
        <v>53</v>
      </c>
      <c r="F38" s="328"/>
      <c r="G38" s="150">
        <v>26</v>
      </c>
      <c r="H38" s="151"/>
    </row>
    <row r="39" spans="1:8" x14ac:dyDescent="0.25">
      <c r="A39" s="134" t="s">
        <v>111</v>
      </c>
      <c r="B39" s="135" t="s">
        <v>53</v>
      </c>
      <c r="C39" s="135" t="s">
        <v>129</v>
      </c>
      <c r="D39" s="271" t="s">
        <v>130</v>
      </c>
      <c r="E39" s="271"/>
      <c r="F39" s="135" t="s">
        <v>79</v>
      </c>
      <c r="G39" s="131">
        <v>17.399999999999999</v>
      </c>
      <c r="H39" s="147">
        <v>0</v>
      </c>
    </row>
    <row r="40" spans="1:8" x14ac:dyDescent="0.25">
      <c r="A40" s="148"/>
      <c r="D40" s="149" t="s">
        <v>582</v>
      </c>
      <c r="E40" s="328" t="s">
        <v>53</v>
      </c>
      <c r="F40" s="328"/>
      <c r="G40" s="150">
        <v>17.399999999999999</v>
      </c>
      <c r="H40" s="151"/>
    </row>
    <row r="41" spans="1:8" x14ac:dyDescent="0.25">
      <c r="A41" s="134" t="s">
        <v>101</v>
      </c>
      <c r="B41" s="135" t="s">
        <v>53</v>
      </c>
      <c r="C41" s="135" t="s">
        <v>132</v>
      </c>
      <c r="D41" s="271" t="s">
        <v>133</v>
      </c>
      <c r="E41" s="271"/>
      <c r="F41" s="135" t="s">
        <v>79</v>
      </c>
      <c r="G41" s="131">
        <v>6.96</v>
      </c>
      <c r="H41" s="147">
        <v>0</v>
      </c>
    </row>
    <row r="42" spans="1:8" x14ac:dyDescent="0.25">
      <c r="A42" s="148"/>
      <c r="D42" s="149" t="s">
        <v>583</v>
      </c>
      <c r="E42" s="328" t="s">
        <v>53</v>
      </c>
      <c r="F42" s="328"/>
      <c r="G42" s="150">
        <v>6.96</v>
      </c>
      <c r="H42" s="151"/>
    </row>
    <row r="43" spans="1:8" x14ac:dyDescent="0.25">
      <c r="A43" s="134" t="s">
        <v>116</v>
      </c>
      <c r="B43" s="135" t="s">
        <v>53</v>
      </c>
      <c r="C43" s="135" t="s">
        <v>136</v>
      </c>
      <c r="D43" s="271" t="s">
        <v>137</v>
      </c>
      <c r="E43" s="271"/>
      <c r="F43" s="135" t="s">
        <v>59</v>
      </c>
      <c r="G43" s="131">
        <v>790.44</v>
      </c>
      <c r="H43" s="147">
        <v>0</v>
      </c>
    </row>
    <row r="44" spans="1:8" x14ac:dyDescent="0.25">
      <c r="A44" s="148"/>
      <c r="D44" s="149" t="s">
        <v>584</v>
      </c>
      <c r="E44" s="328" t="s">
        <v>53</v>
      </c>
      <c r="F44" s="328"/>
      <c r="G44" s="150">
        <v>790.44</v>
      </c>
      <c r="H44" s="151"/>
    </row>
    <row r="45" spans="1:8" x14ac:dyDescent="0.25">
      <c r="A45" s="134" t="s">
        <v>119</v>
      </c>
      <c r="B45" s="135" t="s">
        <v>53</v>
      </c>
      <c r="C45" s="135" t="s">
        <v>140</v>
      </c>
      <c r="D45" s="271" t="s">
        <v>141</v>
      </c>
      <c r="E45" s="271"/>
      <c r="F45" s="135" t="s">
        <v>59</v>
      </c>
      <c r="G45" s="131">
        <v>140</v>
      </c>
      <c r="H45" s="147">
        <v>0</v>
      </c>
    </row>
    <row r="46" spans="1:8" x14ac:dyDescent="0.25">
      <c r="A46" s="148"/>
      <c r="D46" s="149" t="s">
        <v>585</v>
      </c>
      <c r="E46" s="328" t="s">
        <v>53</v>
      </c>
      <c r="F46" s="328"/>
      <c r="G46" s="150">
        <v>140</v>
      </c>
      <c r="H46" s="151"/>
    </row>
    <row r="47" spans="1:8" x14ac:dyDescent="0.25">
      <c r="A47" s="134" t="s">
        <v>124</v>
      </c>
      <c r="B47" s="135" t="s">
        <v>53</v>
      </c>
      <c r="C47" s="135" t="s">
        <v>143</v>
      </c>
      <c r="D47" s="271" t="s">
        <v>144</v>
      </c>
      <c r="E47" s="271"/>
      <c r="F47" s="135" t="s">
        <v>59</v>
      </c>
      <c r="G47" s="131">
        <v>140</v>
      </c>
      <c r="H47" s="147">
        <v>0</v>
      </c>
    </row>
    <row r="48" spans="1:8" x14ac:dyDescent="0.25">
      <c r="A48" s="148"/>
      <c r="D48" s="149" t="s">
        <v>585</v>
      </c>
      <c r="E48" s="328" t="s">
        <v>53</v>
      </c>
      <c r="F48" s="328"/>
      <c r="G48" s="150">
        <v>140</v>
      </c>
      <c r="H48" s="151"/>
    </row>
    <row r="49" spans="1:8" x14ac:dyDescent="0.25">
      <c r="A49" s="134" t="s">
        <v>128</v>
      </c>
      <c r="B49" s="135" t="s">
        <v>53</v>
      </c>
      <c r="C49" s="135" t="s">
        <v>146</v>
      </c>
      <c r="D49" s="271" t="s">
        <v>147</v>
      </c>
      <c r="E49" s="271"/>
      <c r="F49" s="135" t="s">
        <v>59</v>
      </c>
      <c r="G49" s="131">
        <v>140</v>
      </c>
      <c r="H49" s="147">
        <v>0</v>
      </c>
    </row>
    <row r="50" spans="1:8" x14ac:dyDescent="0.25">
      <c r="A50" s="148"/>
      <c r="D50" s="149" t="s">
        <v>585</v>
      </c>
      <c r="E50" s="328" t="s">
        <v>53</v>
      </c>
      <c r="F50" s="328"/>
      <c r="G50" s="150">
        <v>140</v>
      </c>
      <c r="H50" s="151"/>
    </row>
    <row r="51" spans="1:8" x14ac:dyDescent="0.25">
      <c r="A51" s="134" t="s">
        <v>131</v>
      </c>
      <c r="B51" s="135" t="s">
        <v>53</v>
      </c>
      <c r="C51" s="135" t="s">
        <v>156</v>
      </c>
      <c r="D51" s="271" t="s">
        <v>157</v>
      </c>
      <c r="E51" s="271"/>
      <c r="F51" s="135" t="s">
        <v>67</v>
      </c>
      <c r="G51" s="131">
        <v>2</v>
      </c>
      <c r="H51" s="147">
        <v>0</v>
      </c>
    </row>
    <row r="52" spans="1:8" x14ac:dyDescent="0.25">
      <c r="A52" s="148"/>
      <c r="D52" s="149" t="s">
        <v>64</v>
      </c>
      <c r="E52" s="328" t="s">
        <v>53</v>
      </c>
      <c r="F52" s="328"/>
      <c r="G52" s="150">
        <v>2</v>
      </c>
      <c r="H52" s="151"/>
    </row>
    <row r="53" spans="1:8" x14ac:dyDescent="0.25">
      <c r="A53" s="134" t="s">
        <v>135</v>
      </c>
      <c r="B53" s="135" t="s">
        <v>53</v>
      </c>
      <c r="C53" s="135" t="s">
        <v>159</v>
      </c>
      <c r="D53" s="271" t="s">
        <v>160</v>
      </c>
      <c r="E53" s="271"/>
      <c r="F53" s="135" t="s">
        <v>67</v>
      </c>
      <c r="G53" s="131">
        <v>2.8</v>
      </c>
      <c r="H53" s="147">
        <v>0</v>
      </c>
    </row>
    <row r="54" spans="1:8" x14ac:dyDescent="0.25">
      <c r="A54" s="148"/>
      <c r="D54" s="149" t="s">
        <v>586</v>
      </c>
      <c r="E54" s="328" t="s">
        <v>53</v>
      </c>
      <c r="F54" s="328"/>
      <c r="G54" s="150">
        <v>2.8</v>
      </c>
      <c r="H54" s="151"/>
    </row>
    <row r="55" spans="1:8" x14ac:dyDescent="0.25">
      <c r="A55" s="134" t="s">
        <v>139</v>
      </c>
      <c r="B55" s="135" t="s">
        <v>53</v>
      </c>
      <c r="C55" s="135" t="s">
        <v>162</v>
      </c>
      <c r="D55" s="271" t="s">
        <v>163</v>
      </c>
      <c r="E55" s="271"/>
      <c r="F55" s="135" t="s">
        <v>164</v>
      </c>
      <c r="G55" s="131">
        <v>5</v>
      </c>
      <c r="H55" s="147">
        <v>0</v>
      </c>
    </row>
    <row r="56" spans="1:8" x14ac:dyDescent="0.25">
      <c r="A56" s="148"/>
      <c r="D56" s="149" t="s">
        <v>76</v>
      </c>
      <c r="E56" s="328" t="s">
        <v>53</v>
      </c>
      <c r="F56" s="328"/>
      <c r="G56" s="150">
        <v>5</v>
      </c>
      <c r="H56" s="151"/>
    </row>
    <row r="57" spans="1:8" x14ac:dyDescent="0.25">
      <c r="A57" s="134" t="s">
        <v>142</v>
      </c>
      <c r="B57" s="135" t="s">
        <v>53</v>
      </c>
      <c r="C57" s="135" t="s">
        <v>162</v>
      </c>
      <c r="D57" s="271" t="s">
        <v>542</v>
      </c>
      <c r="E57" s="271"/>
      <c r="F57" s="135" t="s">
        <v>164</v>
      </c>
      <c r="G57" s="131">
        <v>6</v>
      </c>
      <c r="H57" s="147">
        <v>0</v>
      </c>
    </row>
    <row r="58" spans="1:8" x14ac:dyDescent="0.25">
      <c r="A58" s="148"/>
      <c r="D58" s="149" t="s">
        <v>81</v>
      </c>
      <c r="E58" s="328" t="s">
        <v>53</v>
      </c>
      <c r="F58" s="328"/>
      <c r="G58" s="150">
        <v>6</v>
      </c>
      <c r="H58" s="151"/>
    </row>
    <row r="59" spans="1:8" x14ac:dyDescent="0.25">
      <c r="A59" s="134" t="s">
        <v>145</v>
      </c>
      <c r="B59" s="135" t="s">
        <v>53</v>
      </c>
      <c r="C59" s="135" t="s">
        <v>543</v>
      </c>
      <c r="D59" s="271" t="s">
        <v>544</v>
      </c>
      <c r="E59" s="271"/>
      <c r="F59" s="135" t="s">
        <v>67</v>
      </c>
      <c r="G59" s="131">
        <v>34</v>
      </c>
      <c r="H59" s="147">
        <v>0</v>
      </c>
    </row>
    <row r="60" spans="1:8" x14ac:dyDescent="0.25">
      <c r="A60" s="148"/>
      <c r="D60" s="149" t="s">
        <v>183</v>
      </c>
      <c r="E60" s="328" t="s">
        <v>53</v>
      </c>
      <c r="F60" s="328"/>
      <c r="G60" s="150">
        <v>34</v>
      </c>
      <c r="H60" s="151"/>
    </row>
    <row r="61" spans="1:8" x14ac:dyDescent="0.25">
      <c r="A61" s="134" t="s">
        <v>150</v>
      </c>
      <c r="B61" s="135" t="s">
        <v>53</v>
      </c>
      <c r="C61" s="135" t="s">
        <v>151</v>
      </c>
      <c r="D61" s="271" t="s">
        <v>545</v>
      </c>
      <c r="E61" s="271"/>
      <c r="F61" s="135" t="s">
        <v>67</v>
      </c>
      <c r="G61" s="131">
        <v>1.2</v>
      </c>
      <c r="H61" s="147">
        <v>0</v>
      </c>
    </row>
    <row r="62" spans="1:8" x14ac:dyDescent="0.25">
      <c r="A62" s="148"/>
      <c r="D62" s="149" t="s">
        <v>587</v>
      </c>
      <c r="E62" s="328" t="s">
        <v>53</v>
      </c>
      <c r="F62" s="328"/>
      <c r="G62" s="150">
        <v>1.2</v>
      </c>
      <c r="H62" s="151"/>
    </row>
    <row r="63" spans="1:8" x14ac:dyDescent="0.25">
      <c r="A63" s="134" t="s">
        <v>155</v>
      </c>
      <c r="B63" s="135" t="s">
        <v>53</v>
      </c>
      <c r="C63" s="135" t="s">
        <v>546</v>
      </c>
      <c r="D63" s="271" t="s">
        <v>547</v>
      </c>
      <c r="E63" s="271"/>
      <c r="F63" s="135" t="s">
        <v>67</v>
      </c>
      <c r="G63" s="131">
        <v>9.8000000000000007</v>
      </c>
      <c r="H63" s="147">
        <v>0</v>
      </c>
    </row>
    <row r="64" spans="1:8" x14ac:dyDescent="0.25">
      <c r="A64" s="148"/>
      <c r="D64" s="149" t="s">
        <v>588</v>
      </c>
      <c r="E64" s="328" t="s">
        <v>53</v>
      </c>
      <c r="F64" s="328"/>
      <c r="G64" s="150">
        <v>9.8000000000000007</v>
      </c>
      <c r="H64" s="151"/>
    </row>
    <row r="65" spans="1:8" x14ac:dyDescent="0.25">
      <c r="A65" s="134" t="s">
        <v>158</v>
      </c>
      <c r="B65" s="135" t="s">
        <v>53</v>
      </c>
      <c r="C65" s="135" t="s">
        <v>170</v>
      </c>
      <c r="D65" s="271" t="s">
        <v>171</v>
      </c>
      <c r="E65" s="271"/>
      <c r="F65" s="135" t="s">
        <v>59</v>
      </c>
      <c r="G65" s="131">
        <v>309</v>
      </c>
      <c r="H65" s="147">
        <v>0</v>
      </c>
    </row>
    <row r="66" spans="1:8" x14ac:dyDescent="0.25">
      <c r="A66" s="148"/>
      <c r="D66" s="149" t="s">
        <v>589</v>
      </c>
      <c r="E66" s="328" t="s">
        <v>53</v>
      </c>
      <c r="F66" s="328"/>
      <c r="G66" s="150">
        <v>309</v>
      </c>
      <c r="H66" s="151"/>
    </row>
    <row r="67" spans="1:8" x14ac:dyDescent="0.25">
      <c r="A67" s="134" t="s">
        <v>161</v>
      </c>
      <c r="B67" s="135" t="s">
        <v>53</v>
      </c>
      <c r="C67" s="135" t="s">
        <v>179</v>
      </c>
      <c r="D67" s="271" t="s">
        <v>548</v>
      </c>
      <c r="E67" s="271"/>
      <c r="F67" s="135" t="s">
        <v>59</v>
      </c>
      <c r="G67" s="131">
        <v>335.25</v>
      </c>
      <c r="H67" s="147">
        <v>0</v>
      </c>
    </row>
    <row r="68" spans="1:8" x14ac:dyDescent="0.25">
      <c r="A68" s="148"/>
      <c r="D68" s="149" t="s">
        <v>590</v>
      </c>
      <c r="E68" s="328" t="s">
        <v>53</v>
      </c>
      <c r="F68" s="328"/>
      <c r="G68" s="150">
        <v>335.25</v>
      </c>
      <c r="H68" s="151"/>
    </row>
    <row r="69" spans="1:8" x14ac:dyDescent="0.25">
      <c r="A69" s="134" t="s">
        <v>165</v>
      </c>
      <c r="B69" s="135" t="s">
        <v>53</v>
      </c>
      <c r="C69" s="135" t="s">
        <v>184</v>
      </c>
      <c r="D69" s="271" t="s">
        <v>549</v>
      </c>
      <c r="E69" s="271"/>
      <c r="F69" s="135" t="s">
        <v>59</v>
      </c>
      <c r="G69" s="131">
        <v>96.84</v>
      </c>
      <c r="H69" s="147">
        <v>0</v>
      </c>
    </row>
    <row r="70" spans="1:8" x14ac:dyDescent="0.25">
      <c r="A70" s="148"/>
      <c r="D70" s="149" t="s">
        <v>591</v>
      </c>
      <c r="E70" s="328" t="s">
        <v>53</v>
      </c>
      <c r="F70" s="328"/>
      <c r="G70" s="150">
        <v>96.84</v>
      </c>
      <c r="H70" s="151"/>
    </row>
    <row r="71" spans="1:8" x14ac:dyDescent="0.25">
      <c r="A71" s="134" t="s">
        <v>169</v>
      </c>
      <c r="B71" s="135" t="s">
        <v>53</v>
      </c>
      <c r="C71" s="135" t="s">
        <v>187</v>
      </c>
      <c r="D71" s="271" t="s">
        <v>550</v>
      </c>
      <c r="E71" s="271"/>
      <c r="F71" s="135" t="s">
        <v>59</v>
      </c>
      <c r="G71" s="131">
        <v>96.84</v>
      </c>
      <c r="H71" s="147">
        <v>0</v>
      </c>
    </row>
    <row r="72" spans="1:8" x14ac:dyDescent="0.25">
      <c r="A72" s="148"/>
      <c r="D72" s="149" t="s">
        <v>591</v>
      </c>
      <c r="E72" s="328" t="s">
        <v>53</v>
      </c>
      <c r="F72" s="328"/>
      <c r="G72" s="150">
        <v>96.84</v>
      </c>
      <c r="H72" s="151"/>
    </row>
    <row r="73" spans="1:8" x14ac:dyDescent="0.25">
      <c r="A73" s="134" t="s">
        <v>174</v>
      </c>
      <c r="B73" s="135" t="s">
        <v>53</v>
      </c>
      <c r="C73" s="135" t="s">
        <v>187</v>
      </c>
      <c r="D73" s="271" t="s">
        <v>551</v>
      </c>
      <c r="E73" s="271"/>
      <c r="F73" s="135" t="s">
        <v>59</v>
      </c>
      <c r="G73" s="131">
        <v>72.63</v>
      </c>
      <c r="H73" s="147">
        <v>0</v>
      </c>
    </row>
    <row r="74" spans="1:8" x14ac:dyDescent="0.25">
      <c r="A74" s="148"/>
      <c r="D74" s="149" t="s">
        <v>592</v>
      </c>
      <c r="E74" s="328" t="s">
        <v>53</v>
      </c>
      <c r="F74" s="328"/>
      <c r="G74" s="150">
        <v>72.63</v>
      </c>
      <c r="H74" s="151"/>
    </row>
    <row r="75" spans="1:8" x14ac:dyDescent="0.25">
      <c r="A75" s="134" t="s">
        <v>148</v>
      </c>
      <c r="B75" s="135" t="s">
        <v>53</v>
      </c>
      <c r="C75" s="135" t="s">
        <v>192</v>
      </c>
      <c r="D75" s="271" t="s">
        <v>552</v>
      </c>
      <c r="E75" s="271"/>
      <c r="F75" s="135" t="s">
        <v>59</v>
      </c>
      <c r="G75" s="131">
        <v>262.62</v>
      </c>
      <c r="H75" s="147">
        <v>0</v>
      </c>
    </row>
    <row r="76" spans="1:8" x14ac:dyDescent="0.25">
      <c r="A76" s="148"/>
      <c r="D76" s="149" t="s">
        <v>593</v>
      </c>
      <c r="E76" s="328" t="s">
        <v>53</v>
      </c>
      <c r="F76" s="328"/>
      <c r="G76" s="150">
        <v>262.62</v>
      </c>
      <c r="H76" s="151"/>
    </row>
    <row r="77" spans="1:8" x14ac:dyDescent="0.25">
      <c r="A77" s="134" t="s">
        <v>183</v>
      </c>
      <c r="B77" s="135" t="s">
        <v>53</v>
      </c>
      <c r="C77" s="135" t="s">
        <v>195</v>
      </c>
      <c r="D77" s="271" t="s">
        <v>196</v>
      </c>
      <c r="E77" s="271"/>
      <c r="F77" s="135" t="s">
        <v>59</v>
      </c>
      <c r="G77" s="131">
        <v>20</v>
      </c>
      <c r="H77" s="147">
        <v>0</v>
      </c>
    </row>
    <row r="78" spans="1:8" x14ac:dyDescent="0.25">
      <c r="A78" s="148"/>
      <c r="D78" s="149" t="s">
        <v>128</v>
      </c>
      <c r="E78" s="328" t="s">
        <v>53</v>
      </c>
      <c r="F78" s="328"/>
      <c r="G78" s="150">
        <v>20</v>
      </c>
      <c r="H78" s="151"/>
    </row>
    <row r="79" spans="1:8" x14ac:dyDescent="0.25">
      <c r="A79" s="134" t="s">
        <v>186</v>
      </c>
      <c r="B79" s="135" t="s">
        <v>53</v>
      </c>
      <c r="C79" s="135" t="s">
        <v>217</v>
      </c>
      <c r="D79" s="271" t="s">
        <v>218</v>
      </c>
      <c r="E79" s="271"/>
      <c r="F79" s="135" t="s">
        <v>59</v>
      </c>
      <c r="G79" s="131">
        <v>291.8</v>
      </c>
      <c r="H79" s="147">
        <v>0</v>
      </c>
    </row>
    <row r="80" spans="1:8" x14ac:dyDescent="0.25">
      <c r="A80" s="148"/>
      <c r="D80" s="149" t="s">
        <v>594</v>
      </c>
      <c r="E80" s="328" t="s">
        <v>53</v>
      </c>
      <c r="F80" s="328"/>
      <c r="G80" s="150">
        <v>291.8</v>
      </c>
      <c r="H80" s="151"/>
    </row>
    <row r="81" spans="1:8" x14ac:dyDescent="0.25">
      <c r="A81" s="134" t="s">
        <v>189</v>
      </c>
      <c r="B81" s="135" t="s">
        <v>53</v>
      </c>
      <c r="C81" s="135" t="s">
        <v>221</v>
      </c>
      <c r="D81" s="271" t="s">
        <v>222</v>
      </c>
      <c r="E81" s="271"/>
      <c r="F81" s="135" t="s">
        <v>59</v>
      </c>
      <c r="G81" s="131">
        <v>80.7</v>
      </c>
      <c r="H81" s="147">
        <v>0</v>
      </c>
    </row>
    <row r="82" spans="1:8" x14ac:dyDescent="0.25">
      <c r="A82" s="148"/>
      <c r="D82" s="149" t="s">
        <v>595</v>
      </c>
      <c r="E82" s="328" t="s">
        <v>53</v>
      </c>
      <c r="F82" s="328"/>
      <c r="G82" s="150">
        <v>80.7</v>
      </c>
      <c r="H82" s="151"/>
    </row>
    <row r="83" spans="1:8" x14ac:dyDescent="0.25">
      <c r="A83" s="134" t="s">
        <v>191</v>
      </c>
      <c r="B83" s="135" t="s">
        <v>53</v>
      </c>
      <c r="C83" s="135" t="s">
        <v>252</v>
      </c>
      <c r="D83" s="271" t="s">
        <v>553</v>
      </c>
      <c r="E83" s="271"/>
      <c r="F83" s="135" t="s">
        <v>67</v>
      </c>
      <c r="G83" s="131">
        <v>10</v>
      </c>
      <c r="H83" s="147">
        <v>0</v>
      </c>
    </row>
    <row r="84" spans="1:8" x14ac:dyDescent="0.25">
      <c r="A84" s="148"/>
      <c r="D84" s="149" t="s">
        <v>93</v>
      </c>
      <c r="E84" s="328" t="s">
        <v>53</v>
      </c>
      <c r="F84" s="328"/>
      <c r="G84" s="150">
        <v>10</v>
      </c>
      <c r="H84" s="151"/>
    </row>
    <row r="85" spans="1:8" x14ac:dyDescent="0.25">
      <c r="A85" s="134" t="s">
        <v>194</v>
      </c>
      <c r="B85" s="135" t="s">
        <v>53</v>
      </c>
      <c r="C85" s="135" t="s">
        <v>258</v>
      </c>
      <c r="D85" s="271" t="s">
        <v>259</v>
      </c>
      <c r="E85" s="271"/>
      <c r="F85" s="135" t="s">
        <v>164</v>
      </c>
      <c r="G85" s="131">
        <v>6</v>
      </c>
      <c r="H85" s="147">
        <v>0</v>
      </c>
    </row>
    <row r="86" spans="1:8" x14ac:dyDescent="0.25">
      <c r="A86" s="148"/>
      <c r="D86" s="149" t="s">
        <v>81</v>
      </c>
      <c r="E86" s="328" t="s">
        <v>53</v>
      </c>
      <c r="F86" s="328"/>
      <c r="G86" s="150">
        <v>6</v>
      </c>
      <c r="H86" s="151"/>
    </row>
    <row r="87" spans="1:8" x14ac:dyDescent="0.25">
      <c r="A87" s="134" t="s">
        <v>197</v>
      </c>
      <c r="B87" s="135" t="s">
        <v>53</v>
      </c>
      <c r="C87" s="135" t="s">
        <v>267</v>
      </c>
      <c r="D87" s="271" t="s">
        <v>268</v>
      </c>
      <c r="E87" s="271"/>
      <c r="F87" s="135" t="s">
        <v>164</v>
      </c>
      <c r="G87" s="131">
        <v>5</v>
      </c>
      <c r="H87" s="147">
        <v>0</v>
      </c>
    </row>
    <row r="88" spans="1:8" x14ac:dyDescent="0.25">
      <c r="A88" s="148"/>
      <c r="D88" s="149" t="s">
        <v>76</v>
      </c>
      <c r="E88" s="328" t="s">
        <v>53</v>
      </c>
      <c r="F88" s="328"/>
      <c r="G88" s="150">
        <v>5</v>
      </c>
      <c r="H88" s="151"/>
    </row>
    <row r="89" spans="1:8" x14ac:dyDescent="0.25">
      <c r="A89" s="134" t="s">
        <v>199</v>
      </c>
      <c r="B89" s="135" t="s">
        <v>53</v>
      </c>
      <c r="C89" s="135" t="s">
        <v>272</v>
      </c>
      <c r="D89" s="271" t="s">
        <v>273</v>
      </c>
      <c r="E89" s="271"/>
      <c r="F89" s="135" t="s">
        <v>67</v>
      </c>
      <c r="G89" s="131">
        <v>284</v>
      </c>
      <c r="H89" s="147">
        <v>0</v>
      </c>
    </row>
    <row r="90" spans="1:8" x14ac:dyDescent="0.25">
      <c r="A90" s="148"/>
      <c r="D90" s="149" t="s">
        <v>596</v>
      </c>
      <c r="E90" s="328" t="s">
        <v>53</v>
      </c>
      <c r="F90" s="328"/>
      <c r="G90" s="150">
        <v>284</v>
      </c>
      <c r="H90" s="151"/>
    </row>
    <row r="91" spans="1:8" x14ac:dyDescent="0.25">
      <c r="A91" s="134" t="s">
        <v>201</v>
      </c>
      <c r="B91" s="135" t="s">
        <v>53</v>
      </c>
      <c r="C91" s="135" t="s">
        <v>272</v>
      </c>
      <c r="D91" s="271" t="s">
        <v>276</v>
      </c>
      <c r="E91" s="271"/>
      <c r="F91" s="135" t="s">
        <v>67</v>
      </c>
      <c r="G91" s="131">
        <v>231</v>
      </c>
      <c r="H91" s="147">
        <v>0</v>
      </c>
    </row>
    <row r="92" spans="1:8" x14ac:dyDescent="0.25">
      <c r="A92" s="148"/>
      <c r="D92" s="149" t="s">
        <v>597</v>
      </c>
      <c r="E92" s="328" t="s">
        <v>53</v>
      </c>
      <c r="F92" s="328"/>
      <c r="G92" s="150">
        <v>231</v>
      </c>
      <c r="H92" s="151"/>
    </row>
    <row r="93" spans="1:8" x14ac:dyDescent="0.25">
      <c r="A93" s="134" t="s">
        <v>203</v>
      </c>
      <c r="B93" s="135" t="s">
        <v>53</v>
      </c>
      <c r="C93" s="135" t="s">
        <v>278</v>
      </c>
      <c r="D93" s="271" t="s">
        <v>279</v>
      </c>
      <c r="E93" s="271"/>
      <c r="F93" s="135" t="s">
        <v>79</v>
      </c>
      <c r="G93" s="131">
        <v>11.59</v>
      </c>
      <c r="H93" s="147">
        <v>0</v>
      </c>
    </row>
    <row r="94" spans="1:8" x14ac:dyDescent="0.25">
      <c r="A94" s="148"/>
      <c r="D94" s="149" t="s">
        <v>598</v>
      </c>
      <c r="E94" s="328" t="s">
        <v>53</v>
      </c>
      <c r="F94" s="328"/>
      <c r="G94" s="150">
        <v>11.59</v>
      </c>
      <c r="H94" s="151"/>
    </row>
    <row r="95" spans="1:8" x14ac:dyDescent="0.25">
      <c r="A95" s="134" t="s">
        <v>208</v>
      </c>
      <c r="B95" s="135" t="s">
        <v>53</v>
      </c>
      <c r="C95" s="135" t="s">
        <v>281</v>
      </c>
      <c r="D95" s="271" t="s">
        <v>554</v>
      </c>
      <c r="E95" s="271"/>
      <c r="F95" s="135" t="s">
        <v>164</v>
      </c>
      <c r="G95" s="131">
        <v>12</v>
      </c>
      <c r="H95" s="147">
        <v>0</v>
      </c>
    </row>
    <row r="96" spans="1:8" x14ac:dyDescent="0.25">
      <c r="A96" s="148"/>
      <c r="D96" s="149" t="s">
        <v>599</v>
      </c>
      <c r="E96" s="328" t="s">
        <v>53</v>
      </c>
      <c r="F96" s="328"/>
      <c r="G96" s="150">
        <v>12</v>
      </c>
      <c r="H96" s="151"/>
    </row>
    <row r="97" spans="1:8" x14ac:dyDescent="0.25">
      <c r="A97" s="134" t="s">
        <v>212</v>
      </c>
      <c r="B97" s="135" t="s">
        <v>53</v>
      </c>
      <c r="C97" s="135" t="s">
        <v>284</v>
      </c>
      <c r="D97" s="271" t="s">
        <v>285</v>
      </c>
      <c r="E97" s="271"/>
      <c r="F97" s="135" t="s">
        <v>67</v>
      </c>
      <c r="G97" s="131">
        <v>165</v>
      </c>
      <c r="H97" s="147">
        <v>0</v>
      </c>
    </row>
    <row r="98" spans="1:8" x14ac:dyDescent="0.25">
      <c r="A98" s="148"/>
      <c r="D98" s="149" t="s">
        <v>600</v>
      </c>
      <c r="E98" s="328" t="s">
        <v>53</v>
      </c>
      <c r="F98" s="328"/>
      <c r="G98" s="150">
        <v>165</v>
      </c>
      <c r="H98" s="151"/>
    </row>
    <row r="99" spans="1:8" x14ac:dyDescent="0.25">
      <c r="A99" s="134" t="s">
        <v>167</v>
      </c>
      <c r="B99" s="135" t="s">
        <v>53</v>
      </c>
      <c r="C99" s="135" t="s">
        <v>284</v>
      </c>
      <c r="D99" s="271" t="s">
        <v>286</v>
      </c>
      <c r="E99" s="271"/>
      <c r="F99" s="135" t="s">
        <v>67</v>
      </c>
      <c r="G99" s="131">
        <v>30</v>
      </c>
      <c r="H99" s="147">
        <v>0</v>
      </c>
    </row>
    <row r="100" spans="1:8" x14ac:dyDescent="0.25">
      <c r="A100" s="148"/>
      <c r="D100" s="149" t="s">
        <v>165</v>
      </c>
      <c r="E100" s="328" t="s">
        <v>53</v>
      </c>
      <c r="F100" s="328"/>
      <c r="G100" s="150">
        <v>30</v>
      </c>
      <c r="H100" s="151"/>
    </row>
    <row r="101" spans="1:8" x14ac:dyDescent="0.25">
      <c r="A101" s="134" t="s">
        <v>220</v>
      </c>
      <c r="B101" s="135" t="s">
        <v>53</v>
      </c>
      <c r="C101" s="135" t="s">
        <v>288</v>
      </c>
      <c r="D101" s="271" t="s">
        <v>289</v>
      </c>
      <c r="E101" s="271"/>
      <c r="F101" s="135" t="s">
        <v>59</v>
      </c>
      <c r="G101" s="131">
        <v>12.5</v>
      </c>
      <c r="H101" s="147">
        <v>0</v>
      </c>
    </row>
    <row r="102" spans="1:8" x14ac:dyDescent="0.25">
      <c r="A102" s="148"/>
      <c r="D102" s="149" t="s">
        <v>601</v>
      </c>
      <c r="E102" s="328" t="s">
        <v>53</v>
      </c>
      <c r="F102" s="328"/>
      <c r="G102" s="150">
        <v>12.5</v>
      </c>
      <c r="H102" s="151"/>
    </row>
    <row r="103" spans="1:8" x14ac:dyDescent="0.25">
      <c r="A103" s="134" t="s">
        <v>223</v>
      </c>
      <c r="B103" s="135" t="s">
        <v>53</v>
      </c>
      <c r="C103" s="135" t="s">
        <v>291</v>
      </c>
      <c r="D103" s="271" t="s">
        <v>292</v>
      </c>
      <c r="E103" s="271"/>
      <c r="F103" s="135" t="s">
        <v>67</v>
      </c>
      <c r="G103" s="131">
        <v>30</v>
      </c>
      <c r="H103" s="147">
        <v>0</v>
      </c>
    </row>
    <row r="104" spans="1:8" x14ac:dyDescent="0.25">
      <c r="A104" s="148"/>
      <c r="D104" s="149" t="s">
        <v>165</v>
      </c>
      <c r="E104" s="328" t="s">
        <v>53</v>
      </c>
      <c r="F104" s="328"/>
      <c r="G104" s="150">
        <v>30</v>
      </c>
      <c r="H104" s="151"/>
    </row>
    <row r="105" spans="1:8" x14ac:dyDescent="0.25">
      <c r="A105" s="134" t="s">
        <v>226</v>
      </c>
      <c r="B105" s="135" t="s">
        <v>53</v>
      </c>
      <c r="C105" s="135" t="s">
        <v>297</v>
      </c>
      <c r="D105" s="271" t="s">
        <v>298</v>
      </c>
      <c r="E105" s="271"/>
      <c r="F105" s="135" t="s">
        <v>59</v>
      </c>
      <c r="G105" s="131">
        <v>12.5</v>
      </c>
      <c r="H105" s="147">
        <v>0</v>
      </c>
    </row>
    <row r="106" spans="1:8" x14ac:dyDescent="0.25">
      <c r="A106" s="148"/>
      <c r="D106" s="149" t="s">
        <v>601</v>
      </c>
      <c r="E106" s="328" t="s">
        <v>53</v>
      </c>
      <c r="F106" s="328"/>
      <c r="G106" s="150">
        <v>12.5</v>
      </c>
      <c r="H106" s="151"/>
    </row>
    <row r="107" spans="1:8" x14ac:dyDescent="0.25">
      <c r="A107" s="134" t="s">
        <v>229</v>
      </c>
      <c r="B107" s="135" t="s">
        <v>53</v>
      </c>
      <c r="C107" s="135" t="s">
        <v>302</v>
      </c>
      <c r="D107" s="271" t="s">
        <v>303</v>
      </c>
      <c r="E107" s="271"/>
      <c r="F107" s="135" t="s">
        <v>164</v>
      </c>
      <c r="G107" s="131">
        <v>2</v>
      </c>
      <c r="H107" s="147">
        <v>0</v>
      </c>
    </row>
    <row r="108" spans="1:8" x14ac:dyDescent="0.25">
      <c r="A108" s="148"/>
      <c r="D108" s="149" t="s">
        <v>64</v>
      </c>
      <c r="E108" s="328" t="s">
        <v>53</v>
      </c>
      <c r="F108" s="328"/>
      <c r="G108" s="150">
        <v>2</v>
      </c>
      <c r="H108" s="151"/>
    </row>
    <row r="109" spans="1:8" x14ac:dyDescent="0.25">
      <c r="A109" s="134" t="s">
        <v>234</v>
      </c>
      <c r="B109" s="135" t="s">
        <v>53</v>
      </c>
      <c r="C109" s="135" t="s">
        <v>312</v>
      </c>
      <c r="D109" s="271" t="s">
        <v>313</v>
      </c>
      <c r="E109" s="271"/>
      <c r="F109" s="135" t="s">
        <v>67</v>
      </c>
      <c r="G109" s="131">
        <v>10</v>
      </c>
      <c r="H109" s="147">
        <v>0</v>
      </c>
    </row>
    <row r="110" spans="1:8" x14ac:dyDescent="0.25">
      <c r="A110" s="148"/>
      <c r="D110" s="149" t="s">
        <v>93</v>
      </c>
      <c r="E110" s="328" t="s">
        <v>53</v>
      </c>
      <c r="F110" s="328"/>
      <c r="G110" s="150">
        <v>10</v>
      </c>
      <c r="H110" s="151"/>
    </row>
    <row r="111" spans="1:8" x14ac:dyDescent="0.25">
      <c r="A111" s="134" t="s">
        <v>239</v>
      </c>
      <c r="B111" s="135" t="s">
        <v>53</v>
      </c>
      <c r="C111" s="135" t="s">
        <v>318</v>
      </c>
      <c r="D111" s="271" t="s">
        <v>319</v>
      </c>
      <c r="E111" s="271"/>
      <c r="F111" s="135" t="s">
        <v>164</v>
      </c>
      <c r="G111" s="131">
        <v>3</v>
      </c>
      <c r="H111" s="147">
        <v>0</v>
      </c>
    </row>
    <row r="112" spans="1:8" x14ac:dyDescent="0.25">
      <c r="A112" s="148"/>
      <c r="D112" s="149" t="s">
        <v>68</v>
      </c>
      <c r="E112" s="328" t="s">
        <v>53</v>
      </c>
      <c r="F112" s="328"/>
      <c r="G112" s="150">
        <v>3</v>
      </c>
      <c r="H112" s="151"/>
    </row>
    <row r="113" spans="1:8" x14ac:dyDescent="0.25">
      <c r="A113" s="134" t="s">
        <v>244</v>
      </c>
      <c r="B113" s="135" t="s">
        <v>53</v>
      </c>
      <c r="C113" s="135" t="s">
        <v>323</v>
      </c>
      <c r="D113" s="271" t="s">
        <v>324</v>
      </c>
      <c r="E113" s="271"/>
      <c r="F113" s="135" t="s">
        <v>122</v>
      </c>
      <c r="G113" s="131">
        <v>343.9</v>
      </c>
      <c r="H113" s="147">
        <v>0</v>
      </c>
    </row>
    <row r="114" spans="1:8" x14ac:dyDescent="0.25">
      <c r="A114" s="148"/>
      <c r="D114" s="149" t="s">
        <v>602</v>
      </c>
      <c r="E114" s="328" t="s">
        <v>53</v>
      </c>
      <c r="F114" s="328"/>
      <c r="G114" s="150">
        <v>343.9</v>
      </c>
      <c r="H114" s="151"/>
    </row>
    <row r="115" spans="1:8" x14ac:dyDescent="0.25">
      <c r="A115" s="134" t="s">
        <v>251</v>
      </c>
      <c r="B115" s="135" t="s">
        <v>53</v>
      </c>
      <c r="C115" s="135" t="s">
        <v>329</v>
      </c>
      <c r="D115" s="271" t="s">
        <v>330</v>
      </c>
      <c r="E115" s="271"/>
      <c r="F115" s="135" t="s">
        <v>122</v>
      </c>
      <c r="G115" s="131">
        <v>75.97</v>
      </c>
      <c r="H115" s="147">
        <v>0</v>
      </c>
    </row>
    <row r="116" spans="1:8" x14ac:dyDescent="0.25">
      <c r="A116" s="148"/>
      <c r="D116" s="149" t="s">
        <v>603</v>
      </c>
      <c r="E116" s="328" t="s">
        <v>53</v>
      </c>
      <c r="F116" s="328"/>
      <c r="G116" s="150">
        <v>75.97</v>
      </c>
      <c r="H116" s="151"/>
    </row>
    <row r="117" spans="1:8" x14ac:dyDescent="0.25">
      <c r="A117" s="134" t="s">
        <v>257</v>
      </c>
      <c r="B117" s="135" t="s">
        <v>53</v>
      </c>
      <c r="C117" s="135" t="s">
        <v>333</v>
      </c>
      <c r="D117" s="271" t="s">
        <v>334</v>
      </c>
      <c r="E117" s="271"/>
      <c r="F117" s="135" t="s">
        <v>122</v>
      </c>
      <c r="G117" s="131">
        <v>455.82</v>
      </c>
      <c r="H117" s="147">
        <v>0</v>
      </c>
    </row>
    <row r="118" spans="1:8" x14ac:dyDescent="0.25">
      <c r="A118" s="148"/>
      <c r="D118" s="149" t="s">
        <v>604</v>
      </c>
      <c r="E118" s="328" t="s">
        <v>53</v>
      </c>
      <c r="F118" s="328"/>
      <c r="G118" s="150">
        <v>455.82</v>
      </c>
      <c r="H118" s="151"/>
    </row>
    <row r="119" spans="1:8" x14ac:dyDescent="0.25">
      <c r="A119" s="134" t="s">
        <v>262</v>
      </c>
      <c r="B119" s="135" t="s">
        <v>53</v>
      </c>
      <c r="C119" s="135" t="s">
        <v>336</v>
      </c>
      <c r="D119" s="271" t="s">
        <v>337</v>
      </c>
      <c r="E119" s="271"/>
      <c r="F119" s="135" t="s">
        <v>122</v>
      </c>
      <c r="G119" s="131">
        <v>75.97</v>
      </c>
      <c r="H119" s="147">
        <v>0</v>
      </c>
    </row>
    <row r="120" spans="1:8" x14ac:dyDescent="0.25">
      <c r="A120" s="148"/>
      <c r="D120" s="149" t="s">
        <v>603</v>
      </c>
      <c r="E120" s="328" t="s">
        <v>53</v>
      </c>
      <c r="F120" s="328"/>
      <c r="G120" s="150">
        <v>75.97</v>
      </c>
      <c r="H120" s="151"/>
    </row>
    <row r="121" spans="1:8" x14ac:dyDescent="0.25">
      <c r="A121" s="134" t="s">
        <v>177</v>
      </c>
      <c r="B121" s="135" t="s">
        <v>53</v>
      </c>
      <c r="C121" s="135" t="s">
        <v>341</v>
      </c>
      <c r="D121" s="271" t="s">
        <v>342</v>
      </c>
      <c r="E121" s="271"/>
      <c r="F121" s="135" t="s">
        <v>164</v>
      </c>
      <c r="G121" s="131">
        <v>228</v>
      </c>
      <c r="H121" s="147">
        <v>0</v>
      </c>
    </row>
    <row r="122" spans="1:8" x14ac:dyDescent="0.25">
      <c r="A122" s="148"/>
      <c r="D122" s="149" t="s">
        <v>605</v>
      </c>
      <c r="E122" s="328" t="s">
        <v>53</v>
      </c>
      <c r="F122" s="328"/>
      <c r="G122" s="150">
        <v>228</v>
      </c>
      <c r="H122" s="151"/>
    </row>
    <row r="123" spans="1:8" x14ac:dyDescent="0.25">
      <c r="A123" s="134" t="s">
        <v>206</v>
      </c>
      <c r="B123" s="135" t="s">
        <v>53</v>
      </c>
      <c r="C123" s="135" t="s">
        <v>347</v>
      </c>
      <c r="D123" s="271" t="s">
        <v>348</v>
      </c>
      <c r="E123" s="271"/>
      <c r="F123" s="135" t="s">
        <v>164</v>
      </c>
      <c r="G123" s="131">
        <v>18</v>
      </c>
      <c r="H123" s="147">
        <v>0</v>
      </c>
    </row>
    <row r="124" spans="1:8" x14ac:dyDescent="0.25">
      <c r="A124" s="148"/>
      <c r="D124" s="149" t="s">
        <v>119</v>
      </c>
      <c r="E124" s="328" t="s">
        <v>53</v>
      </c>
      <c r="F124" s="328"/>
      <c r="G124" s="150">
        <v>18</v>
      </c>
      <c r="H124" s="151"/>
    </row>
    <row r="125" spans="1:8" x14ac:dyDescent="0.25">
      <c r="A125" s="134" t="s">
        <v>271</v>
      </c>
      <c r="B125" s="135" t="s">
        <v>53</v>
      </c>
      <c r="C125" s="135" t="s">
        <v>350</v>
      </c>
      <c r="D125" s="271" t="s">
        <v>351</v>
      </c>
      <c r="E125" s="271"/>
      <c r="F125" s="135" t="s">
        <v>164</v>
      </c>
      <c r="G125" s="131">
        <v>18</v>
      </c>
      <c r="H125" s="147">
        <v>0</v>
      </c>
    </row>
    <row r="126" spans="1:8" x14ac:dyDescent="0.25">
      <c r="A126" s="148"/>
      <c r="D126" s="149" t="s">
        <v>119</v>
      </c>
      <c r="E126" s="328" t="s">
        <v>53</v>
      </c>
      <c r="F126" s="328"/>
      <c r="G126" s="150">
        <v>18</v>
      </c>
      <c r="H126" s="151"/>
    </row>
    <row r="127" spans="1:8" x14ac:dyDescent="0.25">
      <c r="A127" s="134" t="s">
        <v>215</v>
      </c>
      <c r="B127" s="135" t="s">
        <v>53</v>
      </c>
      <c r="C127" s="135" t="s">
        <v>353</v>
      </c>
      <c r="D127" s="271" t="s">
        <v>354</v>
      </c>
      <c r="E127" s="271"/>
      <c r="F127" s="135" t="s">
        <v>164</v>
      </c>
      <c r="G127" s="131">
        <v>38</v>
      </c>
      <c r="H127" s="147">
        <v>0</v>
      </c>
    </row>
    <row r="128" spans="1:8" x14ac:dyDescent="0.25">
      <c r="A128" s="148"/>
      <c r="D128" s="149" t="s">
        <v>194</v>
      </c>
      <c r="E128" s="328" t="s">
        <v>53</v>
      </c>
      <c r="F128" s="328"/>
      <c r="G128" s="150">
        <v>38</v>
      </c>
      <c r="H128" s="151"/>
    </row>
    <row r="129" spans="1:8" x14ac:dyDescent="0.25">
      <c r="A129" s="134" t="s">
        <v>277</v>
      </c>
      <c r="B129" s="135" t="s">
        <v>53</v>
      </c>
      <c r="C129" s="135" t="s">
        <v>356</v>
      </c>
      <c r="D129" s="271" t="s">
        <v>357</v>
      </c>
      <c r="E129" s="271"/>
      <c r="F129" s="135" t="s">
        <v>164</v>
      </c>
      <c r="G129" s="131">
        <v>462</v>
      </c>
      <c r="H129" s="147">
        <v>0</v>
      </c>
    </row>
    <row r="130" spans="1:8" x14ac:dyDescent="0.25">
      <c r="A130" s="148"/>
      <c r="D130" s="149" t="s">
        <v>606</v>
      </c>
      <c r="E130" s="328" t="s">
        <v>53</v>
      </c>
      <c r="F130" s="328"/>
      <c r="G130" s="150">
        <v>462</v>
      </c>
      <c r="H130" s="151"/>
    </row>
    <row r="131" spans="1:8" x14ac:dyDescent="0.25">
      <c r="A131" s="134" t="s">
        <v>280</v>
      </c>
      <c r="B131" s="135" t="s">
        <v>53</v>
      </c>
      <c r="C131" s="135" t="s">
        <v>359</v>
      </c>
      <c r="D131" s="271" t="s">
        <v>360</v>
      </c>
      <c r="E131" s="271"/>
      <c r="F131" s="135" t="s">
        <v>59</v>
      </c>
      <c r="G131" s="131">
        <v>288.10000000000002</v>
      </c>
      <c r="H131" s="147">
        <v>0</v>
      </c>
    </row>
    <row r="132" spans="1:8" x14ac:dyDescent="0.25">
      <c r="A132" s="148"/>
      <c r="D132" s="149" t="s">
        <v>607</v>
      </c>
      <c r="E132" s="328" t="s">
        <v>53</v>
      </c>
      <c r="F132" s="328"/>
      <c r="G132" s="150">
        <v>288.10000000000002</v>
      </c>
      <c r="H132" s="151"/>
    </row>
    <row r="133" spans="1:8" x14ac:dyDescent="0.25">
      <c r="A133" s="134" t="s">
        <v>283</v>
      </c>
      <c r="B133" s="135" t="s">
        <v>53</v>
      </c>
      <c r="C133" s="135" t="s">
        <v>368</v>
      </c>
      <c r="D133" s="271" t="s">
        <v>369</v>
      </c>
      <c r="E133" s="271"/>
      <c r="F133" s="135" t="s">
        <v>59</v>
      </c>
      <c r="G133" s="131">
        <v>3.7</v>
      </c>
      <c r="H133" s="147">
        <v>0</v>
      </c>
    </row>
    <row r="134" spans="1:8" x14ac:dyDescent="0.25">
      <c r="A134" s="148"/>
      <c r="D134" s="149" t="s">
        <v>608</v>
      </c>
      <c r="E134" s="328" t="s">
        <v>53</v>
      </c>
      <c r="F134" s="328"/>
      <c r="G134" s="150">
        <v>3.7</v>
      </c>
      <c r="H134" s="151"/>
    </row>
    <row r="135" spans="1:8" x14ac:dyDescent="0.25">
      <c r="A135" s="134" t="s">
        <v>232</v>
      </c>
      <c r="B135" s="135" t="s">
        <v>53</v>
      </c>
      <c r="C135" s="135" t="s">
        <v>365</v>
      </c>
      <c r="D135" s="271" t="s">
        <v>366</v>
      </c>
      <c r="E135" s="271"/>
      <c r="F135" s="135" t="s">
        <v>59</v>
      </c>
      <c r="G135" s="131">
        <v>65.599999999999994</v>
      </c>
      <c r="H135" s="147">
        <v>0</v>
      </c>
    </row>
    <row r="136" spans="1:8" x14ac:dyDescent="0.25">
      <c r="A136" s="148"/>
      <c r="D136" s="149" t="s">
        <v>609</v>
      </c>
      <c r="E136" s="328" t="s">
        <v>53</v>
      </c>
      <c r="F136" s="328"/>
      <c r="G136" s="150">
        <v>65.599999999999994</v>
      </c>
      <c r="H136" s="151"/>
    </row>
    <row r="137" spans="1:8" x14ac:dyDescent="0.25">
      <c r="A137" s="134" t="s">
        <v>287</v>
      </c>
      <c r="B137" s="135" t="s">
        <v>53</v>
      </c>
      <c r="C137" s="135" t="s">
        <v>362</v>
      </c>
      <c r="D137" s="271" t="s">
        <v>363</v>
      </c>
      <c r="E137" s="271"/>
      <c r="F137" s="135" t="s">
        <v>59</v>
      </c>
      <c r="G137" s="131">
        <v>15.1</v>
      </c>
      <c r="H137" s="147">
        <v>0</v>
      </c>
    </row>
    <row r="138" spans="1:8" x14ac:dyDescent="0.25">
      <c r="A138" s="148"/>
      <c r="D138" s="149" t="s">
        <v>610</v>
      </c>
      <c r="E138" s="328" t="s">
        <v>53</v>
      </c>
      <c r="F138" s="328"/>
      <c r="G138" s="150">
        <v>15.1</v>
      </c>
      <c r="H138" s="151"/>
    </row>
    <row r="139" spans="1:8" x14ac:dyDescent="0.25">
      <c r="A139" s="134" t="s">
        <v>290</v>
      </c>
      <c r="B139" s="135" t="s">
        <v>53</v>
      </c>
      <c r="C139" s="135" t="s">
        <v>371</v>
      </c>
      <c r="D139" s="271" t="s">
        <v>372</v>
      </c>
      <c r="E139" s="271"/>
      <c r="F139" s="135" t="s">
        <v>164</v>
      </c>
      <c r="G139" s="131">
        <v>16</v>
      </c>
      <c r="H139" s="147">
        <v>0</v>
      </c>
    </row>
    <row r="140" spans="1:8" x14ac:dyDescent="0.25">
      <c r="A140" s="148"/>
      <c r="D140" s="149" t="s">
        <v>611</v>
      </c>
      <c r="E140" s="328" t="s">
        <v>53</v>
      </c>
      <c r="F140" s="328"/>
      <c r="G140" s="150">
        <v>16</v>
      </c>
      <c r="H140" s="151"/>
    </row>
    <row r="141" spans="1:8" x14ac:dyDescent="0.25">
      <c r="A141" s="134" t="s">
        <v>293</v>
      </c>
      <c r="B141" s="135" t="s">
        <v>53</v>
      </c>
      <c r="C141" s="135" t="s">
        <v>374</v>
      </c>
      <c r="D141" s="271" t="s">
        <v>375</v>
      </c>
      <c r="E141" s="271"/>
      <c r="F141" s="135" t="s">
        <v>164</v>
      </c>
      <c r="G141" s="131">
        <v>11.43</v>
      </c>
      <c r="H141" s="147">
        <v>0</v>
      </c>
    </row>
    <row r="142" spans="1:8" x14ac:dyDescent="0.25">
      <c r="A142" s="148"/>
      <c r="D142" s="149" t="s">
        <v>612</v>
      </c>
      <c r="E142" s="328" t="s">
        <v>53</v>
      </c>
      <c r="F142" s="328"/>
      <c r="G142" s="150">
        <v>11.43</v>
      </c>
      <c r="H142" s="151"/>
    </row>
    <row r="143" spans="1:8" x14ac:dyDescent="0.25">
      <c r="A143" s="134" t="s">
        <v>296</v>
      </c>
      <c r="B143" s="135" t="s">
        <v>53</v>
      </c>
      <c r="C143" s="135" t="s">
        <v>555</v>
      </c>
      <c r="D143" s="271" t="s">
        <v>556</v>
      </c>
      <c r="E143" s="271"/>
      <c r="F143" s="135" t="s">
        <v>164</v>
      </c>
      <c r="G143" s="131">
        <v>6.86</v>
      </c>
      <c r="H143" s="147">
        <v>0</v>
      </c>
    </row>
    <row r="144" spans="1:8" x14ac:dyDescent="0.25">
      <c r="A144" s="148"/>
      <c r="D144" s="149" t="s">
        <v>613</v>
      </c>
      <c r="E144" s="328" t="s">
        <v>53</v>
      </c>
      <c r="F144" s="328"/>
      <c r="G144" s="150">
        <v>6.86</v>
      </c>
      <c r="H144" s="151"/>
    </row>
    <row r="145" spans="1:8" x14ac:dyDescent="0.25">
      <c r="A145" s="134" t="s">
        <v>301</v>
      </c>
      <c r="B145" s="135" t="s">
        <v>53</v>
      </c>
      <c r="C145" s="135" t="s">
        <v>377</v>
      </c>
      <c r="D145" s="271" t="s">
        <v>378</v>
      </c>
      <c r="E145" s="271"/>
      <c r="F145" s="135" t="s">
        <v>164</v>
      </c>
      <c r="G145" s="131">
        <v>133.71</v>
      </c>
      <c r="H145" s="147">
        <v>0</v>
      </c>
    </row>
    <row r="146" spans="1:8" x14ac:dyDescent="0.25">
      <c r="A146" s="148"/>
      <c r="D146" s="149" t="s">
        <v>614</v>
      </c>
      <c r="E146" s="328" t="s">
        <v>53</v>
      </c>
      <c r="F146" s="328"/>
      <c r="G146" s="150">
        <v>133.71</v>
      </c>
      <c r="H146" s="151"/>
    </row>
    <row r="147" spans="1:8" x14ac:dyDescent="0.25">
      <c r="A147" s="134" t="s">
        <v>307</v>
      </c>
      <c r="B147" s="135" t="s">
        <v>53</v>
      </c>
      <c r="C147" s="135" t="s">
        <v>557</v>
      </c>
      <c r="D147" s="271" t="s">
        <v>558</v>
      </c>
      <c r="E147" s="271"/>
      <c r="F147" s="135" t="s">
        <v>164</v>
      </c>
      <c r="G147" s="131">
        <v>58.89</v>
      </c>
      <c r="H147" s="147">
        <v>0</v>
      </c>
    </row>
    <row r="148" spans="1:8" x14ac:dyDescent="0.25">
      <c r="A148" s="148"/>
      <c r="D148" s="149" t="s">
        <v>615</v>
      </c>
      <c r="E148" s="328" t="s">
        <v>53</v>
      </c>
      <c r="F148" s="328"/>
      <c r="G148" s="150">
        <v>58.89</v>
      </c>
      <c r="H148" s="151"/>
    </row>
    <row r="149" spans="1:8" x14ac:dyDescent="0.25">
      <c r="A149" s="134" t="s">
        <v>311</v>
      </c>
      <c r="B149" s="135" t="s">
        <v>53</v>
      </c>
      <c r="C149" s="135" t="s">
        <v>559</v>
      </c>
      <c r="D149" s="271" t="s">
        <v>560</v>
      </c>
      <c r="E149" s="271"/>
      <c r="F149" s="135" t="s">
        <v>164</v>
      </c>
      <c r="G149" s="131">
        <v>54.44</v>
      </c>
      <c r="H149" s="147">
        <v>0</v>
      </c>
    </row>
    <row r="150" spans="1:8" x14ac:dyDescent="0.25">
      <c r="A150" s="148"/>
      <c r="D150" s="149" t="s">
        <v>616</v>
      </c>
      <c r="E150" s="328" t="s">
        <v>53</v>
      </c>
      <c r="F150" s="328"/>
      <c r="G150" s="150">
        <v>54.44</v>
      </c>
      <c r="H150" s="151"/>
    </row>
    <row r="151" spans="1:8" x14ac:dyDescent="0.25">
      <c r="A151" s="134" t="s">
        <v>314</v>
      </c>
      <c r="B151" s="135" t="s">
        <v>53</v>
      </c>
      <c r="C151" s="135" t="s">
        <v>400</v>
      </c>
      <c r="D151" s="271" t="s">
        <v>401</v>
      </c>
      <c r="E151" s="271"/>
      <c r="F151" s="135" t="s">
        <v>164</v>
      </c>
      <c r="G151" s="131">
        <v>6</v>
      </c>
      <c r="H151" s="147">
        <v>0</v>
      </c>
    </row>
    <row r="152" spans="1:8" x14ac:dyDescent="0.25">
      <c r="A152" s="148"/>
      <c r="D152" s="149" t="s">
        <v>81</v>
      </c>
      <c r="E152" s="328" t="s">
        <v>53</v>
      </c>
      <c r="F152" s="328"/>
      <c r="G152" s="150">
        <v>6</v>
      </c>
      <c r="H152" s="151"/>
    </row>
    <row r="153" spans="1:8" x14ac:dyDescent="0.25">
      <c r="A153" s="134" t="s">
        <v>317</v>
      </c>
      <c r="B153" s="135" t="s">
        <v>53</v>
      </c>
      <c r="C153" s="135" t="s">
        <v>397</v>
      </c>
      <c r="D153" s="271" t="s">
        <v>398</v>
      </c>
      <c r="E153" s="271"/>
      <c r="F153" s="135" t="s">
        <v>164</v>
      </c>
      <c r="G153" s="131">
        <v>6</v>
      </c>
      <c r="H153" s="147">
        <v>0</v>
      </c>
    </row>
    <row r="154" spans="1:8" x14ac:dyDescent="0.25">
      <c r="A154" s="148"/>
      <c r="D154" s="149" t="s">
        <v>81</v>
      </c>
      <c r="E154" s="328" t="s">
        <v>53</v>
      </c>
      <c r="F154" s="328"/>
      <c r="G154" s="150">
        <v>6</v>
      </c>
      <c r="H154" s="151"/>
    </row>
    <row r="155" spans="1:8" x14ac:dyDescent="0.25">
      <c r="A155" s="134" t="s">
        <v>322</v>
      </c>
      <c r="B155" s="135" t="s">
        <v>53</v>
      </c>
      <c r="C155" s="135" t="s">
        <v>561</v>
      </c>
      <c r="D155" s="271" t="s">
        <v>562</v>
      </c>
      <c r="E155" s="271"/>
      <c r="F155" s="135" t="s">
        <v>164</v>
      </c>
      <c r="G155" s="131">
        <v>1</v>
      </c>
      <c r="H155" s="147">
        <v>0</v>
      </c>
    </row>
    <row r="156" spans="1:8" x14ac:dyDescent="0.25">
      <c r="A156" s="148"/>
      <c r="D156" s="149" t="s">
        <v>56</v>
      </c>
      <c r="E156" s="328" t="s">
        <v>53</v>
      </c>
      <c r="F156" s="328"/>
      <c r="G156" s="150">
        <v>1</v>
      </c>
      <c r="H156" s="151"/>
    </row>
    <row r="157" spans="1:8" x14ac:dyDescent="0.25">
      <c r="A157" s="134" t="s">
        <v>328</v>
      </c>
      <c r="B157" s="135" t="s">
        <v>53</v>
      </c>
      <c r="C157" s="135" t="s">
        <v>563</v>
      </c>
      <c r="D157" s="271" t="s">
        <v>564</v>
      </c>
      <c r="E157" s="271"/>
      <c r="F157" s="135" t="s">
        <v>164</v>
      </c>
      <c r="G157" s="131">
        <v>1</v>
      </c>
      <c r="H157" s="147">
        <v>0</v>
      </c>
    </row>
    <row r="158" spans="1:8" x14ac:dyDescent="0.25">
      <c r="A158" s="148"/>
      <c r="D158" s="149" t="s">
        <v>56</v>
      </c>
      <c r="E158" s="328" t="s">
        <v>53</v>
      </c>
      <c r="F158" s="328"/>
      <c r="G158" s="150">
        <v>1</v>
      </c>
      <c r="H158" s="151"/>
    </row>
    <row r="159" spans="1:8" x14ac:dyDescent="0.25">
      <c r="A159" s="134" t="s">
        <v>332</v>
      </c>
      <c r="B159" s="135" t="s">
        <v>53</v>
      </c>
      <c r="C159" s="135" t="s">
        <v>395</v>
      </c>
      <c r="D159" s="271" t="s">
        <v>396</v>
      </c>
      <c r="E159" s="271"/>
      <c r="F159" s="135" t="s">
        <v>164</v>
      </c>
      <c r="G159" s="131">
        <v>2</v>
      </c>
      <c r="H159" s="147">
        <v>0</v>
      </c>
    </row>
    <row r="160" spans="1:8" x14ac:dyDescent="0.25">
      <c r="A160" s="148"/>
      <c r="D160" s="149" t="s">
        <v>64</v>
      </c>
      <c r="E160" s="328" t="s">
        <v>53</v>
      </c>
      <c r="F160" s="328"/>
      <c r="G160" s="150">
        <v>2</v>
      </c>
      <c r="H160" s="151"/>
    </row>
    <row r="161" spans="1:8" x14ac:dyDescent="0.25">
      <c r="A161" s="134" t="s">
        <v>335</v>
      </c>
      <c r="B161" s="135" t="s">
        <v>53</v>
      </c>
      <c r="C161" s="135" t="s">
        <v>565</v>
      </c>
      <c r="D161" s="271" t="s">
        <v>566</v>
      </c>
      <c r="E161" s="271"/>
      <c r="F161" s="135" t="s">
        <v>164</v>
      </c>
      <c r="G161" s="131">
        <v>2</v>
      </c>
      <c r="H161" s="147">
        <v>0</v>
      </c>
    </row>
    <row r="162" spans="1:8" x14ac:dyDescent="0.25">
      <c r="A162" s="148"/>
      <c r="D162" s="149" t="s">
        <v>64</v>
      </c>
      <c r="E162" s="328" t="s">
        <v>53</v>
      </c>
      <c r="F162" s="328"/>
      <c r="G162" s="150">
        <v>2</v>
      </c>
      <c r="H162" s="151"/>
    </row>
    <row r="163" spans="1:8" x14ac:dyDescent="0.25">
      <c r="A163" s="134" t="s">
        <v>340</v>
      </c>
      <c r="B163" s="135" t="s">
        <v>53</v>
      </c>
      <c r="C163" s="135" t="s">
        <v>567</v>
      </c>
      <c r="D163" s="271" t="s">
        <v>568</v>
      </c>
      <c r="E163" s="271"/>
      <c r="F163" s="135" t="s">
        <v>569</v>
      </c>
      <c r="G163" s="131">
        <v>10</v>
      </c>
      <c r="H163" s="147">
        <v>0</v>
      </c>
    </row>
    <row r="164" spans="1:8" x14ac:dyDescent="0.25">
      <c r="A164" s="148"/>
      <c r="D164" s="149" t="s">
        <v>93</v>
      </c>
      <c r="E164" s="328" t="s">
        <v>53</v>
      </c>
      <c r="F164" s="328"/>
      <c r="G164" s="150">
        <v>10</v>
      </c>
      <c r="H164" s="151"/>
    </row>
    <row r="165" spans="1:8" x14ac:dyDescent="0.25">
      <c r="A165" s="134" t="s">
        <v>346</v>
      </c>
      <c r="B165" s="135" t="s">
        <v>53</v>
      </c>
      <c r="C165" s="135" t="s">
        <v>570</v>
      </c>
      <c r="D165" s="271" t="s">
        <v>571</v>
      </c>
      <c r="E165" s="271"/>
      <c r="F165" s="135" t="s">
        <v>164</v>
      </c>
      <c r="G165" s="131">
        <v>5</v>
      </c>
      <c r="H165" s="147">
        <v>0</v>
      </c>
    </row>
    <row r="166" spans="1:8" x14ac:dyDescent="0.25">
      <c r="A166" s="148"/>
      <c r="D166" s="149" t="s">
        <v>76</v>
      </c>
      <c r="E166" s="328" t="s">
        <v>53</v>
      </c>
      <c r="F166" s="328"/>
      <c r="G166" s="150">
        <v>5</v>
      </c>
      <c r="H166" s="151"/>
    </row>
    <row r="167" spans="1:8" x14ac:dyDescent="0.25">
      <c r="A167" s="134" t="s">
        <v>349</v>
      </c>
      <c r="B167" s="135" t="s">
        <v>53</v>
      </c>
      <c r="C167" s="135" t="s">
        <v>406</v>
      </c>
      <c r="D167" s="271" t="s">
        <v>407</v>
      </c>
      <c r="E167" s="271"/>
      <c r="F167" s="135" t="s">
        <v>408</v>
      </c>
      <c r="G167" s="131">
        <v>1.06</v>
      </c>
      <c r="H167" s="147">
        <v>0</v>
      </c>
    </row>
    <row r="168" spans="1:8" x14ac:dyDescent="0.25">
      <c r="A168" s="148"/>
      <c r="D168" s="149" t="s">
        <v>617</v>
      </c>
      <c r="E168" s="328" t="s">
        <v>53</v>
      </c>
      <c r="F168" s="328"/>
      <c r="G168" s="150">
        <v>1.05</v>
      </c>
      <c r="H168" s="151"/>
    </row>
    <row r="169" spans="1:8" x14ac:dyDescent="0.25">
      <c r="A169" s="134" t="s">
        <v>53</v>
      </c>
      <c r="B169" s="135" t="s">
        <v>53</v>
      </c>
      <c r="C169" s="135" t="s">
        <v>53</v>
      </c>
      <c r="D169" s="149" t="s">
        <v>618</v>
      </c>
      <c r="E169" s="328" t="s">
        <v>53</v>
      </c>
      <c r="F169" s="328"/>
      <c r="G169" s="150">
        <v>0.01</v>
      </c>
      <c r="H169" s="136" t="s">
        <v>53</v>
      </c>
    </row>
    <row r="170" spans="1:8" x14ac:dyDescent="0.25">
      <c r="A170" s="134" t="s">
        <v>352</v>
      </c>
      <c r="B170" s="135" t="s">
        <v>53</v>
      </c>
      <c r="C170" s="135" t="s">
        <v>414</v>
      </c>
      <c r="D170" s="271" t="s">
        <v>415</v>
      </c>
      <c r="E170" s="271"/>
      <c r="F170" s="135" t="s">
        <v>416</v>
      </c>
      <c r="G170" s="131">
        <v>1</v>
      </c>
      <c r="H170" s="147">
        <v>0</v>
      </c>
    </row>
    <row r="171" spans="1:8" x14ac:dyDescent="0.25">
      <c r="A171" s="148"/>
      <c r="D171" s="149" t="s">
        <v>56</v>
      </c>
      <c r="E171" s="328" t="s">
        <v>53</v>
      </c>
      <c r="F171" s="328"/>
      <c r="G171" s="150">
        <v>1</v>
      </c>
      <c r="H171" s="151"/>
    </row>
    <row r="172" spans="1:8" x14ac:dyDescent="0.25">
      <c r="A172" s="134" t="s">
        <v>355</v>
      </c>
      <c r="B172" s="135" t="s">
        <v>53</v>
      </c>
      <c r="C172" s="135" t="s">
        <v>422</v>
      </c>
      <c r="D172" s="271" t="s">
        <v>420</v>
      </c>
      <c r="E172" s="271"/>
      <c r="F172" s="135" t="s">
        <v>416</v>
      </c>
      <c r="G172" s="131">
        <v>1</v>
      </c>
      <c r="H172" s="147">
        <v>0</v>
      </c>
    </row>
    <row r="173" spans="1:8" x14ac:dyDescent="0.25">
      <c r="A173" s="148"/>
      <c r="D173" s="149" t="s">
        <v>56</v>
      </c>
      <c r="E173" s="328" t="s">
        <v>53</v>
      </c>
      <c r="F173" s="328"/>
      <c r="G173" s="150">
        <v>1</v>
      </c>
      <c r="H173" s="151"/>
    </row>
    <row r="174" spans="1:8" x14ac:dyDescent="0.25">
      <c r="A174" s="134" t="s">
        <v>358</v>
      </c>
      <c r="B174" s="135" t="s">
        <v>53</v>
      </c>
      <c r="C174" s="135" t="s">
        <v>427</v>
      </c>
      <c r="D174" s="271" t="s">
        <v>428</v>
      </c>
      <c r="E174" s="271"/>
      <c r="F174" s="135" t="s">
        <v>416</v>
      </c>
      <c r="G174" s="131">
        <v>1</v>
      </c>
      <c r="H174" s="147">
        <v>0</v>
      </c>
    </row>
    <row r="175" spans="1:8" x14ac:dyDescent="0.25">
      <c r="A175" s="152"/>
      <c r="B175" s="153"/>
      <c r="C175" s="153"/>
      <c r="D175" s="154" t="s">
        <v>619</v>
      </c>
      <c r="E175" s="329" t="s">
        <v>53</v>
      </c>
      <c r="F175" s="329"/>
      <c r="G175" s="155">
        <v>1</v>
      </c>
      <c r="H175" s="156"/>
    </row>
    <row r="177" spans="1:7" x14ac:dyDescent="0.25">
      <c r="A177" s="142" t="s">
        <v>431</v>
      </c>
    </row>
    <row r="178" spans="1:7" ht="12.75" customHeight="1" x14ac:dyDescent="0.25">
      <c r="A178" s="270" t="s">
        <v>53</v>
      </c>
      <c r="B178" s="271"/>
      <c r="C178" s="271"/>
      <c r="D178" s="271"/>
      <c r="E178" s="271"/>
      <c r="F178" s="271"/>
      <c r="G178" s="271"/>
    </row>
  </sheetData>
  <mergeCells count="184"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E16:F16"/>
    <mergeCell ref="D17:E17"/>
    <mergeCell ref="E18:F18"/>
    <mergeCell ref="D19:E19"/>
    <mergeCell ref="E20:F20"/>
    <mergeCell ref="D21:E21"/>
    <mergeCell ref="D10:E10"/>
    <mergeCell ref="D11:E11"/>
    <mergeCell ref="E12:F12"/>
    <mergeCell ref="D13:E13"/>
    <mergeCell ref="E14:F14"/>
    <mergeCell ref="D15:E15"/>
    <mergeCell ref="E28:F28"/>
    <mergeCell ref="D29:E29"/>
    <mergeCell ref="E30:F30"/>
    <mergeCell ref="D31:E31"/>
    <mergeCell ref="E32:F32"/>
    <mergeCell ref="D33:E33"/>
    <mergeCell ref="E22:F22"/>
    <mergeCell ref="D23:E23"/>
    <mergeCell ref="E24:F24"/>
    <mergeCell ref="D25:E25"/>
    <mergeCell ref="E26:F26"/>
    <mergeCell ref="D27:E27"/>
    <mergeCell ref="E40:F40"/>
    <mergeCell ref="D41:E41"/>
    <mergeCell ref="E42:F42"/>
    <mergeCell ref="D43:E43"/>
    <mergeCell ref="E44:F44"/>
    <mergeCell ref="D45:E45"/>
    <mergeCell ref="E34:F34"/>
    <mergeCell ref="D35:E35"/>
    <mergeCell ref="E36:F36"/>
    <mergeCell ref="D37:E37"/>
    <mergeCell ref="E38:F38"/>
    <mergeCell ref="D39:E39"/>
    <mergeCell ref="E52:F52"/>
    <mergeCell ref="D53:E53"/>
    <mergeCell ref="E54:F54"/>
    <mergeCell ref="D55:E55"/>
    <mergeCell ref="E56:F56"/>
    <mergeCell ref="D57:E57"/>
    <mergeCell ref="E46:F46"/>
    <mergeCell ref="D47:E47"/>
    <mergeCell ref="E48:F48"/>
    <mergeCell ref="D49:E49"/>
    <mergeCell ref="E50:F50"/>
    <mergeCell ref="D51:E51"/>
    <mergeCell ref="E64:F64"/>
    <mergeCell ref="D65:E65"/>
    <mergeCell ref="E66:F66"/>
    <mergeCell ref="D67:E67"/>
    <mergeCell ref="E68:F68"/>
    <mergeCell ref="D69:E69"/>
    <mergeCell ref="E58:F58"/>
    <mergeCell ref="D59:E59"/>
    <mergeCell ref="E60:F60"/>
    <mergeCell ref="D61:E61"/>
    <mergeCell ref="E62:F62"/>
    <mergeCell ref="D63:E63"/>
    <mergeCell ref="E76:F76"/>
    <mergeCell ref="D77:E77"/>
    <mergeCell ref="E78:F78"/>
    <mergeCell ref="D79:E79"/>
    <mergeCell ref="E80:F80"/>
    <mergeCell ref="D81:E81"/>
    <mergeCell ref="E70:F70"/>
    <mergeCell ref="D71:E71"/>
    <mergeCell ref="E72:F72"/>
    <mergeCell ref="D73:E73"/>
    <mergeCell ref="E74:F74"/>
    <mergeCell ref="D75:E75"/>
    <mergeCell ref="E88:F88"/>
    <mergeCell ref="D89:E89"/>
    <mergeCell ref="E90:F90"/>
    <mergeCell ref="D91:E91"/>
    <mergeCell ref="E92:F92"/>
    <mergeCell ref="D93:E93"/>
    <mergeCell ref="E82:F82"/>
    <mergeCell ref="D83:E83"/>
    <mergeCell ref="E84:F84"/>
    <mergeCell ref="D85:E85"/>
    <mergeCell ref="E86:F86"/>
    <mergeCell ref="D87:E87"/>
    <mergeCell ref="E100:F100"/>
    <mergeCell ref="D101:E101"/>
    <mergeCell ref="E102:F102"/>
    <mergeCell ref="D103:E103"/>
    <mergeCell ref="E104:F104"/>
    <mergeCell ref="D105:E105"/>
    <mergeCell ref="E94:F94"/>
    <mergeCell ref="D95:E95"/>
    <mergeCell ref="E96:F96"/>
    <mergeCell ref="D97:E97"/>
    <mergeCell ref="E98:F98"/>
    <mergeCell ref="D99:E99"/>
    <mergeCell ref="E112:F112"/>
    <mergeCell ref="D113:E113"/>
    <mergeCell ref="E114:F114"/>
    <mergeCell ref="D115:E115"/>
    <mergeCell ref="E116:F116"/>
    <mergeCell ref="D117:E117"/>
    <mergeCell ref="E106:F106"/>
    <mergeCell ref="D107:E107"/>
    <mergeCell ref="E108:F108"/>
    <mergeCell ref="D109:E109"/>
    <mergeCell ref="E110:F110"/>
    <mergeCell ref="D111:E111"/>
    <mergeCell ref="E124:F124"/>
    <mergeCell ref="D125:E125"/>
    <mergeCell ref="E126:F126"/>
    <mergeCell ref="D127:E127"/>
    <mergeCell ref="E128:F128"/>
    <mergeCell ref="D129:E129"/>
    <mergeCell ref="E118:F118"/>
    <mergeCell ref="D119:E119"/>
    <mergeCell ref="E120:F120"/>
    <mergeCell ref="D121:E121"/>
    <mergeCell ref="E122:F122"/>
    <mergeCell ref="D123:E123"/>
    <mergeCell ref="E136:F136"/>
    <mergeCell ref="D137:E137"/>
    <mergeCell ref="E138:F138"/>
    <mergeCell ref="D139:E139"/>
    <mergeCell ref="E140:F140"/>
    <mergeCell ref="D141:E141"/>
    <mergeCell ref="E130:F130"/>
    <mergeCell ref="D131:E131"/>
    <mergeCell ref="E132:F132"/>
    <mergeCell ref="D133:E133"/>
    <mergeCell ref="E134:F134"/>
    <mergeCell ref="D135:E135"/>
    <mergeCell ref="E148:F148"/>
    <mergeCell ref="D149:E149"/>
    <mergeCell ref="E150:F150"/>
    <mergeCell ref="D151:E151"/>
    <mergeCell ref="E152:F152"/>
    <mergeCell ref="D153:E153"/>
    <mergeCell ref="E142:F142"/>
    <mergeCell ref="D143:E143"/>
    <mergeCell ref="E144:F144"/>
    <mergeCell ref="D145:E145"/>
    <mergeCell ref="E146:F146"/>
    <mergeCell ref="D147:E147"/>
    <mergeCell ref="E160:F160"/>
    <mergeCell ref="D161:E161"/>
    <mergeCell ref="E162:F162"/>
    <mergeCell ref="D163:E163"/>
    <mergeCell ref="E164:F164"/>
    <mergeCell ref="D165:E165"/>
    <mergeCell ref="E154:F154"/>
    <mergeCell ref="D155:E155"/>
    <mergeCell ref="E156:F156"/>
    <mergeCell ref="D157:E157"/>
    <mergeCell ref="E158:F158"/>
    <mergeCell ref="D159:E159"/>
    <mergeCell ref="D172:E172"/>
    <mergeCell ref="E173:F173"/>
    <mergeCell ref="D174:E174"/>
    <mergeCell ref="E175:F175"/>
    <mergeCell ref="A178:G178"/>
    <mergeCell ref="E166:F166"/>
    <mergeCell ref="D167:E167"/>
    <mergeCell ref="E168:F168"/>
    <mergeCell ref="E169:F169"/>
    <mergeCell ref="D170:E170"/>
    <mergeCell ref="E171:F171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27"/>
  <sheetViews>
    <sheetView workbookViewId="0">
      <pane ySplit="11" topLeftCell="A12" activePane="bottomLeft" state="frozen"/>
      <selection activeCell="A127" sqref="A127:K127"/>
      <selection pane="bottomLeft" activeCell="F132" sqref="F132"/>
    </sheetView>
  </sheetViews>
  <sheetFormatPr defaultColWidth="12.140625" defaultRowHeight="15" customHeight="1" x14ac:dyDescent="0.25"/>
  <cols>
    <col min="1" max="1" width="4" style="109" customWidth="1"/>
    <col min="2" max="2" width="17.85546875" style="109" customWidth="1"/>
    <col min="3" max="3" width="42.85546875" style="109" customWidth="1"/>
    <col min="4" max="4" width="35.7109375" style="109" customWidth="1"/>
    <col min="5" max="5" width="6.7109375" style="109" customWidth="1"/>
    <col min="6" max="6" width="12.85546875" style="109" customWidth="1"/>
    <col min="7" max="7" width="12" style="109" customWidth="1"/>
    <col min="8" max="10" width="15.7109375" style="109" customWidth="1"/>
    <col min="11" max="11" width="13.42578125" style="109" customWidth="1"/>
    <col min="12" max="75" width="12.140625" style="109"/>
    <col min="76" max="76" width="78.5703125" style="109" hidden="1" customWidth="1"/>
    <col min="77" max="16384" width="12.140625" style="109"/>
  </cols>
  <sheetData>
    <row r="1" spans="1:76" ht="54.75" customHeight="1" x14ac:dyDescent="0.25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AS1" s="110">
        <f>SUM(AJ1:AJ2)</f>
        <v>0</v>
      </c>
      <c r="AT1" s="110">
        <f>SUM(AK1:AK2)</f>
        <v>0</v>
      </c>
      <c r="AU1" s="110">
        <f>SUM(AL1:AL2)</f>
        <v>0</v>
      </c>
    </row>
    <row r="2" spans="1:76" x14ac:dyDescent="0.25">
      <c r="A2" s="290" t="s">
        <v>1</v>
      </c>
      <c r="B2" s="291"/>
      <c r="C2" s="292" t="s">
        <v>2</v>
      </c>
      <c r="D2" s="293"/>
      <c r="E2" s="291" t="s">
        <v>3</v>
      </c>
      <c r="F2" s="291"/>
      <c r="G2" s="291" t="s">
        <v>4</v>
      </c>
      <c r="H2" s="294" t="s">
        <v>5</v>
      </c>
      <c r="I2" s="294" t="s">
        <v>6</v>
      </c>
      <c r="J2" s="291"/>
      <c r="K2" s="295"/>
    </row>
    <row r="3" spans="1:76" x14ac:dyDescent="0.25">
      <c r="A3" s="287"/>
      <c r="B3" s="271"/>
      <c r="C3" s="276"/>
      <c r="D3" s="276"/>
      <c r="E3" s="271"/>
      <c r="F3" s="271"/>
      <c r="G3" s="271"/>
      <c r="H3" s="271"/>
      <c r="I3" s="271"/>
      <c r="J3" s="271"/>
      <c r="K3" s="288"/>
    </row>
    <row r="4" spans="1:76" x14ac:dyDescent="0.25">
      <c r="A4" s="286" t="s">
        <v>7</v>
      </c>
      <c r="B4" s="271"/>
      <c r="C4" s="270" t="s">
        <v>620</v>
      </c>
      <c r="D4" s="271"/>
      <c r="E4" s="271" t="s">
        <v>8</v>
      </c>
      <c r="F4" s="271"/>
      <c r="G4" s="271" t="s">
        <v>9</v>
      </c>
      <c r="H4" s="270" t="s">
        <v>10</v>
      </c>
      <c r="I4" s="270" t="s">
        <v>11</v>
      </c>
      <c r="J4" s="271"/>
      <c r="K4" s="288"/>
    </row>
    <row r="5" spans="1:76" x14ac:dyDescent="0.25">
      <c r="A5" s="287"/>
      <c r="B5" s="271"/>
      <c r="C5" s="271"/>
      <c r="D5" s="271"/>
      <c r="E5" s="271"/>
      <c r="F5" s="271"/>
      <c r="G5" s="271"/>
      <c r="H5" s="271"/>
      <c r="I5" s="271"/>
      <c r="J5" s="271"/>
      <c r="K5" s="288"/>
    </row>
    <row r="6" spans="1:76" x14ac:dyDescent="0.25">
      <c r="A6" s="286" t="s">
        <v>12</v>
      </c>
      <c r="B6" s="271"/>
      <c r="C6" s="270" t="s">
        <v>13</v>
      </c>
      <c r="D6" s="271"/>
      <c r="E6" s="271" t="s">
        <v>14</v>
      </c>
      <c r="F6" s="271"/>
      <c r="G6" s="271" t="s">
        <v>15</v>
      </c>
      <c r="H6" s="270" t="s">
        <v>16</v>
      </c>
      <c r="I6" s="270" t="s">
        <v>17</v>
      </c>
      <c r="J6" s="271"/>
      <c r="K6" s="288"/>
    </row>
    <row r="7" spans="1:76" x14ac:dyDescent="0.25">
      <c r="A7" s="287"/>
      <c r="B7" s="271"/>
      <c r="C7" s="271"/>
      <c r="D7" s="271"/>
      <c r="E7" s="271"/>
      <c r="F7" s="271"/>
      <c r="G7" s="271"/>
      <c r="H7" s="271"/>
      <c r="I7" s="271"/>
      <c r="J7" s="271"/>
      <c r="K7" s="288"/>
    </row>
    <row r="8" spans="1:76" x14ac:dyDescent="0.25">
      <c r="A8" s="286" t="s">
        <v>18</v>
      </c>
      <c r="B8" s="271"/>
      <c r="C8" s="270" t="s">
        <v>621</v>
      </c>
      <c r="D8" s="271"/>
      <c r="E8" s="271" t="s">
        <v>20</v>
      </c>
      <c r="F8" s="271"/>
      <c r="G8" s="271" t="s">
        <v>21</v>
      </c>
      <c r="H8" s="270" t="s">
        <v>22</v>
      </c>
      <c r="I8" s="270" t="s">
        <v>23</v>
      </c>
      <c r="J8" s="271"/>
      <c r="K8" s="288"/>
    </row>
    <row r="9" spans="1:76" ht="15.75" thickBot="1" x14ac:dyDescent="0.3">
      <c r="A9" s="287"/>
      <c r="B9" s="271"/>
      <c r="C9" s="271"/>
      <c r="D9" s="271"/>
      <c r="E9" s="271"/>
      <c r="F9" s="271"/>
      <c r="G9" s="271"/>
      <c r="H9" s="271"/>
      <c r="I9" s="271"/>
      <c r="J9" s="271"/>
      <c r="K9" s="288"/>
    </row>
    <row r="10" spans="1:76" x14ac:dyDescent="0.25">
      <c r="A10" s="111" t="s">
        <v>24</v>
      </c>
      <c r="B10" s="112" t="s">
        <v>25</v>
      </c>
      <c r="C10" s="279" t="s">
        <v>26</v>
      </c>
      <c r="D10" s="280"/>
      <c r="E10" s="112" t="s">
        <v>27</v>
      </c>
      <c r="F10" s="113" t="s">
        <v>28</v>
      </c>
      <c r="G10" s="114" t="s">
        <v>29</v>
      </c>
      <c r="H10" s="281" t="s">
        <v>30</v>
      </c>
      <c r="I10" s="282"/>
      <c r="J10" s="283"/>
      <c r="K10" s="113" t="s">
        <v>31</v>
      </c>
      <c r="BK10" s="115" t="s">
        <v>32</v>
      </c>
      <c r="BL10" s="116" t="s">
        <v>33</v>
      </c>
      <c r="BW10" s="116" t="s">
        <v>34</v>
      </c>
    </row>
    <row r="11" spans="1:76" ht="15.75" thickBot="1" x14ac:dyDescent="0.3">
      <c r="A11" s="117" t="s">
        <v>9</v>
      </c>
      <c r="B11" s="118" t="s">
        <v>9</v>
      </c>
      <c r="C11" s="284" t="s">
        <v>35</v>
      </c>
      <c r="D11" s="285"/>
      <c r="E11" s="118" t="s">
        <v>9</v>
      </c>
      <c r="F11" s="118" t="s">
        <v>9</v>
      </c>
      <c r="G11" s="119" t="s">
        <v>36</v>
      </c>
      <c r="H11" s="120" t="s">
        <v>37</v>
      </c>
      <c r="I11" s="121" t="s">
        <v>38</v>
      </c>
      <c r="J11" s="122" t="s">
        <v>39</v>
      </c>
      <c r="K11" s="121" t="s">
        <v>40</v>
      </c>
      <c r="Z11" s="115" t="s">
        <v>41</v>
      </c>
      <c r="AA11" s="115" t="s">
        <v>42</v>
      </c>
      <c r="AB11" s="115" t="s">
        <v>43</v>
      </c>
      <c r="AC11" s="115" t="s">
        <v>44</v>
      </c>
      <c r="AD11" s="115" t="s">
        <v>45</v>
      </c>
      <c r="AE11" s="115" t="s">
        <v>46</v>
      </c>
      <c r="AF11" s="115" t="s">
        <v>47</v>
      </c>
      <c r="AG11" s="115" t="s">
        <v>48</v>
      </c>
      <c r="AH11" s="115" t="s">
        <v>49</v>
      </c>
      <c r="BH11" s="115" t="s">
        <v>50</v>
      </c>
      <c r="BI11" s="115" t="s">
        <v>51</v>
      </c>
      <c r="BJ11" s="115" t="s">
        <v>52</v>
      </c>
    </row>
    <row r="12" spans="1:76" x14ac:dyDescent="0.25">
      <c r="A12" s="123" t="s">
        <v>53</v>
      </c>
      <c r="B12" s="124" t="s">
        <v>54</v>
      </c>
      <c r="C12" s="272" t="s">
        <v>55</v>
      </c>
      <c r="D12" s="273"/>
      <c r="E12" s="125" t="s">
        <v>9</v>
      </c>
      <c r="F12" s="125" t="s">
        <v>9</v>
      </c>
      <c r="G12" s="125" t="s">
        <v>9</v>
      </c>
      <c r="H12" s="110">
        <f>SUM(H13:H16)</f>
        <v>0</v>
      </c>
      <c r="I12" s="110">
        <f>SUM(I13:I16)</f>
        <v>0</v>
      </c>
      <c r="J12" s="110">
        <f>SUM(J13:J16)</f>
        <v>0</v>
      </c>
      <c r="K12" s="126" t="s">
        <v>53</v>
      </c>
      <c r="AI12" s="115" t="s">
        <v>53</v>
      </c>
      <c r="AS12" s="110">
        <f>SUM(AJ13:AJ16)</f>
        <v>0</v>
      </c>
      <c r="AT12" s="110">
        <f>SUM(AK13:AK16)</f>
        <v>0</v>
      </c>
      <c r="AU12" s="110">
        <f>SUM(AL13:AL16)</f>
        <v>0</v>
      </c>
    </row>
    <row r="13" spans="1:76" x14ac:dyDescent="0.25">
      <c r="A13" s="127" t="s">
        <v>56</v>
      </c>
      <c r="B13" s="128" t="s">
        <v>65</v>
      </c>
      <c r="C13" s="277" t="s">
        <v>540</v>
      </c>
      <c r="D13" s="278"/>
      <c r="E13" s="128" t="s">
        <v>67</v>
      </c>
      <c r="F13" s="129">
        <v>10.6</v>
      </c>
      <c r="G13" s="178">
        <v>0</v>
      </c>
      <c r="H13" s="129">
        <f>F13*AO13</f>
        <v>0</v>
      </c>
      <c r="I13" s="129">
        <f>F13*AP13</f>
        <v>0</v>
      </c>
      <c r="J13" s="129">
        <f>F13*G13</f>
        <v>0</v>
      </c>
      <c r="K13" s="130" t="s">
        <v>60</v>
      </c>
      <c r="Z13" s="131">
        <f>IF(AQ13="5",BJ13,0)</f>
        <v>0</v>
      </c>
      <c r="AB13" s="131">
        <f>IF(AQ13="1",BH13,0)</f>
        <v>0</v>
      </c>
      <c r="AC13" s="131">
        <f>IF(AQ13="1",BI13,0)</f>
        <v>0</v>
      </c>
      <c r="AD13" s="131">
        <f>IF(AQ13="7",BH13,0)</f>
        <v>0</v>
      </c>
      <c r="AE13" s="131">
        <f>IF(AQ13="7",BI13,0)</f>
        <v>0</v>
      </c>
      <c r="AF13" s="131">
        <f>IF(AQ13="2",BH13,0)</f>
        <v>0</v>
      </c>
      <c r="AG13" s="131">
        <f>IF(AQ13="2",BI13,0)</f>
        <v>0</v>
      </c>
      <c r="AH13" s="131">
        <f>IF(AQ13="0",BJ13,0)</f>
        <v>0</v>
      </c>
      <c r="AI13" s="115" t="s">
        <v>53</v>
      </c>
      <c r="AJ13" s="131">
        <f>IF(AN13=0,J13,0)</f>
        <v>0</v>
      </c>
      <c r="AK13" s="131">
        <f>IF(AN13=12,J13,0)</f>
        <v>0</v>
      </c>
      <c r="AL13" s="131">
        <f>IF(AN13=21,J13,0)</f>
        <v>0</v>
      </c>
      <c r="AN13" s="131">
        <v>21</v>
      </c>
      <c r="AO13" s="131">
        <f>G13*0</f>
        <v>0</v>
      </c>
      <c r="AP13" s="131">
        <f>G13*(1-0)</f>
        <v>0</v>
      </c>
      <c r="AQ13" s="132" t="s">
        <v>56</v>
      </c>
      <c r="AV13" s="131">
        <f>AW13+AX13</f>
        <v>0</v>
      </c>
      <c r="AW13" s="131">
        <f>F13*AO13</f>
        <v>0</v>
      </c>
      <c r="AX13" s="131">
        <f>F13*AP13</f>
        <v>0</v>
      </c>
      <c r="AY13" s="132" t="s">
        <v>61</v>
      </c>
      <c r="AZ13" s="132" t="s">
        <v>62</v>
      </c>
      <c r="BA13" s="115" t="s">
        <v>63</v>
      </c>
      <c r="BC13" s="131">
        <f>AW13+AX13</f>
        <v>0</v>
      </c>
      <c r="BD13" s="131">
        <f>G13/(100-BE13)*100</f>
        <v>0</v>
      </c>
      <c r="BE13" s="131">
        <v>0</v>
      </c>
      <c r="BF13" s="131">
        <f>13</f>
        <v>13</v>
      </c>
      <c r="BH13" s="131">
        <f>F13*AO13</f>
        <v>0</v>
      </c>
      <c r="BI13" s="131">
        <f>F13*AP13</f>
        <v>0</v>
      </c>
      <c r="BJ13" s="131">
        <f>F13*G13</f>
        <v>0</v>
      </c>
      <c r="BK13" s="131"/>
      <c r="BL13" s="131">
        <v>11</v>
      </c>
      <c r="BW13" s="131">
        <v>21</v>
      </c>
      <c r="BX13" s="133" t="s">
        <v>540</v>
      </c>
    </row>
    <row r="14" spans="1:76" x14ac:dyDescent="0.25">
      <c r="A14" s="127" t="s">
        <v>64</v>
      </c>
      <c r="B14" s="128" t="s">
        <v>69</v>
      </c>
      <c r="C14" s="277" t="s">
        <v>70</v>
      </c>
      <c r="D14" s="278"/>
      <c r="E14" s="128" t="s">
        <v>59</v>
      </c>
      <c r="F14" s="129">
        <v>10</v>
      </c>
      <c r="G14" s="178">
        <v>0</v>
      </c>
      <c r="H14" s="129">
        <f>F14*AO14</f>
        <v>0</v>
      </c>
      <c r="I14" s="129">
        <f>F14*AP14</f>
        <v>0</v>
      </c>
      <c r="J14" s="129">
        <f>F14*G14</f>
        <v>0</v>
      </c>
      <c r="K14" s="130" t="s">
        <v>60</v>
      </c>
      <c r="Z14" s="131">
        <f>IF(AQ14="5",BJ14,0)</f>
        <v>0</v>
      </c>
      <c r="AB14" s="131">
        <f>IF(AQ14="1",BH14,0)</f>
        <v>0</v>
      </c>
      <c r="AC14" s="131">
        <f>IF(AQ14="1",BI14,0)</f>
        <v>0</v>
      </c>
      <c r="AD14" s="131">
        <f>IF(AQ14="7",BH14,0)</f>
        <v>0</v>
      </c>
      <c r="AE14" s="131">
        <f>IF(AQ14="7",BI14,0)</f>
        <v>0</v>
      </c>
      <c r="AF14" s="131">
        <f>IF(AQ14="2",BH14,0)</f>
        <v>0</v>
      </c>
      <c r="AG14" s="131">
        <f>IF(AQ14="2",BI14,0)</f>
        <v>0</v>
      </c>
      <c r="AH14" s="131">
        <f>IF(AQ14="0",BJ14,0)</f>
        <v>0</v>
      </c>
      <c r="AI14" s="115" t="s">
        <v>53</v>
      </c>
      <c r="AJ14" s="131">
        <f>IF(AN14=0,J14,0)</f>
        <v>0</v>
      </c>
      <c r="AK14" s="131">
        <f>IF(AN14=12,J14,0)</f>
        <v>0</v>
      </c>
      <c r="AL14" s="131">
        <f>IF(AN14=21,J14,0)</f>
        <v>0</v>
      </c>
      <c r="AN14" s="131">
        <v>21</v>
      </c>
      <c r="AO14" s="131">
        <f>G14*0</f>
        <v>0</v>
      </c>
      <c r="AP14" s="131">
        <f>G14*(1-0)</f>
        <v>0</v>
      </c>
      <c r="AQ14" s="132" t="s">
        <v>56</v>
      </c>
      <c r="AV14" s="131">
        <f>AW14+AX14</f>
        <v>0</v>
      </c>
      <c r="AW14" s="131">
        <f>F14*AO14</f>
        <v>0</v>
      </c>
      <c r="AX14" s="131">
        <f>F14*AP14</f>
        <v>0</v>
      </c>
      <c r="AY14" s="132" t="s">
        <v>61</v>
      </c>
      <c r="AZ14" s="132" t="s">
        <v>62</v>
      </c>
      <c r="BA14" s="115" t="s">
        <v>63</v>
      </c>
      <c r="BC14" s="131">
        <f>AW14+AX14</f>
        <v>0</v>
      </c>
      <c r="BD14" s="131">
        <f>G14/(100-BE14)*100</f>
        <v>0</v>
      </c>
      <c r="BE14" s="131">
        <v>0</v>
      </c>
      <c r="BF14" s="131">
        <f>14</f>
        <v>14</v>
      </c>
      <c r="BH14" s="131">
        <f>F14*AO14</f>
        <v>0</v>
      </c>
      <c r="BI14" s="131">
        <f>F14*AP14</f>
        <v>0</v>
      </c>
      <c r="BJ14" s="131">
        <f>F14*G14</f>
        <v>0</v>
      </c>
      <c r="BK14" s="131"/>
      <c r="BL14" s="131">
        <v>11</v>
      </c>
      <c r="BW14" s="131">
        <v>21</v>
      </c>
      <c r="BX14" s="133" t="s">
        <v>70</v>
      </c>
    </row>
    <row r="15" spans="1:76" x14ac:dyDescent="0.25">
      <c r="A15" s="134" t="s">
        <v>68</v>
      </c>
      <c r="B15" s="135" t="s">
        <v>57</v>
      </c>
      <c r="C15" s="270" t="s">
        <v>58</v>
      </c>
      <c r="D15" s="271"/>
      <c r="E15" s="135" t="s">
        <v>59</v>
      </c>
      <c r="F15" s="131">
        <v>142</v>
      </c>
      <c r="G15" s="179">
        <v>0</v>
      </c>
      <c r="H15" s="131">
        <f>F15*AO15</f>
        <v>0</v>
      </c>
      <c r="I15" s="131">
        <f>F15*AP15</f>
        <v>0</v>
      </c>
      <c r="J15" s="131">
        <f>F15*G15</f>
        <v>0</v>
      </c>
      <c r="K15" s="136" t="s">
        <v>60</v>
      </c>
      <c r="Z15" s="131">
        <f>IF(AQ15="5",BJ15,0)</f>
        <v>0</v>
      </c>
      <c r="AB15" s="131">
        <f>IF(AQ15="1",BH15,0)</f>
        <v>0</v>
      </c>
      <c r="AC15" s="131">
        <f>IF(AQ15="1",BI15,0)</f>
        <v>0</v>
      </c>
      <c r="AD15" s="131">
        <f>IF(AQ15="7",BH15,0)</f>
        <v>0</v>
      </c>
      <c r="AE15" s="131">
        <f>IF(AQ15="7",BI15,0)</f>
        <v>0</v>
      </c>
      <c r="AF15" s="131">
        <f>IF(AQ15="2",BH15,0)</f>
        <v>0</v>
      </c>
      <c r="AG15" s="131">
        <f>IF(AQ15="2",BI15,0)</f>
        <v>0</v>
      </c>
      <c r="AH15" s="131">
        <f>IF(AQ15="0",BJ15,0)</f>
        <v>0</v>
      </c>
      <c r="AI15" s="115" t="s">
        <v>53</v>
      </c>
      <c r="AJ15" s="131">
        <f>IF(AN15=0,J15,0)</f>
        <v>0</v>
      </c>
      <c r="AK15" s="131">
        <f>IF(AN15=12,J15,0)</f>
        <v>0</v>
      </c>
      <c r="AL15" s="131">
        <f>IF(AN15=21,J15,0)</f>
        <v>0</v>
      </c>
      <c r="AN15" s="131">
        <v>21</v>
      </c>
      <c r="AO15" s="131">
        <f>G15*0</f>
        <v>0</v>
      </c>
      <c r="AP15" s="131">
        <f>G15*(1-0)</f>
        <v>0</v>
      </c>
      <c r="AQ15" s="132" t="s">
        <v>56</v>
      </c>
      <c r="AV15" s="131">
        <f>AW15+AX15</f>
        <v>0</v>
      </c>
      <c r="AW15" s="131">
        <f>F15*AO15</f>
        <v>0</v>
      </c>
      <c r="AX15" s="131">
        <f>F15*AP15</f>
        <v>0</v>
      </c>
      <c r="AY15" s="132" t="s">
        <v>61</v>
      </c>
      <c r="AZ15" s="132" t="s">
        <v>62</v>
      </c>
      <c r="BA15" s="115" t="s">
        <v>63</v>
      </c>
      <c r="BC15" s="131">
        <f>AW15+AX15</f>
        <v>0</v>
      </c>
      <c r="BD15" s="131">
        <f>G15/(100-BE15)*100</f>
        <v>0</v>
      </c>
      <c r="BE15" s="131">
        <v>0</v>
      </c>
      <c r="BF15" s="131">
        <f>15</f>
        <v>15</v>
      </c>
      <c r="BH15" s="131">
        <f>F15*AO15</f>
        <v>0</v>
      </c>
      <c r="BI15" s="131">
        <f>F15*AP15</f>
        <v>0</v>
      </c>
      <c r="BJ15" s="131">
        <f>F15*G15</f>
        <v>0</v>
      </c>
      <c r="BK15" s="131"/>
      <c r="BL15" s="131">
        <v>11</v>
      </c>
      <c r="BW15" s="131">
        <v>21</v>
      </c>
      <c r="BX15" s="133" t="s">
        <v>58</v>
      </c>
    </row>
    <row r="16" spans="1:76" x14ac:dyDescent="0.25">
      <c r="A16" s="134" t="s">
        <v>71</v>
      </c>
      <c r="B16" s="135" t="s">
        <v>622</v>
      </c>
      <c r="C16" s="270" t="s">
        <v>623</v>
      </c>
      <c r="D16" s="271"/>
      <c r="E16" s="135" t="s">
        <v>59</v>
      </c>
      <c r="F16" s="131">
        <v>142</v>
      </c>
      <c r="G16" s="179">
        <v>0</v>
      </c>
      <c r="H16" s="131">
        <f>F16*AO16</f>
        <v>0</v>
      </c>
      <c r="I16" s="131">
        <f>F16*AP16</f>
        <v>0</v>
      </c>
      <c r="J16" s="131">
        <f>F16*G16</f>
        <v>0</v>
      </c>
      <c r="K16" s="136" t="s">
        <v>60</v>
      </c>
      <c r="Z16" s="131">
        <f>IF(AQ16="5",BJ16,0)</f>
        <v>0</v>
      </c>
      <c r="AB16" s="131">
        <f>IF(AQ16="1",BH16,0)</f>
        <v>0</v>
      </c>
      <c r="AC16" s="131">
        <f>IF(AQ16="1",BI16,0)</f>
        <v>0</v>
      </c>
      <c r="AD16" s="131">
        <f>IF(AQ16="7",BH16,0)</f>
        <v>0</v>
      </c>
      <c r="AE16" s="131">
        <f>IF(AQ16="7",BI16,0)</f>
        <v>0</v>
      </c>
      <c r="AF16" s="131">
        <f>IF(AQ16="2",BH16,0)</f>
        <v>0</v>
      </c>
      <c r="AG16" s="131">
        <f>IF(AQ16="2",BI16,0)</f>
        <v>0</v>
      </c>
      <c r="AH16" s="131">
        <f>IF(AQ16="0",BJ16,0)</f>
        <v>0</v>
      </c>
      <c r="AI16" s="115" t="s">
        <v>53</v>
      </c>
      <c r="AJ16" s="131">
        <f>IF(AN16=0,J16,0)</f>
        <v>0</v>
      </c>
      <c r="AK16" s="131">
        <f>IF(AN16=12,J16,0)</f>
        <v>0</v>
      </c>
      <c r="AL16" s="131">
        <f>IF(AN16=21,J16,0)</f>
        <v>0</v>
      </c>
      <c r="AN16" s="131">
        <v>21</v>
      </c>
      <c r="AO16" s="131">
        <f>G16*0</f>
        <v>0</v>
      </c>
      <c r="AP16" s="131">
        <f>G16*(1-0)</f>
        <v>0</v>
      </c>
      <c r="AQ16" s="132" t="s">
        <v>56</v>
      </c>
      <c r="AV16" s="131">
        <f>AW16+AX16</f>
        <v>0</v>
      </c>
      <c r="AW16" s="131">
        <f>F16*AO16</f>
        <v>0</v>
      </c>
      <c r="AX16" s="131">
        <f>F16*AP16</f>
        <v>0</v>
      </c>
      <c r="AY16" s="132" t="s">
        <v>61</v>
      </c>
      <c r="AZ16" s="132" t="s">
        <v>62</v>
      </c>
      <c r="BA16" s="115" t="s">
        <v>63</v>
      </c>
      <c r="BC16" s="131">
        <f>AW16+AX16</f>
        <v>0</v>
      </c>
      <c r="BD16" s="131">
        <f>G16/(100-BE16)*100</f>
        <v>0</v>
      </c>
      <c r="BE16" s="131">
        <v>0</v>
      </c>
      <c r="BF16" s="131">
        <f>16</f>
        <v>16</v>
      </c>
      <c r="BH16" s="131">
        <f>F16*AO16</f>
        <v>0</v>
      </c>
      <c r="BI16" s="131">
        <f>F16*AP16</f>
        <v>0</v>
      </c>
      <c r="BJ16" s="131">
        <f>F16*G16</f>
        <v>0</v>
      </c>
      <c r="BK16" s="131"/>
      <c r="BL16" s="131">
        <v>11</v>
      </c>
      <c r="BW16" s="131">
        <v>21</v>
      </c>
      <c r="BX16" s="133" t="s">
        <v>623</v>
      </c>
    </row>
    <row r="17" spans="1:76" x14ac:dyDescent="0.25">
      <c r="A17" s="123" t="s">
        <v>53</v>
      </c>
      <c r="B17" s="124" t="s">
        <v>74</v>
      </c>
      <c r="C17" s="272" t="s">
        <v>75</v>
      </c>
      <c r="D17" s="273"/>
      <c r="E17" s="125" t="s">
        <v>9</v>
      </c>
      <c r="F17" s="125" t="s">
        <v>9</v>
      </c>
      <c r="G17" s="125" t="s">
        <v>9</v>
      </c>
      <c r="H17" s="110">
        <f>SUM(H18:H20)</f>
        <v>0</v>
      </c>
      <c r="I17" s="110">
        <f>SUM(I18:I20)</f>
        <v>0</v>
      </c>
      <c r="J17" s="110">
        <f>SUM(J18:J20)</f>
        <v>0</v>
      </c>
      <c r="K17" s="126" t="s">
        <v>53</v>
      </c>
      <c r="AI17" s="115" t="s">
        <v>53</v>
      </c>
      <c r="AS17" s="110">
        <f>SUM(AJ18:AJ20)</f>
        <v>0</v>
      </c>
      <c r="AT17" s="110">
        <f>SUM(AK18:AK20)</f>
        <v>0</v>
      </c>
      <c r="AU17" s="110">
        <f>SUM(AL18:AL20)</f>
        <v>0</v>
      </c>
    </row>
    <row r="18" spans="1:76" x14ac:dyDescent="0.25">
      <c r="A18" s="127" t="s">
        <v>76</v>
      </c>
      <c r="B18" s="128" t="s">
        <v>77</v>
      </c>
      <c r="C18" s="277" t="s">
        <v>78</v>
      </c>
      <c r="D18" s="278"/>
      <c r="E18" s="128" t="s">
        <v>79</v>
      </c>
      <c r="F18" s="129">
        <v>4</v>
      </c>
      <c r="G18" s="178">
        <v>0</v>
      </c>
      <c r="H18" s="129">
        <f>F18*AO18</f>
        <v>0</v>
      </c>
      <c r="I18" s="129">
        <f>F18*AP18</f>
        <v>0</v>
      </c>
      <c r="J18" s="129">
        <f>F18*G18</f>
        <v>0</v>
      </c>
      <c r="K18" s="130" t="s">
        <v>60</v>
      </c>
      <c r="Z18" s="131">
        <f>IF(AQ18="5",BJ18,0)</f>
        <v>0</v>
      </c>
      <c r="AB18" s="131">
        <f>IF(AQ18="1",BH18,0)</f>
        <v>0</v>
      </c>
      <c r="AC18" s="131">
        <f>IF(AQ18="1",BI18,0)</f>
        <v>0</v>
      </c>
      <c r="AD18" s="131">
        <f>IF(AQ18="7",BH18,0)</f>
        <v>0</v>
      </c>
      <c r="AE18" s="131">
        <f>IF(AQ18="7",BI18,0)</f>
        <v>0</v>
      </c>
      <c r="AF18" s="131">
        <f>IF(AQ18="2",BH18,0)</f>
        <v>0</v>
      </c>
      <c r="AG18" s="131">
        <f>IF(AQ18="2",BI18,0)</f>
        <v>0</v>
      </c>
      <c r="AH18" s="131">
        <f>IF(AQ18="0",BJ18,0)</f>
        <v>0</v>
      </c>
      <c r="AI18" s="115" t="s">
        <v>53</v>
      </c>
      <c r="AJ18" s="131">
        <f>IF(AN18=0,J18,0)</f>
        <v>0</v>
      </c>
      <c r="AK18" s="131">
        <f>IF(AN18=12,J18,0)</f>
        <v>0</v>
      </c>
      <c r="AL18" s="131">
        <f>IF(AN18=21,J18,0)</f>
        <v>0</v>
      </c>
      <c r="AN18" s="131">
        <v>21</v>
      </c>
      <c r="AO18" s="131">
        <f>G18*0</f>
        <v>0</v>
      </c>
      <c r="AP18" s="131">
        <f>G18*(1-0)</f>
        <v>0</v>
      </c>
      <c r="AQ18" s="132" t="s">
        <v>56</v>
      </c>
      <c r="AV18" s="131">
        <f>AW18+AX18</f>
        <v>0</v>
      </c>
      <c r="AW18" s="131">
        <f>F18*AO18</f>
        <v>0</v>
      </c>
      <c r="AX18" s="131">
        <f>F18*AP18</f>
        <v>0</v>
      </c>
      <c r="AY18" s="132" t="s">
        <v>80</v>
      </c>
      <c r="AZ18" s="132" t="s">
        <v>62</v>
      </c>
      <c r="BA18" s="115" t="s">
        <v>63</v>
      </c>
      <c r="BC18" s="131">
        <f>AW18+AX18</f>
        <v>0</v>
      </c>
      <c r="BD18" s="131">
        <f>G18/(100-BE18)*100</f>
        <v>0</v>
      </c>
      <c r="BE18" s="131">
        <v>0</v>
      </c>
      <c r="BF18" s="131">
        <f>18</f>
        <v>18</v>
      </c>
      <c r="BH18" s="131">
        <f>F18*AO18</f>
        <v>0</v>
      </c>
      <c r="BI18" s="131">
        <f>F18*AP18</f>
        <v>0</v>
      </c>
      <c r="BJ18" s="131">
        <f>F18*G18</f>
        <v>0</v>
      </c>
      <c r="BK18" s="131"/>
      <c r="BL18" s="131">
        <v>12</v>
      </c>
      <c r="BW18" s="131">
        <v>21</v>
      </c>
      <c r="BX18" s="133" t="s">
        <v>78</v>
      </c>
    </row>
    <row r="19" spans="1:76" x14ac:dyDescent="0.25">
      <c r="A19" s="127" t="s">
        <v>81</v>
      </c>
      <c r="B19" s="128" t="s">
        <v>82</v>
      </c>
      <c r="C19" s="277" t="s">
        <v>83</v>
      </c>
      <c r="D19" s="278"/>
      <c r="E19" s="128" t="s">
        <v>79</v>
      </c>
      <c r="F19" s="129">
        <v>44.4</v>
      </c>
      <c r="G19" s="178">
        <v>0</v>
      </c>
      <c r="H19" s="129">
        <f>F19*AO19</f>
        <v>0</v>
      </c>
      <c r="I19" s="129">
        <f>F19*AP19</f>
        <v>0</v>
      </c>
      <c r="J19" s="129">
        <f>F19*G19</f>
        <v>0</v>
      </c>
      <c r="K19" s="130" t="s">
        <v>60</v>
      </c>
      <c r="Z19" s="131">
        <f>IF(AQ19="5",BJ19,0)</f>
        <v>0</v>
      </c>
      <c r="AB19" s="131">
        <f>IF(AQ19="1",BH19,0)</f>
        <v>0</v>
      </c>
      <c r="AC19" s="131">
        <f>IF(AQ19="1",BI19,0)</f>
        <v>0</v>
      </c>
      <c r="AD19" s="131">
        <f>IF(AQ19="7",BH19,0)</f>
        <v>0</v>
      </c>
      <c r="AE19" s="131">
        <f>IF(AQ19="7",BI19,0)</f>
        <v>0</v>
      </c>
      <c r="AF19" s="131">
        <f>IF(AQ19="2",BH19,0)</f>
        <v>0</v>
      </c>
      <c r="AG19" s="131">
        <f>IF(AQ19="2",BI19,0)</f>
        <v>0</v>
      </c>
      <c r="AH19" s="131">
        <f>IF(AQ19="0",BJ19,0)</f>
        <v>0</v>
      </c>
      <c r="AI19" s="115" t="s">
        <v>53</v>
      </c>
      <c r="AJ19" s="131">
        <f>IF(AN19=0,J19,0)</f>
        <v>0</v>
      </c>
      <c r="AK19" s="131">
        <f>IF(AN19=12,J19,0)</f>
        <v>0</v>
      </c>
      <c r="AL19" s="131">
        <f>IF(AN19=21,J19,0)</f>
        <v>0</v>
      </c>
      <c r="AN19" s="131">
        <v>21</v>
      </c>
      <c r="AO19" s="131">
        <f>G19*0</f>
        <v>0</v>
      </c>
      <c r="AP19" s="131">
        <f>G19*(1-0)</f>
        <v>0</v>
      </c>
      <c r="AQ19" s="132" t="s">
        <v>56</v>
      </c>
      <c r="AV19" s="131">
        <f>AW19+AX19</f>
        <v>0</v>
      </c>
      <c r="AW19" s="131">
        <f>F19*AO19</f>
        <v>0</v>
      </c>
      <c r="AX19" s="131">
        <f>F19*AP19</f>
        <v>0</v>
      </c>
      <c r="AY19" s="132" t="s">
        <v>80</v>
      </c>
      <c r="AZ19" s="132" t="s">
        <v>62</v>
      </c>
      <c r="BA19" s="115" t="s">
        <v>63</v>
      </c>
      <c r="BC19" s="131">
        <f>AW19+AX19</f>
        <v>0</v>
      </c>
      <c r="BD19" s="131">
        <f>G19/(100-BE19)*100</f>
        <v>0</v>
      </c>
      <c r="BE19" s="131">
        <v>0</v>
      </c>
      <c r="BF19" s="131">
        <f>19</f>
        <v>19</v>
      </c>
      <c r="BH19" s="131">
        <f>F19*AO19</f>
        <v>0</v>
      </c>
      <c r="BI19" s="131">
        <f>F19*AP19</f>
        <v>0</v>
      </c>
      <c r="BJ19" s="131">
        <f>F19*G19</f>
        <v>0</v>
      </c>
      <c r="BK19" s="131"/>
      <c r="BL19" s="131">
        <v>12</v>
      </c>
      <c r="BW19" s="131">
        <v>21</v>
      </c>
      <c r="BX19" s="133" t="s">
        <v>83</v>
      </c>
    </row>
    <row r="20" spans="1:76" x14ac:dyDescent="0.25">
      <c r="A20" s="127" t="s">
        <v>84</v>
      </c>
      <c r="B20" s="128" t="s">
        <v>85</v>
      </c>
      <c r="C20" s="277" t="s">
        <v>86</v>
      </c>
      <c r="D20" s="278"/>
      <c r="E20" s="128" t="s">
        <v>79</v>
      </c>
      <c r="F20" s="129">
        <v>222</v>
      </c>
      <c r="G20" s="178">
        <v>0</v>
      </c>
      <c r="H20" s="129">
        <f>F20*AO20</f>
        <v>0</v>
      </c>
      <c r="I20" s="129">
        <f>F20*AP20</f>
        <v>0</v>
      </c>
      <c r="J20" s="129">
        <f>F20*G20</f>
        <v>0</v>
      </c>
      <c r="K20" s="130" t="s">
        <v>60</v>
      </c>
      <c r="Z20" s="131">
        <f>IF(AQ20="5",BJ20,0)</f>
        <v>0</v>
      </c>
      <c r="AB20" s="131">
        <f>IF(AQ20="1",BH20,0)</f>
        <v>0</v>
      </c>
      <c r="AC20" s="131">
        <f>IF(AQ20="1",BI20,0)</f>
        <v>0</v>
      </c>
      <c r="AD20" s="131">
        <f>IF(AQ20="7",BH20,0)</f>
        <v>0</v>
      </c>
      <c r="AE20" s="131">
        <f>IF(AQ20="7",BI20,0)</f>
        <v>0</v>
      </c>
      <c r="AF20" s="131">
        <f>IF(AQ20="2",BH20,0)</f>
        <v>0</v>
      </c>
      <c r="AG20" s="131">
        <f>IF(AQ20="2",BI20,0)</f>
        <v>0</v>
      </c>
      <c r="AH20" s="131">
        <f>IF(AQ20="0",BJ20,0)</f>
        <v>0</v>
      </c>
      <c r="AI20" s="115" t="s">
        <v>53</v>
      </c>
      <c r="AJ20" s="131">
        <f>IF(AN20=0,J20,0)</f>
        <v>0</v>
      </c>
      <c r="AK20" s="131">
        <f>IF(AN20=12,J20,0)</f>
        <v>0</v>
      </c>
      <c r="AL20" s="131">
        <f>IF(AN20=21,J20,0)</f>
        <v>0</v>
      </c>
      <c r="AN20" s="131">
        <v>21</v>
      </c>
      <c r="AO20" s="131">
        <f>G20*0</f>
        <v>0</v>
      </c>
      <c r="AP20" s="131">
        <f>G20*(1-0)</f>
        <v>0</v>
      </c>
      <c r="AQ20" s="132" t="s">
        <v>56</v>
      </c>
      <c r="AV20" s="131">
        <f>AW20+AX20</f>
        <v>0</v>
      </c>
      <c r="AW20" s="131">
        <f>F20*AO20</f>
        <v>0</v>
      </c>
      <c r="AX20" s="131">
        <f>F20*AP20</f>
        <v>0</v>
      </c>
      <c r="AY20" s="132" t="s">
        <v>80</v>
      </c>
      <c r="AZ20" s="132" t="s">
        <v>62</v>
      </c>
      <c r="BA20" s="115" t="s">
        <v>63</v>
      </c>
      <c r="BC20" s="131">
        <f>AW20+AX20</f>
        <v>0</v>
      </c>
      <c r="BD20" s="131">
        <f>G20/(100-BE20)*100</f>
        <v>0</v>
      </c>
      <c r="BE20" s="131">
        <v>0</v>
      </c>
      <c r="BF20" s="131">
        <f>20</f>
        <v>20</v>
      </c>
      <c r="BH20" s="131">
        <f>F20*AO20</f>
        <v>0</v>
      </c>
      <c r="BI20" s="131">
        <f>F20*AP20</f>
        <v>0</v>
      </c>
      <c r="BJ20" s="131">
        <f>F20*G20</f>
        <v>0</v>
      </c>
      <c r="BK20" s="131"/>
      <c r="BL20" s="131">
        <v>12</v>
      </c>
      <c r="BW20" s="131">
        <v>21</v>
      </c>
      <c r="BX20" s="133" t="s">
        <v>86</v>
      </c>
    </row>
    <row r="21" spans="1:76" x14ac:dyDescent="0.25">
      <c r="A21" s="123" t="s">
        <v>53</v>
      </c>
      <c r="B21" s="124" t="s">
        <v>96</v>
      </c>
      <c r="C21" s="272" t="s">
        <v>97</v>
      </c>
      <c r="D21" s="273"/>
      <c r="E21" s="125" t="s">
        <v>9</v>
      </c>
      <c r="F21" s="125" t="s">
        <v>9</v>
      </c>
      <c r="G21" s="125" t="s">
        <v>9</v>
      </c>
      <c r="H21" s="110">
        <f>SUM(H22:H22)</f>
        <v>0</v>
      </c>
      <c r="I21" s="110">
        <f>SUM(I22:I22)</f>
        <v>0</v>
      </c>
      <c r="J21" s="110">
        <f>SUM(J22:J22)</f>
        <v>0</v>
      </c>
      <c r="K21" s="126" t="s">
        <v>53</v>
      </c>
      <c r="AI21" s="115" t="s">
        <v>53</v>
      </c>
      <c r="AS21" s="110">
        <f>SUM(AJ22:AJ22)</f>
        <v>0</v>
      </c>
      <c r="AT21" s="110">
        <f>SUM(AK22:AK22)</f>
        <v>0</v>
      </c>
      <c r="AU21" s="110">
        <f>SUM(AL22:AL22)</f>
        <v>0</v>
      </c>
    </row>
    <row r="22" spans="1:76" x14ac:dyDescent="0.25">
      <c r="A22" s="127" t="s">
        <v>87</v>
      </c>
      <c r="B22" s="128" t="s">
        <v>98</v>
      </c>
      <c r="C22" s="277" t="s">
        <v>99</v>
      </c>
      <c r="D22" s="278"/>
      <c r="E22" s="128" t="s">
        <v>79</v>
      </c>
      <c r="F22" s="129">
        <v>22.2</v>
      </c>
      <c r="G22" s="178">
        <v>0</v>
      </c>
      <c r="H22" s="129">
        <f>F22*AO22</f>
        <v>0</v>
      </c>
      <c r="I22" s="129">
        <f>F22*AP22</f>
        <v>0</v>
      </c>
      <c r="J22" s="129">
        <f>F22*G22</f>
        <v>0</v>
      </c>
      <c r="K22" s="130" t="s">
        <v>60</v>
      </c>
      <c r="Z22" s="131">
        <f>IF(AQ22="5",BJ22,0)</f>
        <v>0</v>
      </c>
      <c r="AB22" s="131">
        <f>IF(AQ22="1",BH22,0)</f>
        <v>0</v>
      </c>
      <c r="AC22" s="131">
        <f>IF(AQ22="1",BI22,0)</f>
        <v>0</v>
      </c>
      <c r="AD22" s="131">
        <f>IF(AQ22="7",BH22,0)</f>
        <v>0</v>
      </c>
      <c r="AE22" s="131">
        <f>IF(AQ22="7",BI22,0)</f>
        <v>0</v>
      </c>
      <c r="AF22" s="131">
        <f>IF(AQ22="2",BH22,0)</f>
        <v>0</v>
      </c>
      <c r="AG22" s="131">
        <f>IF(AQ22="2",BI22,0)</f>
        <v>0</v>
      </c>
      <c r="AH22" s="131">
        <f>IF(AQ22="0",BJ22,0)</f>
        <v>0</v>
      </c>
      <c r="AI22" s="115" t="s">
        <v>53</v>
      </c>
      <c r="AJ22" s="131">
        <f>IF(AN22=0,J22,0)</f>
        <v>0</v>
      </c>
      <c r="AK22" s="131">
        <f>IF(AN22=12,J22,0)</f>
        <v>0</v>
      </c>
      <c r="AL22" s="131">
        <f>IF(AN22=21,J22,0)</f>
        <v>0</v>
      </c>
      <c r="AN22" s="131">
        <v>21</v>
      </c>
      <c r="AO22" s="131">
        <f>G22*0</f>
        <v>0</v>
      </c>
      <c r="AP22" s="131">
        <f>G22*(1-0)</f>
        <v>0</v>
      </c>
      <c r="AQ22" s="132" t="s">
        <v>56</v>
      </c>
      <c r="AV22" s="131">
        <f>AW22+AX22</f>
        <v>0</v>
      </c>
      <c r="AW22" s="131">
        <f>F22*AO22</f>
        <v>0</v>
      </c>
      <c r="AX22" s="131">
        <f>F22*AP22</f>
        <v>0</v>
      </c>
      <c r="AY22" s="132" t="s">
        <v>100</v>
      </c>
      <c r="AZ22" s="132" t="s">
        <v>62</v>
      </c>
      <c r="BA22" s="115" t="s">
        <v>63</v>
      </c>
      <c r="BC22" s="131">
        <f>AW22+AX22</f>
        <v>0</v>
      </c>
      <c r="BD22" s="131">
        <f>G22/(100-BE22)*100</f>
        <v>0</v>
      </c>
      <c r="BE22" s="131">
        <v>0</v>
      </c>
      <c r="BF22" s="131">
        <f>22</f>
        <v>22</v>
      </c>
      <c r="BH22" s="131">
        <f>F22*AO22</f>
        <v>0</v>
      </c>
      <c r="BI22" s="131">
        <f>F22*AP22</f>
        <v>0</v>
      </c>
      <c r="BJ22" s="131">
        <f>F22*G22</f>
        <v>0</v>
      </c>
      <c r="BK22" s="131"/>
      <c r="BL22" s="131">
        <v>13</v>
      </c>
      <c r="BW22" s="131">
        <v>21</v>
      </c>
      <c r="BX22" s="133" t="s">
        <v>99</v>
      </c>
    </row>
    <row r="23" spans="1:76" x14ac:dyDescent="0.25">
      <c r="A23" s="123" t="s">
        <v>53</v>
      </c>
      <c r="B23" s="124" t="s">
        <v>101</v>
      </c>
      <c r="C23" s="272" t="s">
        <v>102</v>
      </c>
      <c r="D23" s="273"/>
      <c r="E23" s="125" t="s">
        <v>9</v>
      </c>
      <c r="F23" s="125" t="s">
        <v>9</v>
      </c>
      <c r="G23" s="125" t="s">
        <v>9</v>
      </c>
      <c r="H23" s="110">
        <f>SUM(H24:H30)</f>
        <v>0</v>
      </c>
      <c r="I23" s="110">
        <f>SUM(I24:I30)</f>
        <v>0</v>
      </c>
      <c r="J23" s="110">
        <f>SUM(J24:J30)</f>
        <v>0</v>
      </c>
      <c r="K23" s="126" t="s">
        <v>53</v>
      </c>
      <c r="AI23" s="115" t="s">
        <v>53</v>
      </c>
      <c r="AS23" s="110">
        <f>SUM(AJ24:AJ30)</f>
        <v>0</v>
      </c>
      <c r="AT23" s="110">
        <f>SUM(AK24:AK30)</f>
        <v>0</v>
      </c>
      <c r="AU23" s="110">
        <f>SUM(AL24:AL30)</f>
        <v>0</v>
      </c>
    </row>
    <row r="24" spans="1:76" x14ac:dyDescent="0.25">
      <c r="A24" s="127" t="s">
        <v>90</v>
      </c>
      <c r="B24" s="128" t="s">
        <v>103</v>
      </c>
      <c r="C24" s="277" t="s">
        <v>104</v>
      </c>
      <c r="D24" s="278"/>
      <c r="E24" s="128" t="s">
        <v>79</v>
      </c>
      <c r="F24" s="129">
        <v>1</v>
      </c>
      <c r="G24" s="178">
        <v>0</v>
      </c>
      <c r="H24" s="129">
        <f t="shared" ref="H24:H30" si="0">F24*AO24</f>
        <v>0</v>
      </c>
      <c r="I24" s="129">
        <f t="shared" ref="I24:I30" si="1">F24*AP24</f>
        <v>0</v>
      </c>
      <c r="J24" s="129">
        <f t="shared" ref="J24:J30" si="2">F24*G24</f>
        <v>0</v>
      </c>
      <c r="K24" s="130" t="s">
        <v>60</v>
      </c>
      <c r="Z24" s="131">
        <f t="shared" ref="Z24:Z30" si="3">IF(AQ24="5",BJ24,0)</f>
        <v>0</v>
      </c>
      <c r="AB24" s="131">
        <f t="shared" ref="AB24:AB30" si="4">IF(AQ24="1",BH24,0)</f>
        <v>0</v>
      </c>
      <c r="AC24" s="131">
        <f t="shared" ref="AC24:AC30" si="5">IF(AQ24="1",BI24,0)</f>
        <v>0</v>
      </c>
      <c r="AD24" s="131">
        <f t="shared" ref="AD24:AD30" si="6">IF(AQ24="7",BH24,0)</f>
        <v>0</v>
      </c>
      <c r="AE24" s="131">
        <f t="shared" ref="AE24:AE30" si="7">IF(AQ24="7",BI24,0)</f>
        <v>0</v>
      </c>
      <c r="AF24" s="131">
        <f t="shared" ref="AF24:AF30" si="8">IF(AQ24="2",BH24,0)</f>
        <v>0</v>
      </c>
      <c r="AG24" s="131">
        <f t="shared" ref="AG24:AG30" si="9">IF(AQ24="2",BI24,0)</f>
        <v>0</v>
      </c>
      <c r="AH24" s="131">
        <f t="shared" ref="AH24:AH30" si="10">IF(AQ24="0",BJ24,0)</f>
        <v>0</v>
      </c>
      <c r="AI24" s="115" t="s">
        <v>53</v>
      </c>
      <c r="AJ24" s="131">
        <f t="shared" ref="AJ24:AJ30" si="11">IF(AN24=0,J24,0)</f>
        <v>0</v>
      </c>
      <c r="AK24" s="131">
        <f t="shared" ref="AK24:AK30" si="12">IF(AN24=12,J24,0)</f>
        <v>0</v>
      </c>
      <c r="AL24" s="131">
        <f t="shared" ref="AL24:AL30" si="13">IF(AN24=21,J24,0)</f>
        <v>0</v>
      </c>
      <c r="AN24" s="131">
        <v>21</v>
      </c>
      <c r="AO24" s="131">
        <f t="shared" ref="AO24:AO30" si="14">G24*0</f>
        <v>0</v>
      </c>
      <c r="AP24" s="131">
        <f t="shared" ref="AP24:AP30" si="15">G24*(1-0)</f>
        <v>0</v>
      </c>
      <c r="AQ24" s="132" t="s">
        <v>56</v>
      </c>
      <c r="AV24" s="131">
        <f t="shared" ref="AV24:AV30" si="16">AW24+AX24</f>
        <v>0</v>
      </c>
      <c r="AW24" s="131">
        <f t="shared" ref="AW24:AW30" si="17">F24*AO24</f>
        <v>0</v>
      </c>
      <c r="AX24" s="131">
        <f t="shared" ref="AX24:AX30" si="18">F24*AP24</f>
        <v>0</v>
      </c>
      <c r="AY24" s="132" t="s">
        <v>105</v>
      </c>
      <c r="AZ24" s="132" t="s">
        <v>62</v>
      </c>
      <c r="BA24" s="115" t="s">
        <v>63</v>
      </c>
      <c r="BC24" s="131">
        <f t="shared" ref="BC24:BC30" si="19">AW24+AX24</f>
        <v>0</v>
      </c>
      <c r="BD24" s="131">
        <f t="shared" ref="BD24:BD30" si="20">G24/(100-BE24)*100</f>
        <v>0</v>
      </c>
      <c r="BE24" s="131">
        <v>0</v>
      </c>
      <c r="BF24" s="131">
        <f>24</f>
        <v>24</v>
      </c>
      <c r="BH24" s="131">
        <f t="shared" ref="BH24:BH30" si="21">F24*AO24</f>
        <v>0</v>
      </c>
      <c r="BI24" s="131">
        <f t="shared" ref="BI24:BI30" si="22">F24*AP24</f>
        <v>0</v>
      </c>
      <c r="BJ24" s="131">
        <f t="shared" ref="BJ24:BJ30" si="23">F24*G24</f>
        <v>0</v>
      </c>
      <c r="BK24" s="131"/>
      <c r="BL24" s="131">
        <v>16</v>
      </c>
      <c r="BW24" s="131">
        <v>21</v>
      </c>
      <c r="BX24" s="133" t="s">
        <v>104</v>
      </c>
    </row>
    <row r="25" spans="1:76" x14ac:dyDescent="0.25">
      <c r="A25" s="127" t="s">
        <v>93</v>
      </c>
      <c r="B25" s="128" t="s">
        <v>106</v>
      </c>
      <c r="C25" s="277" t="s">
        <v>107</v>
      </c>
      <c r="D25" s="278"/>
      <c r="E25" s="128" t="s">
        <v>79</v>
      </c>
      <c r="F25" s="129">
        <v>216</v>
      </c>
      <c r="G25" s="178">
        <v>0</v>
      </c>
      <c r="H25" s="129">
        <f t="shared" si="0"/>
        <v>0</v>
      </c>
      <c r="I25" s="129">
        <f t="shared" si="1"/>
        <v>0</v>
      </c>
      <c r="J25" s="129">
        <f t="shared" si="2"/>
        <v>0</v>
      </c>
      <c r="K25" s="130" t="s">
        <v>60</v>
      </c>
      <c r="Z25" s="131">
        <f t="shared" si="3"/>
        <v>0</v>
      </c>
      <c r="AB25" s="131">
        <f t="shared" si="4"/>
        <v>0</v>
      </c>
      <c r="AC25" s="131">
        <f t="shared" si="5"/>
        <v>0</v>
      </c>
      <c r="AD25" s="131">
        <f t="shared" si="6"/>
        <v>0</v>
      </c>
      <c r="AE25" s="131">
        <f t="shared" si="7"/>
        <v>0</v>
      </c>
      <c r="AF25" s="131">
        <f t="shared" si="8"/>
        <v>0</v>
      </c>
      <c r="AG25" s="131">
        <f t="shared" si="9"/>
        <v>0</v>
      </c>
      <c r="AH25" s="131">
        <f t="shared" si="10"/>
        <v>0</v>
      </c>
      <c r="AI25" s="115" t="s">
        <v>53</v>
      </c>
      <c r="AJ25" s="131">
        <f t="shared" si="11"/>
        <v>0</v>
      </c>
      <c r="AK25" s="131">
        <f t="shared" si="12"/>
        <v>0</v>
      </c>
      <c r="AL25" s="131">
        <f t="shared" si="13"/>
        <v>0</v>
      </c>
      <c r="AN25" s="131">
        <v>21</v>
      </c>
      <c r="AO25" s="131">
        <f t="shared" si="14"/>
        <v>0</v>
      </c>
      <c r="AP25" s="131">
        <f t="shared" si="15"/>
        <v>0</v>
      </c>
      <c r="AQ25" s="132" t="s">
        <v>56</v>
      </c>
      <c r="AV25" s="131">
        <f t="shared" si="16"/>
        <v>0</v>
      </c>
      <c r="AW25" s="131">
        <f t="shared" si="17"/>
        <v>0</v>
      </c>
      <c r="AX25" s="131">
        <f t="shared" si="18"/>
        <v>0</v>
      </c>
      <c r="AY25" s="132" t="s">
        <v>105</v>
      </c>
      <c r="AZ25" s="132" t="s">
        <v>62</v>
      </c>
      <c r="BA25" s="115" t="s">
        <v>63</v>
      </c>
      <c r="BC25" s="131">
        <f t="shared" si="19"/>
        <v>0</v>
      </c>
      <c r="BD25" s="131">
        <f t="shared" si="20"/>
        <v>0</v>
      </c>
      <c r="BE25" s="131">
        <v>0</v>
      </c>
      <c r="BF25" s="131">
        <f>25</f>
        <v>25</v>
      </c>
      <c r="BH25" s="131">
        <f t="shared" si="21"/>
        <v>0</v>
      </c>
      <c r="BI25" s="131">
        <f t="shared" si="22"/>
        <v>0</v>
      </c>
      <c r="BJ25" s="131">
        <f t="shared" si="23"/>
        <v>0</v>
      </c>
      <c r="BK25" s="131"/>
      <c r="BL25" s="131">
        <v>16</v>
      </c>
      <c r="BW25" s="131">
        <v>21</v>
      </c>
      <c r="BX25" s="133" t="s">
        <v>107</v>
      </c>
    </row>
    <row r="26" spans="1:76" x14ac:dyDescent="0.25">
      <c r="A26" s="127" t="s">
        <v>54</v>
      </c>
      <c r="B26" s="128" t="s">
        <v>109</v>
      </c>
      <c r="C26" s="277" t="s">
        <v>110</v>
      </c>
      <c r="D26" s="278"/>
      <c r="E26" s="128" t="s">
        <v>79</v>
      </c>
      <c r="F26" s="129">
        <v>1</v>
      </c>
      <c r="G26" s="178">
        <v>0</v>
      </c>
      <c r="H26" s="129">
        <f t="shared" si="0"/>
        <v>0</v>
      </c>
      <c r="I26" s="129">
        <f t="shared" si="1"/>
        <v>0</v>
      </c>
      <c r="J26" s="129">
        <f t="shared" si="2"/>
        <v>0</v>
      </c>
      <c r="K26" s="130" t="s">
        <v>60</v>
      </c>
      <c r="Z26" s="131">
        <f t="shared" si="3"/>
        <v>0</v>
      </c>
      <c r="AB26" s="131">
        <f t="shared" si="4"/>
        <v>0</v>
      </c>
      <c r="AC26" s="131">
        <f t="shared" si="5"/>
        <v>0</v>
      </c>
      <c r="AD26" s="131">
        <f t="shared" si="6"/>
        <v>0</v>
      </c>
      <c r="AE26" s="131">
        <f t="shared" si="7"/>
        <v>0</v>
      </c>
      <c r="AF26" s="131">
        <f t="shared" si="8"/>
        <v>0</v>
      </c>
      <c r="AG26" s="131">
        <f t="shared" si="9"/>
        <v>0</v>
      </c>
      <c r="AH26" s="131">
        <f t="shared" si="10"/>
        <v>0</v>
      </c>
      <c r="AI26" s="115" t="s">
        <v>53</v>
      </c>
      <c r="AJ26" s="131">
        <f t="shared" si="11"/>
        <v>0</v>
      </c>
      <c r="AK26" s="131">
        <f t="shared" si="12"/>
        <v>0</v>
      </c>
      <c r="AL26" s="131">
        <f t="shared" si="13"/>
        <v>0</v>
      </c>
      <c r="AN26" s="131">
        <v>21</v>
      </c>
      <c r="AO26" s="131">
        <f t="shared" si="14"/>
        <v>0</v>
      </c>
      <c r="AP26" s="131">
        <f t="shared" si="15"/>
        <v>0</v>
      </c>
      <c r="AQ26" s="132" t="s">
        <v>56</v>
      </c>
      <c r="AV26" s="131">
        <f t="shared" si="16"/>
        <v>0</v>
      </c>
      <c r="AW26" s="131">
        <f t="shared" si="17"/>
        <v>0</v>
      </c>
      <c r="AX26" s="131">
        <f t="shared" si="18"/>
        <v>0</v>
      </c>
      <c r="AY26" s="132" t="s">
        <v>105</v>
      </c>
      <c r="AZ26" s="132" t="s">
        <v>62</v>
      </c>
      <c r="BA26" s="115" t="s">
        <v>63</v>
      </c>
      <c r="BC26" s="131">
        <f t="shared" si="19"/>
        <v>0</v>
      </c>
      <c r="BD26" s="131">
        <f t="shared" si="20"/>
        <v>0</v>
      </c>
      <c r="BE26" s="131">
        <v>0</v>
      </c>
      <c r="BF26" s="131">
        <f>26</f>
        <v>26</v>
      </c>
      <c r="BH26" s="131">
        <f t="shared" si="21"/>
        <v>0</v>
      </c>
      <c r="BI26" s="131">
        <f t="shared" si="22"/>
        <v>0</v>
      </c>
      <c r="BJ26" s="131">
        <f t="shared" si="23"/>
        <v>0</v>
      </c>
      <c r="BK26" s="131"/>
      <c r="BL26" s="131">
        <v>16</v>
      </c>
      <c r="BW26" s="131">
        <v>21</v>
      </c>
      <c r="BX26" s="133" t="s">
        <v>110</v>
      </c>
    </row>
    <row r="27" spans="1:76" x14ac:dyDescent="0.25">
      <c r="A27" s="127" t="s">
        <v>74</v>
      </c>
      <c r="B27" s="128" t="s">
        <v>112</v>
      </c>
      <c r="C27" s="277" t="s">
        <v>113</v>
      </c>
      <c r="D27" s="278"/>
      <c r="E27" s="128" t="s">
        <v>79</v>
      </c>
      <c r="F27" s="129">
        <v>3</v>
      </c>
      <c r="G27" s="178">
        <v>0</v>
      </c>
      <c r="H27" s="129">
        <f t="shared" si="0"/>
        <v>0</v>
      </c>
      <c r="I27" s="129">
        <f t="shared" si="1"/>
        <v>0</v>
      </c>
      <c r="J27" s="129">
        <f t="shared" si="2"/>
        <v>0</v>
      </c>
      <c r="K27" s="130" t="s">
        <v>60</v>
      </c>
      <c r="Z27" s="131">
        <f t="shared" si="3"/>
        <v>0</v>
      </c>
      <c r="AB27" s="131">
        <f t="shared" si="4"/>
        <v>0</v>
      </c>
      <c r="AC27" s="131">
        <f t="shared" si="5"/>
        <v>0</v>
      </c>
      <c r="AD27" s="131">
        <f t="shared" si="6"/>
        <v>0</v>
      </c>
      <c r="AE27" s="131">
        <f t="shared" si="7"/>
        <v>0</v>
      </c>
      <c r="AF27" s="131">
        <f t="shared" si="8"/>
        <v>0</v>
      </c>
      <c r="AG27" s="131">
        <f t="shared" si="9"/>
        <v>0</v>
      </c>
      <c r="AH27" s="131">
        <f t="shared" si="10"/>
        <v>0</v>
      </c>
      <c r="AI27" s="115" t="s">
        <v>53</v>
      </c>
      <c r="AJ27" s="131">
        <f t="shared" si="11"/>
        <v>0</v>
      </c>
      <c r="AK27" s="131">
        <f t="shared" si="12"/>
        <v>0</v>
      </c>
      <c r="AL27" s="131">
        <f t="shared" si="13"/>
        <v>0</v>
      </c>
      <c r="AN27" s="131">
        <v>21</v>
      </c>
      <c r="AO27" s="131">
        <f t="shared" si="14"/>
        <v>0</v>
      </c>
      <c r="AP27" s="131">
        <f t="shared" si="15"/>
        <v>0</v>
      </c>
      <c r="AQ27" s="132" t="s">
        <v>56</v>
      </c>
      <c r="AV27" s="131">
        <f t="shared" si="16"/>
        <v>0</v>
      </c>
      <c r="AW27" s="131">
        <f t="shared" si="17"/>
        <v>0</v>
      </c>
      <c r="AX27" s="131">
        <f t="shared" si="18"/>
        <v>0</v>
      </c>
      <c r="AY27" s="132" t="s">
        <v>105</v>
      </c>
      <c r="AZ27" s="132" t="s">
        <v>62</v>
      </c>
      <c r="BA27" s="115" t="s">
        <v>63</v>
      </c>
      <c r="BC27" s="131">
        <f t="shared" si="19"/>
        <v>0</v>
      </c>
      <c r="BD27" s="131">
        <f t="shared" si="20"/>
        <v>0</v>
      </c>
      <c r="BE27" s="131">
        <v>0</v>
      </c>
      <c r="BF27" s="131">
        <f>27</f>
        <v>27</v>
      </c>
      <c r="BH27" s="131">
        <f t="shared" si="21"/>
        <v>0</v>
      </c>
      <c r="BI27" s="131">
        <f t="shared" si="22"/>
        <v>0</v>
      </c>
      <c r="BJ27" s="131">
        <f t="shared" si="23"/>
        <v>0</v>
      </c>
      <c r="BK27" s="131"/>
      <c r="BL27" s="131">
        <v>16</v>
      </c>
      <c r="BW27" s="131">
        <v>21</v>
      </c>
      <c r="BX27" s="133" t="s">
        <v>113</v>
      </c>
    </row>
    <row r="28" spans="1:76" x14ac:dyDescent="0.25">
      <c r="A28" s="134" t="s">
        <v>96</v>
      </c>
      <c r="B28" s="135" t="s">
        <v>114</v>
      </c>
      <c r="C28" s="270" t="s">
        <v>115</v>
      </c>
      <c r="D28" s="271"/>
      <c r="E28" s="135" t="s">
        <v>79</v>
      </c>
      <c r="F28" s="131">
        <v>216</v>
      </c>
      <c r="G28" s="179">
        <v>0</v>
      </c>
      <c r="H28" s="131">
        <f t="shared" si="0"/>
        <v>0</v>
      </c>
      <c r="I28" s="131">
        <f t="shared" si="1"/>
        <v>0</v>
      </c>
      <c r="J28" s="131">
        <f t="shared" si="2"/>
        <v>0</v>
      </c>
      <c r="K28" s="136" t="s">
        <v>60</v>
      </c>
      <c r="Z28" s="131">
        <f t="shared" si="3"/>
        <v>0</v>
      </c>
      <c r="AB28" s="131">
        <f t="shared" si="4"/>
        <v>0</v>
      </c>
      <c r="AC28" s="131">
        <f t="shared" si="5"/>
        <v>0</v>
      </c>
      <c r="AD28" s="131">
        <f t="shared" si="6"/>
        <v>0</v>
      </c>
      <c r="AE28" s="131">
        <f t="shared" si="7"/>
        <v>0</v>
      </c>
      <c r="AF28" s="131">
        <f t="shared" si="8"/>
        <v>0</v>
      </c>
      <c r="AG28" s="131">
        <f t="shared" si="9"/>
        <v>0</v>
      </c>
      <c r="AH28" s="131">
        <f t="shared" si="10"/>
        <v>0</v>
      </c>
      <c r="AI28" s="115" t="s">
        <v>53</v>
      </c>
      <c r="AJ28" s="131">
        <f t="shared" si="11"/>
        <v>0</v>
      </c>
      <c r="AK28" s="131">
        <f t="shared" si="12"/>
        <v>0</v>
      </c>
      <c r="AL28" s="131">
        <f t="shared" si="13"/>
        <v>0</v>
      </c>
      <c r="AN28" s="131">
        <v>21</v>
      </c>
      <c r="AO28" s="131">
        <f t="shared" si="14"/>
        <v>0</v>
      </c>
      <c r="AP28" s="131">
        <f t="shared" si="15"/>
        <v>0</v>
      </c>
      <c r="AQ28" s="132" t="s">
        <v>56</v>
      </c>
      <c r="AV28" s="131">
        <f t="shared" si="16"/>
        <v>0</v>
      </c>
      <c r="AW28" s="131">
        <f t="shared" si="17"/>
        <v>0</v>
      </c>
      <c r="AX28" s="131">
        <f t="shared" si="18"/>
        <v>0</v>
      </c>
      <c r="AY28" s="132" t="s">
        <v>105</v>
      </c>
      <c r="AZ28" s="132" t="s">
        <v>62</v>
      </c>
      <c r="BA28" s="115" t="s">
        <v>63</v>
      </c>
      <c r="BC28" s="131">
        <f t="shared" si="19"/>
        <v>0</v>
      </c>
      <c r="BD28" s="131">
        <f t="shared" si="20"/>
        <v>0</v>
      </c>
      <c r="BE28" s="131">
        <v>0</v>
      </c>
      <c r="BF28" s="131">
        <f>28</f>
        <v>28</v>
      </c>
      <c r="BH28" s="131">
        <f t="shared" si="21"/>
        <v>0</v>
      </c>
      <c r="BI28" s="131">
        <f t="shared" si="22"/>
        <v>0</v>
      </c>
      <c r="BJ28" s="131">
        <f t="shared" si="23"/>
        <v>0</v>
      </c>
      <c r="BK28" s="131"/>
      <c r="BL28" s="131">
        <v>16</v>
      </c>
      <c r="BW28" s="131">
        <v>21</v>
      </c>
      <c r="BX28" s="133" t="s">
        <v>115</v>
      </c>
    </row>
    <row r="29" spans="1:76" x14ac:dyDescent="0.25">
      <c r="A29" s="134" t="s">
        <v>108</v>
      </c>
      <c r="B29" s="135" t="s">
        <v>117</v>
      </c>
      <c r="C29" s="270" t="s">
        <v>118</v>
      </c>
      <c r="D29" s="271"/>
      <c r="E29" s="135" t="s">
        <v>79</v>
      </c>
      <c r="F29" s="131">
        <v>2160</v>
      </c>
      <c r="G29" s="179">
        <v>0</v>
      </c>
      <c r="H29" s="131">
        <f t="shared" si="0"/>
        <v>0</v>
      </c>
      <c r="I29" s="131">
        <f t="shared" si="1"/>
        <v>0</v>
      </c>
      <c r="J29" s="131">
        <f t="shared" si="2"/>
        <v>0</v>
      </c>
      <c r="K29" s="136" t="s">
        <v>60</v>
      </c>
      <c r="Z29" s="131">
        <f t="shared" si="3"/>
        <v>0</v>
      </c>
      <c r="AB29" s="131">
        <f t="shared" si="4"/>
        <v>0</v>
      </c>
      <c r="AC29" s="131">
        <f t="shared" si="5"/>
        <v>0</v>
      </c>
      <c r="AD29" s="131">
        <f t="shared" si="6"/>
        <v>0</v>
      </c>
      <c r="AE29" s="131">
        <f t="shared" si="7"/>
        <v>0</v>
      </c>
      <c r="AF29" s="131">
        <f t="shared" si="8"/>
        <v>0</v>
      </c>
      <c r="AG29" s="131">
        <f t="shared" si="9"/>
        <v>0</v>
      </c>
      <c r="AH29" s="131">
        <f t="shared" si="10"/>
        <v>0</v>
      </c>
      <c r="AI29" s="115" t="s">
        <v>53</v>
      </c>
      <c r="AJ29" s="131">
        <f t="shared" si="11"/>
        <v>0</v>
      </c>
      <c r="AK29" s="131">
        <f t="shared" si="12"/>
        <v>0</v>
      </c>
      <c r="AL29" s="131">
        <f t="shared" si="13"/>
        <v>0</v>
      </c>
      <c r="AN29" s="131">
        <v>21</v>
      </c>
      <c r="AO29" s="131">
        <f t="shared" si="14"/>
        <v>0</v>
      </c>
      <c r="AP29" s="131">
        <f t="shared" si="15"/>
        <v>0</v>
      </c>
      <c r="AQ29" s="132" t="s">
        <v>56</v>
      </c>
      <c r="AV29" s="131">
        <f t="shared" si="16"/>
        <v>0</v>
      </c>
      <c r="AW29" s="131">
        <f t="shared" si="17"/>
        <v>0</v>
      </c>
      <c r="AX29" s="131">
        <f t="shared" si="18"/>
        <v>0</v>
      </c>
      <c r="AY29" s="132" t="s">
        <v>105</v>
      </c>
      <c r="AZ29" s="132" t="s">
        <v>62</v>
      </c>
      <c r="BA29" s="115" t="s">
        <v>63</v>
      </c>
      <c r="BC29" s="131">
        <f t="shared" si="19"/>
        <v>0</v>
      </c>
      <c r="BD29" s="131">
        <f t="shared" si="20"/>
        <v>0</v>
      </c>
      <c r="BE29" s="131">
        <v>0</v>
      </c>
      <c r="BF29" s="131">
        <f>29</f>
        <v>29</v>
      </c>
      <c r="BH29" s="131">
        <f t="shared" si="21"/>
        <v>0</v>
      </c>
      <c r="BI29" s="131">
        <f t="shared" si="22"/>
        <v>0</v>
      </c>
      <c r="BJ29" s="131">
        <f t="shared" si="23"/>
        <v>0</v>
      </c>
      <c r="BK29" s="131"/>
      <c r="BL29" s="131">
        <v>16</v>
      </c>
      <c r="BW29" s="131">
        <v>21</v>
      </c>
      <c r="BX29" s="133" t="s">
        <v>118</v>
      </c>
    </row>
    <row r="30" spans="1:76" x14ac:dyDescent="0.25">
      <c r="A30" s="134" t="s">
        <v>111</v>
      </c>
      <c r="B30" s="135" t="s">
        <v>120</v>
      </c>
      <c r="C30" s="270" t="s">
        <v>121</v>
      </c>
      <c r="D30" s="271"/>
      <c r="E30" s="135" t="s">
        <v>122</v>
      </c>
      <c r="F30" s="131">
        <v>388.8</v>
      </c>
      <c r="G30" s="179">
        <v>0</v>
      </c>
      <c r="H30" s="131">
        <f t="shared" si="0"/>
        <v>0</v>
      </c>
      <c r="I30" s="131">
        <f t="shared" si="1"/>
        <v>0</v>
      </c>
      <c r="J30" s="131">
        <f t="shared" si="2"/>
        <v>0</v>
      </c>
      <c r="K30" s="136" t="s">
        <v>60</v>
      </c>
      <c r="Z30" s="131">
        <f t="shared" si="3"/>
        <v>0</v>
      </c>
      <c r="AB30" s="131">
        <f t="shared" si="4"/>
        <v>0</v>
      </c>
      <c r="AC30" s="131">
        <f t="shared" si="5"/>
        <v>0</v>
      </c>
      <c r="AD30" s="131">
        <f t="shared" si="6"/>
        <v>0</v>
      </c>
      <c r="AE30" s="131">
        <f t="shared" si="7"/>
        <v>0</v>
      </c>
      <c r="AF30" s="131">
        <f t="shared" si="8"/>
        <v>0</v>
      </c>
      <c r="AG30" s="131">
        <f t="shared" si="9"/>
        <v>0</v>
      </c>
      <c r="AH30" s="131">
        <f t="shared" si="10"/>
        <v>0</v>
      </c>
      <c r="AI30" s="115" t="s">
        <v>53</v>
      </c>
      <c r="AJ30" s="131">
        <f t="shared" si="11"/>
        <v>0</v>
      </c>
      <c r="AK30" s="131">
        <f t="shared" si="12"/>
        <v>0</v>
      </c>
      <c r="AL30" s="131">
        <f t="shared" si="13"/>
        <v>0</v>
      </c>
      <c r="AN30" s="131">
        <v>21</v>
      </c>
      <c r="AO30" s="131">
        <f t="shared" si="14"/>
        <v>0</v>
      </c>
      <c r="AP30" s="131">
        <f t="shared" si="15"/>
        <v>0</v>
      </c>
      <c r="AQ30" s="132" t="s">
        <v>56</v>
      </c>
      <c r="AV30" s="131">
        <f t="shared" si="16"/>
        <v>0</v>
      </c>
      <c r="AW30" s="131">
        <f t="shared" si="17"/>
        <v>0</v>
      </c>
      <c r="AX30" s="131">
        <f t="shared" si="18"/>
        <v>0</v>
      </c>
      <c r="AY30" s="132" t="s">
        <v>105</v>
      </c>
      <c r="AZ30" s="132" t="s">
        <v>62</v>
      </c>
      <c r="BA30" s="115" t="s">
        <v>63</v>
      </c>
      <c r="BC30" s="131">
        <f t="shared" si="19"/>
        <v>0</v>
      </c>
      <c r="BD30" s="131">
        <f t="shared" si="20"/>
        <v>0</v>
      </c>
      <c r="BE30" s="131">
        <v>0</v>
      </c>
      <c r="BF30" s="131">
        <f>30</f>
        <v>30</v>
      </c>
      <c r="BH30" s="131">
        <f t="shared" si="21"/>
        <v>0</v>
      </c>
      <c r="BI30" s="131">
        <f t="shared" si="22"/>
        <v>0</v>
      </c>
      <c r="BJ30" s="131">
        <f t="shared" si="23"/>
        <v>0</v>
      </c>
      <c r="BK30" s="131"/>
      <c r="BL30" s="131">
        <v>16</v>
      </c>
      <c r="BW30" s="131">
        <v>21</v>
      </c>
      <c r="BX30" s="133" t="s">
        <v>121</v>
      </c>
    </row>
    <row r="31" spans="1:76" x14ac:dyDescent="0.25">
      <c r="A31" s="123" t="s">
        <v>53</v>
      </c>
      <c r="B31" s="124" t="s">
        <v>116</v>
      </c>
      <c r="C31" s="272" t="s">
        <v>123</v>
      </c>
      <c r="D31" s="273"/>
      <c r="E31" s="125" t="s">
        <v>9</v>
      </c>
      <c r="F31" s="125" t="s">
        <v>9</v>
      </c>
      <c r="G31" s="125" t="s">
        <v>9</v>
      </c>
      <c r="H31" s="110">
        <f>SUM(H32:H34)</f>
        <v>0</v>
      </c>
      <c r="I31" s="110">
        <f>SUM(I32:I34)</f>
        <v>0</v>
      </c>
      <c r="J31" s="110">
        <f>SUM(J32:J34)</f>
        <v>0</v>
      </c>
      <c r="K31" s="126" t="s">
        <v>53</v>
      </c>
      <c r="AI31" s="115" t="s">
        <v>53</v>
      </c>
      <c r="AS31" s="110">
        <f>SUM(AJ32:AJ34)</f>
        <v>0</v>
      </c>
      <c r="AT31" s="110">
        <f>SUM(AK32:AK34)</f>
        <v>0</v>
      </c>
      <c r="AU31" s="110">
        <f>SUM(AL32:AL34)</f>
        <v>0</v>
      </c>
    </row>
    <row r="32" spans="1:76" x14ac:dyDescent="0.25">
      <c r="A32" s="134" t="s">
        <v>101</v>
      </c>
      <c r="B32" s="135" t="s">
        <v>125</v>
      </c>
      <c r="C32" s="270" t="s">
        <v>126</v>
      </c>
      <c r="D32" s="271"/>
      <c r="E32" s="135" t="s">
        <v>79</v>
      </c>
      <c r="F32" s="131">
        <v>1</v>
      </c>
      <c r="G32" s="179">
        <v>0</v>
      </c>
      <c r="H32" s="131">
        <f>F32*AO32</f>
        <v>0</v>
      </c>
      <c r="I32" s="131">
        <f>F32*AP32</f>
        <v>0</v>
      </c>
      <c r="J32" s="131">
        <f>F32*G32</f>
        <v>0</v>
      </c>
      <c r="K32" s="136" t="s">
        <v>60</v>
      </c>
      <c r="Z32" s="131">
        <f>IF(AQ32="5",BJ32,0)</f>
        <v>0</v>
      </c>
      <c r="AB32" s="131">
        <f>IF(AQ32="1",BH32,0)</f>
        <v>0</v>
      </c>
      <c r="AC32" s="131">
        <f>IF(AQ32="1",BI32,0)</f>
        <v>0</v>
      </c>
      <c r="AD32" s="131">
        <f>IF(AQ32="7",BH32,0)</f>
        <v>0</v>
      </c>
      <c r="AE32" s="131">
        <f>IF(AQ32="7",BI32,0)</f>
        <v>0</v>
      </c>
      <c r="AF32" s="131">
        <f>IF(AQ32="2",BH32,0)</f>
        <v>0</v>
      </c>
      <c r="AG32" s="131">
        <f>IF(AQ32="2",BI32,0)</f>
        <v>0</v>
      </c>
      <c r="AH32" s="131">
        <f>IF(AQ32="0",BJ32,0)</f>
        <v>0</v>
      </c>
      <c r="AI32" s="115" t="s">
        <v>53</v>
      </c>
      <c r="AJ32" s="131">
        <f>IF(AN32=0,J32,0)</f>
        <v>0</v>
      </c>
      <c r="AK32" s="131">
        <f>IF(AN32=12,J32,0)</f>
        <v>0</v>
      </c>
      <c r="AL32" s="131">
        <f>IF(AN32=21,J32,0)</f>
        <v>0</v>
      </c>
      <c r="AN32" s="131">
        <v>21</v>
      </c>
      <c r="AO32" s="131">
        <f>G32*0</f>
        <v>0</v>
      </c>
      <c r="AP32" s="131">
        <f>G32*(1-0)</f>
        <v>0</v>
      </c>
      <c r="AQ32" s="132" t="s">
        <v>56</v>
      </c>
      <c r="AV32" s="131">
        <f>AW32+AX32</f>
        <v>0</v>
      </c>
      <c r="AW32" s="131">
        <f>F32*AO32</f>
        <v>0</v>
      </c>
      <c r="AX32" s="131">
        <f>F32*AP32</f>
        <v>0</v>
      </c>
      <c r="AY32" s="132" t="s">
        <v>127</v>
      </c>
      <c r="AZ32" s="132" t="s">
        <v>62</v>
      </c>
      <c r="BA32" s="115" t="s">
        <v>63</v>
      </c>
      <c r="BC32" s="131">
        <f>AW32+AX32</f>
        <v>0</v>
      </c>
      <c r="BD32" s="131">
        <f>G32/(100-BE32)*100</f>
        <v>0</v>
      </c>
      <c r="BE32" s="131">
        <v>0</v>
      </c>
      <c r="BF32" s="131">
        <f>32</f>
        <v>32</v>
      </c>
      <c r="BH32" s="131">
        <f>F32*AO32</f>
        <v>0</v>
      </c>
      <c r="BI32" s="131">
        <f>F32*AP32</f>
        <v>0</v>
      </c>
      <c r="BJ32" s="131">
        <f>F32*G32</f>
        <v>0</v>
      </c>
      <c r="BK32" s="131"/>
      <c r="BL32" s="131">
        <v>17</v>
      </c>
      <c r="BW32" s="131">
        <v>21</v>
      </c>
      <c r="BX32" s="133" t="s">
        <v>126</v>
      </c>
    </row>
    <row r="33" spans="1:76" x14ac:dyDescent="0.25">
      <c r="A33" s="127" t="s">
        <v>116</v>
      </c>
      <c r="B33" s="128" t="s">
        <v>129</v>
      </c>
      <c r="C33" s="277" t="s">
        <v>130</v>
      </c>
      <c r="D33" s="278"/>
      <c r="E33" s="128" t="s">
        <v>79</v>
      </c>
      <c r="F33" s="129">
        <v>2</v>
      </c>
      <c r="G33" s="178">
        <v>0</v>
      </c>
      <c r="H33" s="129">
        <f>F33*AO33</f>
        <v>0</v>
      </c>
      <c r="I33" s="129">
        <f>F33*AP33</f>
        <v>0</v>
      </c>
      <c r="J33" s="129">
        <f>F33*G33</f>
        <v>0</v>
      </c>
      <c r="K33" s="130" t="s">
        <v>60</v>
      </c>
      <c r="Z33" s="131">
        <f>IF(AQ33="5",BJ33,0)</f>
        <v>0</v>
      </c>
      <c r="AB33" s="131">
        <f>IF(AQ33="1",BH33,0)</f>
        <v>0</v>
      </c>
      <c r="AC33" s="131">
        <f>IF(AQ33="1",BI33,0)</f>
        <v>0</v>
      </c>
      <c r="AD33" s="131">
        <f>IF(AQ33="7",BH33,0)</f>
        <v>0</v>
      </c>
      <c r="AE33" s="131">
        <f>IF(AQ33="7",BI33,0)</f>
        <v>0</v>
      </c>
      <c r="AF33" s="131">
        <f>IF(AQ33="2",BH33,0)</f>
        <v>0</v>
      </c>
      <c r="AG33" s="131">
        <f>IF(AQ33="2",BI33,0)</f>
        <v>0</v>
      </c>
      <c r="AH33" s="131">
        <f>IF(AQ33="0",BJ33,0)</f>
        <v>0</v>
      </c>
      <c r="AI33" s="115" t="s">
        <v>53</v>
      </c>
      <c r="AJ33" s="131">
        <f>IF(AN33=0,J33,0)</f>
        <v>0</v>
      </c>
      <c r="AK33" s="131">
        <f>IF(AN33=12,J33,0)</f>
        <v>0</v>
      </c>
      <c r="AL33" s="131">
        <f>IF(AN33=21,J33,0)</f>
        <v>0</v>
      </c>
      <c r="AN33" s="131">
        <v>21</v>
      </c>
      <c r="AO33" s="131">
        <f>G33*0</f>
        <v>0</v>
      </c>
      <c r="AP33" s="131">
        <f>G33*(1-0)</f>
        <v>0</v>
      </c>
      <c r="AQ33" s="132" t="s">
        <v>56</v>
      </c>
      <c r="AV33" s="131">
        <f>AW33+AX33</f>
        <v>0</v>
      </c>
      <c r="AW33" s="131">
        <f>F33*AO33</f>
        <v>0</v>
      </c>
      <c r="AX33" s="131">
        <f>F33*AP33</f>
        <v>0</v>
      </c>
      <c r="AY33" s="132" t="s">
        <v>127</v>
      </c>
      <c r="AZ33" s="132" t="s">
        <v>62</v>
      </c>
      <c r="BA33" s="115" t="s">
        <v>63</v>
      </c>
      <c r="BC33" s="131">
        <f>AW33+AX33</f>
        <v>0</v>
      </c>
      <c r="BD33" s="131">
        <f>G33/(100-BE33)*100</f>
        <v>0</v>
      </c>
      <c r="BE33" s="131">
        <v>0</v>
      </c>
      <c r="BF33" s="131">
        <f>33</f>
        <v>33</v>
      </c>
      <c r="BH33" s="131">
        <f>F33*AO33</f>
        <v>0</v>
      </c>
      <c r="BI33" s="131">
        <f>F33*AP33</f>
        <v>0</v>
      </c>
      <c r="BJ33" s="131">
        <f>F33*G33</f>
        <v>0</v>
      </c>
      <c r="BK33" s="131"/>
      <c r="BL33" s="131">
        <v>17</v>
      </c>
      <c r="BW33" s="131">
        <v>21</v>
      </c>
      <c r="BX33" s="133" t="s">
        <v>130</v>
      </c>
    </row>
    <row r="34" spans="1:76" x14ac:dyDescent="0.25">
      <c r="A34" s="127" t="s">
        <v>119</v>
      </c>
      <c r="B34" s="128" t="s">
        <v>132</v>
      </c>
      <c r="C34" s="277" t="s">
        <v>133</v>
      </c>
      <c r="D34" s="278"/>
      <c r="E34" s="128" t="s">
        <v>79</v>
      </c>
      <c r="F34" s="129">
        <v>4</v>
      </c>
      <c r="G34" s="178">
        <v>0</v>
      </c>
      <c r="H34" s="129">
        <f>F34*AO34</f>
        <v>0</v>
      </c>
      <c r="I34" s="129">
        <f>F34*AP34</f>
        <v>0</v>
      </c>
      <c r="J34" s="129">
        <f>F34*G34</f>
        <v>0</v>
      </c>
      <c r="K34" s="130" t="s">
        <v>60</v>
      </c>
      <c r="Z34" s="131">
        <f>IF(AQ34="5",BJ34,0)</f>
        <v>0</v>
      </c>
      <c r="AB34" s="131">
        <f>IF(AQ34="1",BH34,0)</f>
        <v>0</v>
      </c>
      <c r="AC34" s="131">
        <f>IF(AQ34="1",BI34,0)</f>
        <v>0</v>
      </c>
      <c r="AD34" s="131">
        <f>IF(AQ34="7",BH34,0)</f>
        <v>0</v>
      </c>
      <c r="AE34" s="131">
        <f>IF(AQ34="7",BI34,0)</f>
        <v>0</v>
      </c>
      <c r="AF34" s="131">
        <f>IF(AQ34="2",BH34,0)</f>
        <v>0</v>
      </c>
      <c r="AG34" s="131">
        <f>IF(AQ34="2",BI34,0)</f>
        <v>0</v>
      </c>
      <c r="AH34" s="131">
        <f>IF(AQ34="0",BJ34,0)</f>
        <v>0</v>
      </c>
      <c r="AI34" s="115" t="s">
        <v>53</v>
      </c>
      <c r="AJ34" s="131">
        <f>IF(AN34=0,J34,0)</f>
        <v>0</v>
      </c>
      <c r="AK34" s="131">
        <f>IF(AN34=12,J34,0)</f>
        <v>0</v>
      </c>
      <c r="AL34" s="131">
        <f>IF(AN34=21,J34,0)</f>
        <v>0</v>
      </c>
      <c r="AN34" s="131">
        <v>21</v>
      </c>
      <c r="AO34" s="131">
        <f>G34*0</f>
        <v>0</v>
      </c>
      <c r="AP34" s="131">
        <f>G34*(1-0)</f>
        <v>0</v>
      </c>
      <c r="AQ34" s="132" t="s">
        <v>56</v>
      </c>
      <c r="AV34" s="131">
        <f>AW34+AX34</f>
        <v>0</v>
      </c>
      <c r="AW34" s="131">
        <f>F34*AO34</f>
        <v>0</v>
      </c>
      <c r="AX34" s="131">
        <f>F34*AP34</f>
        <v>0</v>
      </c>
      <c r="AY34" s="132" t="s">
        <v>127</v>
      </c>
      <c r="AZ34" s="132" t="s">
        <v>62</v>
      </c>
      <c r="BA34" s="115" t="s">
        <v>63</v>
      </c>
      <c r="BC34" s="131">
        <f>AW34+AX34</f>
        <v>0</v>
      </c>
      <c r="BD34" s="131">
        <f>G34/(100-BE34)*100</f>
        <v>0</v>
      </c>
      <c r="BE34" s="131">
        <v>0</v>
      </c>
      <c r="BF34" s="131">
        <f>34</f>
        <v>34</v>
      </c>
      <c r="BH34" s="131">
        <f>F34*AO34</f>
        <v>0</v>
      </c>
      <c r="BI34" s="131">
        <f>F34*AP34</f>
        <v>0</v>
      </c>
      <c r="BJ34" s="131">
        <f>F34*G34</f>
        <v>0</v>
      </c>
      <c r="BK34" s="131"/>
      <c r="BL34" s="131">
        <v>17</v>
      </c>
      <c r="BW34" s="131">
        <v>21</v>
      </c>
      <c r="BX34" s="133" t="s">
        <v>133</v>
      </c>
    </row>
    <row r="35" spans="1:76" x14ac:dyDescent="0.25">
      <c r="A35" s="123" t="s">
        <v>53</v>
      </c>
      <c r="B35" s="124" t="s">
        <v>119</v>
      </c>
      <c r="C35" s="272" t="s">
        <v>134</v>
      </c>
      <c r="D35" s="273"/>
      <c r="E35" s="125" t="s">
        <v>9</v>
      </c>
      <c r="F35" s="125" t="s">
        <v>9</v>
      </c>
      <c r="G35" s="125" t="s">
        <v>9</v>
      </c>
      <c r="H35" s="110">
        <f>SUM(H36:H39)</f>
        <v>0</v>
      </c>
      <c r="I35" s="110">
        <f>SUM(I36:I39)</f>
        <v>0</v>
      </c>
      <c r="J35" s="110">
        <f>SUM(J36:J39)</f>
        <v>0</v>
      </c>
      <c r="K35" s="126" t="s">
        <v>53</v>
      </c>
      <c r="AI35" s="115" t="s">
        <v>53</v>
      </c>
      <c r="AS35" s="110">
        <f>SUM(AJ36:AJ39)</f>
        <v>0</v>
      </c>
      <c r="AT35" s="110">
        <f>SUM(AK36:AK39)</f>
        <v>0</v>
      </c>
      <c r="AU35" s="110">
        <f>SUM(AL36:AL39)</f>
        <v>0</v>
      </c>
    </row>
    <row r="36" spans="1:76" x14ac:dyDescent="0.25">
      <c r="A36" s="127" t="s">
        <v>124</v>
      </c>
      <c r="B36" s="128" t="s">
        <v>136</v>
      </c>
      <c r="C36" s="277" t="s">
        <v>137</v>
      </c>
      <c r="D36" s="278"/>
      <c r="E36" s="128" t="s">
        <v>59</v>
      </c>
      <c r="F36" s="129">
        <v>633.48</v>
      </c>
      <c r="G36" s="178">
        <v>0</v>
      </c>
      <c r="H36" s="129">
        <f>F36*AO36</f>
        <v>0</v>
      </c>
      <c r="I36" s="129">
        <f>F36*AP36</f>
        <v>0</v>
      </c>
      <c r="J36" s="129">
        <f>F36*G36</f>
        <v>0</v>
      </c>
      <c r="K36" s="130" t="s">
        <v>60</v>
      </c>
      <c r="Z36" s="131">
        <f>IF(AQ36="5",BJ36,0)</f>
        <v>0</v>
      </c>
      <c r="AB36" s="131">
        <f>IF(AQ36="1",BH36,0)</f>
        <v>0</v>
      </c>
      <c r="AC36" s="131">
        <f>IF(AQ36="1",BI36,0)</f>
        <v>0</v>
      </c>
      <c r="AD36" s="131">
        <f>IF(AQ36="7",BH36,0)</f>
        <v>0</v>
      </c>
      <c r="AE36" s="131">
        <f>IF(AQ36="7",BI36,0)</f>
        <v>0</v>
      </c>
      <c r="AF36" s="131">
        <f>IF(AQ36="2",BH36,0)</f>
        <v>0</v>
      </c>
      <c r="AG36" s="131">
        <f>IF(AQ36="2",BI36,0)</f>
        <v>0</v>
      </c>
      <c r="AH36" s="131">
        <f>IF(AQ36="0",BJ36,0)</f>
        <v>0</v>
      </c>
      <c r="AI36" s="115" t="s">
        <v>53</v>
      </c>
      <c r="AJ36" s="131">
        <f>IF(AN36=0,J36,0)</f>
        <v>0</v>
      </c>
      <c r="AK36" s="131">
        <f>IF(AN36=12,J36,0)</f>
        <v>0</v>
      </c>
      <c r="AL36" s="131">
        <f>IF(AN36=21,J36,0)</f>
        <v>0</v>
      </c>
      <c r="AN36" s="131">
        <v>21</v>
      </c>
      <c r="AO36" s="131">
        <f>G36*0</f>
        <v>0</v>
      </c>
      <c r="AP36" s="131">
        <f>G36*(1-0)</f>
        <v>0</v>
      </c>
      <c r="AQ36" s="132" t="s">
        <v>56</v>
      </c>
      <c r="AV36" s="131">
        <f>AW36+AX36</f>
        <v>0</v>
      </c>
      <c r="AW36" s="131">
        <f>F36*AO36</f>
        <v>0</v>
      </c>
      <c r="AX36" s="131">
        <f>F36*AP36</f>
        <v>0</v>
      </c>
      <c r="AY36" s="132" t="s">
        <v>138</v>
      </c>
      <c r="AZ36" s="132" t="s">
        <v>62</v>
      </c>
      <c r="BA36" s="115" t="s">
        <v>63</v>
      </c>
      <c r="BC36" s="131">
        <f>AW36+AX36</f>
        <v>0</v>
      </c>
      <c r="BD36" s="131">
        <f>G36/(100-BE36)*100</f>
        <v>0</v>
      </c>
      <c r="BE36" s="131">
        <v>0</v>
      </c>
      <c r="BF36" s="131">
        <f>36</f>
        <v>36</v>
      </c>
      <c r="BH36" s="131">
        <f>F36*AO36</f>
        <v>0</v>
      </c>
      <c r="BI36" s="131">
        <f>F36*AP36</f>
        <v>0</v>
      </c>
      <c r="BJ36" s="131">
        <f>F36*G36</f>
        <v>0</v>
      </c>
      <c r="BK36" s="131"/>
      <c r="BL36" s="131">
        <v>18</v>
      </c>
      <c r="BW36" s="131">
        <v>21</v>
      </c>
      <c r="BX36" s="133" t="s">
        <v>137</v>
      </c>
    </row>
    <row r="37" spans="1:76" x14ac:dyDescent="0.25">
      <c r="A37" s="127" t="s">
        <v>128</v>
      </c>
      <c r="B37" s="128" t="s">
        <v>140</v>
      </c>
      <c r="C37" s="277" t="s">
        <v>141</v>
      </c>
      <c r="D37" s="278"/>
      <c r="E37" s="128" t="s">
        <v>59</v>
      </c>
      <c r="F37" s="129">
        <v>60</v>
      </c>
      <c r="G37" s="178">
        <v>0</v>
      </c>
      <c r="H37" s="129">
        <f>F37*AO37</f>
        <v>0</v>
      </c>
      <c r="I37" s="129">
        <f>F37*AP37</f>
        <v>0</v>
      </c>
      <c r="J37" s="129">
        <f>F37*G37</f>
        <v>0</v>
      </c>
      <c r="K37" s="130" t="s">
        <v>60</v>
      </c>
      <c r="Z37" s="131">
        <f>IF(AQ37="5",BJ37,0)</f>
        <v>0</v>
      </c>
      <c r="AB37" s="131">
        <f>IF(AQ37="1",BH37,0)</f>
        <v>0</v>
      </c>
      <c r="AC37" s="131">
        <f>IF(AQ37="1",BI37,0)</f>
        <v>0</v>
      </c>
      <c r="AD37" s="131">
        <f>IF(AQ37="7",BH37,0)</f>
        <v>0</v>
      </c>
      <c r="AE37" s="131">
        <f>IF(AQ37="7",BI37,0)</f>
        <v>0</v>
      </c>
      <c r="AF37" s="131">
        <f>IF(AQ37="2",BH37,0)</f>
        <v>0</v>
      </c>
      <c r="AG37" s="131">
        <f>IF(AQ37="2",BI37,0)</f>
        <v>0</v>
      </c>
      <c r="AH37" s="131">
        <f>IF(AQ37="0",BJ37,0)</f>
        <v>0</v>
      </c>
      <c r="AI37" s="115" t="s">
        <v>53</v>
      </c>
      <c r="AJ37" s="131">
        <f>IF(AN37=0,J37,0)</f>
        <v>0</v>
      </c>
      <c r="AK37" s="131">
        <f>IF(AN37=12,J37,0)</f>
        <v>0</v>
      </c>
      <c r="AL37" s="131">
        <f>IF(AN37=21,J37,0)</f>
        <v>0</v>
      </c>
      <c r="AN37" s="131">
        <v>21</v>
      </c>
      <c r="AO37" s="131">
        <f>G37*0.069565217</f>
        <v>0</v>
      </c>
      <c r="AP37" s="131">
        <f>G37*(1-0.069565217)</f>
        <v>0</v>
      </c>
      <c r="AQ37" s="132" t="s">
        <v>56</v>
      </c>
      <c r="AV37" s="131">
        <f>AW37+AX37</f>
        <v>0</v>
      </c>
      <c r="AW37" s="131">
        <f>F37*AO37</f>
        <v>0</v>
      </c>
      <c r="AX37" s="131">
        <f>F37*AP37</f>
        <v>0</v>
      </c>
      <c r="AY37" s="132" t="s">
        <v>138</v>
      </c>
      <c r="AZ37" s="132" t="s">
        <v>62</v>
      </c>
      <c r="BA37" s="115" t="s">
        <v>63</v>
      </c>
      <c r="BC37" s="131">
        <f>AW37+AX37</f>
        <v>0</v>
      </c>
      <c r="BD37" s="131">
        <f>G37/(100-BE37)*100</f>
        <v>0</v>
      </c>
      <c r="BE37" s="131">
        <v>0</v>
      </c>
      <c r="BF37" s="131">
        <f>37</f>
        <v>37</v>
      </c>
      <c r="BH37" s="131">
        <f>F37*AO37</f>
        <v>0</v>
      </c>
      <c r="BI37" s="131">
        <f>F37*AP37</f>
        <v>0</v>
      </c>
      <c r="BJ37" s="131">
        <f>F37*G37</f>
        <v>0</v>
      </c>
      <c r="BK37" s="131"/>
      <c r="BL37" s="131">
        <v>18</v>
      </c>
      <c r="BW37" s="131">
        <v>21</v>
      </c>
      <c r="BX37" s="133" t="s">
        <v>141</v>
      </c>
    </row>
    <row r="38" spans="1:76" x14ac:dyDescent="0.25">
      <c r="A38" s="127" t="s">
        <v>131</v>
      </c>
      <c r="B38" s="128" t="s">
        <v>143</v>
      </c>
      <c r="C38" s="277" t="s">
        <v>144</v>
      </c>
      <c r="D38" s="278"/>
      <c r="E38" s="128" t="s">
        <v>59</v>
      </c>
      <c r="F38" s="129">
        <v>60</v>
      </c>
      <c r="G38" s="178">
        <v>0</v>
      </c>
      <c r="H38" s="129">
        <f>F38*AO38</f>
        <v>0</v>
      </c>
      <c r="I38" s="129">
        <f>F38*AP38</f>
        <v>0</v>
      </c>
      <c r="J38" s="129">
        <f>F38*G38</f>
        <v>0</v>
      </c>
      <c r="K38" s="130" t="s">
        <v>60</v>
      </c>
      <c r="Z38" s="131">
        <f>IF(AQ38="5",BJ38,0)</f>
        <v>0</v>
      </c>
      <c r="AB38" s="131">
        <f>IF(AQ38="1",BH38,0)</f>
        <v>0</v>
      </c>
      <c r="AC38" s="131">
        <f>IF(AQ38="1",BI38,0)</f>
        <v>0</v>
      </c>
      <c r="AD38" s="131">
        <f>IF(AQ38="7",BH38,0)</f>
        <v>0</v>
      </c>
      <c r="AE38" s="131">
        <f>IF(AQ38="7",BI38,0)</f>
        <v>0</v>
      </c>
      <c r="AF38" s="131">
        <f>IF(AQ38="2",BH38,0)</f>
        <v>0</v>
      </c>
      <c r="AG38" s="131">
        <f>IF(AQ38="2",BI38,0)</f>
        <v>0</v>
      </c>
      <c r="AH38" s="131">
        <f>IF(AQ38="0",BJ38,0)</f>
        <v>0</v>
      </c>
      <c r="AI38" s="115" t="s">
        <v>53</v>
      </c>
      <c r="AJ38" s="131">
        <f>IF(AN38=0,J38,0)</f>
        <v>0</v>
      </c>
      <c r="AK38" s="131">
        <f>IF(AN38=12,J38,0)</f>
        <v>0</v>
      </c>
      <c r="AL38" s="131">
        <f>IF(AN38=21,J38,0)</f>
        <v>0</v>
      </c>
      <c r="AN38" s="131">
        <v>21</v>
      </c>
      <c r="AO38" s="131">
        <f>G38*0</f>
        <v>0</v>
      </c>
      <c r="AP38" s="131">
        <f>G38*(1-0)</f>
        <v>0</v>
      </c>
      <c r="AQ38" s="132" t="s">
        <v>56</v>
      </c>
      <c r="AV38" s="131">
        <f>AW38+AX38</f>
        <v>0</v>
      </c>
      <c r="AW38" s="131">
        <f>F38*AO38</f>
        <v>0</v>
      </c>
      <c r="AX38" s="131">
        <f>F38*AP38</f>
        <v>0</v>
      </c>
      <c r="AY38" s="132" t="s">
        <v>138</v>
      </c>
      <c r="AZ38" s="132" t="s">
        <v>62</v>
      </c>
      <c r="BA38" s="115" t="s">
        <v>63</v>
      </c>
      <c r="BC38" s="131">
        <f>AW38+AX38</f>
        <v>0</v>
      </c>
      <c r="BD38" s="131">
        <f>G38/(100-BE38)*100</f>
        <v>0</v>
      </c>
      <c r="BE38" s="131">
        <v>0</v>
      </c>
      <c r="BF38" s="131">
        <f>38</f>
        <v>38</v>
      </c>
      <c r="BH38" s="131">
        <f>F38*AO38</f>
        <v>0</v>
      </c>
      <c r="BI38" s="131">
        <f>F38*AP38</f>
        <v>0</v>
      </c>
      <c r="BJ38" s="131">
        <f>F38*G38</f>
        <v>0</v>
      </c>
      <c r="BK38" s="131"/>
      <c r="BL38" s="131">
        <v>18</v>
      </c>
      <c r="BW38" s="131">
        <v>21</v>
      </c>
      <c r="BX38" s="133" t="s">
        <v>144</v>
      </c>
    </row>
    <row r="39" spans="1:76" x14ac:dyDescent="0.25">
      <c r="A39" s="127" t="s">
        <v>135</v>
      </c>
      <c r="B39" s="128" t="s">
        <v>146</v>
      </c>
      <c r="C39" s="277" t="s">
        <v>147</v>
      </c>
      <c r="D39" s="278"/>
      <c r="E39" s="128" t="s">
        <v>59</v>
      </c>
      <c r="F39" s="129">
        <v>60</v>
      </c>
      <c r="G39" s="178">
        <v>0</v>
      </c>
      <c r="H39" s="129">
        <f>F39*AO39</f>
        <v>0</v>
      </c>
      <c r="I39" s="129">
        <f>F39*AP39</f>
        <v>0</v>
      </c>
      <c r="J39" s="129">
        <f>F39*G39</f>
        <v>0</v>
      </c>
      <c r="K39" s="130" t="s">
        <v>60</v>
      </c>
      <c r="Z39" s="131">
        <f>IF(AQ39="5",BJ39,0)</f>
        <v>0</v>
      </c>
      <c r="AB39" s="131">
        <f>IF(AQ39="1",BH39,0)</f>
        <v>0</v>
      </c>
      <c r="AC39" s="131">
        <f>IF(AQ39="1",BI39,0)</f>
        <v>0</v>
      </c>
      <c r="AD39" s="131">
        <f>IF(AQ39="7",BH39,0)</f>
        <v>0</v>
      </c>
      <c r="AE39" s="131">
        <f>IF(AQ39="7",BI39,0)</f>
        <v>0</v>
      </c>
      <c r="AF39" s="131">
        <f>IF(AQ39="2",BH39,0)</f>
        <v>0</v>
      </c>
      <c r="AG39" s="131">
        <f>IF(AQ39="2",BI39,0)</f>
        <v>0</v>
      </c>
      <c r="AH39" s="131">
        <f>IF(AQ39="0",BJ39,0)</f>
        <v>0</v>
      </c>
      <c r="AI39" s="115" t="s">
        <v>53</v>
      </c>
      <c r="AJ39" s="131">
        <f>IF(AN39=0,J39,0)</f>
        <v>0</v>
      </c>
      <c r="AK39" s="131">
        <f>IF(AN39=12,J39,0)</f>
        <v>0</v>
      </c>
      <c r="AL39" s="131">
        <f>IF(AN39=21,J39,0)</f>
        <v>0</v>
      </c>
      <c r="AN39" s="131">
        <v>21</v>
      </c>
      <c r="AO39" s="131">
        <f>G39*0</f>
        <v>0</v>
      </c>
      <c r="AP39" s="131">
        <f>G39*(1-0)</f>
        <v>0</v>
      </c>
      <c r="AQ39" s="132" t="s">
        <v>56</v>
      </c>
      <c r="AV39" s="131">
        <f>AW39+AX39</f>
        <v>0</v>
      </c>
      <c r="AW39" s="131">
        <f>F39*AO39</f>
        <v>0</v>
      </c>
      <c r="AX39" s="131">
        <f>F39*AP39</f>
        <v>0</v>
      </c>
      <c r="AY39" s="132" t="s">
        <v>138</v>
      </c>
      <c r="AZ39" s="132" t="s">
        <v>62</v>
      </c>
      <c r="BA39" s="115" t="s">
        <v>63</v>
      </c>
      <c r="BC39" s="131">
        <f>AW39+AX39</f>
        <v>0</v>
      </c>
      <c r="BD39" s="131">
        <f>G39/(100-BE39)*100</f>
        <v>0</v>
      </c>
      <c r="BE39" s="131">
        <v>0</v>
      </c>
      <c r="BF39" s="131">
        <f>39</f>
        <v>39</v>
      </c>
      <c r="BH39" s="131">
        <f>F39*AO39</f>
        <v>0</v>
      </c>
      <c r="BI39" s="131">
        <f>F39*AP39</f>
        <v>0</v>
      </c>
      <c r="BJ39" s="131">
        <f>F39*G39</f>
        <v>0</v>
      </c>
      <c r="BK39" s="131"/>
      <c r="BL39" s="131">
        <v>18</v>
      </c>
      <c r="BW39" s="131">
        <v>21</v>
      </c>
      <c r="BX39" s="133" t="s">
        <v>147</v>
      </c>
    </row>
    <row r="40" spans="1:76" x14ac:dyDescent="0.25">
      <c r="A40" s="123" t="s">
        <v>53</v>
      </c>
      <c r="B40" s="124" t="s">
        <v>148</v>
      </c>
      <c r="C40" s="272" t="s">
        <v>149</v>
      </c>
      <c r="D40" s="273"/>
      <c r="E40" s="125" t="s">
        <v>9</v>
      </c>
      <c r="F40" s="125" t="s">
        <v>9</v>
      </c>
      <c r="G40" s="125" t="s">
        <v>9</v>
      </c>
      <c r="H40" s="110">
        <f>SUM(H41:H46)</f>
        <v>0</v>
      </c>
      <c r="I40" s="110">
        <f>SUM(I41:I46)</f>
        <v>0</v>
      </c>
      <c r="J40" s="110">
        <f>SUM(J41:J46)</f>
        <v>0</v>
      </c>
      <c r="K40" s="126" t="s">
        <v>53</v>
      </c>
      <c r="AI40" s="115" t="s">
        <v>53</v>
      </c>
      <c r="AS40" s="110">
        <f>SUM(AJ41:AJ46)</f>
        <v>0</v>
      </c>
      <c r="AT40" s="110">
        <f>SUM(AK41:AK46)</f>
        <v>0</v>
      </c>
      <c r="AU40" s="110">
        <f>SUM(AL41:AL46)</f>
        <v>0</v>
      </c>
    </row>
    <row r="41" spans="1:76" x14ac:dyDescent="0.25">
      <c r="A41" s="127" t="s">
        <v>139</v>
      </c>
      <c r="B41" s="128" t="s">
        <v>156</v>
      </c>
      <c r="C41" s="277" t="s">
        <v>157</v>
      </c>
      <c r="D41" s="278"/>
      <c r="E41" s="128" t="s">
        <v>67</v>
      </c>
      <c r="F41" s="129">
        <v>0.7</v>
      </c>
      <c r="G41" s="178">
        <v>0</v>
      </c>
      <c r="H41" s="129">
        <f t="shared" ref="H41:H46" si="24">F41*AO41</f>
        <v>0</v>
      </c>
      <c r="I41" s="129">
        <f t="shared" ref="I41:I46" si="25">F41*AP41</f>
        <v>0</v>
      </c>
      <c r="J41" s="129">
        <f t="shared" ref="J41:J46" si="26">F41*G41</f>
        <v>0</v>
      </c>
      <c r="K41" s="130" t="s">
        <v>60</v>
      </c>
      <c r="Z41" s="131">
        <f t="shared" ref="Z41:Z46" si="27">IF(AQ41="5",BJ41,0)</f>
        <v>0</v>
      </c>
      <c r="AB41" s="131">
        <f t="shared" ref="AB41:AB46" si="28">IF(AQ41="1",BH41,0)</f>
        <v>0</v>
      </c>
      <c r="AC41" s="131">
        <f t="shared" ref="AC41:AC46" si="29">IF(AQ41="1",BI41,0)</f>
        <v>0</v>
      </c>
      <c r="AD41" s="131">
        <f t="shared" ref="AD41:AD46" si="30">IF(AQ41="7",BH41,0)</f>
        <v>0</v>
      </c>
      <c r="AE41" s="131">
        <f t="shared" ref="AE41:AE46" si="31">IF(AQ41="7",BI41,0)</f>
        <v>0</v>
      </c>
      <c r="AF41" s="131">
        <f t="shared" ref="AF41:AF46" si="32">IF(AQ41="2",BH41,0)</f>
        <v>0</v>
      </c>
      <c r="AG41" s="131">
        <f t="shared" ref="AG41:AG46" si="33">IF(AQ41="2",BI41,0)</f>
        <v>0</v>
      </c>
      <c r="AH41" s="131">
        <f t="shared" ref="AH41:AH46" si="34">IF(AQ41="0",BJ41,0)</f>
        <v>0</v>
      </c>
      <c r="AI41" s="115" t="s">
        <v>53</v>
      </c>
      <c r="AJ41" s="131">
        <f t="shared" ref="AJ41:AJ46" si="35">IF(AN41=0,J41,0)</f>
        <v>0</v>
      </c>
      <c r="AK41" s="131">
        <f t="shared" ref="AK41:AK46" si="36">IF(AN41=12,J41,0)</f>
        <v>0</v>
      </c>
      <c r="AL41" s="131">
        <f t="shared" ref="AL41:AL46" si="37">IF(AN41=21,J41,0)</f>
        <v>0</v>
      </c>
      <c r="AN41" s="131">
        <v>21</v>
      </c>
      <c r="AO41" s="131">
        <f>G41*0.281499488</f>
        <v>0</v>
      </c>
      <c r="AP41" s="131">
        <f>G41*(1-0.281499488)</f>
        <v>0</v>
      </c>
      <c r="AQ41" s="132" t="s">
        <v>56</v>
      </c>
      <c r="AV41" s="131">
        <f t="shared" ref="AV41:AV46" si="38">AW41+AX41</f>
        <v>0</v>
      </c>
      <c r="AW41" s="131">
        <f t="shared" ref="AW41:AW46" si="39">F41*AO41</f>
        <v>0</v>
      </c>
      <c r="AX41" s="131">
        <f t="shared" ref="AX41:AX46" si="40">F41*AP41</f>
        <v>0</v>
      </c>
      <c r="AY41" s="132" t="s">
        <v>153</v>
      </c>
      <c r="AZ41" s="132" t="s">
        <v>154</v>
      </c>
      <c r="BA41" s="115" t="s">
        <v>63</v>
      </c>
      <c r="BC41" s="131">
        <f t="shared" ref="BC41:BC46" si="41">AW41+AX41</f>
        <v>0</v>
      </c>
      <c r="BD41" s="131">
        <f t="shared" ref="BD41:BD46" si="42">G41/(100-BE41)*100</f>
        <v>0</v>
      </c>
      <c r="BE41" s="131">
        <v>0</v>
      </c>
      <c r="BF41" s="131">
        <f>41</f>
        <v>41</v>
      </c>
      <c r="BH41" s="131">
        <f t="shared" ref="BH41:BH46" si="43">F41*AO41</f>
        <v>0</v>
      </c>
      <c r="BI41" s="131">
        <f t="shared" ref="BI41:BI46" si="44">F41*AP41</f>
        <v>0</v>
      </c>
      <c r="BJ41" s="131">
        <f t="shared" ref="BJ41:BJ46" si="45">F41*G41</f>
        <v>0</v>
      </c>
      <c r="BK41" s="131"/>
      <c r="BL41" s="131">
        <v>33</v>
      </c>
      <c r="BW41" s="131">
        <v>21</v>
      </c>
      <c r="BX41" s="133" t="s">
        <v>157</v>
      </c>
    </row>
    <row r="42" spans="1:76" x14ac:dyDescent="0.25">
      <c r="A42" s="127" t="s">
        <v>142</v>
      </c>
      <c r="B42" s="128" t="s">
        <v>159</v>
      </c>
      <c r="C42" s="277" t="s">
        <v>160</v>
      </c>
      <c r="D42" s="278"/>
      <c r="E42" s="128" t="s">
        <v>67</v>
      </c>
      <c r="F42" s="129">
        <v>3.15</v>
      </c>
      <c r="G42" s="178">
        <v>0</v>
      </c>
      <c r="H42" s="129">
        <f t="shared" si="24"/>
        <v>0</v>
      </c>
      <c r="I42" s="129">
        <f t="shared" si="25"/>
        <v>0</v>
      </c>
      <c r="J42" s="129">
        <f t="shared" si="26"/>
        <v>0</v>
      </c>
      <c r="K42" s="130" t="s">
        <v>60</v>
      </c>
      <c r="Z42" s="131">
        <f t="shared" si="27"/>
        <v>0</v>
      </c>
      <c r="AB42" s="131">
        <f t="shared" si="28"/>
        <v>0</v>
      </c>
      <c r="AC42" s="131">
        <f t="shared" si="29"/>
        <v>0</v>
      </c>
      <c r="AD42" s="131">
        <f t="shared" si="30"/>
        <v>0</v>
      </c>
      <c r="AE42" s="131">
        <f t="shared" si="31"/>
        <v>0</v>
      </c>
      <c r="AF42" s="131">
        <f t="shared" si="32"/>
        <v>0</v>
      </c>
      <c r="AG42" s="131">
        <f t="shared" si="33"/>
        <v>0</v>
      </c>
      <c r="AH42" s="131">
        <f t="shared" si="34"/>
        <v>0</v>
      </c>
      <c r="AI42" s="115" t="s">
        <v>53</v>
      </c>
      <c r="AJ42" s="131">
        <f t="shared" si="35"/>
        <v>0</v>
      </c>
      <c r="AK42" s="131">
        <f t="shared" si="36"/>
        <v>0</v>
      </c>
      <c r="AL42" s="131">
        <f t="shared" si="37"/>
        <v>0</v>
      </c>
      <c r="AN42" s="131">
        <v>21</v>
      </c>
      <c r="AO42" s="131">
        <f>G42*0.300007552</f>
        <v>0</v>
      </c>
      <c r="AP42" s="131">
        <f>G42*(1-0.300007552)</f>
        <v>0</v>
      </c>
      <c r="AQ42" s="132" t="s">
        <v>56</v>
      </c>
      <c r="AV42" s="131">
        <f t="shared" si="38"/>
        <v>0</v>
      </c>
      <c r="AW42" s="131">
        <f t="shared" si="39"/>
        <v>0</v>
      </c>
      <c r="AX42" s="131">
        <f t="shared" si="40"/>
        <v>0</v>
      </c>
      <c r="AY42" s="132" t="s">
        <v>153</v>
      </c>
      <c r="AZ42" s="132" t="s">
        <v>154</v>
      </c>
      <c r="BA42" s="115" t="s">
        <v>63</v>
      </c>
      <c r="BC42" s="131">
        <f t="shared" si="41"/>
        <v>0</v>
      </c>
      <c r="BD42" s="131">
        <f t="shared" si="42"/>
        <v>0</v>
      </c>
      <c r="BE42" s="131">
        <v>0</v>
      </c>
      <c r="BF42" s="131">
        <f>42</f>
        <v>42</v>
      </c>
      <c r="BH42" s="131">
        <f t="shared" si="43"/>
        <v>0</v>
      </c>
      <c r="BI42" s="131">
        <f t="shared" si="44"/>
        <v>0</v>
      </c>
      <c r="BJ42" s="131">
        <f t="shared" si="45"/>
        <v>0</v>
      </c>
      <c r="BK42" s="131"/>
      <c r="BL42" s="131">
        <v>33</v>
      </c>
      <c r="BW42" s="131">
        <v>21</v>
      </c>
      <c r="BX42" s="133" t="s">
        <v>160</v>
      </c>
    </row>
    <row r="43" spans="1:76" x14ac:dyDescent="0.25">
      <c r="A43" s="127" t="s">
        <v>145</v>
      </c>
      <c r="B43" s="128" t="s">
        <v>162</v>
      </c>
      <c r="C43" s="277" t="s">
        <v>542</v>
      </c>
      <c r="D43" s="278"/>
      <c r="E43" s="128" t="s">
        <v>164</v>
      </c>
      <c r="F43" s="129">
        <v>4</v>
      </c>
      <c r="G43" s="178">
        <v>0</v>
      </c>
      <c r="H43" s="129">
        <f t="shared" si="24"/>
        <v>0</v>
      </c>
      <c r="I43" s="129">
        <f t="shared" si="25"/>
        <v>0</v>
      </c>
      <c r="J43" s="129">
        <f t="shared" si="26"/>
        <v>0</v>
      </c>
      <c r="K43" s="130" t="s">
        <v>60</v>
      </c>
      <c r="Z43" s="131">
        <f t="shared" si="27"/>
        <v>0</v>
      </c>
      <c r="AB43" s="131">
        <f t="shared" si="28"/>
        <v>0</v>
      </c>
      <c r="AC43" s="131">
        <f t="shared" si="29"/>
        <v>0</v>
      </c>
      <c r="AD43" s="131">
        <f t="shared" si="30"/>
        <v>0</v>
      </c>
      <c r="AE43" s="131">
        <f t="shared" si="31"/>
        <v>0</v>
      </c>
      <c r="AF43" s="131">
        <f t="shared" si="32"/>
        <v>0</v>
      </c>
      <c r="AG43" s="131">
        <f t="shared" si="33"/>
        <v>0</v>
      </c>
      <c r="AH43" s="131">
        <f t="shared" si="34"/>
        <v>0</v>
      </c>
      <c r="AI43" s="115" t="s">
        <v>53</v>
      </c>
      <c r="AJ43" s="131">
        <f t="shared" si="35"/>
        <v>0</v>
      </c>
      <c r="AK43" s="131">
        <f t="shared" si="36"/>
        <v>0</v>
      </c>
      <c r="AL43" s="131">
        <f t="shared" si="37"/>
        <v>0</v>
      </c>
      <c r="AN43" s="131">
        <v>21</v>
      </c>
      <c r="AO43" s="131">
        <f>G43*0.416840934</f>
        <v>0</v>
      </c>
      <c r="AP43" s="131">
        <f>G43*(1-0.416840934)</f>
        <v>0</v>
      </c>
      <c r="AQ43" s="132" t="s">
        <v>56</v>
      </c>
      <c r="AV43" s="131">
        <f t="shared" si="38"/>
        <v>0</v>
      </c>
      <c r="AW43" s="131">
        <f t="shared" si="39"/>
        <v>0</v>
      </c>
      <c r="AX43" s="131">
        <f t="shared" si="40"/>
        <v>0</v>
      </c>
      <c r="AY43" s="132" t="s">
        <v>153</v>
      </c>
      <c r="AZ43" s="132" t="s">
        <v>154</v>
      </c>
      <c r="BA43" s="115" t="s">
        <v>63</v>
      </c>
      <c r="BC43" s="131">
        <f t="shared" si="41"/>
        <v>0</v>
      </c>
      <c r="BD43" s="131">
        <f t="shared" si="42"/>
        <v>0</v>
      </c>
      <c r="BE43" s="131">
        <v>0</v>
      </c>
      <c r="BF43" s="131">
        <f>43</f>
        <v>43</v>
      </c>
      <c r="BH43" s="131">
        <f t="shared" si="43"/>
        <v>0</v>
      </c>
      <c r="BI43" s="131">
        <f t="shared" si="44"/>
        <v>0</v>
      </c>
      <c r="BJ43" s="131">
        <f t="shared" si="45"/>
        <v>0</v>
      </c>
      <c r="BK43" s="131"/>
      <c r="BL43" s="131">
        <v>33</v>
      </c>
      <c r="BW43" s="131">
        <v>21</v>
      </c>
      <c r="BX43" s="133" t="s">
        <v>542</v>
      </c>
    </row>
    <row r="44" spans="1:76" x14ac:dyDescent="0.25">
      <c r="A44" s="127" t="s">
        <v>150</v>
      </c>
      <c r="B44" s="128" t="s">
        <v>543</v>
      </c>
      <c r="C44" s="277" t="s">
        <v>544</v>
      </c>
      <c r="D44" s="278"/>
      <c r="E44" s="128" t="s">
        <v>67</v>
      </c>
      <c r="F44" s="129">
        <v>0.7</v>
      </c>
      <c r="G44" s="178">
        <v>0</v>
      </c>
      <c r="H44" s="129">
        <f t="shared" si="24"/>
        <v>0</v>
      </c>
      <c r="I44" s="129">
        <f t="shared" si="25"/>
        <v>0</v>
      </c>
      <c r="J44" s="129">
        <f t="shared" si="26"/>
        <v>0</v>
      </c>
      <c r="K44" s="130" t="s">
        <v>60</v>
      </c>
      <c r="Z44" s="131">
        <f t="shared" si="27"/>
        <v>0</v>
      </c>
      <c r="AB44" s="131">
        <f t="shared" si="28"/>
        <v>0</v>
      </c>
      <c r="AC44" s="131">
        <f t="shared" si="29"/>
        <v>0</v>
      </c>
      <c r="AD44" s="131">
        <f t="shared" si="30"/>
        <v>0</v>
      </c>
      <c r="AE44" s="131">
        <f t="shared" si="31"/>
        <v>0</v>
      </c>
      <c r="AF44" s="131">
        <f t="shared" si="32"/>
        <v>0</v>
      </c>
      <c r="AG44" s="131">
        <f t="shared" si="33"/>
        <v>0</v>
      </c>
      <c r="AH44" s="131">
        <f t="shared" si="34"/>
        <v>0</v>
      </c>
      <c r="AI44" s="115" t="s">
        <v>53</v>
      </c>
      <c r="AJ44" s="131">
        <f t="shared" si="35"/>
        <v>0</v>
      </c>
      <c r="AK44" s="131">
        <f t="shared" si="36"/>
        <v>0</v>
      </c>
      <c r="AL44" s="131">
        <f t="shared" si="37"/>
        <v>0</v>
      </c>
      <c r="AN44" s="131">
        <v>21</v>
      </c>
      <c r="AO44" s="131">
        <f>G44*0.219742729</f>
        <v>0</v>
      </c>
      <c r="AP44" s="131">
        <f>G44*(1-0.219742729)</f>
        <v>0</v>
      </c>
      <c r="AQ44" s="132" t="s">
        <v>56</v>
      </c>
      <c r="AV44" s="131">
        <f t="shared" si="38"/>
        <v>0</v>
      </c>
      <c r="AW44" s="131">
        <f t="shared" si="39"/>
        <v>0</v>
      </c>
      <c r="AX44" s="131">
        <f t="shared" si="40"/>
        <v>0</v>
      </c>
      <c r="AY44" s="132" t="s">
        <v>153</v>
      </c>
      <c r="AZ44" s="132" t="s">
        <v>154</v>
      </c>
      <c r="BA44" s="115" t="s">
        <v>63</v>
      </c>
      <c r="BC44" s="131">
        <f t="shared" si="41"/>
        <v>0</v>
      </c>
      <c r="BD44" s="131">
        <f t="shared" si="42"/>
        <v>0</v>
      </c>
      <c r="BE44" s="131">
        <v>0</v>
      </c>
      <c r="BF44" s="131">
        <f>44</f>
        <v>44</v>
      </c>
      <c r="BH44" s="131">
        <f t="shared" si="43"/>
        <v>0</v>
      </c>
      <c r="BI44" s="131">
        <f t="shared" si="44"/>
        <v>0</v>
      </c>
      <c r="BJ44" s="131">
        <f t="shared" si="45"/>
        <v>0</v>
      </c>
      <c r="BK44" s="131"/>
      <c r="BL44" s="131">
        <v>33</v>
      </c>
      <c r="BW44" s="131">
        <v>21</v>
      </c>
      <c r="BX44" s="133" t="s">
        <v>544</v>
      </c>
    </row>
    <row r="45" spans="1:76" x14ac:dyDescent="0.25">
      <c r="A45" s="127" t="s">
        <v>155</v>
      </c>
      <c r="B45" s="128" t="s">
        <v>151</v>
      </c>
      <c r="C45" s="277" t="s">
        <v>545</v>
      </c>
      <c r="D45" s="278"/>
      <c r="E45" s="128" t="s">
        <v>67</v>
      </c>
      <c r="F45" s="129">
        <v>6.7</v>
      </c>
      <c r="G45" s="178">
        <v>0</v>
      </c>
      <c r="H45" s="129">
        <f t="shared" si="24"/>
        <v>0</v>
      </c>
      <c r="I45" s="129">
        <f t="shared" si="25"/>
        <v>0</v>
      </c>
      <c r="J45" s="129">
        <f t="shared" si="26"/>
        <v>0</v>
      </c>
      <c r="K45" s="130" t="s">
        <v>60</v>
      </c>
      <c r="Z45" s="131">
        <f t="shared" si="27"/>
        <v>0</v>
      </c>
      <c r="AB45" s="131">
        <f t="shared" si="28"/>
        <v>0</v>
      </c>
      <c r="AC45" s="131">
        <f t="shared" si="29"/>
        <v>0</v>
      </c>
      <c r="AD45" s="131">
        <f t="shared" si="30"/>
        <v>0</v>
      </c>
      <c r="AE45" s="131">
        <f t="shared" si="31"/>
        <v>0</v>
      </c>
      <c r="AF45" s="131">
        <f t="shared" si="32"/>
        <v>0</v>
      </c>
      <c r="AG45" s="131">
        <f t="shared" si="33"/>
        <v>0</v>
      </c>
      <c r="AH45" s="131">
        <f t="shared" si="34"/>
        <v>0</v>
      </c>
      <c r="AI45" s="115" t="s">
        <v>53</v>
      </c>
      <c r="AJ45" s="131">
        <f t="shared" si="35"/>
        <v>0</v>
      </c>
      <c r="AK45" s="131">
        <f t="shared" si="36"/>
        <v>0</v>
      </c>
      <c r="AL45" s="131">
        <f t="shared" si="37"/>
        <v>0</v>
      </c>
      <c r="AN45" s="131">
        <v>21</v>
      </c>
      <c r="AO45" s="131">
        <f>G45*0.251992179</f>
        <v>0</v>
      </c>
      <c r="AP45" s="131">
        <f>G45*(1-0.251992179)</f>
        <v>0</v>
      </c>
      <c r="AQ45" s="132" t="s">
        <v>56</v>
      </c>
      <c r="AV45" s="131">
        <f t="shared" si="38"/>
        <v>0</v>
      </c>
      <c r="AW45" s="131">
        <f t="shared" si="39"/>
        <v>0</v>
      </c>
      <c r="AX45" s="131">
        <f t="shared" si="40"/>
        <v>0</v>
      </c>
      <c r="AY45" s="132" t="s">
        <v>153</v>
      </c>
      <c r="AZ45" s="132" t="s">
        <v>154</v>
      </c>
      <c r="BA45" s="115" t="s">
        <v>63</v>
      </c>
      <c r="BC45" s="131">
        <f t="shared" si="41"/>
        <v>0</v>
      </c>
      <c r="BD45" s="131">
        <f t="shared" si="42"/>
        <v>0</v>
      </c>
      <c r="BE45" s="131">
        <v>0</v>
      </c>
      <c r="BF45" s="131">
        <f>45</f>
        <v>45</v>
      </c>
      <c r="BH45" s="131">
        <f t="shared" si="43"/>
        <v>0</v>
      </c>
      <c r="BI45" s="131">
        <f t="shared" si="44"/>
        <v>0</v>
      </c>
      <c r="BJ45" s="131">
        <f t="shared" si="45"/>
        <v>0</v>
      </c>
      <c r="BK45" s="131"/>
      <c r="BL45" s="131">
        <v>33</v>
      </c>
      <c r="BW45" s="131">
        <v>21</v>
      </c>
      <c r="BX45" s="133" t="s">
        <v>545</v>
      </c>
    </row>
    <row r="46" spans="1:76" x14ac:dyDescent="0.25">
      <c r="A46" s="127" t="s">
        <v>158</v>
      </c>
      <c r="B46" s="128" t="s">
        <v>546</v>
      </c>
      <c r="C46" s="277" t="s">
        <v>547</v>
      </c>
      <c r="D46" s="278"/>
      <c r="E46" s="128" t="s">
        <v>67</v>
      </c>
      <c r="F46" s="129">
        <v>0.7</v>
      </c>
      <c r="G46" s="178">
        <v>0</v>
      </c>
      <c r="H46" s="129">
        <f t="shared" si="24"/>
        <v>0</v>
      </c>
      <c r="I46" s="129">
        <f t="shared" si="25"/>
        <v>0</v>
      </c>
      <c r="J46" s="129">
        <f t="shared" si="26"/>
        <v>0</v>
      </c>
      <c r="K46" s="130" t="s">
        <v>60</v>
      </c>
      <c r="Z46" s="131">
        <f t="shared" si="27"/>
        <v>0</v>
      </c>
      <c r="AB46" s="131">
        <f t="shared" si="28"/>
        <v>0</v>
      </c>
      <c r="AC46" s="131">
        <f t="shared" si="29"/>
        <v>0</v>
      </c>
      <c r="AD46" s="131">
        <f t="shared" si="30"/>
        <v>0</v>
      </c>
      <c r="AE46" s="131">
        <f t="shared" si="31"/>
        <v>0</v>
      </c>
      <c r="AF46" s="131">
        <f t="shared" si="32"/>
        <v>0</v>
      </c>
      <c r="AG46" s="131">
        <f t="shared" si="33"/>
        <v>0</v>
      </c>
      <c r="AH46" s="131">
        <f t="shared" si="34"/>
        <v>0</v>
      </c>
      <c r="AI46" s="115" t="s">
        <v>53</v>
      </c>
      <c r="AJ46" s="131">
        <f t="shared" si="35"/>
        <v>0</v>
      </c>
      <c r="AK46" s="131">
        <f t="shared" si="36"/>
        <v>0</v>
      </c>
      <c r="AL46" s="131">
        <f t="shared" si="37"/>
        <v>0</v>
      </c>
      <c r="AN46" s="131">
        <v>21</v>
      </c>
      <c r="AO46" s="131">
        <f>G46*0.19144186</f>
        <v>0</v>
      </c>
      <c r="AP46" s="131">
        <f>G46*(1-0.19144186)</f>
        <v>0</v>
      </c>
      <c r="AQ46" s="132" t="s">
        <v>56</v>
      </c>
      <c r="AV46" s="131">
        <f t="shared" si="38"/>
        <v>0</v>
      </c>
      <c r="AW46" s="131">
        <f t="shared" si="39"/>
        <v>0</v>
      </c>
      <c r="AX46" s="131">
        <f t="shared" si="40"/>
        <v>0</v>
      </c>
      <c r="AY46" s="132" t="s">
        <v>153</v>
      </c>
      <c r="AZ46" s="132" t="s">
        <v>154</v>
      </c>
      <c r="BA46" s="115" t="s">
        <v>63</v>
      </c>
      <c r="BC46" s="131">
        <f t="shared" si="41"/>
        <v>0</v>
      </c>
      <c r="BD46" s="131">
        <f t="shared" si="42"/>
        <v>0</v>
      </c>
      <c r="BE46" s="131">
        <v>0</v>
      </c>
      <c r="BF46" s="131">
        <f>46</f>
        <v>46</v>
      </c>
      <c r="BH46" s="131">
        <f t="shared" si="43"/>
        <v>0</v>
      </c>
      <c r="BI46" s="131">
        <f t="shared" si="44"/>
        <v>0</v>
      </c>
      <c r="BJ46" s="131">
        <f t="shared" si="45"/>
        <v>0</v>
      </c>
      <c r="BK46" s="131"/>
      <c r="BL46" s="131">
        <v>33</v>
      </c>
      <c r="BW46" s="131">
        <v>21</v>
      </c>
      <c r="BX46" s="133" t="s">
        <v>547</v>
      </c>
    </row>
    <row r="47" spans="1:76" x14ac:dyDescent="0.25">
      <c r="A47" s="123" t="s">
        <v>53</v>
      </c>
      <c r="B47" s="124" t="s">
        <v>167</v>
      </c>
      <c r="C47" s="272" t="s">
        <v>168</v>
      </c>
      <c r="D47" s="273"/>
      <c r="E47" s="125" t="s">
        <v>9</v>
      </c>
      <c r="F47" s="125" t="s">
        <v>9</v>
      </c>
      <c r="G47" s="125" t="s">
        <v>9</v>
      </c>
      <c r="H47" s="110">
        <f>SUM(H48:H48)</f>
        <v>0</v>
      </c>
      <c r="I47" s="110">
        <f>SUM(I48:I48)</f>
        <v>0</v>
      </c>
      <c r="J47" s="110">
        <f>SUM(J48:J48)</f>
        <v>0</v>
      </c>
      <c r="K47" s="126" t="s">
        <v>53</v>
      </c>
      <c r="AI47" s="115" t="s">
        <v>53</v>
      </c>
      <c r="AS47" s="110">
        <f>SUM(AJ48:AJ48)</f>
        <v>0</v>
      </c>
      <c r="AT47" s="110">
        <f>SUM(AK48:AK48)</f>
        <v>0</v>
      </c>
      <c r="AU47" s="110">
        <f>SUM(AL48:AL48)</f>
        <v>0</v>
      </c>
    </row>
    <row r="48" spans="1:76" x14ac:dyDescent="0.25">
      <c r="A48" s="127" t="s">
        <v>161</v>
      </c>
      <c r="B48" s="128" t="s">
        <v>170</v>
      </c>
      <c r="C48" s="277" t="s">
        <v>624</v>
      </c>
      <c r="D48" s="278"/>
      <c r="E48" s="128" t="s">
        <v>59</v>
      </c>
      <c r="F48" s="129">
        <v>152.69999999999999</v>
      </c>
      <c r="G48" s="178">
        <v>0</v>
      </c>
      <c r="H48" s="129">
        <f>F48*AO48</f>
        <v>0</v>
      </c>
      <c r="I48" s="129">
        <f>F48*AP48</f>
        <v>0</v>
      </c>
      <c r="J48" s="129">
        <f>F48*G48</f>
        <v>0</v>
      </c>
      <c r="K48" s="130" t="s">
        <v>60</v>
      </c>
      <c r="Z48" s="131">
        <f>IF(AQ48="5",BJ48,0)</f>
        <v>0</v>
      </c>
      <c r="AB48" s="131">
        <f>IF(AQ48="1",BH48,0)</f>
        <v>0</v>
      </c>
      <c r="AC48" s="131">
        <f>IF(AQ48="1",BI48,0)</f>
        <v>0</v>
      </c>
      <c r="AD48" s="131">
        <f>IF(AQ48="7",BH48,0)</f>
        <v>0</v>
      </c>
      <c r="AE48" s="131">
        <f>IF(AQ48="7",BI48,0)</f>
        <v>0</v>
      </c>
      <c r="AF48" s="131">
        <f>IF(AQ48="2",BH48,0)</f>
        <v>0</v>
      </c>
      <c r="AG48" s="131">
        <f>IF(AQ48="2",BI48,0)</f>
        <v>0</v>
      </c>
      <c r="AH48" s="131">
        <f>IF(AQ48="0",BJ48,0)</f>
        <v>0</v>
      </c>
      <c r="AI48" s="115" t="s">
        <v>53</v>
      </c>
      <c r="AJ48" s="131">
        <f>IF(AN48=0,J48,0)</f>
        <v>0</v>
      </c>
      <c r="AK48" s="131">
        <f>IF(AN48=12,J48,0)</f>
        <v>0</v>
      </c>
      <c r="AL48" s="131">
        <f>IF(AN48=21,J48,0)</f>
        <v>0</v>
      </c>
      <c r="AN48" s="131">
        <v>21</v>
      </c>
      <c r="AO48" s="131">
        <f>G48*0.798278067</f>
        <v>0</v>
      </c>
      <c r="AP48" s="131">
        <f>G48*(1-0.798278067)</f>
        <v>0</v>
      </c>
      <c r="AQ48" s="132" t="s">
        <v>56</v>
      </c>
      <c r="AV48" s="131">
        <f>AW48+AX48</f>
        <v>0</v>
      </c>
      <c r="AW48" s="131">
        <f>F48*AO48</f>
        <v>0</v>
      </c>
      <c r="AX48" s="131">
        <f>F48*AP48</f>
        <v>0</v>
      </c>
      <c r="AY48" s="132" t="s">
        <v>172</v>
      </c>
      <c r="AZ48" s="132" t="s">
        <v>173</v>
      </c>
      <c r="BA48" s="115" t="s">
        <v>63</v>
      </c>
      <c r="BC48" s="131">
        <f>AW48+AX48</f>
        <v>0</v>
      </c>
      <c r="BD48" s="131">
        <f>G48/(100-BE48)*100</f>
        <v>0</v>
      </c>
      <c r="BE48" s="131">
        <v>0</v>
      </c>
      <c r="BF48" s="131">
        <f>48</f>
        <v>48</v>
      </c>
      <c r="BH48" s="131">
        <f>F48*AO48</f>
        <v>0</v>
      </c>
      <c r="BI48" s="131">
        <f>F48*AP48</f>
        <v>0</v>
      </c>
      <c r="BJ48" s="131">
        <f>F48*G48</f>
        <v>0</v>
      </c>
      <c r="BK48" s="131"/>
      <c r="BL48" s="131">
        <v>45</v>
      </c>
      <c r="BW48" s="131">
        <v>21</v>
      </c>
      <c r="BX48" s="133" t="s">
        <v>624</v>
      </c>
    </row>
    <row r="49" spans="1:76" x14ac:dyDescent="0.25">
      <c r="A49" s="123" t="s">
        <v>53</v>
      </c>
      <c r="B49" s="124" t="s">
        <v>177</v>
      </c>
      <c r="C49" s="272" t="s">
        <v>178</v>
      </c>
      <c r="D49" s="273"/>
      <c r="E49" s="125" t="s">
        <v>9</v>
      </c>
      <c r="F49" s="125" t="s">
        <v>9</v>
      </c>
      <c r="G49" s="125" t="s">
        <v>9</v>
      </c>
      <c r="H49" s="110">
        <f>SUM(H50:H59)</f>
        <v>0</v>
      </c>
      <c r="I49" s="110">
        <f>SUM(I50:I59)</f>
        <v>0</v>
      </c>
      <c r="J49" s="110">
        <f>SUM(J50:J59)</f>
        <v>0</v>
      </c>
      <c r="K49" s="126" t="s">
        <v>53</v>
      </c>
      <c r="AI49" s="115" t="s">
        <v>53</v>
      </c>
      <c r="AS49" s="110">
        <f>SUM(AJ50:AJ59)</f>
        <v>0</v>
      </c>
      <c r="AT49" s="110">
        <f>SUM(AK50:AK59)</f>
        <v>0</v>
      </c>
      <c r="AU49" s="110">
        <f>SUM(AL50:AL59)</f>
        <v>0</v>
      </c>
    </row>
    <row r="50" spans="1:76" x14ac:dyDescent="0.25">
      <c r="A50" s="127" t="s">
        <v>165</v>
      </c>
      <c r="B50" s="128" t="s">
        <v>184</v>
      </c>
      <c r="C50" s="277" t="s">
        <v>625</v>
      </c>
      <c r="D50" s="278"/>
      <c r="E50" s="128" t="s">
        <v>59</v>
      </c>
      <c r="F50" s="129">
        <v>101.86</v>
      </c>
      <c r="G50" s="178">
        <v>0</v>
      </c>
      <c r="H50" s="129">
        <f t="shared" ref="H50:H59" si="46">F50*AO50</f>
        <v>0</v>
      </c>
      <c r="I50" s="129">
        <f t="shared" ref="I50:I59" si="47">F50*AP50</f>
        <v>0</v>
      </c>
      <c r="J50" s="129">
        <f t="shared" ref="J50:J59" si="48">F50*G50</f>
        <v>0</v>
      </c>
      <c r="K50" s="130" t="s">
        <v>60</v>
      </c>
      <c r="Z50" s="131">
        <f t="shared" ref="Z50:Z59" si="49">IF(AQ50="5",BJ50,0)</f>
        <v>0</v>
      </c>
      <c r="AB50" s="131">
        <f t="shared" ref="AB50:AB59" si="50">IF(AQ50="1",BH50,0)</f>
        <v>0</v>
      </c>
      <c r="AC50" s="131">
        <f t="shared" ref="AC50:AC59" si="51">IF(AQ50="1",BI50,0)</f>
        <v>0</v>
      </c>
      <c r="AD50" s="131">
        <f t="shared" ref="AD50:AD59" si="52">IF(AQ50="7",BH50,0)</f>
        <v>0</v>
      </c>
      <c r="AE50" s="131">
        <f t="shared" ref="AE50:AE59" si="53">IF(AQ50="7",BI50,0)</f>
        <v>0</v>
      </c>
      <c r="AF50" s="131">
        <f t="shared" ref="AF50:AF59" si="54">IF(AQ50="2",BH50,0)</f>
        <v>0</v>
      </c>
      <c r="AG50" s="131">
        <f t="shared" ref="AG50:AG59" si="55">IF(AQ50="2",BI50,0)</f>
        <v>0</v>
      </c>
      <c r="AH50" s="131">
        <f t="shared" ref="AH50:AH59" si="56">IF(AQ50="0",BJ50,0)</f>
        <v>0</v>
      </c>
      <c r="AI50" s="115" t="s">
        <v>53</v>
      </c>
      <c r="AJ50" s="131">
        <f t="shared" ref="AJ50:AJ59" si="57">IF(AN50=0,J50,0)</f>
        <v>0</v>
      </c>
      <c r="AK50" s="131">
        <f t="shared" ref="AK50:AK59" si="58">IF(AN50=12,J50,0)</f>
        <v>0</v>
      </c>
      <c r="AL50" s="131">
        <f t="shared" ref="AL50:AL59" si="59">IF(AN50=21,J50,0)</f>
        <v>0</v>
      </c>
      <c r="AN50" s="131">
        <v>21</v>
      </c>
      <c r="AO50" s="131">
        <f>G50*0.87612398</f>
        <v>0</v>
      </c>
      <c r="AP50" s="131">
        <f>G50*(1-0.87612398)</f>
        <v>0</v>
      </c>
      <c r="AQ50" s="132" t="s">
        <v>56</v>
      </c>
      <c r="AV50" s="131">
        <f t="shared" ref="AV50:AV59" si="60">AW50+AX50</f>
        <v>0</v>
      </c>
      <c r="AW50" s="131">
        <f t="shared" ref="AW50:AW59" si="61">F50*AO50</f>
        <v>0</v>
      </c>
      <c r="AX50" s="131">
        <f t="shared" ref="AX50:AX59" si="62">F50*AP50</f>
        <v>0</v>
      </c>
      <c r="AY50" s="132" t="s">
        <v>181</v>
      </c>
      <c r="AZ50" s="132" t="s">
        <v>182</v>
      </c>
      <c r="BA50" s="115" t="s">
        <v>63</v>
      </c>
      <c r="BC50" s="131">
        <f t="shared" ref="BC50:BC59" si="63">AW50+AX50</f>
        <v>0</v>
      </c>
      <c r="BD50" s="131">
        <f t="shared" ref="BD50:BD59" si="64">G50/(100-BE50)*100</f>
        <v>0</v>
      </c>
      <c r="BE50" s="131">
        <v>0</v>
      </c>
      <c r="BF50" s="131">
        <f>50</f>
        <v>50</v>
      </c>
      <c r="BH50" s="131">
        <f t="shared" ref="BH50:BH59" si="65">F50*AO50</f>
        <v>0</v>
      </c>
      <c r="BI50" s="131">
        <f t="shared" ref="BI50:BI59" si="66">F50*AP50</f>
        <v>0</v>
      </c>
      <c r="BJ50" s="131">
        <f t="shared" ref="BJ50:BJ59" si="67">F50*G50</f>
        <v>0</v>
      </c>
      <c r="BK50" s="131"/>
      <c r="BL50" s="131">
        <v>56</v>
      </c>
      <c r="BW50" s="131">
        <v>21</v>
      </c>
      <c r="BX50" s="133" t="s">
        <v>625</v>
      </c>
    </row>
    <row r="51" spans="1:76" x14ac:dyDescent="0.25">
      <c r="A51" s="127" t="s">
        <v>169</v>
      </c>
      <c r="B51" s="128" t="s">
        <v>187</v>
      </c>
      <c r="C51" s="277" t="s">
        <v>626</v>
      </c>
      <c r="D51" s="278"/>
      <c r="E51" s="128" t="s">
        <v>59</v>
      </c>
      <c r="F51" s="129">
        <v>92.6</v>
      </c>
      <c r="G51" s="178">
        <v>0</v>
      </c>
      <c r="H51" s="129">
        <f t="shared" si="46"/>
        <v>0</v>
      </c>
      <c r="I51" s="129">
        <f t="shared" si="47"/>
        <v>0</v>
      </c>
      <c r="J51" s="129">
        <f t="shared" si="48"/>
        <v>0</v>
      </c>
      <c r="K51" s="130" t="s">
        <v>60</v>
      </c>
      <c r="Z51" s="131">
        <f t="shared" si="49"/>
        <v>0</v>
      </c>
      <c r="AB51" s="131">
        <f t="shared" si="50"/>
        <v>0</v>
      </c>
      <c r="AC51" s="131">
        <f t="shared" si="51"/>
        <v>0</v>
      </c>
      <c r="AD51" s="131">
        <f t="shared" si="52"/>
        <v>0</v>
      </c>
      <c r="AE51" s="131">
        <f t="shared" si="53"/>
        <v>0</v>
      </c>
      <c r="AF51" s="131">
        <f t="shared" si="54"/>
        <v>0</v>
      </c>
      <c r="AG51" s="131">
        <f t="shared" si="55"/>
        <v>0</v>
      </c>
      <c r="AH51" s="131">
        <f t="shared" si="56"/>
        <v>0</v>
      </c>
      <c r="AI51" s="115" t="s">
        <v>53</v>
      </c>
      <c r="AJ51" s="131">
        <f t="shared" si="57"/>
        <v>0</v>
      </c>
      <c r="AK51" s="131">
        <f t="shared" si="58"/>
        <v>0</v>
      </c>
      <c r="AL51" s="131">
        <f t="shared" si="59"/>
        <v>0</v>
      </c>
      <c r="AN51" s="131">
        <v>21</v>
      </c>
      <c r="AO51" s="131">
        <f>G51*0.801143213</f>
        <v>0</v>
      </c>
      <c r="AP51" s="131">
        <f>G51*(1-0.801143213)</f>
        <v>0</v>
      </c>
      <c r="AQ51" s="132" t="s">
        <v>56</v>
      </c>
      <c r="AV51" s="131">
        <f t="shared" si="60"/>
        <v>0</v>
      </c>
      <c r="AW51" s="131">
        <f t="shared" si="61"/>
        <v>0</v>
      </c>
      <c r="AX51" s="131">
        <f t="shared" si="62"/>
        <v>0</v>
      </c>
      <c r="AY51" s="132" t="s">
        <v>181</v>
      </c>
      <c r="AZ51" s="132" t="s">
        <v>182</v>
      </c>
      <c r="BA51" s="115" t="s">
        <v>63</v>
      </c>
      <c r="BC51" s="131">
        <f t="shared" si="63"/>
        <v>0</v>
      </c>
      <c r="BD51" s="131">
        <f t="shared" si="64"/>
        <v>0</v>
      </c>
      <c r="BE51" s="131">
        <v>0</v>
      </c>
      <c r="BF51" s="131">
        <f>51</f>
        <v>51</v>
      </c>
      <c r="BH51" s="131">
        <f t="shared" si="65"/>
        <v>0</v>
      </c>
      <c r="BI51" s="131">
        <f t="shared" si="66"/>
        <v>0</v>
      </c>
      <c r="BJ51" s="131">
        <f t="shared" si="67"/>
        <v>0</v>
      </c>
      <c r="BK51" s="131"/>
      <c r="BL51" s="131">
        <v>56</v>
      </c>
      <c r="BW51" s="131">
        <v>21</v>
      </c>
      <c r="BX51" s="133" t="s">
        <v>626</v>
      </c>
    </row>
    <row r="52" spans="1:76" x14ac:dyDescent="0.25">
      <c r="A52" s="127" t="s">
        <v>174</v>
      </c>
      <c r="B52" s="128" t="s">
        <v>179</v>
      </c>
      <c r="C52" s="277" t="s">
        <v>548</v>
      </c>
      <c r="D52" s="278"/>
      <c r="E52" s="128" t="s">
        <v>59</v>
      </c>
      <c r="F52" s="129">
        <v>221.67</v>
      </c>
      <c r="G52" s="178">
        <v>0</v>
      </c>
      <c r="H52" s="129">
        <f t="shared" si="46"/>
        <v>0</v>
      </c>
      <c r="I52" s="129">
        <f t="shared" si="47"/>
        <v>0</v>
      </c>
      <c r="J52" s="129">
        <f t="shared" si="48"/>
        <v>0</v>
      </c>
      <c r="K52" s="130" t="s">
        <v>60</v>
      </c>
      <c r="Z52" s="131">
        <f t="shared" si="49"/>
        <v>0</v>
      </c>
      <c r="AB52" s="131">
        <f t="shared" si="50"/>
        <v>0</v>
      </c>
      <c r="AC52" s="131">
        <f t="shared" si="51"/>
        <v>0</v>
      </c>
      <c r="AD52" s="131">
        <f t="shared" si="52"/>
        <v>0</v>
      </c>
      <c r="AE52" s="131">
        <f t="shared" si="53"/>
        <v>0</v>
      </c>
      <c r="AF52" s="131">
        <f t="shared" si="54"/>
        <v>0</v>
      </c>
      <c r="AG52" s="131">
        <f t="shared" si="55"/>
        <v>0</v>
      </c>
      <c r="AH52" s="131">
        <f t="shared" si="56"/>
        <v>0</v>
      </c>
      <c r="AI52" s="115" t="s">
        <v>53</v>
      </c>
      <c r="AJ52" s="131">
        <f t="shared" si="57"/>
        <v>0</v>
      </c>
      <c r="AK52" s="131">
        <f t="shared" si="58"/>
        <v>0</v>
      </c>
      <c r="AL52" s="131">
        <f t="shared" si="59"/>
        <v>0</v>
      </c>
      <c r="AN52" s="131">
        <v>21</v>
      </c>
      <c r="AO52" s="131">
        <f>G52*0.678511408</f>
        <v>0</v>
      </c>
      <c r="AP52" s="131">
        <f>G52*(1-0.678511408)</f>
        <v>0</v>
      </c>
      <c r="AQ52" s="132" t="s">
        <v>56</v>
      </c>
      <c r="AV52" s="131">
        <f t="shared" si="60"/>
        <v>0</v>
      </c>
      <c r="AW52" s="131">
        <f t="shared" si="61"/>
        <v>0</v>
      </c>
      <c r="AX52" s="131">
        <f t="shared" si="62"/>
        <v>0</v>
      </c>
      <c r="AY52" s="132" t="s">
        <v>181</v>
      </c>
      <c r="AZ52" s="132" t="s">
        <v>182</v>
      </c>
      <c r="BA52" s="115" t="s">
        <v>63</v>
      </c>
      <c r="BC52" s="131">
        <f t="shared" si="63"/>
        <v>0</v>
      </c>
      <c r="BD52" s="131">
        <f t="shared" si="64"/>
        <v>0</v>
      </c>
      <c r="BE52" s="131">
        <v>0</v>
      </c>
      <c r="BF52" s="131">
        <f>52</f>
        <v>52</v>
      </c>
      <c r="BH52" s="131">
        <f t="shared" si="65"/>
        <v>0</v>
      </c>
      <c r="BI52" s="131">
        <f t="shared" si="66"/>
        <v>0</v>
      </c>
      <c r="BJ52" s="131">
        <f t="shared" si="67"/>
        <v>0</v>
      </c>
      <c r="BK52" s="131"/>
      <c r="BL52" s="131">
        <v>56</v>
      </c>
      <c r="BW52" s="131">
        <v>21</v>
      </c>
      <c r="BX52" s="133" t="s">
        <v>548</v>
      </c>
    </row>
    <row r="53" spans="1:76" x14ac:dyDescent="0.25">
      <c r="A53" s="127" t="s">
        <v>148</v>
      </c>
      <c r="B53" s="128" t="s">
        <v>187</v>
      </c>
      <c r="C53" s="277" t="s">
        <v>627</v>
      </c>
      <c r="D53" s="278"/>
      <c r="E53" s="128" t="s">
        <v>59</v>
      </c>
      <c r="F53" s="129">
        <v>111.12</v>
      </c>
      <c r="G53" s="178">
        <v>0</v>
      </c>
      <c r="H53" s="129">
        <f t="shared" si="46"/>
        <v>0</v>
      </c>
      <c r="I53" s="129">
        <f t="shared" si="47"/>
        <v>0</v>
      </c>
      <c r="J53" s="129">
        <f t="shared" si="48"/>
        <v>0</v>
      </c>
      <c r="K53" s="130" t="s">
        <v>60</v>
      </c>
      <c r="Z53" s="131">
        <f t="shared" si="49"/>
        <v>0</v>
      </c>
      <c r="AB53" s="131">
        <f t="shared" si="50"/>
        <v>0</v>
      </c>
      <c r="AC53" s="131">
        <f t="shared" si="51"/>
        <v>0</v>
      </c>
      <c r="AD53" s="131">
        <f t="shared" si="52"/>
        <v>0</v>
      </c>
      <c r="AE53" s="131">
        <f t="shared" si="53"/>
        <v>0</v>
      </c>
      <c r="AF53" s="131">
        <f t="shared" si="54"/>
        <v>0</v>
      </c>
      <c r="AG53" s="131">
        <f t="shared" si="55"/>
        <v>0</v>
      </c>
      <c r="AH53" s="131">
        <f t="shared" si="56"/>
        <v>0</v>
      </c>
      <c r="AI53" s="115" t="s">
        <v>53</v>
      </c>
      <c r="AJ53" s="131">
        <f t="shared" si="57"/>
        <v>0</v>
      </c>
      <c r="AK53" s="131">
        <f t="shared" si="58"/>
        <v>0</v>
      </c>
      <c r="AL53" s="131">
        <f t="shared" si="59"/>
        <v>0</v>
      </c>
      <c r="AN53" s="131">
        <v>21</v>
      </c>
      <c r="AO53" s="131">
        <f>G53*0.801142879</f>
        <v>0</v>
      </c>
      <c r="AP53" s="131">
        <f>G53*(1-0.801142879)</f>
        <v>0</v>
      </c>
      <c r="AQ53" s="132" t="s">
        <v>56</v>
      </c>
      <c r="AV53" s="131">
        <f t="shared" si="60"/>
        <v>0</v>
      </c>
      <c r="AW53" s="131">
        <f t="shared" si="61"/>
        <v>0</v>
      </c>
      <c r="AX53" s="131">
        <f t="shared" si="62"/>
        <v>0</v>
      </c>
      <c r="AY53" s="132" t="s">
        <v>181</v>
      </c>
      <c r="AZ53" s="132" t="s">
        <v>182</v>
      </c>
      <c r="BA53" s="115" t="s">
        <v>63</v>
      </c>
      <c r="BC53" s="131">
        <f t="shared" si="63"/>
        <v>0</v>
      </c>
      <c r="BD53" s="131">
        <f t="shared" si="64"/>
        <v>0</v>
      </c>
      <c r="BE53" s="131">
        <v>0</v>
      </c>
      <c r="BF53" s="131">
        <f>53</f>
        <v>53</v>
      </c>
      <c r="BH53" s="131">
        <f t="shared" si="65"/>
        <v>0</v>
      </c>
      <c r="BI53" s="131">
        <f t="shared" si="66"/>
        <v>0</v>
      </c>
      <c r="BJ53" s="131">
        <f t="shared" si="67"/>
        <v>0</v>
      </c>
      <c r="BK53" s="131"/>
      <c r="BL53" s="131">
        <v>56</v>
      </c>
      <c r="BW53" s="131">
        <v>21</v>
      </c>
      <c r="BX53" s="133" t="s">
        <v>627</v>
      </c>
    </row>
    <row r="54" spans="1:76" x14ac:dyDescent="0.25">
      <c r="A54" s="127" t="s">
        <v>183</v>
      </c>
      <c r="B54" s="128" t="s">
        <v>184</v>
      </c>
      <c r="C54" s="277" t="s">
        <v>549</v>
      </c>
      <c r="D54" s="278"/>
      <c r="E54" s="128" t="s">
        <v>59</v>
      </c>
      <c r="F54" s="129">
        <v>100.98</v>
      </c>
      <c r="G54" s="178">
        <v>0</v>
      </c>
      <c r="H54" s="129">
        <f t="shared" si="46"/>
        <v>0</v>
      </c>
      <c r="I54" s="129">
        <f t="shared" si="47"/>
        <v>0</v>
      </c>
      <c r="J54" s="129">
        <f t="shared" si="48"/>
        <v>0</v>
      </c>
      <c r="K54" s="130" t="s">
        <v>60</v>
      </c>
      <c r="Z54" s="131">
        <f t="shared" si="49"/>
        <v>0</v>
      </c>
      <c r="AB54" s="131">
        <f t="shared" si="50"/>
        <v>0</v>
      </c>
      <c r="AC54" s="131">
        <f t="shared" si="51"/>
        <v>0</v>
      </c>
      <c r="AD54" s="131">
        <f t="shared" si="52"/>
        <v>0</v>
      </c>
      <c r="AE54" s="131">
        <f t="shared" si="53"/>
        <v>0</v>
      </c>
      <c r="AF54" s="131">
        <f t="shared" si="54"/>
        <v>0</v>
      </c>
      <c r="AG54" s="131">
        <f t="shared" si="55"/>
        <v>0</v>
      </c>
      <c r="AH54" s="131">
        <f t="shared" si="56"/>
        <v>0</v>
      </c>
      <c r="AI54" s="115" t="s">
        <v>53</v>
      </c>
      <c r="AJ54" s="131">
        <f t="shared" si="57"/>
        <v>0</v>
      </c>
      <c r="AK54" s="131">
        <f t="shared" si="58"/>
        <v>0</v>
      </c>
      <c r="AL54" s="131">
        <f t="shared" si="59"/>
        <v>0</v>
      </c>
      <c r="AN54" s="131">
        <v>21</v>
      </c>
      <c r="AO54" s="131">
        <f>G54*0.876124019</f>
        <v>0</v>
      </c>
      <c r="AP54" s="131">
        <f>G54*(1-0.876124019)</f>
        <v>0</v>
      </c>
      <c r="AQ54" s="132" t="s">
        <v>56</v>
      </c>
      <c r="AV54" s="131">
        <f t="shared" si="60"/>
        <v>0</v>
      </c>
      <c r="AW54" s="131">
        <f t="shared" si="61"/>
        <v>0</v>
      </c>
      <c r="AX54" s="131">
        <f t="shared" si="62"/>
        <v>0</v>
      </c>
      <c r="AY54" s="132" t="s">
        <v>181</v>
      </c>
      <c r="AZ54" s="132" t="s">
        <v>182</v>
      </c>
      <c r="BA54" s="115" t="s">
        <v>63</v>
      </c>
      <c r="BC54" s="131">
        <f t="shared" si="63"/>
        <v>0</v>
      </c>
      <c r="BD54" s="131">
        <f t="shared" si="64"/>
        <v>0</v>
      </c>
      <c r="BE54" s="131">
        <v>0</v>
      </c>
      <c r="BF54" s="131">
        <f>54</f>
        <v>54</v>
      </c>
      <c r="BH54" s="131">
        <f t="shared" si="65"/>
        <v>0</v>
      </c>
      <c r="BI54" s="131">
        <f t="shared" si="66"/>
        <v>0</v>
      </c>
      <c r="BJ54" s="131">
        <f t="shared" si="67"/>
        <v>0</v>
      </c>
      <c r="BK54" s="131"/>
      <c r="BL54" s="131">
        <v>56</v>
      </c>
      <c r="BW54" s="131">
        <v>21</v>
      </c>
      <c r="BX54" s="133" t="s">
        <v>549</v>
      </c>
    </row>
    <row r="55" spans="1:76" x14ac:dyDescent="0.25">
      <c r="A55" s="127" t="s">
        <v>186</v>
      </c>
      <c r="B55" s="128" t="s">
        <v>187</v>
      </c>
      <c r="C55" s="277" t="s">
        <v>550</v>
      </c>
      <c r="D55" s="278"/>
      <c r="E55" s="128" t="s">
        <v>59</v>
      </c>
      <c r="F55" s="129">
        <v>110.16</v>
      </c>
      <c r="G55" s="178">
        <v>0</v>
      </c>
      <c r="H55" s="129">
        <f t="shared" si="46"/>
        <v>0</v>
      </c>
      <c r="I55" s="129">
        <f t="shared" si="47"/>
        <v>0</v>
      </c>
      <c r="J55" s="129">
        <f t="shared" si="48"/>
        <v>0</v>
      </c>
      <c r="K55" s="130" t="s">
        <v>60</v>
      </c>
      <c r="Z55" s="131">
        <f t="shared" si="49"/>
        <v>0</v>
      </c>
      <c r="AB55" s="131">
        <f t="shared" si="50"/>
        <v>0</v>
      </c>
      <c r="AC55" s="131">
        <f t="shared" si="51"/>
        <v>0</v>
      </c>
      <c r="AD55" s="131">
        <f t="shared" si="52"/>
        <v>0</v>
      </c>
      <c r="AE55" s="131">
        <f t="shared" si="53"/>
        <v>0</v>
      </c>
      <c r="AF55" s="131">
        <f t="shared" si="54"/>
        <v>0</v>
      </c>
      <c r="AG55" s="131">
        <f t="shared" si="55"/>
        <v>0</v>
      </c>
      <c r="AH55" s="131">
        <f t="shared" si="56"/>
        <v>0</v>
      </c>
      <c r="AI55" s="115" t="s">
        <v>53</v>
      </c>
      <c r="AJ55" s="131">
        <f t="shared" si="57"/>
        <v>0</v>
      </c>
      <c r="AK55" s="131">
        <f t="shared" si="58"/>
        <v>0</v>
      </c>
      <c r="AL55" s="131">
        <f t="shared" si="59"/>
        <v>0</v>
      </c>
      <c r="AN55" s="131">
        <v>21</v>
      </c>
      <c r="AO55" s="131">
        <f>G55*0.801142856</f>
        <v>0</v>
      </c>
      <c r="AP55" s="131">
        <f>G55*(1-0.801142856)</f>
        <v>0</v>
      </c>
      <c r="AQ55" s="132" t="s">
        <v>56</v>
      </c>
      <c r="AV55" s="131">
        <f t="shared" si="60"/>
        <v>0</v>
      </c>
      <c r="AW55" s="131">
        <f t="shared" si="61"/>
        <v>0</v>
      </c>
      <c r="AX55" s="131">
        <f t="shared" si="62"/>
        <v>0</v>
      </c>
      <c r="AY55" s="132" t="s">
        <v>181</v>
      </c>
      <c r="AZ55" s="132" t="s">
        <v>182</v>
      </c>
      <c r="BA55" s="115" t="s">
        <v>63</v>
      </c>
      <c r="BC55" s="131">
        <f t="shared" si="63"/>
        <v>0</v>
      </c>
      <c r="BD55" s="131">
        <f t="shared" si="64"/>
        <v>0</v>
      </c>
      <c r="BE55" s="131">
        <v>0</v>
      </c>
      <c r="BF55" s="131">
        <f>55</f>
        <v>55</v>
      </c>
      <c r="BH55" s="131">
        <f t="shared" si="65"/>
        <v>0</v>
      </c>
      <c r="BI55" s="131">
        <f t="shared" si="66"/>
        <v>0</v>
      </c>
      <c r="BJ55" s="131">
        <f t="shared" si="67"/>
        <v>0</v>
      </c>
      <c r="BK55" s="131"/>
      <c r="BL55" s="131">
        <v>56</v>
      </c>
      <c r="BW55" s="131">
        <v>21</v>
      </c>
      <c r="BX55" s="133" t="s">
        <v>550</v>
      </c>
    </row>
    <row r="56" spans="1:76" x14ac:dyDescent="0.25">
      <c r="A56" s="127" t="s">
        <v>189</v>
      </c>
      <c r="B56" s="128" t="s">
        <v>187</v>
      </c>
      <c r="C56" s="277" t="s">
        <v>551</v>
      </c>
      <c r="D56" s="278"/>
      <c r="E56" s="128" t="s">
        <v>59</v>
      </c>
      <c r="F56" s="129">
        <v>82.62</v>
      </c>
      <c r="G56" s="178">
        <v>0</v>
      </c>
      <c r="H56" s="129">
        <f t="shared" si="46"/>
        <v>0</v>
      </c>
      <c r="I56" s="129">
        <f t="shared" si="47"/>
        <v>0</v>
      </c>
      <c r="J56" s="129">
        <f t="shared" si="48"/>
        <v>0</v>
      </c>
      <c r="K56" s="130" t="s">
        <v>60</v>
      </c>
      <c r="Z56" s="131">
        <f t="shared" si="49"/>
        <v>0</v>
      </c>
      <c r="AB56" s="131">
        <f t="shared" si="50"/>
        <v>0</v>
      </c>
      <c r="AC56" s="131">
        <f t="shared" si="51"/>
        <v>0</v>
      </c>
      <c r="AD56" s="131">
        <f t="shared" si="52"/>
        <v>0</v>
      </c>
      <c r="AE56" s="131">
        <f t="shared" si="53"/>
        <v>0</v>
      </c>
      <c r="AF56" s="131">
        <f t="shared" si="54"/>
        <v>0</v>
      </c>
      <c r="AG56" s="131">
        <f t="shared" si="55"/>
        <v>0</v>
      </c>
      <c r="AH56" s="131">
        <f t="shared" si="56"/>
        <v>0</v>
      </c>
      <c r="AI56" s="115" t="s">
        <v>53</v>
      </c>
      <c r="AJ56" s="131">
        <f t="shared" si="57"/>
        <v>0</v>
      </c>
      <c r="AK56" s="131">
        <f t="shared" si="58"/>
        <v>0</v>
      </c>
      <c r="AL56" s="131">
        <f t="shared" si="59"/>
        <v>0</v>
      </c>
      <c r="AN56" s="131">
        <v>21</v>
      </c>
      <c r="AO56" s="131">
        <f>G56*0.80114323</f>
        <v>0</v>
      </c>
      <c r="AP56" s="131">
        <f>G56*(1-0.80114323)</f>
        <v>0</v>
      </c>
      <c r="AQ56" s="132" t="s">
        <v>56</v>
      </c>
      <c r="AV56" s="131">
        <f t="shared" si="60"/>
        <v>0</v>
      </c>
      <c r="AW56" s="131">
        <f t="shared" si="61"/>
        <v>0</v>
      </c>
      <c r="AX56" s="131">
        <f t="shared" si="62"/>
        <v>0</v>
      </c>
      <c r="AY56" s="132" t="s">
        <v>181</v>
      </c>
      <c r="AZ56" s="132" t="s">
        <v>182</v>
      </c>
      <c r="BA56" s="115" t="s">
        <v>63</v>
      </c>
      <c r="BC56" s="131">
        <f t="shared" si="63"/>
        <v>0</v>
      </c>
      <c r="BD56" s="131">
        <f t="shared" si="64"/>
        <v>0</v>
      </c>
      <c r="BE56" s="131">
        <v>0</v>
      </c>
      <c r="BF56" s="131">
        <f>56</f>
        <v>56</v>
      </c>
      <c r="BH56" s="131">
        <f t="shared" si="65"/>
        <v>0</v>
      </c>
      <c r="BI56" s="131">
        <f t="shared" si="66"/>
        <v>0</v>
      </c>
      <c r="BJ56" s="131">
        <f t="shared" si="67"/>
        <v>0</v>
      </c>
      <c r="BK56" s="131"/>
      <c r="BL56" s="131">
        <v>56</v>
      </c>
      <c r="BW56" s="131">
        <v>21</v>
      </c>
      <c r="BX56" s="133" t="s">
        <v>551</v>
      </c>
    </row>
    <row r="57" spans="1:76" x14ac:dyDescent="0.25">
      <c r="A57" s="127" t="s">
        <v>191</v>
      </c>
      <c r="B57" s="128" t="s">
        <v>192</v>
      </c>
      <c r="C57" s="277" t="s">
        <v>552</v>
      </c>
      <c r="D57" s="278"/>
      <c r="E57" s="128" t="s">
        <v>59</v>
      </c>
      <c r="F57" s="129">
        <v>139.05000000000001</v>
      </c>
      <c r="G57" s="178">
        <v>0</v>
      </c>
      <c r="H57" s="129">
        <f t="shared" si="46"/>
        <v>0</v>
      </c>
      <c r="I57" s="129">
        <f t="shared" si="47"/>
        <v>0</v>
      </c>
      <c r="J57" s="129">
        <f t="shared" si="48"/>
        <v>0</v>
      </c>
      <c r="K57" s="130" t="s">
        <v>60</v>
      </c>
      <c r="Z57" s="131">
        <f t="shared" si="49"/>
        <v>0</v>
      </c>
      <c r="AB57" s="131">
        <f t="shared" si="50"/>
        <v>0</v>
      </c>
      <c r="AC57" s="131">
        <f t="shared" si="51"/>
        <v>0</v>
      </c>
      <c r="AD57" s="131">
        <f t="shared" si="52"/>
        <v>0</v>
      </c>
      <c r="AE57" s="131">
        <f t="shared" si="53"/>
        <v>0</v>
      </c>
      <c r="AF57" s="131">
        <f t="shared" si="54"/>
        <v>0</v>
      </c>
      <c r="AG57" s="131">
        <f t="shared" si="55"/>
        <v>0</v>
      </c>
      <c r="AH57" s="131">
        <f t="shared" si="56"/>
        <v>0</v>
      </c>
      <c r="AI57" s="115" t="s">
        <v>53</v>
      </c>
      <c r="AJ57" s="131">
        <f t="shared" si="57"/>
        <v>0</v>
      </c>
      <c r="AK57" s="131">
        <f t="shared" si="58"/>
        <v>0</v>
      </c>
      <c r="AL57" s="131">
        <f t="shared" si="59"/>
        <v>0</v>
      </c>
      <c r="AN57" s="131">
        <v>21</v>
      </c>
      <c r="AO57" s="131">
        <f>G57*0.854845234</f>
        <v>0</v>
      </c>
      <c r="AP57" s="131">
        <f>G57*(1-0.854845234)</f>
        <v>0</v>
      </c>
      <c r="AQ57" s="132" t="s">
        <v>56</v>
      </c>
      <c r="AV57" s="131">
        <f t="shared" si="60"/>
        <v>0</v>
      </c>
      <c r="AW57" s="131">
        <f t="shared" si="61"/>
        <v>0</v>
      </c>
      <c r="AX57" s="131">
        <f t="shared" si="62"/>
        <v>0</v>
      </c>
      <c r="AY57" s="132" t="s">
        <v>181</v>
      </c>
      <c r="AZ57" s="132" t="s">
        <v>182</v>
      </c>
      <c r="BA57" s="115" t="s">
        <v>63</v>
      </c>
      <c r="BC57" s="131">
        <f t="shared" si="63"/>
        <v>0</v>
      </c>
      <c r="BD57" s="131">
        <f t="shared" si="64"/>
        <v>0</v>
      </c>
      <c r="BE57" s="131">
        <v>0</v>
      </c>
      <c r="BF57" s="131">
        <f>57</f>
        <v>57</v>
      </c>
      <c r="BH57" s="131">
        <f t="shared" si="65"/>
        <v>0</v>
      </c>
      <c r="BI57" s="131">
        <f t="shared" si="66"/>
        <v>0</v>
      </c>
      <c r="BJ57" s="131">
        <f t="shared" si="67"/>
        <v>0</v>
      </c>
      <c r="BK57" s="131"/>
      <c r="BL57" s="131">
        <v>56</v>
      </c>
      <c r="BW57" s="131">
        <v>21</v>
      </c>
      <c r="BX57" s="133" t="s">
        <v>552</v>
      </c>
    </row>
    <row r="58" spans="1:76" x14ac:dyDescent="0.25">
      <c r="A58" s="134" t="s">
        <v>194</v>
      </c>
      <c r="B58" s="135" t="s">
        <v>628</v>
      </c>
      <c r="C58" s="270" t="s">
        <v>629</v>
      </c>
      <c r="D58" s="271"/>
      <c r="E58" s="135" t="s">
        <v>59</v>
      </c>
      <c r="F58" s="131">
        <v>92.6</v>
      </c>
      <c r="G58" s="179">
        <v>0</v>
      </c>
      <c r="H58" s="131">
        <f t="shared" si="46"/>
        <v>0</v>
      </c>
      <c r="I58" s="131">
        <f t="shared" si="47"/>
        <v>0</v>
      </c>
      <c r="J58" s="131">
        <f t="shared" si="48"/>
        <v>0</v>
      </c>
      <c r="K58" s="136" t="s">
        <v>60</v>
      </c>
      <c r="Z58" s="131">
        <f t="shared" si="49"/>
        <v>0</v>
      </c>
      <c r="AB58" s="131">
        <f t="shared" si="50"/>
        <v>0</v>
      </c>
      <c r="AC58" s="131">
        <f t="shared" si="51"/>
        <v>0</v>
      </c>
      <c r="AD58" s="131">
        <f t="shared" si="52"/>
        <v>0</v>
      </c>
      <c r="AE58" s="131">
        <f t="shared" si="53"/>
        <v>0</v>
      </c>
      <c r="AF58" s="131">
        <f t="shared" si="54"/>
        <v>0</v>
      </c>
      <c r="AG58" s="131">
        <f t="shared" si="55"/>
        <v>0</v>
      </c>
      <c r="AH58" s="131">
        <f t="shared" si="56"/>
        <v>0</v>
      </c>
      <c r="AI58" s="115" t="s">
        <v>53</v>
      </c>
      <c r="AJ58" s="131">
        <f t="shared" si="57"/>
        <v>0</v>
      </c>
      <c r="AK58" s="131">
        <f t="shared" si="58"/>
        <v>0</v>
      </c>
      <c r="AL58" s="131">
        <f t="shared" si="59"/>
        <v>0</v>
      </c>
      <c r="AN58" s="131">
        <v>21</v>
      </c>
      <c r="AO58" s="131">
        <f>G58*0.871967871</f>
        <v>0</v>
      </c>
      <c r="AP58" s="131">
        <f>G58*(1-0.871967871)</f>
        <v>0</v>
      </c>
      <c r="AQ58" s="132" t="s">
        <v>56</v>
      </c>
      <c r="AV58" s="131">
        <f t="shared" si="60"/>
        <v>0</v>
      </c>
      <c r="AW58" s="131">
        <f t="shared" si="61"/>
        <v>0</v>
      </c>
      <c r="AX58" s="131">
        <f t="shared" si="62"/>
        <v>0</v>
      </c>
      <c r="AY58" s="132" t="s">
        <v>181</v>
      </c>
      <c r="AZ58" s="132" t="s">
        <v>182</v>
      </c>
      <c r="BA58" s="115" t="s">
        <v>63</v>
      </c>
      <c r="BC58" s="131">
        <f t="shared" si="63"/>
        <v>0</v>
      </c>
      <c r="BD58" s="131">
        <f t="shared" si="64"/>
        <v>0</v>
      </c>
      <c r="BE58" s="131">
        <v>0</v>
      </c>
      <c r="BF58" s="131">
        <f>58</f>
        <v>58</v>
      </c>
      <c r="BH58" s="131">
        <f t="shared" si="65"/>
        <v>0</v>
      </c>
      <c r="BI58" s="131">
        <f t="shared" si="66"/>
        <v>0</v>
      </c>
      <c r="BJ58" s="131">
        <f t="shared" si="67"/>
        <v>0</v>
      </c>
      <c r="BK58" s="131"/>
      <c r="BL58" s="131">
        <v>56</v>
      </c>
      <c r="BW58" s="131">
        <v>21</v>
      </c>
      <c r="BX58" s="133" t="s">
        <v>629</v>
      </c>
    </row>
    <row r="59" spans="1:76" x14ac:dyDescent="0.25">
      <c r="A59" s="127" t="s">
        <v>197</v>
      </c>
      <c r="B59" s="128" t="s">
        <v>195</v>
      </c>
      <c r="C59" s="277" t="s">
        <v>196</v>
      </c>
      <c r="D59" s="278"/>
      <c r="E59" s="128" t="s">
        <v>59</v>
      </c>
      <c r="F59" s="129">
        <v>10</v>
      </c>
      <c r="G59" s="178">
        <v>0</v>
      </c>
      <c r="H59" s="129">
        <f t="shared" si="46"/>
        <v>0</v>
      </c>
      <c r="I59" s="129">
        <f t="shared" si="47"/>
        <v>0</v>
      </c>
      <c r="J59" s="129">
        <f t="shared" si="48"/>
        <v>0</v>
      </c>
      <c r="K59" s="130" t="s">
        <v>60</v>
      </c>
      <c r="Z59" s="131">
        <f t="shared" si="49"/>
        <v>0</v>
      </c>
      <c r="AB59" s="131">
        <f t="shared" si="50"/>
        <v>0</v>
      </c>
      <c r="AC59" s="131">
        <f t="shared" si="51"/>
        <v>0</v>
      </c>
      <c r="AD59" s="131">
        <f t="shared" si="52"/>
        <v>0</v>
      </c>
      <c r="AE59" s="131">
        <f t="shared" si="53"/>
        <v>0</v>
      </c>
      <c r="AF59" s="131">
        <f t="shared" si="54"/>
        <v>0</v>
      </c>
      <c r="AG59" s="131">
        <f t="shared" si="55"/>
        <v>0</v>
      </c>
      <c r="AH59" s="131">
        <f t="shared" si="56"/>
        <v>0</v>
      </c>
      <c r="AI59" s="115" t="s">
        <v>53</v>
      </c>
      <c r="AJ59" s="131">
        <f t="shared" si="57"/>
        <v>0</v>
      </c>
      <c r="AK59" s="131">
        <f t="shared" si="58"/>
        <v>0</v>
      </c>
      <c r="AL59" s="131">
        <f t="shared" si="59"/>
        <v>0</v>
      </c>
      <c r="AN59" s="131">
        <v>21</v>
      </c>
      <c r="AO59" s="131">
        <f>G59*0.768741722</f>
        <v>0</v>
      </c>
      <c r="AP59" s="131">
        <f>G59*(1-0.768741722)</f>
        <v>0</v>
      </c>
      <c r="AQ59" s="132" t="s">
        <v>56</v>
      </c>
      <c r="AV59" s="131">
        <f t="shared" si="60"/>
        <v>0</v>
      </c>
      <c r="AW59" s="131">
        <f t="shared" si="61"/>
        <v>0</v>
      </c>
      <c r="AX59" s="131">
        <f t="shared" si="62"/>
        <v>0</v>
      </c>
      <c r="AY59" s="132" t="s">
        <v>181</v>
      </c>
      <c r="AZ59" s="132" t="s">
        <v>182</v>
      </c>
      <c r="BA59" s="115" t="s">
        <v>63</v>
      </c>
      <c r="BC59" s="131">
        <f t="shared" si="63"/>
        <v>0</v>
      </c>
      <c r="BD59" s="131">
        <f t="shared" si="64"/>
        <v>0</v>
      </c>
      <c r="BE59" s="131">
        <v>0</v>
      </c>
      <c r="BF59" s="131">
        <f>59</f>
        <v>59</v>
      </c>
      <c r="BH59" s="131">
        <f t="shared" si="65"/>
        <v>0</v>
      </c>
      <c r="BI59" s="131">
        <f t="shared" si="66"/>
        <v>0</v>
      </c>
      <c r="BJ59" s="131">
        <f t="shared" si="67"/>
        <v>0</v>
      </c>
      <c r="BK59" s="131"/>
      <c r="BL59" s="131">
        <v>56</v>
      </c>
      <c r="BW59" s="131">
        <v>21</v>
      </c>
      <c r="BX59" s="133" t="s">
        <v>196</v>
      </c>
    </row>
    <row r="60" spans="1:76" x14ac:dyDescent="0.25">
      <c r="A60" s="123" t="s">
        <v>53</v>
      </c>
      <c r="B60" s="124" t="s">
        <v>206</v>
      </c>
      <c r="C60" s="272" t="s">
        <v>207</v>
      </c>
      <c r="D60" s="273"/>
      <c r="E60" s="125" t="s">
        <v>9</v>
      </c>
      <c r="F60" s="125" t="s">
        <v>9</v>
      </c>
      <c r="G60" s="125" t="s">
        <v>9</v>
      </c>
      <c r="H60" s="110">
        <f>SUM(H61:H63)</f>
        <v>0</v>
      </c>
      <c r="I60" s="110">
        <f>SUM(I61:I63)</f>
        <v>0</v>
      </c>
      <c r="J60" s="110">
        <f>SUM(J61:J63)</f>
        <v>0</v>
      </c>
      <c r="K60" s="126" t="s">
        <v>53</v>
      </c>
      <c r="AI60" s="115" t="s">
        <v>53</v>
      </c>
      <c r="AS60" s="110">
        <f>SUM(AJ61:AJ63)</f>
        <v>0</v>
      </c>
      <c r="AT60" s="110">
        <f>SUM(AK61:AK63)</f>
        <v>0</v>
      </c>
      <c r="AU60" s="110">
        <f>SUM(AL61:AL63)</f>
        <v>0</v>
      </c>
    </row>
    <row r="61" spans="1:76" x14ac:dyDescent="0.25">
      <c r="A61" s="127" t="s">
        <v>199</v>
      </c>
      <c r="B61" s="128" t="s">
        <v>213</v>
      </c>
      <c r="C61" s="277" t="s">
        <v>214</v>
      </c>
      <c r="D61" s="278"/>
      <c r="E61" s="128" t="s">
        <v>59</v>
      </c>
      <c r="F61" s="129">
        <v>92.6</v>
      </c>
      <c r="G61" s="178">
        <v>0</v>
      </c>
      <c r="H61" s="129">
        <f>F61*AO61</f>
        <v>0</v>
      </c>
      <c r="I61" s="129">
        <f>F61*AP61</f>
        <v>0</v>
      </c>
      <c r="J61" s="129">
        <f>F61*G61</f>
        <v>0</v>
      </c>
      <c r="K61" s="130" t="s">
        <v>60</v>
      </c>
      <c r="Z61" s="131">
        <f>IF(AQ61="5",BJ61,0)</f>
        <v>0</v>
      </c>
      <c r="AB61" s="131">
        <f>IF(AQ61="1",BH61,0)</f>
        <v>0</v>
      </c>
      <c r="AC61" s="131">
        <f>IF(AQ61="1",BI61,0)</f>
        <v>0</v>
      </c>
      <c r="AD61" s="131">
        <f>IF(AQ61="7",BH61,0)</f>
        <v>0</v>
      </c>
      <c r="AE61" s="131">
        <f>IF(AQ61="7",BI61,0)</f>
        <v>0</v>
      </c>
      <c r="AF61" s="131">
        <f>IF(AQ61="2",BH61,0)</f>
        <v>0</v>
      </c>
      <c r="AG61" s="131">
        <f>IF(AQ61="2",BI61,0)</f>
        <v>0</v>
      </c>
      <c r="AH61" s="131">
        <f>IF(AQ61="0",BJ61,0)</f>
        <v>0</v>
      </c>
      <c r="AI61" s="115" t="s">
        <v>53</v>
      </c>
      <c r="AJ61" s="131">
        <f>IF(AN61=0,J61,0)</f>
        <v>0</v>
      </c>
      <c r="AK61" s="131">
        <f>IF(AN61=12,J61,0)</f>
        <v>0</v>
      </c>
      <c r="AL61" s="131">
        <f>IF(AN61=21,J61,0)</f>
        <v>0</v>
      </c>
      <c r="AN61" s="131">
        <v>21</v>
      </c>
      <c r="AO61" s="131">
        <f>G61*0.910397112</f>
        <v>0</v>
      </c>
      <c r="AP61" s="131">
        <f>G61*(1-0.910397112)</f>
        <v>0</v>
      </c>
      <c r="AQ61" s="132" t="s">
        <v>56</v>
      </c>
      <c r="AV61" s="131">
        <f>AW61+AX61</f>
        <v>0</v>
      </c>
      <c r="AW61" s="131">
        <f>F61*AO61</f>
        <v>0</v>
      </c>
      <c r="AX61" s="131">
        <f>F61*AP61</f>
        <v>0</v>
      </c>
      <c r="AY61" s="132" t="s">
        <v>211</v>
      </c>
      <c r="AZ61" s="132" t="s">
        <v>182</v>
      </c>
      <c r="BA61" s="115" t="s">
        <v>63</v>
      </c>
      <c r="BC61" s="131">
        <f>AW61+AX61</f>
        <v>0</v>
      </c>
      <c r="BD61" s="131">
        <f>G61/(100-BE61)*100</f>
        <v>0</v>
      </c>
      <c r="BE61" s="131">
        <v>0</v>
      </c>
      <c r="BF61" s="131">
        <f>61</f>
        <v>61</v>
      </c>
      <c r="BH61" s="131">
        <f>F61*AO61</f>
        <v>0</v>
      </c>
      <c r="BI61" s="131">
        <f>F61*AP61</f>
        <v>0</v>
      </c>
      <c r="BJ61" s="131">
        <f>F61*G61</f>
        <v>0</v>
      </c>
      <c r="BK61" s="131"/>
      <c r="BL61" s="131">
        <v>57</v>
      </c>
      <c r="BW61" s="131">
        <v>21</v>
      </c>
      <c r="BX61" s="133" t="s">
        <v>214</v>
      </c>
    </row>
    <row r="62" spans="1:76" x14ac:dyDescent="0.25">
      <c r="A62" s="127" t="s">
        <v>201</v>
      </c>
      <c r="B62" s="128" t="s">
        <v>209</v>
      </c>
      <c r="C62" s="277" t="s">
        <v>210</v>
      </c>
      <c r="D62" s="278"/>
      <c r="E62" s="128" t="s">
        <v>59</v>
      </c>
      <c r="F62" s="129">
        <v>281.60000000000002</v>
      </c>
      <c r="G62" s="178">
        <v>0</v>
      </c>
      <c r="H62" s="129">
        <f>F62*AO62</f>
        <v>0</v>
      </c>
      <c r="I62" s="129">
        <f>F62*AP62</f>
        <v>0</v>
      </c>
      <c r="J62" s="129">
        <f>F62*G62</f>
        <v>0</v>
      </c>
      <c r="K62" s="130" t="s">
        <v>60</v>
      </c>
      <c r="Z62" s="131">
        <f>IF(AQ62="5",BJ62,0)</f>
        <v>0</v>
      </c>
      <c r="AB62" s="131">
        <f>IF(AQ62="1",BH62,0)</f>
        <v>0</v>
      </c>
      <c r="AC62" s="131">
        <f>IF(AQ62="1",BI62,0)</f>
        <v>0</v>
      </c>
      <c r="AD62" s="131">
        <f>IF(AQ62="7",BH62,0)</f>
        <v>0</v>
      </c>
      <c r="AE62" s="131">
        <f>IF(AQ62="7",BI62,0)</f>
        <v>0</v>
      </c>
      <c r="AF62" s="131">
        <f>IF(AQ62="2",BH62,0)</f>
        <v>0</v>
      </c>
      <c r="AG62" s="131">
        <f>IF(AQ62="2",BI62,0)</f>
        <v>0</v>
      </c>
      <c r="AH62" s="131">
        <f>IF(AQ62="0",BJ62,0)</f>
        <v>0</v>
      </c>
      <c r="AI62" s="115" t="s">
        <v>53</v>
      </c>
      <c r="AJ62" s="131">
        <f>IF(AN62=0,J62,0)</f>
        <v>0</v>
      </c>
      <c r="AK62" s="131">
        <f>IF(AN62=12,J62,0)</f>
        <v>0</v>
      </c>
      <c r="AL62" s="131">
        <f>IF(AN62=21,J62,0)</f>
        <v>0</v>
      </c>
      <c r="AN62" s="131">
        <v>21</v>
      </c>
      <c r="AO62" s="131">
        <f>G62*0.907666195</f>
        <v>0</v>
      </c>
      <c r="AP62" s="131">
        <f>G62*(1-0.907666195)</f>
        <v>0</v>
      </c>
      <c r="AQ62" s="132" t="s">
        <v>56</v>
      </c>
      <c r="AV62" s="131">
        <f>AW62+AX62</f>
        <v>0</v>
      </c>
      <c r="AW62" s="131">
        <f>F62*AO62</f>
        <v>0</v>
      </c>
      <c r="AX62" s="131">
        <f>F62*AP62</f>
        <v>0</v>
      </c>
      <c r="AY62" s="132" t="s">
        <v>211</v>
      </c>
      <c r="AZ62" s="132" t="s">
        <v>182</v>
      </c>
      <c r="BA62" s="115" t="s">
        <v>63</v>
      </c>
      <c r="BC62" s="131">
        <f>AW62+AX62</f>
        <v>0</v>
      </c>
      <c r="BD62" s="131">
        <f>G62/(100-BE62)*100</f>
        <v>0</v>
      </c>
      <c r="BE62" s="131">
        <v>0</v>
      </c>
      <c r="BF62" s="131">
        <f>62</f>
        <v>62</v>
      </c>
      <c r="BH62" s="131">
        <f>F62*AO62</f>
        <v>0</v>
      </c>
      <c r="BI62" s="131">
        <f>F62*AP62</f>
        <v>0</v>
      </c>
      <c r="BJ62" s="131">
        <f>F62*G62</f>
        <v>0</v>
      </c>
      <c r="BK62" s="131"/>
      <c r="BL62" s="131">
        <v>57</v>
      </c>
      <c r="BW62" s="131">
        <v>21</v>
      </c>
      <c r="BX62" s="133" t="s">
        <v>210</v>
      </c>
    </row>
    <row r="63" spans="1:76" x14ac:dyDescent="0.25">
      <c r="A63" s="134" t="s">
        <v>203</v>
      </c>
      <c r="B63" s="135" t="s">
        <v>630</v>
      </c>
      <c r="C63" s="270" t="s">
        <v>631</v>
      </c>
      <c r="D63" s="271"/>
      <c r="E63" s="135" t="s">
        <v>59</v>
      </c>
      <c r="F63" s="131">
        <v>192.78</v>
      </c>
      <c r="G63" s="179">
        <v>0</v>
      </c>
      <c r="H63" s="131">
        <f>F63*AO63</f>
        <v>0</v>
      </c>
      <c r="I63" s="131">
        <f>F63*AP63</f>
        <v>0</v>
      </c>
      <c r="J63" s="131">
        <f>F63*G63</f>
        <v>0</v>
      </c>
      <c r="K63" s="136" t="s">
        <v>60</v>
      </c>
      <c r="Z63" s="131">
        <f>IF(AQ63="5",BJ63,0)</f>
        <v>0</v>
      </c>
      <c r="AB63" s="131">
        <f>IF(AQ63="1",BH63,0)</f>
        <v>0</v>
      </c>
      <c r="AC63" s="131">
        <f>IF(AQ63="1",BI63,0)</f>
        <v>0</v>
      </c>
      <c r="AD63" s="131">
        <f>IF(AQ63="7",BH63,0)</f>
        <v>0</v>
      </c>
      <c r="AE63" s="131">
        <f>IF(AQ63="7",BI63,0)</f>
        <v>0</v>
      </c>
      <c r="AF63" s="131">
        <f>IF(AQ63="2",BH63,0)</f>
        <v>0</v>
      </c>
      <c r="AG63" s="131">
        <f>IF(AQ63="2",BI63,0)</f>
        <v>0</v>
      </c>
      <c r="AH63" s="131">
        <f>IF(AQ63="0",BJ63,0)</f>
        <v>0</v>
      </c>
      <c r="AI63" s="115" t="s">
        <v>53</v>
      </c>
      <c r="AJ63" s="131">
        <f>IF(AN63=0,J63,0)</f>
        <v>0</v>
      </c>
      <c r="AK63" s="131">
        <f>IF(AN63=12,J63,0)</f>
        <v>0</v>
      </c>
      <c r="AL63" s="131">
        <f>IF(AN63=21,J63,0)</f>
        <v>0</v>
      </c>
      <c r="AN63" s="131">
        <v>21</v>
      </c>
      <c r="AO63" s="131">
        <f>G63*0.882785384</f>
        <v>0</v>
      </c>
      <c r="AP63" s="131">
        <f>G63*(1-0.882785384)</f>
        <v>0</v>
      </c>
      <c r="AQ63" s="132" t="s">
        <v>56</v>
      </c>
      <c r="AV63" s="131">
        <f>AW63+AX63</f>
        <v>0</v>
      </c>
      <c r="AW63" s="131">
        <f>F63*AO63</f>
        <v>0</v>
      </c>
      <c r="AX63" s="131">
        <f>F63*AP63</f>
        <v>0</v>
      </c>
      <c r="AY63" s="132" t="s">
        <v>211</v>
      </c>
      <c r="AZ63" s="132" t="s">
        <v>182</v>
      </c>
      <c r="BA63" s="115" t="s">
        <v>63</v>
      </c>
      <c r="BC63" s="131">
        <f>AW63+AX63</f>
        <v>0</v>
      </c>
      <c r="BD63" s="131">
        <f>G63/(100-BE63)*100</f>
        <v>0</v>
      </c>
      <c r="BE63" s="131">
        <v>0</v>
      </c>
      <c r="BF63" s="131">
        <f>63</f>
        <v>63</v>
      </c>
      <c r="BH63" s="131">
        <f>F63*AO63</f>
        <v>0</v>
      </c>
      <c r="BI63" s="131">
        <f>F63*AP63</f>
        <v>0</v>
      </c>
      <c r="BJ63" s="131">
        <f>F63*G63</f>
        <v>0</v>
      </c>
      <c r="BK63" s="131"/>
      <c r="BL63" s="131">
        <v>57</v>
      </c>
      <c r="BW63" s="131">
        <v>21</v>
      </c>
      <c r="BX63" s="133" t="s">
        <v>631</v>
      </c>
    </row>
    <row r="64" spans="1:76" x14ac:dyDescent="0.25">
      <c r="A64" s="123" t="s">
        <v>53</v>
      </c>
      <c r="B64" s="124" t="s">
        <v>215</v>
      </c>
      <c r="C64" s="272" t="s">
        <v>216</v>
      </c>
      <c r="D64" s="273"/>
      <c r="E64" s="125" t="s">
        <v>9</v>
      </c>
      <c r="F64" s="125" t="s">
        <v>9</v>
      </c>
      <c r="G64" s="125" t="s">
        <v>9</v>
      </c>
      <c r="H64" s="110">
        <f>SUM(H65:H66)</f>
        <v>0</v>
      </c>
      <c r="I64" s="110">
        <f>SUM(I65:I66)</f>
        <v>0</v>
      </c>
      <c r="J64" s="110">
        <f>SUM(J65:J66)</f>
        <v>0</v>
      </c>
      <c r="K64" s="126" t="s">
        <v>53</v>
      </c>
      <c r="AI64" s="115" t="s">
        <v>53</v>
      </c>
      <c r="AS64" s="110">
        <f>SUM(AJ65:AJ66)</f>
        <v>0</v>
      </c>
      <c r="AT64" s="110">
        <f>SUM(AK65:AK66)</f>
        <v>0</v>
      </c>
      <c r="AU64" s="110">
        <f>SUM(AL65:AL66)</f>
        <v>0</v>
      </c>
    </row>
    <row r="65" spans="1:76" x14ac:dyDescent="0.25">
      <c r="A65" s="127" t="s">
        <v>208</v>
      </c>
      <c r="B65" s="128" t="s">
        <v>217</v>
      </c>
      <c r="C65" s="277" t="s">
        <v>218</v>
      </c>
      <c r="D65" s="278"/>
      <c r="E65" s="128" t="s">
        <v>59</v>
      </c>
      <c r="F65" s="129">
        <v>154.5</v>
      </c>
      <c r="G65" s="178">
        <v>0</v>
      </c>
      <c r="H65" s="129">
        <f>F65*AO65</f>
        <v>0</v>
      </c>
      <c r="I65" s="129">
        <f>F65*AP65</f>
        <v>0</v>
      </c>
      <c r="J65" s="129">
        <f>F65*G65</f>
        <v>0</v>
      </c>
      <c r="K65" s="130" t="s">
        <v>60</v>
      </c>
      <c r="Z65" s="131">
        <f>IF(AQ65="5",BJ65,0)</f>
        <v>0</v>
      </c>
      <c r="AB65" s="131">
        <f>IF(AQ65="1",BH65,0)</f>
        <v>0</v>
      </c>
      <c r="AC65" s="131">
        <f>IF(AQ65="1",BI65,0)</f>
        <v>0</v>
      </c>
      <c r="AD65" s="131">
        <f>IF(AQ65="7",BH65,0)</f>
        <v>0</v>
      </c>
      <c r="AE65" s="131">
        <f>IF(AQ65="7",BI65,0)</f>
        <v>0</v>
      </c>
      <c r="AF65" s="131">
        <f>IF(AQ65="2",BH65,0)</f>
        <v>0</v>
      </c>
      <c r="AG65" s="131">
        <f>IF(AQ65="2",BI65,0)</f>
        <v>0</v>
      </c>
      <c r="AH65" s="131">
        <f>IF(AQ65="0",BJ65,0)</f>
        <v>0</v>
      </c>
      <c r="AI65" s="115" t="s">
        <v>53</v>
      </c>
      <c r="AJ65" s="131">
        <f>IF(AN65=0,J65,0)</f>
        <v>0</v>
      </c>
      <c r="AK65" s="131">
        <f>IF(AN65=12,J65,0)</f>
        <v>0</v>
      </c>
      <c r="AL65" s="131">
        <f>IF(AN65=21,J65,0)</f>
        <v>0</v>
      </c>
      <c r="AN65" s="131">
        <v>21</v>
      </c>
      <c r="AO65" s="131">
        <f>G65*0.136006768</f>
        <v>0</v>
      </c>
      <c r="AP65" s="131">
        <f>G65*(1-0.136006768)</f>
        <v>0</v>
      </c>
      <c r="AQ65" s="132" t="s">
        <v>56</v>
      </c>
      <c r="AV65" s="131">
        <f>AW65+AX65</f>
        <v>0</v>
      </c>
      <c r="AW65" s="131">
        <f>F65*AO65</f>
        <v>0</v>
      </c>
      <c r="AX65" s="131">
        <f>F65*AP65</f>
        <v>0</v>
      </c>
      <c r="AY65" s="132" t="s">
        <v>219</v>
      </c>
      <c r="AZ65" s="132" t="s">
        <v>182</v>
      </c>
      <c r="BA65" s="115" t="s">
        <v>63</v>
      </c>
      <c r="BC65" s="131">
        <f>AW65+AX65</f>
        <v>0</v>
      </c>
      <c r="BD65" s="131">
        <f>G65/(100-BE65)*100</f>
        <v>0</v>
      </c>
      <c r="BE65" s="131">
        <v>0</v>
      </c>
      <c r="BF65" s="131">
        <f>65</f>
        <v>65</v>
      </c>
      <c r="BH65" s="131">
        <f>F65*AO65</f>
        <v>0</v>
      </c>
      <c r="BI65" s="131">
        <f>F65*AP65</f>
        <v>0</v>
      </c>
      <c r="BJ65" s="131">
        <f>F65*G65</f>
        <v>0</v>
      </c>
      <c r="BK65" s="131"/>
      <c r="BL65" s="131">
        <v>59</v>
      </c>
      <c r="BW65" s="131">
        <v>21</v>
      </c>
      <c r="BX65" s="133" t="s">
        <v>218</v>
      </c>
    </row>
    <row r="66" spans="1:76" x14ac:dyDescent="0.25">
      <c r="A66" s="127" t="s">
        <v>212</v>
      </c>
      <c r="B66" s="128" t="s">
        <v>221</v>
      </c>
      <c r="C66" s="277" t="s">
        <v>222</v>
      </c>
      <c r="D66" s="278"/>
      <c r="E66" s="128" t="s">
        <v>59</v>
      </c>
      <c r="F66" s="129">
        <v>91.8</v>
      </c>
      <c r="G66" s="178">
        <v>0</v>
      </c>
      <c r="H66" s="129">
        <f>F66*AO66</f>
        <v>0</v>
      </c>
      <c r="I66" s="129">
        <f>F66*AP66</f>
        <v>0</v>
      </c>
      <c r="J66" s="129">
        <f>F66*G66</f>
        <v>0</v>
      </c>
      <c r="K66" s="130" t="s">
        <v>60</v>
      </c>
      <c r="Z66" s="131">
        <f>IF(AQ66="5",BJ66,0)</f>
        <v>0</v>
      </c>
      <c r="AB66" s="131">
        <f>IF(AQ66="1",BH66,0)</f>
        <v>0</v>
      </c>
      <c r="AC66" s="131">
        <f>IF(AQ66="1",BI66,0)</f>
        <v>0</v>
      </c>
      <c r="AD66" s="131">
        <f>IF(AQ66="7",BH66,0)</f>
        <v>0</v>
      </c>
      <c r="AE66" s="131">
        <f>IF(AQ66="7",BI66,0)</f>
        <v>0</v>
      </c>
      <c r="AF66" s="131">
        <f>IF(AQ66="2",BH66,0)</f>
        <v>0</v>
      </c>
      <c r="AG66" s="131">
        <f>IF(AQ66="2",BI66,0)</f>
        <v>0</v>
      </c>
      <c r="AH66" s="131">
        <f>IF(AQ66="0",BJ66,0)</f>
        <v>0</v>
      </c>
      <c r="AI66" s="115" t="s">
        <v>53</v>
      </c>
      <c r="AJ66" s="131">
        <f>IF(AN66=0,J66,0)</f>
        <v>0</v>
      </c>
      <c r="AK66" s="131">
        <f>IF(AN66=12,J66,0)</f>
        <v>0</v>
      </c>
      <c r="AL66" s="131">
        <f>IF(AN66=21,J66,0)</f>
        <v>0</v>
      </c>
      <c r="AN66" s="131">
        <v>21</v>
      </c>
      <c r="AO66" s="131">
        <f>G66*0.162272727</f>
        <v>0</v>
      </c>
      <c r="AP66" s="131">
        <f>G66*(1-0.162272727)</f>
        <v>0</v>
      </c>
      <c r="AQ66" s="132" t="s">
        <v>56</v>
      </c>
      <c r="AV66" s="131">
        <f>AW66+AX66</f>
        <v>0</v>
      </c>
      <c r="AW66" s="131">
        <f>F66*AO66</f>
        <v>0</v>
      </c>
      <c r="AX66" s="131">
        <f>F66*AP66</f>
        <v>0</v>
      </c>
      <c r="AY66" s="132" t="s">
        <v>219</v>
      </c>
      <c r="AZ66" s="132" t="s">
        <v>182</v>
      </c>
      <c r="BA66" s="115" t="s">
        <v>63</v>
      </c>
      <c r="BC66" s="131">
        <f>AW66+AX66</f>
        <v>0</v>
      </c>
      <c r="BD66" s="131">
        <f>G66/(100-BE66)*100</f>
        <v>0</v>
      </c>
      <c r="BE66" s="131">
        <v>0</v>
      </c>
      <c r="BF66" s="131">
        <f>66</f>
        <v>66</v>
      </c>
      <c r="BH66" s="131">
        <f>F66*AO66</f>
        <v>0</v>
      </c>
      <c r="BI66" s="131">
        <f>F66*AP66</f>
        <v>0</v>
      </c>
      <c r="BJ66" s="131">
        <f>F66*G66</f>
        <v>0</v>
      </c>
      <c r="BK66" s="131"/>
      <c r="BL66" s="131">
        <v>59</v>
      </c>
      <c r="BW66" s="131">
        <v>21</v>
      </c>
      <c r="BX66" s="133" t="s">
        <v>222</v>
      </c>
    </row>
    <row r="67" spans="1:76" x14ac:dyDescent="0.25">
      <c r="A67" s="123" t="s">
        <v>53</v>
      </c>
      <c r="B67" s="124" t="s">
        <v>255</v>
      </c>
      <c r="C67" s="272" t="s">
        <v>256</v>
      </c>
      <c r="D67" s="273"/>
      <c r="E67" s="125" t="s">
        <v>9</v>
      </c>
      <c r="F67" s="125" t="s">
        <v>9</v>
      </c>
      <c r="G67" s="125" t="s">
        <v>9</v>
      </c>
      <c r="H67" s="110">
        <f>SUM(H68:H71)</f>
        <v>0</v>
      </c>
      <c r="I67" s="110">
        <f>SUM(I68:I71)</f>
        <v>0</v>
      </c>
      <c r="J67" s="110">
        <f>SUM(J68:J71)</f>
        <v>0</v>
      </c>
      <c r="K67" s="126" t="s">
        <v>53</v>
      </c>
      <c r="AI67" s="115" t="s">
        <v>53</v>
      </c>
      <c r="AS67" s="110">
        <f>SUM(AJ68:AJ71)</f>
        <v>0</v>
      </c>
      <c r="AT67" s="110">
        <f>SUM(AK68:AK71)</f>
        <v>0</v>
      </c>
      <c r="AU67" s="110">
        <f>SUM(AL68:AL71)</f>
        <v>0</v>
      </c>
    </row>
    <row r="68" spans="1:76" x14ac:dyDescent="0.25">
      <c r="A68" s="127" t="s">
        <v>167</v>
      </c>
      <c r="B68" s="128" t="s">
        <v>258</v>
      </c>
      <c r="C68" s="277" t="s">
        <v>259</v>
      </c>
      <c r="D68" s="278"/>
      <c r="E68" s="128" t="s">
        <v>164</v>
      </c>
      <c r="F68" s="129">
        <v>4</v>
      </c>
      <c r="G68" s="178">
        <v>0</v>
      </c>
      <c r="H68" s="129">
        <f>F68*AO68</f>
        <v>0</v>
      </c>
      <c r="I68" s="129">
        <f>F68*AP68</f>
        <v>0</v>
      </c>
      <c r="J68" s="129">
        <f>F68*G68</f>
        <v>0</v>
      </c>
      <c r="K68" s="130" t="s">
        <v>60</v>
      </c>
      <c r="Z68" s="131">
        <f>IF(AQ68="5",BJ68,0)</f>
        <v>0</v>
      </c>
      <c r="AB68" s="131">
        <f>IF(AQ68="1",BH68,0)</f>
        <v>0</v>
      </c>
      <c r="AC68" s="131">
        <f>IF(AQ68="1",BI68,0)</f>
        <v>0</v>
      </c>
      <c r="AD68" s="131">
        <f>IF(AQ68="7",BH68,0)</f>
        <v>0</v>
      </c>
      <c r="AE68" s="131">
        <f>IF(AQ68="7",BI68,0)</f>
        <v>0</v>
      </c>
      <c r="AF68" s="131">
        <f>IF(AQ68="2",BH68,0)</f>
        <v>0</v>
      </c>
      <c r="AG68" s="131">
        <f>IF(AQ68="2",BI68,0)</f>
        <v>0</v>
      </c>
      <c r="AH68" s="131">
        <f>IF(AQ68="0",BJ68,0)</f>
        <v>0</v>
      </c>
      <c r="AI68" s="115" t="s">
        <v>53</v>
      </c>
      <c r="AJ68" s="131">
        <f>IF(AN68=0,J68,0)</f>
        <v>0</v>
      </c>
      <c r="AK68" s="131">
        <f>IF(AN68=12,J68,0)</f>
        <v>0</v>
      </c>
      <c r="AL68" s="131">
        <f>IF(AN68=21,J68,0)</f>
        <v>0</v>
      </c>
      <c r="AN68" s="131">
        <v>21</v>
      </c>
      <c r="AO68" s="131">
        <f>G68*0.323783217</f>
        <v>0</v>
      </c>
      <c r="AP68" s="131">
        <f>G68*(1-0.323783217)</f>
        <v>0</v>
      </c>
      <c r="AQ68" s="132" t="s">
        <v>56</v>
      </c>
      <c r="AV68" s="131">
        <f>AW68+AX68</f>
        <v>0</v>
      </c>
      <c r="AW68" s="131">
        <f>F68*AO68</f>
        <v>0</v>
      </c>
      <c r="AX68" s="131">
        <f>F68*AP68</f>
        <v>0</v>
      </c>
      <c r="AY68" s="132" t="s">
        <v>260</v>
      </c>
      <c r="AZ68" s="132" t="s">
        <v>261</v>
      </c>
      <c r="BA68" s="115" t="s">
        <v>63</v>
      </c>
      <c r="BC68" s="131">
        <f>AW68+AX68</f>
        <v>0</v>
      </c>
      <c r="BD68" s="131">
        <f>G68/(100-BE68)*100</f>
        <v>0</v>
      </c>
      <c r="BE68" s="131">
        <v>0</v>
      </c>
      <c r="BF68" s="131">
        <f>68</f>
        <v>68</v>
      </c>
      <c r="BH68" s="131">
        <f>F68*AO68</f>
        <v>0</v>
      </c>
      <c r="BI68" s="131">
        <f>F68*AP68</f>
        <v>0</v>
      </c>
      <c r="BJ68" s="131">
        <f>F68*G68</f>
        <v>0</v>
      </c>
      <c r="BK68" s="131"/>
      <c r="BL68" s="131">
        <v>89</v>
      </c>
      <c r="BW68" s="131">
        <v>21</v>
      </c>
      <c r="BX68" s="133" t="s">
        <v>259</v>
      </c>
    </row>
    <row r="69" spans="1:76" x14ac:dyDescent="0.25">
      <c r="A69" s="127" t="s">
        <v>220</v>
      </c>
      <c r="B69" s="128" t="s">
        <v>263</v>
      </c>
      <c r="C69" s="277" t="s">
        <v>264</v>
      </c>
      <c r="D69" s="278"/>
      <c r="E69" s="128" t="s">
        <v>164</v>
      </c>
      <c r="F69" s="129">
        <v>3</v>
      </c>
      <c r="G69" s="178">
        <v>0</v>
      </c>
      <c r="H69" s="129">
        <f>F69*AO69</f>
        <v>0</v>
      </c>
      <c r="I69" s="129">
        <f>F69*AP69</f>
        <v>0</v>
      </c>
      <c r="J69" s="129">
        <f>F69*G69</f>
        <v>0</v>
      </c>
      <c r="K69" s="130" t="s">
        <v>60</v>
      </c>
      <c r="Z69" s="131">
        <f>IF(AQ69="5",BJ69,0)</f>
        <v>0</v>
      </c>
      <c r="AB69" s="131">
        <f>IF(AQ69="1",BH69,0)</f>
        <v>0</v>
      </c>
      <c r="AC69" s="131">
        <f>IF(AQ69="1",BI69,0)</f>
        <v>0</v>
      </c>
      <c r="AD69" s="131">
        <f>IF(AQ69="7",BH69,0)</f>
        <v>0</v>
      </c>
      <c r="AE69" s="131">
        <f>IF(AQ69="7",BI69,0)</f>
        <v>0</v>
      </c>
      <c r="AF69" s="131">
        <f>IF(AQ69="2",BH69,0)</f>
        <v>0</v>
      </c>
      <c r="AG69" s="131">
        <f>IF(AQ69="2",BI69,0)</f>
        <v>0</v>
      </c>
      <c r="AH69" s="131">
        <f>IF(AQ69="0",BJ69,0)</f>
        <v>0</v>
      </c>
      <c r="AI69" s="115" t="s">
        <v>53</v>
      </c>
      <c r="AJ69" s="131">
        <f>IF(AN69=0,J69,0)</f>
        <v>0</v>
      </c>
      <c r="AK69" s="131">
        <f>IF(AN69=12,J69,0)</f>
        <v>0</v>
      </c>
      <c r="AL69" s="131">
        <f>IF(AN69=21,J69,0)</f>
        <v>0</v>
      </c>
      <c r="AN69" s="131">
        <v>21</v>
      </c>
      <c r="AO69" s="131">
        <f>G69*0.76210254</f>
        <v>0</v>
      </c>
      <c r="AP69" s="131">
        <f>G69*(1-0.76210254)</f>
        <v>0</v>
      </c>
      <c r="AQ69" s="132" t="s">
        <v>56</v>
      </c>
      <c r="AV69" s="131">
        <f>AW69+AX69</f>
        <v>0</v>
      </c>
      <c r="AW69" s="131">
        <f>F69*AO69</f>
        <v>0</v>
      </c>
      <c r="AX69" s="131">
        <f>F69*AP69</f>
        <v>0</v>
      </c>
      <c r="AY69" s="132" t="s">
        <v>260</v>
      </c>
      <c r="AZ69" s="132" t="s">
        <v>261</v>
      </c>
      <c r="BA69" s="115" t="s">
        <v>63</v>
      </c>
      <c r="BC69" s="131">
        <f>AW69+AX69</f>
        <v>0</v>
      </c>
      <c r="BD69" s="131">
        <f>G69/(100-BE69)*100</f>
        <v>0</v>
      </c>
      <c r="BE69" s="131">
        <v>0</v>
      </c>
      <c r="BF69" s="131">
        <f>69</f>
        <v>69</v>
      </c>
      <c r="BH69" s="131">
        <f>F69*AO69</f>
        <v>0</v>
      </c>
      <c r="BI69" s="131">
        <f>F69*AP69</f>
        <v>0</v>
      </c>
      <c r="BJ69" s="131">
        <f>F69*G69</f>
        <v>0</v>
      </c>
      <c r="BK69" s="131"/>
      <c r="BL69" s="131">
        <v>89</v>
      </c>
      <c r="BW69" s="131">
        <v>21</v>
      </c>
      <c r="BX69" s="133" t="s">
        <v>264</v>
      </c>
    </row>
    <row r="70" spans="1:76" x14ac:dyDescent="0.25">
      <c r="A70" s="134" t="s">
        <v>223</v>
      </c>
      <c r="B70" s="135" t="s">
        <v>265</v>
      </c>
      <c r="C70" s="270" t="s">
        <v>632</v>
      </c>
      <c r="D70" s="271"/>
      <c r="E70" s="135" t="s">
        <v>164</v>
      </c>
      <c r="F70" s="131">
        <v>3</v>
      </c>
      <c r="G70" s="179">
        <v>0</v>
      </c>
      <c r="H70" s="131">
        <f>F70*AO70</f>
        <v>0</v>
      </c>
      <c r="I70" s="131">
        <f>F70*AP70</f>
        <v>0</v>
      </c>
      <c r="J70" s="131">
        <f>F70*G70</f>
        <v>0</v>
      </c>
      <c r="K70" s="136" t="s">
        <v>60</v>
      </c>
      <c r="Z70" s="131">
        <f>IF(AQ70="5",BJ70,0)</f>
        <v>0</v>
      </c>
      <c r="AB70" s="131">
        <f>IF(AQ70="1",BH70,0)</f>
        <v>0</v>
      </c>
      <c r="AC70" s="131">
        <f>IF(AQ70="1",BI70,0)</f>
        <v>0</v>
      </c>
      <c r="AD70" s="131">
        <f>IF(AQ70="7",BH70,0)</f>
        <v>0</v>
      </c>
      <c r="AE70" s="131">
        <f>IF(AQ70="7",BI70,0)</f>
        <v>0</v>
      </c>
      <c r="AF70" s="131">
        <f>IF(AQ70="2",BH70,0)</f>
        <v>0</v>
      </c>
      <c r="AG70" s="131">
        <f>IF(AQ70="2",BI70,0)</f>
        <v>0</v>
      </c>
      <c r="AH70" s="131">
        <f>IF(AQ70="0",BJ70,0)</f>
        <v>0</v>
      </c>
      <c r="AI70" s="115" t="s">
        <v>53</v>
      </c>
      <c r="AJ70" s="131">
        <f>IF(AN70=0,J70,0)</f>
        <v>0</v>
      </c>
      <c r="AK70" s="131">
        <f>IF(AN70=12,J70,0)</f>
        <v>0</v>
      </c>
      <c r="AL70" s="131">
        <f>IF(AN70=21,J70,0)</f>
        <v>0</v>
      </c>
      <c r="AN70" s="131">
        <v>21</v>
      </c>
      <c r="AO70" s="131">
        <f>G70*0.717615942</f>
        <v>0</v>
      </c>
      <c r="AP70" s="131">
        <f>G70*(1-0.717615942)</f>
        <v>0</v>
      </c>
      <c r="AQ70" s="132" t="s">
        <v>56</v>
      </c>
      <c r="AV70" s="131">
        <f>AW70+AX70</f>
        <v>0</v>
      </c>
      <c r="AW70" s="131">
        <f>F70*AO70</f>
        <v>0</v>
      </c>
      <c r="AX70" s="131">
        <f>F70*AP70</f>
        <v>0</v>
      </c>
      <c r="AY70" s="132" t="s">
        <v>260</v>
      </c>
      <c r="AZ70" s="132" t="s">
        <v>261</v>
      </c>
      <c r="BA70" s="115" t="s">
        <v>63</v>
      </c>
      <c r="BC70" s="131">
        <f>AW70+AX70</f>
        <v>0</v>
      </c>
      <c r="BD70" s="131">
        <f>G70/(100-BE70)*100</f>
        <v>0</v>
      </c>
      <c r="BE70" s="131">
        <v>0</v>
      </c>
      <c r="BF70" s="131">
        <f>70</f>
        <v>70</v>
      </c>
      <c r="BH70" s="131">
        <f>F70*AO70</f>
        <v>0</v>
      </c>
      <c r="BI70" s="131">
        <f>F70*AP70</f>
        <v>0</v>
      </c>
      <c r="BJ70" s="131">
        <f>F70*G70</f>
        <v>0</v>
      </c>
      <c r="BK70" s="131"/>
      <c r="BL70" s="131">
        <v>89</v>
      </c>
      <c r="BW70" s="131">
        <v>21</v>
      </c>
      <c r="BX70" s="133" t="s">
        <v>632</v>
      </c>
    </row>
    <row r="71" spans="1:76" x14ac:dyDescent="0.25">
      <c r="A71" s="127" t="s">
        <v>226</v>
      </c>
      <c r="B71" s="128" t="s">
        <v>267</v>
      </c>
      <c r="C71" s="277" t="s">
        <v>268</v>
      </c>
      <c r="D71" s="278"/>
      <c r="E71" s="128" t="s">
        <v>164</v>
      </c>
      <c r="F71" s="129">
        <v>6</v>
      </c>
      <c r="G71" s="178">
        <v>0</v>
      </c>
      <c r="H71" s="129">
        <f>F71*AO71</f>
        <v>0</v>
      </c>
      <c r="I71" s="129">
        <f>F71*AP71</f>
        <v>0</v>
      </c>
      <c r="J71" s="129">
        <f>F71*G71</f>
        <v>0</v>
      </c>
      <c r="K71" s="130" t="s">
        <v>60</v>
      </c>
      <c r="Z71" s="131">
        <f>IF(AQ71="5",BJ71,0)</f>
        <v>0</v>
      </c>
      <c r="AB71" s="131">
        <f>IF(AQ71="1",BH71,0)</f>
        <v>0</v>
      </c>
      <c r="AC71" s="131">
        <f>IF(AQ71="1",BI71,0)</f>
        <v>0</v>
      </c>
      <c r="AD71" s="131">
        <f>IF(AQ71="7",BH71,0)</f>
        <v>0</v>
      </c>
      <c r="AE71" s="131">
        <f>IF(AQ71="7",BI71,0)</f>
        <v>0</v>
      </c>
      <c r="AF71" s="131">
        <f>IF(AQ71="2",BH71,0)</f>
        <v>0</v>
      </c>
      <c r="AG71" s="131">
        <f>IF(AQ71="2",BI71,0)</f>
        <v>0</v>
      </c>
      <c r="AH71" s="131">
        <f>IF(AQ71="0",BJ71,0)</f>
        <v>0</v>
      </c>
      <c r="AI71" s="115" t="s">
        <v>53</v>
      </c>
      <c r="AJ71" s="131">
        <f>IF(AN71=0,J71,0)</f>
        <v>0</v>
      </c>
      <c r="AK71" s="131">
        <f>IF(AN71=12,J71,0)</f>
        <v>0</v>
      </c>
      <c r="AL71" s="131">
        <f>IF(AN71=21,J71,0)</f>
        <v>0</v>
      </c>
      <c r="AN71" s="131">
        <v>21</v>
      </c>
      <c r="AO71" s="131">
        <f>G71*0.477432343</f>
        <v>0</v>
      </c>
      <c r="AP71" s="131">
        <f>G71*(1-0.477432343)</f>
        <v>0</v>
      </c>
      <c r="AQ71" s="132" t="s">
        <v>56</v>
      </c>
      <c r="AV71" s="131">
        <f>AW71+AX71</f>
        <v>0</v>
      </c>
      <c r="AW71" s="131">
        <f>F71*AO71</f>
        <v>0</v>
      </c>
      <c r="AX71" s="131">
        <f>F71*AP71</f>
        <v>0</v>
      </c>
      <c r="AY71" s="132" t="s">
        <v>260</v>
      </c>
      <c r="AZ71" s="132" t="s">
        <v>261</v>
      </c>
      <c r="BA71" s="115" t="s">
        <v>63</v>
      </c>
      <c r="BC71" s="131">
        <f>AW71+AX71</f>
        <v>0</v>
      </c>
      <c r="BD71" s="131">
        <f>G71/(100-BE71)*100</f>
        <v>0</v>
      </c>
      <c r="BE71" s="131">
        <v>0</v>
      </c>
      <c r="BF71" s="131">
        <f>71</f>
        <v>71</v>
      </c>
      <c r="BH71" s="131">
        <f>F71*AO71</f>
        <v>0</v>
      </c>
      <c r="BI71" s="131">
        <f>F71*AP71</f>
        <v>0</v>
      </c>
      <c r="BJ71" s="131">
        <f>F71*G71</f>
        <v>0</v>
      </c>
      <c r="BK71" s="131"/>
      <c r="BL71" s="131">
        <v>89</v>
      </c>
      <c r="BW71" s="131">
        <v>21</v>
      </c>
      <c r="BX71" s="133" t="s">
        <v>268</v>
      </c>
    </row>
    <row r="72" spans="1:76" x14ac:dyDescent="0.25">
      <c r="A72" s="123" t="s">
        <v>53</v>
      </c>
      <c r="B72" s="124" t="s">
        <v>269</v>
      </c>
      <c r="C72" s="272" t="s">
        <v>270</v>
      </c>
      <c r="D72" s="273"/>
      <c r="E72" s="125" t="s">
        <v>9</v>
      </c>
      <c r="F72" s="125" t="s">
        <v>9</v>
      </c>
      <c r="G72" s="125" t="s">
        <v>9</v>
      </c>
      <c r="H72" s="110">
        <f>SUM(H73:H80)</f>
        <v>0</v>
      </c>
      <c r="I72" s="110">
        <f>SUM(I73:I80)</f>
        <v>0</v>
      </c>
      <c r="J72" s="110">
        <f>SUM(J73:J80)</f>
        <v>0</v>
      </c>
      <c r="K72" s="126" t="s">
        <v>53</v>
      </c>
      <c r="AI72" s="115" t="s">
        <v>53</v>
      </c>
      <c r="AS72" s="110">
        <f>SUM(AJ73:AJ80)</f>
        <v>0</v>
      </c>
      <c r="AT72" s="110">
        <f>SUM(AK73:AK80)</f>
        <v>0</v>
      </c>
      <c r="AU72" s="110">
        <f>SUM(AL73:AL80)</f>
        <v>0</v>
      </c>
    </row>
    <row r="73" spans="1:76" x14ac:dyDescent="0.25">
      <c r="A73" s="127" t="s">
        <v>229</v>
      </c>
      <c r="B73" s="128" t="s">
        <v>272</v>
      </c>
      <c r="C73" s="277" t="s">
        <v>273</v>
      </c>
      <c r="D73" s="278"/>
      <c r="E73" s="128" t="s">
        <v>67</v>
      </c>
      <c r="F73" s="129">
        <v>133</v>
      </c>
      <c r="G73" s="178">
        <v>0</v>
      </c>
      <c r="H73" s="129">
        <f t="shared" ref="H73:H80" si="68">F73*AO73</f>
        <v>0</v>
      </c>
      <c r="I73" s="129">
        <f t="shared" ref="I73:I80" si="69">F73*AP73</f>
        <v>0</v>
      </c>
      <c r="J73" s="129">
        <f t="shared" ref="J73:J80" si="70">F73*G73</f>
        <v>0</v>
      </c>
      <c r="K73" s="130" t="s">
        <v>60</v>
      </c>
      <c r="Z73" s="131">
        <f t="shared" ref="Z73:Z80" si="71">IF(AQ73="5",BJ73,0)</f>
        <v>0</v>
      </c>
      <c r="AB73" s="131">
        <f t="shared" ref="AB73:AB80" si="72">IF(AQ73="1",BH73,0)</f>
        <v>0</v>
      </c>
      <c r="AC73" s="131">
        <f t="shared" ref="AC73:AC80" si="73">IF(AQ73="1",BI73,0)</f>
        <v>0</v>
      </c>
      <c r="AD73" s="131">
        <f t="shared" ref="AD73:AD80" si="74">IF(AQ73="7",BH73,0)</f>
        <v>0</v>
      </c>
      <c r="AE73" s="131">
        <f t="shared" ref="AE73:AE80" si="75">IF(AQ73="7",BI73,0)</f>
        <v>0</v>
      </c>
      <c r="AF73" s="131">
        <f t="shared" ref="AF73:AF80" si="76">IF(AQ73="2",BH73,0)</f>
        <v>0</v>
      </c>
      <c r="AG73" s="131">
        <f t="shared" ref="AG73:AG80" si="77">IF(AQ73="2",BI73,0)</f>
        <v>0</v>
      </c>
      <c r="AH73" s="131">
        <f t="shared" ref="AH73:AH80" si="78">IF(AQ73="0",BJ73,0)</f>
        <v>0</v>
      </c>
      <c r="AI73" s="115" t="s">
        <v>53</v>
      </c>
      <c r="AJ73" s="131">
        <f t="shared" ref="AJ73:AJ80" si="79">IF(AN73=0,J73,0)</f>
        <v>0</v>
      </c>
      <c r="AK73" s="131">
        <f t="shared" ref="AK73:AK80" si="80">IF(AN73=12,J73,0)</f>
        <v>0</v>
      </c>
      <c r="AL73" s="131">
        <f t="shared" ref="AL73:AL80" si="81">IF(AN73=21,J73,0)</f>
        <v>0</v>
      </c>
      <c r="AN73" s="131">
        <v>21</v>
      </c>
      <c r="AO73" s="131">
        <f>G73*0.596432432</f>
        <v>0</v>
      </c>
      <c r="AP73" s="131">
        <f>G73*(1-0.596432432)</f>
        <v>0</v>
      </c>
      <c r="AQ73" s="132" t="s">
        <v>56</v>
      </c>
      <c r="AV73" s="131">
        <f t="shared" ref="AV73:AV80" si="82">AW73+AX73</f>
        <v>0</v>
      </c>
      <c r="AW73" s="131">
        <f t="shared" ref="AW73:AW80" si="83">F73*AO73</f>
        <v>0</v>
      </c>
      <c r="AX73" s="131">
        <f t="shared" ref="AX73:AX80" si="84">F73*AP73</f>
        <v>0</v>
      </c>
      <c r="AY73" s="132" t="s">
        <v>274</v>
      </c>
      <c r="AZ73" s="132" t="s">
        <v>275</v>
      </c>
      <c r="BA73" s="115" t="s">
        <v>63</v>
      </c>
      <c r="BC73" s="131">
        <f t="shared" ref="BC73:BC80" si="85">AW73+AX73</f>
        <v>0</v>
      </c>
      <c r="BD73" s="131">
        <f t="shared" ref="BD73:BD80" si="86">G73/(100-BE73)*100</f>
        <v>0</v>
      </c>
      <c r="BE73" s="131">
        <v>0</v>
      </c>
      <c r="BF73" s="131">
        <f>73</f>
        <v>73</v>
      </c>
      <c r="BH73" s="131">
        <f t="shared" ref="BH73:BH80" si="87">F73*AO73</f>
        <v>0</v>
      </c>
      <c r="BI73" s="131">
        <f t="shared" ref="BI73:BI80" si="88">F73*AP73</f>
        <v>0</v>
      </c>
      <c r="BJ73" s="131">
        <f t="shared" ref="BJ73:BJ80" si="89">F73*G73</f>
        <v>0</v>
      </c>
      <c r="BK73" s="131"/>
      <c r="BL73" s="131">
        <v>91</v>
      </c>
      <c r="BW73" s="131">
        <v>21</v>
      </c>
      <c r="BX73" s="133" t="s">
        <v>273</v>
      </c>
    </row>
    <row r="74" spans="1:76" x14ac:dyDescent="0.25">
      <c r="A74" s="127" t="s">
        <v>234</v>
      </c>
      <c r="B74" s="128" t="s">
        <v>272</v>
      </c>
      <c r="C74" s="277" t="s">
        <v>276</v>
      </c>
      <c r="D74" s="278"/>
      <c r="E74" s="128" t="s">
        <v>67</v>
      </c>
      <c r="F74" s="129">
        <v>121.5</v>
      </c>
      <c r="G74" s="178">
        <v>0</v>
      </c>
      <c r="H74" s="129">
        <f t="shared" si="68"/>
        <v>0</v>
      </c>
      <c r="I74" s="129">
        <f t="shared" si="69"/>
        <v>0</v>
      </c>
      <c r="J74" s="129">
        <f t="shared" si="70"/>
        <v>0</v>
      </c>
      <c r="K74" s="130" t="s">
        <v>60</v>
      </c>
      <c r="Z74" s="131">
        <f t="shared" si="71"/>
        <v>0</v>
      </c>
      <c r="AB74" s="131">
        <f t="shared" si="72"/>
        <v>0</v>
      </c>
      <c r="AC74" s="131">
        <f t="shared" si="73"/>
        <v>0</v>
      </c>
      <c r="AD74" s="131">
        <f t="shared" si="74"/>
        <v>0</v>
      </c>
      <c r="AE74" s="131">
        <f t="shared" si="75"/>
        <v>0</v>
      </c>
      <c r="AF74" s="131">
        <f t="shared" si="76"/>
        <v>0</v>
      </c>
      <c r="AG74" s="131">
        <f t="shared" si="77"/>
        <v>0</v>
      </c>
      <c r="AH74" s="131">
        <f t="shared" si="78"/>
        <v>0</v>
      </c>
      <c r="AI74" s="115" t="s">
        <v>53</v>
      </c>
      <c r="AJ74" s="131">
        <f t="shared" si="79"/>
        <v>0</v>
      </c>
      <c r="AK74" s="131">
        <f t="shared" si="80"/>
        <v>0</v>
      </c>
      <c r="AL74" s="131">
        <f t="shared" si="81"/>
        <v>0</v>
      </c>
      <c r="AN74" s="131">
        <v>21</v>
      </c>
      <c r="AO74" s="131">
        <f>G74*0.596432432</f>
        <v>0</v>
      </c>
      <c r="AP74" s="131">
        <f>G74*(1-0.596432432)</f>
        <v>0</v>
      </c>
      <c r="AQ74" s="132" t="s">
        <v>56</v>
      </c>
      <c r="AV74" s="131">
        <f t="shared" si="82"/>
        <v>0</v>
      </c>
      <c r="AW74" s="131">
        <f t="shared" si="83"/>
        <v>0</v>
      </c>
      <c r="AX74" s="131">
        <f t="shared" si="84"/>
        <v>0</v>
      </c>
      <c r="AY74" s="132" t="s">
        <v>274</v>
      </c>
      <c r="AZ74" s="132" t="s">
        <v>275</v>
      </c>
      <c r="BA74" s="115" t="s">
        <v>63</v>
      </c>
      <c r="BC74" s="131">
        <f t="shared" si="85"/>
        <v>0</v>
      </c>
      <c r="BD74" s="131">
        <f t="shared" si="86"/>
        <v>0</v>
      </c>
      <c r="BE74" s="131">
        <v>0</v>
      </c>
      <c r="BF74" s="131">
        <f>74</f>
        <v>74</v>
      </c>
      <c r="BH74" s="131">
        <f t="shared" si="87"/>
        <v>0</v>
      </c>
      <c r="BI74" s="131">
        <f t="shared" si="88"/>
        <v>0</v>
      </c>
      <c r="BJ74" s="131">
        <f t="shared" si="89"/>
        <v>0</v>
      </c>
      <c r="BK74" s="131"/>
      <c r="BL74" s="131">
        <v>91</v>
      </c>
      <c r="BW74" s="131">
        <v>21</v>
      </c>
      <c r="BX74" s="133" t="s">
        <v>276</v>
      </c>
    </row>
    <row r="75" spans="1:76" x14ac:dyDescent="0.25">
      <c r="A75" s="127" t="s">
        <v>239</v>
      </c>
      <c r="B75" s="128" t="s">
        <v>278</v>
      </c>
      <c r="C75" s="277" t="s">
        <v>279</v>
      </c>
      <c r="D75" s="278"/>
      <c r="E75" s="128" t="s">
        <v>79</v>
      </c>
      <c r="F75" s="129">
        <v>5.73</v>
      </c>
      <c r="G75" s="178">
        <v>0</v>
      </c>
      <c r="H75" s="129">
        <f t="shared" si="68"/>
        <v>0</v>
      </c>
      <c r="I75" s="129">
        <f t="shared" si="69"/>
        <v>0</v>
      </c>
      <c r="J75" s="129">
        <f t="shared" si="70"/>
        <v>0</v>
      </c>
      <c r="K75" s="130" t="s">
        <v>60</v>
      </c>
      <c r="Z75" s="131">
        <f t="shared" si="71"/>
        <v>0</v>
      </c>
      <c r="AB75" s="131">
        <f t="shared" si="72"/>
        <v>0</v>
      </c>
      <c r="AC75" s="131">
        <f t="shared" si="73"/>
        <v>0</v>
      </c>
      <c r="AD75" s="131">
        <f t="shared" si="74"/>
        <v>0</v>
      </c>
      <c r="AE75" s="131">
        <f t="shared" si="75"/>
        <v>0</v>
      </c>
      <c r="AF75" s="131">
        <f t="shared" si="76"/>
        <v>0</v>
      </c>
      <c r="AG75" s="131">
        <f t="shared" si="77"/>
        <v>0</v>
      </c>
      <c r="AH75" s="131">
        <f t="shared" si="78"/>
        <v>0</v>
      </c>
      <c r="AI75" s="115" t="s">
        <v>53</v>
      </c>
      <c r="AJ75" s="131">
        <f t="shared" si="79"/>
        <v>0</v>
      </c>
      <c r="AK75" s="131">
        <f t="shared" si="80"/>
        <v>0</v>
      </c>
      <c r="AL75" s="131">
        <f t="shared" si="81"/>
        <v>0</v>
      </c>
      <c r="AN75" s="131">
        <v>21</v>
      </c>
      <c r="AO75" s="131">
        <f>G75*0.80300271</f>
        <v>0</v>
      </c>
      <c r="AP75" s="131">
        <f>G75*(1-0.80300271)</f>
        <v>0</v>
      </c>
      <c r="AQ75" s="132" t="s">
        <v>56</v>
      </c>
      <c r="AV75" s="131">
        <f t="shared" si="82"/>
        <v>0</v>
      </c>
      <c r="AW75" s="131">
        <f t="shared" si="83"/>
        <v>0</v>
      </c>
      <c r="AX75" s="131">
        <f t="shared" si="84"/>
        <v>0</v>
      </c>
      <c r="AY75" s="132" t="s">
        <v>274</v>
      </c>
      <c r="AZ75" s="132" t="s">
        <v>275</v>
      </c>
      <c r="BA75" s="115" t="s">
        <v>63</v>
      </c>
      <c r="BC75" s="131">
        <f t="shared" si="85"/>
        <v>0</v>
      </c>
      <c r="BD75" s="131">
        <f t="shared" si="86"/>
        <v>0</v>
      </c>
      <c r="BE75" s="131">
        <v>0</v>
      </c>
      <c r="BF75" s="131">
        <f>75</f>
        <v>75</v>
      </c>
      <c r="BH75" s="131">
        <f t="shared" si="87"/>
        <v>0</v>
      </c>
      <c r="BI75" s="131">
        <f t="shared" si="88"/>
        <v>0</v>
      </c>
      <c r="BJ75" s="131">
        <f t="shared" si="89"/>
        <v>0</v>
      </c>
      <c r="BK75" s="131"/>
      <c r="BL75" s="131">
        <v>91</v>
      </c>
      <c r="BW75" s="131">
        <v>21</v>
      </c>
      <c r="BX75" s="133" t="s">
        <v>279</v>
      </c>
    </row>
    <row r="76" spans="1:76" x14ac:dyDescent="0.25">
      <c r="A76" s="127" t="s">
        <v>244</v>
      </c>
      <c r="B76" s="128" t="s">
        <v>633</v>
      </c>
      <c r="C76" s="277" t="s">
        <v>634</v>
      </c>
      <c r="D76" s="278"/>
      <c r="E76" s="128" t="s">
        <v>67</v>
      </c>
      <c r="F76" s="129">
        <v>133</v>
      </c>
      <c r="G76" s="178">
        <v>0</v>
      </c>
      <c r="H76" s="129">
        <f t="shared" si="68"/>
        <v>0</v>
      </c>
      <c r="I76" s="129">
        <f t="shared" si="69"/>
        <v>0</v>
      </c>
      <c r="J76" s="129">
        <f t="shared" si="70"/>
        <v>0</v>
      </c>
      <c r="K76" s="130" t="s">
        <v>60</v>
      </c>
      <c r="Z76" s="131">
        <f t="shared" si="71"/>
        <v>0</v>
      </c>
      <c r="AB76" s="131">
        <f t="shared" si="72"/>
        <v>0</v>
      </c>
      <c r="AC76" s="131">
        <f t="shared" si="73"/>
        <v>0</v>
      </c>
      <c r="AD76" s="131">
        <f t="shared" si="74"/>
        <v>0</v>
      </c>
      <c r="AE76" s="131">
        <f t="shared" si="75"/>
        <v>0</v>
      </c>
      <c r="AF76" s="131">
        <f t="shared" si="76"/>
        <v>0</v>
      </c>
      <c r="AG76" s="131">
        <f t="shared" si="77"/>
        <v>0</v>
      </c>
      <c r="AH76" s="131">
        <f t="shared" si="78"/>
        <v>0</v>
      </c>
      <c r="AI76" s="115" t="s">
        <v>53</v>
      </c>
      <c r="AJ76" s="131">
        <f t="shared" si="79"/>
        <v>0</v>
      </c>
      <c r="AK76" s="131">
        <f t="shared" si="80"/>
        <v>0</v>
      </c>
      <c r="AL76" s="131">
        <f t="shared" si="81"/>
        <v>0</v>
      </c>
      <c r="AN76" s="131">
        <v>21</v>
      </c>
      <c r="AO76" s="131">
        <f>G76*0.676715328</f>
        <v>0</v>
      </c>
      <c r="AP76" s="131">
        <f>G76*(1-0.676715328)</f>
        <v>0</v>
      </c>
      <c r="AQ76" s="132" t="s">
        <v>56</v>
      </c>
      <c r="AV76" s="131">
        <f t="shared" si="82"/>
        <v>0</v>
      </c>
      <c r="AW76" s="131">
        <f t="shared" si="83"/>
        <v>0</v>
      </c>
      <c r="AX76" s="131">
        <f t="shared" si="84"/>
        <v>0</v>
      </c>
      <c r="AY76" s="132" t="s">
        <v>274</v>
      </c>
      <c r="AZ76" s="132" t="s">
        <v>275</v>
      </c>
      <c r="BA76" s="115" t="s">
        <v>63</v>
      </c>
      <c r="BC76" s="131">
        <f t="shared" si="85"/>
        <v>0</v>
      </c>
      <c r="BD76" s="131">
        <f t="shared" si="86"/>
        <v>0</v>
      </c>
      <c r="BE76" s="131">
        <v>0</v>
      </c>
      <c r="BF76" s="131">
        <f>76</f>
        <v>76</v>
      </c>
      <c r="BH76" s="131">
        <f t="shared" si="87"/>
        <v>0</v>
      </c>
      <c r="BI76" s="131">
        <f t="shared" si="88"/>
        <v>0</v>
      </c>
      <c r="BJ76" s="131">
        <f t="shared" si="89"/>
        <v>0</v>
      </c>
      <c r="BK76" s="131"/>
      <c r="BL76" s="131">
        <v>91</v>
      </c>
      <c r="BW76" s="131">
        <v>21</v>
      </c>
      <c r="BX76" s="133" t="s">
        <v>634</v>
      </c>
    </row>
    <row r="77" spans="1:76" x14ac:dyDescent="0.25">
      <c r="A77" s="127" t="s">
        <v>251</v>
      </c>
      <c r="B77" s="128" t="s">
        <v>281</v>
      </c>
      <c r="C77" s="277" t="s">
        <v>554</v>
      </c>
      <c r="D77" s="278"/>
      <c r="E77" s="128" t="s">
        <v>164</v>
      </c>
      <c r="F77" s="129">
        <v>4</v>
      </c>
      <c r="G77" s="178">
        <v>0</v>
      </c>
      <c r="H77" s="129">
        <f t="shared" si="68"/>
        <v>0</v>
      </c>
      <c r="I77" s="129">
        <f t="shared" si="69"/>
        <v>0</v>
      </c>
      <c r="J77" s="129">
        <f t="shared" si="70"/>
        <v>0</v>
      </c>
      <c r="K77" s="130" t="s">
        <v>60</v>
      </c>
      <c r="Z77" s="131">
        <f t="shared" si="71"/>
        <v>0</v>
      </c>
      <c r="AB77" s="131">
        <f t="shared" si="72"/>
        <v>0</v>
      </c>
      <c r="AC77" s="131">
        <f t="shared" si="73"/>
        <v>0</v>
      </c>
      <c r="AD77" s="131">
        <f t="shared" si="74"/>
        <v>0</v>
      </c>
      <c r="AE77" s="131">
        <f t="shared" si="75"/>
        <v>0</v>
      </c>
      <c r="AF77" s="131">
        <f t="shared" si="76"/>
        <v>0</v>
      </c>
      <c r="AG77" s="131">
        <f t="shared" si="77"/>
        <v>0</v>
      </c>
      <c r="AH77" s="131">
        <f t="shared" si="78"/>
        <v>0</v>
      </c>
      <c r="AI77" s="115" t="s">
        <v>53</v>
      </c>
      <c r="AJ77" s="131">
        <f t="shared" si="79"/>
        <v>0</v>
      </c>
      <c r="AK77" s="131">
        <f t="shared" si="80"/>
        <v>0</v>
      </c>
      <c r="AL77" s="131">
        <f t="shared" si="81"/>
        <v>0</v>
      </c>
      <c r="AN77" s="131">
        <v>21</v>
      </c>
      <c r="AO77" s="131">
        <f>G77*0.514310954</f>
        <v>0</v>
      </c>
      <c r="AP77" s="131">
        <f>G77*(1-0.514310954)</f>
        <v>0</v>
      </c>
      <c r="AQ77" s="132" t="s">
        <v>56</v>
      </c>
      <c r="AV77" s="131">
        <f t="shared" si="82"/>
        <v>0</v>
      </c>
      <c r="AW77" s="131">
        <f t="shared" si="83"/>
        <v>0</v>
      </c>
      <c r="AX77" s="131">
        <f t="shared" si="84"/>
        <v>0</v>
      </c>
      <c r="AY77" s="132" t="s">
        <v>274</v>
      </c>
      <c r="AZ77" s="132" t="s">
        <v>275</v>
      </c>
      <c r="BA77" s="115" t="s">
        <v>63</v>
      </c>
      <c r="BC77" s="131">
        <f t="shared" si="85"/>
        <v>0</v>
      </c>
      <c r="BD77" s="131">
        <f t="shared" si="86"/>
        <v>0</v>
      </c>
      <c r="BE77" s="131">
        <v>0</v>
      </c>
      <c r="BF77" s="131">
        <f>77</f>
        <v>77</v>
      </c>
      <c r="BH77" s="131">
        <f t="shared" si="87"/>
        <v>0</v>
      </c>
      <c r="BI77" s="131">
        <f t="shared" si="88"/>
        <v>0</v>
      </c>
      <c r="BJ77" s="131">
        <f t="shared" si="89"/>
        <v>0</v>
      </c>
      <c r="BK77" s="131"/>
      <c r="BL77" s="131">
        <v>91</v>
      </c>
      <c r="BW77" s="131">
        <v>21</v>
      </c>
      <c r="BX77" s="133" t="s">
        <v>554</v>
      </c>
    </row>
    <row r="78" spans="1:76" x14ac:dyDescent="0.25">
      <c r="A78" s="127" t="s">
        <v>257</v>
      </c>
      <c r="B78" s="128" t="s">
        <v>284</v>
      </c>
      <c r="C78" s="277" t="s">
        <v>285</v>
      </c>
      <c r="D78" s="278"/>
      <c r="E78" s="128" t="s">
        <v>67</v>
      </c>
      <c r="F78" s="129">
        <v>90</v>
      </c>
      <c r="G78" s="178">
        <v>0</v>
      </c>
      <c r="H78" s="129">
        <f t="shared" si="68"/>
        <v>0</v>
      </c>
      <c r="I78" s="129">
        <f t="shared" si="69"/>
        <v>0</v>
      </c>
      <c r="J78" s="129">
        <f t="shared" si="70"/>
        <v>0</v>
      </c>
      <c r="K78" s="130" t="s">
        <v>60</v>
      </c>
      <c r="Z78" s="131">
        <f t="shared" si="71"/>
        <v>0</v>
      </c>
      <c r="AB78" s="131">
        <f t="shared" si="72"/>
        <v>0</v>
      </c>
      <c r="AC78" s="131">
        <f t="shared" si="73"/>
        <v>0</v>
      </c>
      <c r="AD78" s="131">
        <f t="shared" si="74"/>
        <v>0</v>
      </c>
      <c r="AE78" s="131">
        <f t="shared" si="75"/>
        <v>0</v>
      </c>
      <c r="AF78" s="131">
        <f t="shared" si="76"/>
        <v>0</v>
      </c>
      <c r="AG78" s="131">
        <f t="shared" si="77"/>
        <v>0</v>
      </c>
      <c r="AH78" s="131">
        <f t="shared" si="78"/>
        <v>0</v>
      </c>
      <c r="AI78" s="115" t="s">
        <v>53</v>
      </c>
      <c r="AJ78" s="131">
        <f t="shared" si="79"/>
        <v>0</v>
      </c>
      <c r="AK78" s="131">
        <f t="shared" si="80"/>
        <v>0</v>
      </c>
      <c r="AL78" s="131">
        <f t="shared" si="81"/>
        <v>0</v>
      </c>
      <c r="AN78" s="131">
        <v>21</v>
      </c>
      <c r="AO78" s="131">
        <f>G78*0.092537313</f>
        <v>0</v>
      </c>
      <c r="AP78" s="131">
        <f>G78*(1-0.092537313)</f>
        <v>0</v>
      </c>
      <c r="AQ78" s="132" t="s">
        <v>56</v>
      </c>
      <c r="AV78" s="131">
        <f t="shared" si="82"/>
        <v>0</v>
      </c>
      <c r="AW78" s="131">
        <f t="shared" si="83"/>
        <v>0</v>
      </c>
      <c r="AX78" s="131">
        <f t="shared" si="84"/>
        <v>0</v>
      </c>
      <c r="AY78" s="132" t="s">
        <v>274</v>
      </c>
      <c r="AZ78" s="132" t="s">
        <v>275</v>
      </c>
      <c r="BA78" s="115" t="s">
        <v>63</v>
      </c>
      <c r="BC78" s="131">
        <f t="shared" si="85"/>
        <v>0</v>
      </c>
      <c r="BD78" s="131">
        <f t="shared" si="86"/>
        <v>0</v>
      </c>
      <c r="BE78" s="131">
        <v>0</v>
      </c>
      <c r="BF78" s="131">
        <f>78</f>
        <v>78</v>
      </c>
      <c r="BH78" s="131">
        <f t="shared" si="87"/>
        <v>0</v>
      </c>
      <c r="BI78" s="131">
        <f t="shared" si="88"/>
        <v>0</v>
      </c>
      <c r="BJ78" s="131">
        <f t="shared" si="89"/>
        <v>0</v>
      </c>
      <c r="BK78" s="131"/>
      <c r="BL78" s="131">
        <v>91</v>
      </c>
      <c r="BW78" s="131">
        <v>21</v>
      </c>
      <c r="BX78" s="133" t="s">
        <v>285</v>
      </c>
    </row>
    <row r="79" spans="1:76" x14ac:dyDescent="0.25">
      <c r="A79" s="127" t="s">
        <v>262</v>
      </c>
      <c r="B79" s="128" t="s">
        <v>635</v>
      </c>
      <c r="C79" s="277" t="s">
        <v>636</v>
      </c>
      <c r="D79" s="278"/>
      <c r="E79" s="128" t="s">
        <v>67</v>
      </c>
      <c r="F79" s="129">
        <v>122</v>
      </c>
      <c r="G79" s="178">
        <v>0</v>
      </c>
      <c r="H79" s="129">
        <f t="shared" si="68"/>
        <v>0</v>
      </c>
      <c r="I79" s="129">
        <f t="shared" si="69"/>
        <v>0</v>
      </c>
      <c r="J79" s="129">
        <f t="shared" si="70"/>
        <v>0</v>
      </c>
      <c r="K79" s="130" t="s">
        <v>60</v>
      </c>
      <c r="Z79" s="131">
        <f t="shared" si="71"/>
        <v>0</v>
      </c>
      <c r="AB79" s="131">
        <f t="shared" si="72"/>
        <v>0</v>
      </c>
      <c r="AC79" s="131">
        <f t="shared" si="73"/>
        <v>0</v>
      </c>
      <c r="AD79" s="131">
        <f t="shared" si="74"/>
        <v>0</v>
      </c>
      <c r="AE79" s="131">
        <f t="shared" si="75"/>
        <v>0</v>
      </c>
      <c r="AF79" s="131">
        <f t="shared" si="76"/>
        <v>0</v>
      </c>
      <c r="AG79" s="131">
        <f t="shared" si="77"/>
        <v>0</v>
      </c>
      <c r="AH79" s="131">
        <f t="shared" si="78"/>
        <v>0</v>
      </c>
      <c r="AI79" s="115" t="s">
        <v>53</v>
      </c>
      <c r="AJ79" s="131">
        <f t="shared" si="79"/>
        <v>0</v>
      </c>
      <c r="AK79" s="131">
        <f t="shared" si="80"/>
        <v>0</v>
      </c>
      <c r="AL79" s="131">
        <f t="shared" si="81"/>
        <v>0</v>
      </c>
      <c r="AN79" s="131">
        <v>21</v>
      </c>
      <c r="AO79" s="131">
        <f>G79*0.576800977</f>
        <v>0</v>
      </c>
      <c r="AP79" s="131">
        <f>G79*(1-0.576800977)</f>
        <v>0</v>
      </c>
      <c r="AQ79" s="132" t="s">
        <v>56</v>
      </c>
      <c r="AV79" s="131">
        <f t="shared" si="82"/>
        <v>0</v>
      </c>
      <c r="AW79" s="131">
        <f t="shared" si="83"/>
        <v>0</v>
      </c>
      <c r="AX79" s="131">
        <f t="shared" si="84"/>
        <v>0</v>
      </c>
      <c r="AY79" s="132" t="s">
        <v>274</v>
      </c>
      <c r="AZ79" s="132" t="s">
        <v>275</v>
      </c>
      <c r="BA79" s="115" t="s">
        <v>63</v>
      </c>
      <c r="BC79" s="131">
        <f t="shared" si="85"/>
        <v>0</v>
      </c>
      <c r="BD79" s="131">
        <f t="shared" si="86"/>
        <v>0</v>
      </c>
      <c r="BE79" s="131">
        <v>0</v>
      </c>
      <c r="BF79" s="131">
        <f>79</f>
        <v>79</v>
      </c>
      <c r="BH79" s="131">
        <f t="shared" si="87"/>
        <v>0</v>
      </c>
      <c r="BI79" s="131">
        <f t="shared" si="88"/>
        <v>0</v>
      </c>
      <c r="BJ79" s="131">
        <f t="shared" si="89"/>
        <v>0</v>
      </c>
      <c r="BK79" s="131"/>
      <c r="BL79" s="131">
        <v>91</v>
      </c>
      <c r="BW79" s="131">
        <v>21</v>
      </c>
      <c r="BX79" s="133" t="s">
        <v>636</v>
      </c>
    </row>
    <row r="80" spans="1:76" x14ac:dyDescent="0.25">
      <c r="A80" s="127" t="s">
        <v>177</v>
      </c>
      <c r="B80" s="128" t="s">
        <v>637</v>
      </c>
      <c r="C80" s="277" t="s">
        <v>638</v>
      </c>
      <c r="D80" s="278"/>
      <c r="E80" s="128" t="s">
        <v>67</v>
      </c>
      <c r="F80" s="129">
        <v>35</v>
      </c>
      <c r="G80" s="178">
        <v>0</v>
      </c>
      <c r="H80" s="129">
        <f t="shared" si="68"/>
        <v>0</v>
      </c>
      <c r="I80" s="129">
        <f t="shared" si="69"/>
        <v>0</v>
      </c>
      <c r="J80" s="129">
        <f t="shared" si="70"/>
        <v>0</v>
      </c>
      <c r="K80" s="130" t="s">
        <v>60</v>
      </c>
      <c r="Z80" s="131">
        <f t="shared" si="71"/>
        <v>0</v>
      </c>
      <c r="AB80" s="131">
        <f t="shared" si="72"/>
        <v>0</v>
      </c>
      <c r="AC80" s="131">
        <f t="shared" si="73"/>
        <v>0</v>
      </c>
      <c r="AD80" s="131">
        <f t="shared" si="74"/>
        <v>0</v>
      </c>
      <c r="AE80" s="131">
        <f t="shared" si="75"/>
        <v>0</v>
      </c>
      <c r="AF80" s="131">
        <f t="shared" si="76"/>
        <v>0</v>
      </c>
      <c r="AG80" s="131">
        <f t="shared" si="77"/>
        <v>0</v>
      </c>
      <c r="AH80" s="131">
        <f t="shared" si="78"/>
        <v>0</v>
      </c>
      <c r="AI80" s="115" t="s">
        <v>53</v>
      </c>
      <c r="AJ80" s="131">
        <f t="shared" si="79"/>
        <v>0</v>
      </c>
      <c r="AK80" s="131">
        <f t="shared" si="80"/>
        <v>0</v>
      </c>
      <c r="AL80" s="131">
        <f t="shared" si="81"/>
        <v>0</v>
      </c>
      <c r="AN80" s="131">
        <v>21</v>
      </c>
      <c r="AO80" s="131">
        <f>G80*0</f>
        <v>0</v>
      </c>
      <c r="AP80" s="131">
        <f>G80*(1-0)</f>
        <v>0</v>
      </c>
      <c r="AQ80" s="132" t="s">
        <v>56</v>
      </c>
      <c r="AV80" s="131">
        <f t="shared" si="82"/>
        <v>0</v>
      </c>
      <c r="AW80" s="131">
        <f t="shared" si="83"/>
        <v>0</v>
      </c>
      <c r="AX80" s="131">
        <f t="shared" si="84"/>
        <v>0</v>
      </c>
      <c r="AY80" s="132" t="s">
        <v>274</v>
      </c>
      <c r="AZ80" s="132" t="s">
        <v>275</v>
      </c>
      <c r="BA80" s="115" t="s">
        <v>63</v>
      </c>
      <c r="BC80" s="131">
        <f t="shared" si="85"/>
        <v>0</v>
      </c>
      <c r="BD80" s="131">
        <f t="shared" si="86"/>
        <v>0</v>
      </c>
      <c r="BE80" s="131">
        <v>0</v>
      </c>
      <c r="BF80" s="131">
        <f>80</f>
        <v>80</v>
      </c>
      <c r="BH80" s="131">
        <f t="shared" si="87"/>
        <v>0</v>
      </c>
      <c r="BI80" s="131">
        <f t="shared" si="88"/>
        <v>0</v>
      </c>
      <c r="BJ80" s="131">
        <f t="shared" si="89"/>
        <v>0</v>
      </c>
      <c r="BK80" s="131"/>
      <c r="BL80" s="131">
        <v>91</v>
      </c>
      <c r="BW80" s="131">
        <v>21</v>
      </c>
      <c r="BX80" s="133" t="s">
        <v>638</v>
      </c>
    </row>
    <row r="81" spans="1:76" x14ac:dyDescent="0.25">
      <c r="A81" s="123" t="s">
        <v>53</v>
      </c>
      <c r="B81" s="124" t="s">
        <v>299</v>
      </c>
      <c r="C81" s="272" t="s">
        <v>300</v>
      </c>
      <c r="D81" s="273"/>
      <c r="E81" s="125" t="s">
        <v>9</v>
      </c>
      <c r="F81" s="125" t="s">
        <v>9</v>
      </c>
      <c r="G81" s="125" t="s">
        <v>9</v>
      </c>
      <c r="H81" s="110">
        <f>SUM(H82:H82)</f>
        <v>0</v>
      </c>
      <c r="I81" s="110">
        <f>SUM(I82:I82)</f>
        <v>0</v>
      </c>
      <c r="J81" s="110">
        <f>SUM(J82:J82)</f>
        <v>0</v>
      </c>
      <c r="K81" s="126" t="s">
        <v>53</v>
      </c>
      <c r="AI81" s="115" t="s">
        <v>53</v>
      </c>
      <c r="AS81" s="110">
        <f>SUM(AJ82:AJ82)</f>
        <v>0</v>
      </c>
      <c r="AT81" s="110">
        <f>SUM(AK82:AK82)</f>
        <v>0</v>
      </c>
      <c r="AU81" s="110">
        <f>SUM(AL82:AL82)</f>
        <v>0</v>
      </c>
    </row>
    <row r="82" spans="1:76" x14ac:dyDescent="0.25">
      <c r="A82" s="127" t="s">
        <v>206</v>
      </c>
      <c r="B82" s="128" t="s">
        <v>302</v>
      </c>
      <c r="C82" s="277" t="s">
        <v>303</v>
      </c>
      <c r="D82" s="278"/>
      <c r="E82" s="128" t="s">
        <v>164</v>
      </c>
      <c r="F82" s="129">
        <v>1</v>
      </c>
      <c r="G82" s="178">
        <v>0</v>
      </c>
      <c r="H82" s="129">
        <f>F82*AO82</f>
        <v>0</v>
      </c>
      <c r="I82" s="129">
        <f>F82*AP82</f>
        <v>0</v>
      </c>
      <c r="J82" s="129">
        <f>F82*G82</f>
        <v>0</v>
      </c>
      <c r="K82" s="130" t="s">
        <v>60</v>
      </c>
      <c r="Z82" s="131">
        <f>IF(AQ82="5",BJ82,0)</f>
        <v>0</v>
      </c>
      <c r="AB82" s="131">
        <f>IF(AQ82="1",BH82,0)</f>
        <v>0</v>
      </c>
      <c r="AC82" s="131">
        <f>IF(AQ82="1",BI82,0)</f>
        <v>0</v>
      </c>
      <c r="AD82" s="131">
        <f>IF(AQ82="7",BH82,0)</f>
        <v>0</v>
      </c>
      <c r="AE82" s="131">
        <f>IF(AQ82="7",BI82,0)</f>
        <v>0</v>
      </c>
      <c r="AF82" s="131">
        <f>IF(AQ82="2",BH82,0)</f>
        <v>0</v>
      </c>
      <c r="AG82" s="131">
        <f>IF(AQ82="2",BI82,0)</f>
        <v>0</v>
      </c>
      <c r="AH82" s="131">
        <f>IF(AQ82="0",BJ82,0)</f>
        <v>0</v>
      </c>
      <c r="AI82" s="115" t="s">
        <v>53</v>
      </c>
      <c r="AJ82" s="131">
        <f>IF(AN82=0,J82,0)</f>
        <v>0</v>
      </c>
      <c r="AK82" s="131">
        <f>IF(AN82=12,J82,0)</f>
        <v>0</v>
      </c>
      <c r="AL82" s="131">
        <f>IF(AN82=21,J82,0)</f>
        <v>0</v>
      </c>
      <c r="AN82" s="131">
        <v>21</v>
      </c>
      <c r="AO82" s="131">
        <f>G82*0.025273982</f>
        <v>0</v>
      </c>
      <c r="AP82" s="131">
        <f>G82*(1-0.025273982)</f>
        <v>0</v>
      </c>
      <c r="AQ82" s="132" t="s">
        <v>56</v>
      </c>
      <c r="AV82" s="131">
        <f>AW82+AX82</f>
        <v>0</v>
      </c>
      <c r="AW82" s="131">
        <f>F82*AO82</f>
        <v>0</v>
      </c>
      <c r="AX82" s="131">
        <f>F82*AP82</f>
        <v>0</v>
      </c>
      <c r="AY82" s="132" t="s">
        <v>304</v>
      </c>
      <c r="AZ82" s="132" t="s">
        <v>275</v>
      </c>
      <c r="BA82" s="115" t="s">
        <v>63</v>
      </c>
      <c r="BC82" s="131">
        <f>AW82+AX82</f>
        <v>0</v>
      </c>
      <c r="BD82" s="131">
        <f>G82/(100-BE82)*100</f>
        <v>0</v>
      </c>
      <c r="BE82" s="131">
        <v>0</v>
      </c>
      <c r="BF82" s="131">
        <f>82</f>
        <v>82</v>
      </c>
      <c r="BH82" s="131">
        <f>F82*AO82</f>
        <v>0</v>
      </c>
      <c r="BI82" s="131">
        <f>F82*AP82</f>
        <v>0</v>
      </c>
      <c r="BJ82" s="131">
        <f>F82*G82</f>
        <v>0</v>
      </c>
      <c r="BK82" s="131"/>
      <c r="BL82" s="131">
        <v>93</v>
      </c>
      <c r="BW82" s="131">
        <v>21</v>
      </c>
      <c r="BX82" s="133" t="s">
        <v>303</v>
      </c>
    </row>
    <row r="83" spans="1:76" x14ac:dyDescent="0.25">
      <c r="A83" s="123" t="s">
        <v>53</v>
      </c>
      <c r="B83" s="124" t="s">
        <v>305</v>
      </c>
      <c r="C83" s="272" t="s">
        <v>306</v>
      </c>
      <c r="D83" s="273"/>
      <c r="E83" s="125" t="s">
        <v>9</v>
      </c>
      <c r="F83" s="125" t="s">
        <v>9</v>
      </c>
      <c r="G83" s="125" t="s">
        <v>9</v>
      </c>
      <c r="H83" s="110">
        <f>SUM(H84:H84)</f>
        <v>0</v>
      </c>
      <c r="I83" s="110">
        <f>SUM(I84:I84)</f>
        <v>0</v>
      </c>
      <c r="J83" s="110">
        <f>SUM(J84:J84)</f>
        <v>0</v>
      </c>
      <c r="K83" s="126" t="s">
        <v>53</v>
      </c>
      <c r="AI83" s="115" t="s">
        <v>53</v>
      </c>
      <c r="AS83" s="110">
        <f>SUM(AJ84:AJ84)</f>
        <v>0</v>
      </c>
      <c r="AT83" s="110">
        <f>SUM(AK84:AK84)</f>
        <v>0</v>
      </c>
      <c r="AU83" s="110">
        <f>SUM(AL84:AL84)</f>
        <v>0</v>
      </c>
    </row>
    <row r="84" spans="1:76" x14ac:dyDescent="0.25">
      <c r="A84" s="127" t="s">
        <v>271</v>
      </c>
      <c r="B84" s="128" t="s">
        <v>318</v>
      </c>
      <c r="C84" s="277" t="s">
        <v>319</v>
      </c>
      <c r="D84" s="278"/>
      <c r="E84" s="128" t="s">
        <v>164</v>
      </c>
      <c r="F84" s="129">
        <v>3</v>
      </c>
      <c r="G84" s="178">
        <v>0</v>
      </c>
      <c r="H84" s="129">
        <f>F84*AO84</f>
        <v>0</v>
      </c>
      <c r="I84" s="129">
        <f>F84*AP84</f>
        <v>0</v>
      </c>
      <c r="J84" s="129">
        <f>F84*G84</f>
        <v>0</v>
      </c>
      <c r="K84" s="130" t="s">
        <v>60</v>
      </c>
      <c r="Z84" s="131">
        <f>IF(AQ84="5",BJ84,0)</f>
        <v>0</v>
      </c>
      <c r="AB84" s="131">
        <f>IF(AQ84="1",BH84,0)</f>
        <v>0</v>
      </c>
      <c r="AC84" s="131">
        <f>IF(AQ84="1",BI84,0)</f>
        <v>0</v>
      </c>
      <c r="AD84" s="131">
        <f>IF(AQ84="7",BH84,0)</f>
        <v>0</v>
      </c>
      <c r="AE84" s="131">
        <f>IF(AQ84="7",BI84,0)</f>
        <v>0</v>
      </c>
      <c r="AF84" s="131">
        <f>IF(AQ84="2",BH84,0)</f>
        <v>0</v>
      </c>
      <c r="AG84" s="131">
        <f>IF(AQ84="2",BI84,0)</f>
        <v>0</v>
      </c>
      <c r="AH84" s="131">
        <f>IF(AQ84="0",BJ84,0)</f>
        <v>0</v>
      </c>
      <c r="AI84" s="115" t="s">
        <v>53</v>
      </c>
      <c r="AJ84" s="131">
        <f>IF(AN84=0,J84,0)</f>
        <v>0</v>
      </c>
      <c r="AK84" s="131">
        <f>IF(AN84=12,J84,0)</f>
        <v>0</v>
      </c>
      <c r="AL84" s="131">
        <f>IF(AN84=21,J84,0)</f>
        <v>0</v>
      </c>
      <c r="AN84" s="131">
        <v>21</v>
      </c>
      <c r="AO84" s="131">
        <f>G84*0</f>
        <v>0</v>
      </c>
      <c r="AP84" s="131">
        <f>G84*(1-0)</f>
        <v>0</v>
      </c>
      <c r="AQ84" s="132" t="s">
        <v>56</v>
      </c>
      <c r="AV84" s="131">
        <f>AW84+AX84</f>
        <v>0</v>
      </c>
      <c r="AW84" s="131">
        <f>F84*AO84</f>
        <v>0</v>
      </c>
      <c r="AX84" s="131">
        <f>F84*AP84</f>
        <v>0</v>
      </c>
      <c r="AY84" s="132" t="s">
        <v>310</v>
      </c>
      <c r="AZ84" s="132" t="s">
        <v>275</v>
      </c>
      <c r="BA84" s="115" t="s">
        <v>63</v>
      </c>
      <c r="BC84" s="131">
        <f>AW84+AX84</f>
        <v>0</v>
      </c>
      <c r="BD84" s="131">
        <f>G84/(100-BE84)*100</f>
        <v>0</v>
      </c>
      <c r="BE84" s="131">
        <v>0</v>
      </c>
      <c r="BF84" s="131">
        <f>84</f>
        <v>84</v>
      </c>
      <c r="BH84" s="131">
        <f>F84*AO84</f>
        <v>0</v>
      </c>
      <c r="BI84" s="131">
        <f>F84*AP84</f>
        <v>0</v>
      </c>
      <c r="BJ84" s="131">
        <f>F84*G84</f>
        <v>0</v>
      </c>
      <c r="BK84" s="131"/>
      <c r="BL84" s="131">
        <v>96</v>
      </c>
      <c r="BW84" s="131">
        <v>21</v>
      </c>
      <c r="BX84" s="133" t="s">
        <v>319</v>
      </c>
    </row>
    <row r="85" spans="1:76" x14ac:dyDescent="0.25">
      <c r="A85" s="123" t="s">
        <v>53</v>
      </c>
      <c r="B85" s="124" t="s">
        <v>320</v>
      </c>
      <c r="C85" s="272" t="s">
        <v>321</v>
      </c>
      <c r="D85" s="273"/>
      <c r="E85" s="125" t="s">
        <v>9</v>
      </c>
      <c r="F85" s="125" t="s">
        <v>9</v>
      </c>
      <c r="G85" s="125" t="s">
        <v>9</v>
      </c>
      <c r="H85" s="110">
        <f>SUM(H86:H86)</f>
        <v>0</v>
      </c>
      <c r="I85" s="110">
        <f>SUM(I86:I86)</f>
        <v>0</v>
      </c>
      <c r="J85" s="110">
        <f>SUM(J86:J86)</f>
        <v>0</v>
      </c>
      <c r="K85" s="126" t="s">
        <v>53</v>
      </c>
      <c r="AI85" s="115" t="s">
        <v>53</v>
      </c>
      <c r="AS85" s="110">
        <f>SUM(AJ86:AJ86)</f>
        <v>0</v>
      </c>
      <c r="AT85" s="110">
        <f>SUM(AK86:AK86)</f>
        <v>0</v>
      </c>
      <c r="AU85" s="110">
        <f>SUM(AL86:AL86)</f>
        <v>0</v>
      </c>
    </row>
    <row r="86" spans="1:76" x14ac:dyDescent="0.25">
      <c r="A86" s="127" t="s">
        <v>215</v>
      </c>
      <c r="B86" s="128" t="s">
        <v>323</v>
      </c>
      <c r="C86" s="277" t="s">
        <v>324</v>
      </c>
      <c r="D86" s="278"/>
      <c r="E86" s="128" t="s">
        <v>122</v>
      </c>
      <c r="F86" s="129">
        <v>422.25</v>
      </c>
      <c r="G86" s="178">
        <v>0</v>
      </c>
      <c r="H86" s="129">
        <f>F86*AO86</f>
        <v>0</v>
      </c>
      <c r="I86" s="129">
        <f>F86*AP86</f>
        <v>0</v>
      </c>
      <c r="J86" s="129">
        <f>F86*G86</f>
        <v>0</v>
      </c>
      <c r="K86" s="130" t="s">
        <v>60</v>
      </c>
      <c r="Z86" s="131">
        <f>IF(AQ86="5",BJ86,0)</f>
        <v>0</v>
      </c>
      <c r="AB86" s="131">
        <f>IF(AQ86="1",BH86,0)</f>
        <v>0</v>
      </c>
      <c r="AC86" s="131">
        <f>IF(AQ86="1",BI86,0)</f>
        <v>0</v>
      </c>
      <c r="AD86" s="131">
        <f>IF(AQ86="7",BH86,0)</f>
        <v>0</v>
      </c>
      <c r="AE86" s="131">
        <f>IF(AQ86="7",BI86,0)</f>
        <v>0</v>
      </c>
      <c r="AF86" s="131">
        <f>IF(AQ86="2",BH86,0)</f>
        <v>0</v>
      </c>
      <c r="AG86" s="131">
        <f>IF(AQ86="2",BI86,0)</f>
        <v>0</v>
      </c>
      <c r="AH86" s="131">
        <f>IF(AQ86="0",BJ86,0)</f>
        <v>0</v>
      </c>
      <c r="AI86" s="115" t="s">
        <v>53</v>
      </c>
      <c r="AJ86" s="131">
        <f>IF(AN86=0,J86,0)</f>
        <v>0</v>
      </c>
      <c r="AK86" s="131">
        <f>IF(AN86=12,J86,0)</f>
        <v>0</v>
      </c>
      <c r="AL86" s="131">
        <f>IF(AN86=21,J86,0)</f>
        <v>0</v>
      </c>
      <c r="AN86" s="131">
        <v>21</v>
      </c>
      <c r="AO86" s="131">
        <f>G86*0</f>
        <v>0</v>
      </c>
      <c r="AP86" s="131">
        <f>G86*(1-0)</f>
        <v>0</v>
      </c>
      <c r="AQ86" s="132" t="s">
        <v>76</v>
      </c>
      <c r="AV86" s="131">
        <f>AW86+AX86</f>
        <v>0</v>
      </c>
      <c r="AW86" s="131">
        <f>F86*AO86</f>
        <v>0</v>
      </c>
      <c r="AX86" s="131">
        <f>F86*AP86</f>
        <v>0</v>
      </c>
      <c r="AY86" s="132" t="s">
        <v>325</v>
      </c>
      <c r="AZ86" s="132" t="s">
        <v>275</v>
      </c>
      <c r="BA86" s="115" t="s">
        <v>63</v>
      </c>
      <c r="BC86" s="131">
        <f>AW86+AX86</f>
        <v>0</v>
      </c>
      <c r="BD86" s="131">
        <f>G86/(100-BE86)*100</f>
        <v>0</v>
      </c>
      <c r="BE86" s="131">
        <v>0</v>
      </c>
      <c r="BF86" s="131">
        <f>86</f>
        <v>86</v>
      </c>
      <c r="BH86" s="131">
        <f>F86*AO86</f>
        <v>0</v>
      </c>
      <c r="BI86" s="131">
        <f>F86*AP86</f>
        <v>0</v>
      </c>
      <c r="BJ86" s="131">
        <f>F86*G86</f>
        <v>0</v>
      </c>
      <c r="BK86" s="131"/>
      <c r="BL86" s="131"/>
      <c r="BW86" s="131">
        <v>21</v>
      </c>
      <c r="BX86" s="133" t="s">
        <v>324</v>
      </c>
    </row>
    <row r="87" spans="1:76" x14ac:dyDescent="0.25">
      <c r="A87" s="123" t="s">
        <v>53</v>
      </c>
      <c r="B87" s="124" t="s">
        <v>326</v>
      </c>
      <c r="C87" s="272" t="s">
        <v>327</v>
      </c>
      <c r="D87" s="273"/>
      <c r="E87" s="125" t="s">
        <v>9</v>
      </c>
      <c r="F87" s="125" t="s">
        <v>9</v>
      </c>
      <c r="G87" s="125" t="s">
        <v>9</v>
      </c>
      <c r="H87" s="110">
        <f>SUM(H88:H93)</f>
        <v>0</v>
      </c>
      <c r="I87" s="110">
        <f>SUM(I88:I93)</f>
        <v>0</v>
      </c>
      <c r="J87" s="110">
        <f>SUM(J88:J93)</f>
        <v>0</v>
      </c>
      <c r="K87" s="126" t="s">
        <v>53</v>
      </c>
      <c r="AI87" s="115" t="s">
        <v>53</v>
      </c>
      <c r="AS87" s="110">
        <f>SUM(AJ88:AJ93)</f>
        <v>0</v>
      </c>
      <c r="AT87" s="110">
        <f>SUM(AK88:AK93)</f>
        <v>0</v>
      </c>
      <c r="AU87" s="110">
        <f>SUM(AL88:AL93)</f>
        <v>0</v>
      </c>
    </row>
    <row r="88" spans="1:76" x14ac:dyDescent="0.25">
      <c r="A88" s="127" t="s">
        <v>277</v>
      </c>
      <c r="B88" s="128" t="s">
        <v>329</v>
      </c>
      <c r="C88" s="277" t="s">
        <v>330</v>
      </c>
      <c r="D88" s="278"/>
      <c r="E88" s="128" t="s">
        <v>122</v>
      </c>
      <c r="F88" s="129">
        <v>34.909999999999997</v>
      </c>
      <c r="G88" s="178">
        <v>0</v>
      </c>
      <c r="H88" s="129">
        <f t="shared" ref="H88:H93" si="90">F88*AO88</f>
        <v>0</v>
      </c>
      <c r="I88" s="129">
        <f t="shared" ref="I88:I93" si="91">F88*AP88</f>
        <v>0</v>
      </c>
      <c r="J88" s="129">
        <f t="shared" ref="J88:J93" si="92">F88*G88</f>
        <v>0</v>
      </c>
      <c r="K88" s="130" t="s">
        <v>60</v>
      </c>
      <c r="Z88" s="131">
        <f t="shared" ref="Z88:Z93" si="93">IF(AQ88="5",BJ88,0)</f>
        <v>0</v>
      </c>
      <c r="AB88" s="131">
        <f t="shared" ref="AB88:AB93" si="94">IF(AQ88="1",BH88,0)</f>
        <v>0</v>
      </c>
      <c r="AC88" s="131">
        <f t="shared" ref="AC88:AC93" si="95">IF(AQ88="1",BI88,0)</f>
        <v>0</v>
      </c>
      <c r="AD88" s="131">
        <f t="shared" ref="AD88:AD93" si="96">IF(AQ88="7",BH88,0)</f>
        <v>0</v>
      </c>
      <c r="AE88" s="131">
        <f t="shared" ref="AE88:AE93" si="97">IF(AQ88="7",BI88,0)</f>
        <v>0</v>
      </c>
      <c r="AF88" s="131">
        <f t="shared" ref="AF88:AF93" si="98">IF(AQ88="2",BH88,0)</f>
        <v>0</v>
      </c>
      <c r="AG88" s="131">
        <f t="shared" ref="AG88:AG93" si="99">IF(AQ88="2",BI88,0)</f>
        <v>0</v>
      </c>
      <c r="AH88" s="131">
        <f t="shared" ref="AH88:AH93" si="100">IF(AQ88="0",BJ88,0)</f>
        <v>0</v>
      </c>
      <c r="AI88" s="115" t="s">
        <v>53</v>
      </c>
      <c r="AJ88" s="131">
        <f t="shared" ref="AJ88:AJ93" si="101">IF(AN88=0,J88,0)</f>
        <v>0</v>
      </c>
      <c r="AK88" s="131">
        <f t="shared" ref="AK88:AK93" si="102">IF(AN88=12,J88,0)</f>
        <v>0</v>
      </c>
      <c r="AL88" s="131">
        <f t="shared" ref="AL88:AL93" si="103">IF(AN88=21,J88,0)</f>
        <v>0</v>
      </c>
      <c r="AN88" s="131">
        <v>21</v>
      </c>
      <c r="AO88" s="131">
        <f>G88*0.010795585</f>
        <v>0</v>
      </c>
      <c r="AP88" s="131">
        <f>G88*(1-0.010795585)</f>
        <v>0</v>
      </c>
      <c r="AQ88" s="132" t="s">
        <v>76</v>
      </c>
      <c r="AV88" s="131">
        <f t="shared" ref="AV88:AV93" si="104">AW88+AX88</f>
        <v>0</v>
      </c>
      <c r="AW88" s="131">
        <f t="shared" ref="AW88:AW93" si="105">F88*AO88</f>
        <v>0</v>
      </c>
      <c r="AX88" s="131">
        <f t="shared" ref="AX88:AX93" si="106">F88*AP88</f>
        <v>0</v>
      </c>
      <c r="AY88" s="132" t="s">
        <v>331</v>
      </c>
      <c r="AZ88" s="132" t="s">
        <v>275</v>
      </c>
      <c r="BA88" s="115" t="s">
        <v>63</v>
      </c>
      <c r="BC88" s="131">
        <f t="shared" ref="BC88:BC93" si="107">AW88+AX88</f>
        <v>0</v>
      </c>
      <c r="BD88" s="131">
        <f t="shared" ref="BD88:BD93" si="108">G88/(100-BE88)*100</f>
        <v>0</v>
      </c>
      <c r="BE88" s="131">
        <v>0</v>
      </c>
      <c r="BF88" s="131">
        <f>88</f>
        <v>88</v>
      </c>
      <c r="BH88" s="131">
        <f t="shared" ref="BH88:BH93" si="109">F88*AO88</f>
        <v>0</v>
      </c>
      <c r="BI88" s="131">
        <f t="shared" ref="BI88:BI93" si="110">F88*AP88</f>
        <v>0</v>
      </c>
      <c r="BJ88" s="131">
        <f t="shared" ref="BJ88:BJ93" si="111">F88*G88</f>
        <v>0</v>
      </c>
      <c r="BK88" s="131"/>
      <c r="BL88" s="131"/>
      <c r="BW88" s="131">
        <v>21</v>
      </c>
      <c r="BX88" s="133" t="s">
        <v>330</v>
      </c>
    </row>
    <row r="89" spans="1:76" x14ac:dyDescent="0.25">
      <c r="A89" s="127" t="s">
        <v>280</v>
      </c>
      <c r="B89" s="128" t="s">
        <v>333</v>
      </c>
      <c r="C89" s="277" t="s">
        <v>334</v>
      </c>
      <c r="D89" s="278"/>
      <c r="E89" s="128" t="s">
        <v>122</v>
      </c>
      <c r="F89" s="129">
        <v>209.46</v>
      </c>
      <c r="G89" s="178">
        <v>0</v>
      </c>
      <c r="H89" s="129">
        <f t="shared" si="90"/>
        <v>0</v>
      </c>
      <c r="I89" s="129">
        <f t="shared" si="91"/>
        <v>0</v>
      </c>
      <c r="J89" s="129">
        <f t="shared" si="92"/>
        <v>0</v>
      </c>
      <c r="K89" s="130" t="s">
        <v>60</v>
      </c>
      <c r="Z89" s="131">
        <f t="shared" si="93"/>
        <v>0</v>
      </c>
      <c r="AB89" s="131">
        <f t="shared" si="94"/>
        <v>0</v>
      </c>
      <c r="AC89" s="131">
        <f t="shared" si="95"/>
        <v>0</v>
      </c>
      <c r="AD89" s="131">
        <f t="shared" si="96"/>
        <v>0</v>
      </c>
      <c r="AE89" s="131">
        <f t="shared" si="97"/>
        <v>0</v>
      </c>
      <c r="AF89" s="131">
        <f t="shared" si="98"/>
        <v>0</v>
      </c>
      <c r="AG89" s="131">
        <f t="shared" si="99"/>
        <v>0</v>
      </c>
      <c r="AH89" s="131">
        <f t="shared" si="100"/>
        <v>0</v>
      </c>
      <c r="AI89" s="115" t="s">
        <v>53</v>
      </c>
      <c r="AJ89" s="131">
        <f t="shared" si="101"/>
        <v>0</v>
      </c>
      <c r="AK89" s="131">
        <f t="shared" si="102"/>
        <v>0</v>
      </c>
      <c r="AL89" s="131">
        <f t="shared" si="103"/>
        <v>0</v>
      </c>
      <c r="AN89" s="131">
        <v>21</v>
      </c>
      <c r="AO89" s="131">
        <f>G89*0</f>
        <v>0</v>
      </c>
      <c r="AP89" s="131">
        <f>G89*(1-0)</f>
        <v>0</v>
      </c>
      <c r="AQ89" s="132" t="s">
        <v>76</v>
      </c>
      <c r="AV89" s="131">
        <f t="shared" si="104"/>
        <v>0</v>
      </c>
      <c r="AW89" s="131">
        <f t="shared" si="105"/>
        <v>0</v>
      </c>
      <c r="AX89" s="131">
        <f t="shared" si="106"/>
        <v>0</v>
      </c>
      <c r="AY89" s="132" t="s">
        <v>331</v>
      </c>
      <c r="AZ89" s="132" t="s">
        <v>275</v>
      </c>
      <c r="BA89" s="115" t="s">
        <v>63</v>
      </c>
      <c r="BC89" s="131">
        <f t="shared" si="107"/>
        <v>0</v>
      </c>
      <c r="BD89" s="131">
        <f t="shared" si="108"/>
        <v>0</v>
      </c>
      <c r="BE89" s="131">
        <v>0</v>
      </c>
      <c r="BF89" s="131">
        <f>89</f>
        <v>89</v>
      </c>
      <c r="BH89" s="131">
        <f t="shared" si="109"/>
        <v>0</v>
      </c>
      <c r="BI89" s="131">
        <f t="shared" si="110"/>
        <v>0</v>
      </c>
      <c r="BJ89" s="131">
        <f t="shared" si="111"/>
        <v>0</v>
      </c>
      <c r="BK89" s="131"/>
      <c r="BL89" s="131"/>
      <c r="BW89" s="131">
        <v>21</v>
      </c>
      <c r="BX89" s="133" t="s">
        <v>334</v>
      </c>
    </row>
    <row r="90" spans="1:76" ht="25.5" x14ac:dyDescent="0.25">
      <c r="A90" s="134" t="s">
        <v>283</v>
      </c>
      <c r="B90" s="135" t="s">
        <v>336</v>
      </c>
      <c r="C90" s="270" t="s">
        <v>337</v>
      </c>
      <c r="D90" s="271"/>
      <c r="E90" s="135" t="s">
        <v>122</v>
      </c>
      <c r="F90" s="131">
        <v>34.909999999999997</v>
      </c>
      <c r="G90" s="179">
        <v>0</v>
      </c>
      <c r="H90" s="131">
        <f t="shared" si="90"/>
        <v>0</v>
      </c>
      <c r="I90" s="131">
        <f t="shared" si="91"/>
        <v>0</v>
      </c>
      <c r="J90" s="131">
        <f t="shared" si="92"/>
        <v>0</v>
      </c>
      <c r="K90" s="136" t="s">
        <v>60</v>
      </c>
      <c r="Z90" s="131">
        <f t="shared" si="93"/>
        <v>0</v>
      </c>
      <c r="AB90" s="131">
        <f t="shared" si="94"/>
        <v>0</v>
      </c>
      <c r="AC90" s="131">
        <f t="shared" si="95"/>
        <v>0</v>
      </c>
      <c r="AD90" s="131">
        <f t="shared" si="96"/>
        <v>0</v>
      </c>
      <c r="AE90" s="131">
        <f t="shared" si="97"/>
        <v>0</v>
      </c>
      <c r="AF90" s="131">
        <f t="shared" si="98"/>
        <v>0</v>
      </c>
      <c r="AG90" s="131">
        <f t="shared" si="99"/>
        <v>0</v>
      </c>
      <c r="AH90" s="131">
        <f t="shared" si="100"/>
        <v>0</v>
      </c>
      <c r="AI90" s="115" t="s">
        <v>53</v>
      </c>
      <c r="AJ90" s="131">
        <f t="shared" si="101"/>
        <v>0</v>
      </c>
      <c r="AK90" s="131">
        <f t="shared" si="102"/>
        <v>0</v>
      </c>
      <c r="AL90" s="131">
        <f t="shared" si="103"/>
        <v>0</v>
      </c>
      <c r="AN90" s="131">
        <v>21</v>
      </c>
      <c r="AO90" s="131">
        <f>G90*0</f>
        <v>0</v>
      </c>
      <c r="AP90" s="131">
        <f>G90*(1-0)</f>
        <v>0</v>
      </c>
      <c r="AQ90" s="132" t="s">
        <v>76</v>
      </c>
      <c r="AV90" s="131">
        <f t="shared" si="104"/>
        <v>0</v>
      </c>
      <c r="AW90" s="131">
        <f t="shared" si="105"/>
        <v>0</v>
      </c>
      <c r="AX90" s="131">
        <f t="shared" si="106"/>
        <v>0</v>
      </c>
      <c r="AY90" s="132" t="s">
        <v>331</v>
      </c>
      <c r="AZ90" s="132" t="s">
        <v>275</v>
      </c>
      <c r="BA90" s="115" t="s">
        <v>63</v>
      </c>
      <c r="BC90" s="131">
        <f t="shared" si="107"/>
        <v>0</v>
      </c>
      <c r="BD90" s="131">
        <f t="shared" si="108"/>
        <v>0</v>
      </c>
      <c r="BE90" s="131">
        <v>0</v>
      </c>
      <c r="BF90" s="131">
        <f>90</f>
        <v>90</v>
      </c>
      <c r="BH90" s="131">
        <f t="shared" si="109"/>
        <v>0</v>
      </c>
      <c r="BI90" s="131">
        <f t="shared" si="110"/>
        <v>0</v>
      </c>
      <c r="BJ90" s="131">
        <f t="shared" si="111"/>
        <v>0</v>
      </c>
      <c r="BK90" s="131"/>
      <c r="BL90" s="131"/>
      <c r="BW90" s="131">
        <v>21</v>
      </c>
      <c r="BX90" s="133" t="s">
        <v>337</v>
      </c>
    </row>
    <row r="91" spans="1:76" x14ac:dyDescent="0.25">
      <c r="A91" s="127" t="s">
        <v>232</v>
      </c>
      <c r="B91" s="128" t="s">
        <v>329</v>
      </c>
      <c r="C91" s="277" t="s">
        <v>639</v>
      </c>
      <c r="D91" s="278"/>
      <c r="E91" s="128" t="s">
        <v>122</v>
      </c>
      <c r="F91" s="129">
        <v>44.87</v>
      </c>
      <c r="G91" s="178">
        <v>0</v>
      </c>
      <c r="H91" s="129">
        <f t="shared" si="90"/>
        <v>0</v>
      </c>
      <c r="I91" s="129">
        <f t="shared" si="91"/>
        <v>0</v>
      </c>
      <c r="J91" s="129">
        <f t="shared" si="92"/>
        <v>0</v>
      </c>
      <c r="K91" s="130" t="s">
        <v>60</v>
      </c>
      <c r="Z91" s="131">
        <f t="shared" si="93"/>
        <v>0</v>
      </c>
      <c r="AB91" s="131">
        <f t="shared" si="94"/>
        <v>0</v>
      </c>
      <c r="AC91" s="131">
        <f t="shared" si="95"/>
        <v>0</v>
      </c>
      <c r="AD91" s="131">
        <f t="shared" si="96"/>
        <v>0</v>
      </c>
      <c r="AE91" s="131">
        <f t="shared" si="97"/>
        <v>0</v>
      </c>
      <c r="AF91" s="131">
        <f t="shared" si="98"/>
        <v>0</v>
      </c>
      <c r="AG91" s="131">
        <f t="shared" si="99"/>
        <v>0</v>
      </c>
      <c r="AH91" s="131">
        <f t="shared" si="100"/>
        <v>0</v>
      </c>
      <c r="AI91" s="115" t="s">
        <v>53</v>
      </c>
      <c r="AJ91" s="131">
        <f t="shared" si="101"/>
        <v>0</v>
      </c>
      <c r="AK91" s="131">
        <f t="shared" si="102"/>
        <v>0</v>
      </c>
      <c r="AL91" s="131">
        <f t="shared" si="103"/>
        <v>0</v>
      </c>
      <c r="AN91" s="131">
        <v>21</v>
      </c>
      <c r="AO91" s="131">
        <f>G91*0.010795586</f>
        <v>0</v>
      </c>
      <c r="AP91" s="131">
        <f>G91*(1-0.010795586)</f>
        <v>0</v>
      </c>
      <c r="AQ91" s="132" t="s">
        <v>76</v>
      </c>
      <c r="AV91" s="131">
        <f t="shared" si="104"/>
        <v>0</v>
      </c>
      <c r="AW91" s="131">
        <f t="shared" si="105"/>
        <v>0</v>
      </c>
      <c r="AX91" s="131">
        <f t="shared" si="106"/>
        <v>0</v>
      </c>
      <c r="AY91" s="132" t="s">
        <v>331</v>
      </c>
      <c r="AZ91" s="132" t="s">
        <v>275</v>
      </c>
      <c r="BA91" s="115" t="s">
        <v>63</v>
      </c>
      <c r="BC91" s="131">
        <f t="shared" si="107"/>
        <v>0</v>
      </c>
      <c r="BD91" s="131">
        <f t="shared" si="108"/>
        <v>0</v>
      </c>
      <c r="BE91" s="131">
        <v>0</v>
      </c>
      <c r="BF91" s="131">
        <f>91</f>
        <v>91</v>
      </c>
      <c r="BH91" s="131">
        <f t="shared" si="109"/>
        <v>0</v>
      </c>
      <c r="BI91" s="131">
        <f t="shared" si="110"/>
        <v>0</v>
      </c>
      <c r="BJ91" s="131">
        <f t="shared" si="111"/>
        <v>0</v>
      </c>
      <c r="BK91" s="131"/>
      <c r="BL91" s="131"/>
      <c r="BW91" s="131">
        <v>21</v>
      </c>
      <c r="BX91" s="133" t="s">
        <v>639</v>
      </c>
    </row>
    <row r="92" spans="1:76" x14ac:dyDescent="0.25">
      <c r="A92" s="127" t="s">
        <v>287</v>
      </c>
      <c r="B92" s="128" t="s">
        <v>333</v>
      </c>
      <c r="C92" s="277" t="s">
        <v>640</v>
      </c>
      <c r="D92" s="278"/>
      <c r="E92" s="128" t="s">
        <v>122</v>
      </c>
      <c r="F92" s="129">
        <v>269.22000000000003</v>
      </c>
      <c r="G92" s="178">
        <v>0</v>
      </c>
      <c r="H92" s="129">
        <f t="shared" si="90"/>
        <v>0</v>
      </c>
      <c r="I92" s="129">
        <f t="shared" si="91"/>
        <v>0</v>
      </c>
      <c r="J92" s="129">
        <f t="shared" si="92"/>
        <v>0</v>
      </c>
      <c r="K92" s="130" t="s">
        <v>60</v>
      </c>
      <c r="Z92" s="131">
        <f t="shared" si="93"/>
        <v>0</v>
      </c>
      <c r="AB92" s="131">
        <f t="shared" si="94"/>
        <v>0</v>
      </c>
      <c r="AC92" s="131">
        <f t="shared" si="95"/>
        <v>0</v>
      </c>
      <c r="AD92" s="131">
        <f t="shared" si="96"/>
        <v>0</v>
      </c>
      <c r="AE92" s="131">
        <f t="shared" si="97"/>
        <v>0</v>
      </c>
      <c r="AF92" s="131">
        <f t="shared" si="98"/>
        <v>0</v>
      </c>
      <c r="AG92" s="131">
        <f t="shared" si="99"/>
        <v>0</v>
      </c>
      <c r="AH92" s="131">
        <f t="shared" si="100"/>
        <v>0</v>
      </c>
      <c r="AI92" s="115" t="s">
        <v>53</v>
      </c>
      <c r="AJ92" s="131">
        <f t="shared" si="101"/>
        <v>0</v>
      </c>
      <c r="AK92" s="131">
        <f t="shared" si="102"/>
        <v>0</v>
      </c>
      <c r="AL92" s="131">
        <f t="shared" si="103"/>
        <v>0</v>
      </c>
      <c r="AN92" s="131">
        <v>21</v>
      </c>
      <c r="AO92" s="131">
        <f>G92*0</f>
        <v>0</v>
      </c>
      <c r="AP92" s="131">
        <f>G92*(1-0)</f>
        <v>0</v>
      </c>
      <c r="AQ92" s="132" t="s">
        <v>76</v>
      </c>
      <c r="AV92" s="131">
        <f t="shared" si="104"/>
        <v>0</v>
      </c>
      <c r="AW92" s="131">
        <f t="shared" si="105"/>
        <v>0</v>
      </c>
      <c r="AX92" s="131">
        <f t="shared" si="106"/>
        <v>0</v>
      </c>
      <c r="AY92" s="132" t="s">
        <v>331</v>
      </c>
      <c r="AZ92" s="132" t="s">
        <v>275</v>
      </c>
      <c r="BA92" s="115" t="s">
        <v>63</v>
      </c>
      <c r="BC92" s="131">
        <f t="shared" si="107"/>
        <v>0</v>
      </c>
      <c r="BD92" s="131">
        <f t="shared" si="108"/>
        <v>0</v>
      </c>
      <c r="BE92" s="131">
        <v>0</v>
      </c>
      <c r="BF92" s="131">
        <f>92</f>
        <v>92</v>
      </c>
      <c r="BH92" s="131">
        <f t="shared" si="109"/>
        <v>0</v>
      </c>
      <c r="BI92" s="131">
        <f t="shared" si="110"/>
        <v>0</v>
      </c>
      <c r="BJ92" s="131">
        <f t="shared" si="111"/>
        <v>0</v>
      </c>
      <c r="BK92" s="131"/>
      <c r="BL92" s="131"/>
      <c r="BW92" s="131">
        <v>21</v>
      </c>
      <c r="BX92" s="133" t="s">
        <v>640</v>
      </c>
    </row>
    <row r="93" spans="1:76" x14ac:dyDescent="0.25">
      <c r="A93" s="134" t="s">
        <v>290</v>
      </c>
      <c r="B93" s="135" t="s">
        <v>641</v>
      </c>
      <c r="C93" s="270" t="s">
        <v>642</v>
      </c>
      <c r="D93" s="271"/>
      <c r="E93" s="135" t="s">
        <v>122</v>
      </c>
      <c r="F93" s="131">
        <v>44.87</v>
      </c>
      <c r="G93" s="179">
        <v>0</v>
      </c>
      <c r="H93" s="131">
        <f t="shared" si="90"/>
        <v>0</v>
      </c>
      <c r="I93" s="131">
        <f t="shared" si="91"/>
        <v>0</v>
      </c>
      <c r="J93" s="131">
        <f t="shared" si="92"/>
        <v>0</v>
      </c>
      <c r="K93" s="136" t="s">
        <v>60</v>
      </c>
      <c r="Z93" s="131">
        <f t="shared" si="93"/>
        <v>0</v>
      </c>
      <c r="AB93" s="131">
        <f t="shared" si="94"/>
        <v>0</v>
      </c>
      <c r="AC93" s="131">
        <f t="shared" si="95"/>
        <v>0</v>
      </c>
      <c r="AD93" s="131">
        <f t="shared" si="96"/>
        <v>0</v>
      </c>
      <c r="AE93" s="131">
        <f t="shared" si="97"/>
        <v>0</v>
      </c>
      <c r="AF93" s="131">
        <f t="shared" si="98"/>
        <v>0</v>
      </c>
      <c r="AG93" s="131">
        <f t="shared" si="99"/>
        <v>0</v>
      </c>
      <c r="AH93" s="131">
        <f t="shared" si="100"/>
        <v>0</v>
      </c>
      <c r="AI93" s="115" t="s">
        <v>53</v>
      </c>
      <c r="AJ93" s="131">
        <f t="shared" si="101"/>
        <v>0</v>
      </c>
      <c r="AK93" s="131">
        <f t="shared" si="102"/>
        <v>0</v>
      </c>
      <c r="AL93" s="131">
        <f t="shared" si="103"/>
        <v>0</v>
      </c>
      <c r="AN93" s="131">
        <v>21</v>
      </c>
      <c r="AO93" s="131">
        <f>G93*0</f>
        <v>0</v>
      </c>
      <c r="AP93" s="131">
        <f>G93*(1-0)</f>
        <v>0</v>
      </c>
      <c r="AQ93" s="132" t="s">
        <v>76</v>
      </c>
      <c r="AV93" s="131">
        <f t="shared" si="104"/>
        <v>0</v>
      </c>
      <c r="AW93" s="131">
        <f t="shared" si="105"/>
        <v>0</v>
      </c>
      <c r="AX93" s="131">
        <f t="shared" si="106"/>
        <v>0</v>
      </c>
      <c r="AY93" s="132" t="s">
        <v>331</v>
      </c>
      <c r="AZ93" s="132" t="s">
        <v>275</v>
      </c>
      <c r="BA93" s="115" t="s">
        <v>63</v>
      </c>
      <c r="BC93" s="131">
        <f t="shared" si="107"/>
        <v>0</v>
      </c>
      <c r="BD93" s="131">
        <f t="shared" si="108"/>
        <v>0</v>
      </c>
      <c r="BE93" s="131">
        <v>0</v>
      </c>
      <c r="BF93" s="131">
        <f>93</f>
        <v>93</v>
      </c>
      <c r="BH93" s="131">
        <f t="shared" si="109"/>
        <v>0</v>
      </c>
      <c r="BI93" s="131">
        <f t="shared" si="110"/>
        <v>0</v>
      </c>
      <c r="BJ93" s="131">
        <f t="shared" si="111"/>
        <v>0</v>
      </c>
      <c r="BK93" s="131"/>
      <c r="BL93" s="131"/>
      <c r="BW93" s="131">
        <v>21</v>
      </c>
      <c r="BX93" s="133" t="s">
        <v>642</v>
      </c>
    </row>
    <row r="94" spans="1:76" x14ac:dyDescent="0.25">
      <c r="A94" s="123" t="s">
        <v>53</v>
      </c>
      <c r="B94" s="124" t="s">
        <v>338</v>
      </c>
      <c r="C94" s="272" t="s">
        <v>339</v>
      </c>
      <c r="D94" s="273"/>
      <c r="E94" s="125" t="s">
        <v>9</v>
      </c>
      <c r="F94" s="125" t="s">
        <v>9</v>
      </c>
      <c r="G94" s="125" t="s">
        <v>9</v>
      </c>
      <c r="H94" s="110">
        <f>SUM(H95:H117)</f>
        <v>0</v>
      </c>
      <c r="I94" s="110">
        <f>SUM(I95:I117)</f>
        <v>0</v>
      </c>
      <c r="J94" s="110">
        <f>SUM(J95:J117)</f>
        <v>0</v>
      </c>
      <c r="K94" s="126" t="s">
        <v>53</v>
      </c>
      <c r="AI94" s="115" t="s">
        <v>53</v>
      </c>
      <c r="AS94" s="110">
        <f>SUM(AJ95:AJ117)</f>
        <v>0</v>
      </c>
      <c r="AT94" s="110">
        <f>SUM(AK95:AK117)</f>
        <v>0</v>
      </c>
      <c r="AU94" s="110">
        <f>SUM(AL95:AL117)</f>
        <v>0</v>
      </c>
    </row>
    <row r="95" spans="1:76" x14ac:dyDescent="0.25">
      <c r="A95" s="127" t="s">
        <v>293</v>
      </c>
      <c r="B95" s="128" t="s">
        <v>643</v>
      </c>
      <c r="C95" s="277" t="s">
        <v>644</v>
      </c>
      <c r="D95" s="278"/>
      <c r="E95" s="128" t="s">
        <v>164</v>
      </c>
      <c r="F95" s="129">
        <v>63</v>
      </c>
      <c r="G95" s="178">
        <v>0</v>
      </c>
      <c r="H95" s="129">
        <f t="shared" ref="H95:H117" si="112">F95*AO95</f>
        <v>0</v>
      </c>
      <c r="I95" s="129">
        <f t="shared" ref="I95:I117" si="113">F95*AP95</f>
        <v>0</v>
      </c>
      <c r="J95" s="129">
        <f t="shared" ref="J95:J117" si="114">F95*G95</f>
        <v>0</v>
      </c>
      <c r="K95" s="130" t="s">
        <v>60</v>
      </c>
      <c r="Z95" s="131">
        <f t="shared" ref="Z95:Z117" si="115">IF(AQ95="5",BJ95,0)</f>
        <v>0</v>
      </c>
      <c r="AB95" s="131">
        <f t="shared" ref="AB95:AB117" si="116">IF(AQ95="1",BH95,0)</f>
        <v>0</v>
      </c>
      <c r="AC95" s="131">
        <f t="shared" ref="AC95:AC117" si="117">IF(AQ95="1",BI95,0)</f>
        <v>0</v>
      </c>
      <c r="AD95" s="131">
        <f t="shared" ref="AD95:AD117" si="118">IF(AQ95="7",BH95,0)</f>
        <v>0</v>
      </c>
      <c r="AE95" s="131">
        <f t="shared" ref="AE95:AE117" si="119">IF(AQ95="7",BI95,0)</f>
        <v>0</v>
      </c>
      <c r="AF95" s="131">
        <f t="shared" ref="AF95:AF117" si="120">IF(AQ95="2",BH95,0)</f>
        <v>0</v>
      </c>
      <c r="AG95" s="131">
        <f t="shared" ref="AG95:AG117" si="121">IF(AQ95="2",BI95,0)</f>
        <v>0</v>
      </c>
      <c r="AH95" s="131">
        <f t="shared" ref="AH95:AH117" si="122">IF(AQ95="0",BJ95,0)</f>
        <v>0</v>
      </c>
      <c r="AI95" s="115" t="s">
        <v>53</v>
      </c>
      <c r="AJ95" s="131">
        <f t="shared" ref="AJ95:AJ117" si="123">IF(AN95=0,J95,0)</f>
        <v>0</v>
      </c>
      <c r="AK95" s="131">
        <f t="shared" ref="AK95:AK117" si="124">IF(AN95=12,J95,0)</f>
        <v>0</v>
      </c>
      <c r="AL95" s="131">
        <f t="shared" ref="AL95:AL117" si="125">IF(AN95=21,J95,0)</f>
        <v>0</v>
      </c>
      <c r="AN95" s="131">
        <v>21</v>
      </c>
      <c r="AO95" s="131">
        <f t="shared" ref="AO95:AO117" si="126">G95*1</f>
        <v>0</v>
      </c>
      <c r="AP95" s="131">
        <f t="shared" ref="AP95:AP117" si="127">G95*(1-1)</f>
        <v>0</v>
      </c>
      <c r="AQ95" s="132" t="s">
        <v>343</v>
      </c>
      <c r="AV95" s="131">
        <f t="shared" ref="AV95:AV117" si="128">AW95+AX95</f>
        <v>0</v>
      </c>
      <c r="AW95" s="131">
        <f t="shared" ref="AW95:AW117" si="129">F95*AO95</f>
        <v>0</v>
      </c>
      <c r="AX95" s="131">
        <f t="shared" ref="AX95:AX117" si="130">F95*AP95</f>
        <v>0</v>
      </c>
      <c r="AY95" s="132" t="s">
        <v>344</v>
      </c>
      <c r="AZ95" s="132" t="s">
        <v>345</v>
      </c>
      <c r="BA95" s="115" t="s">
        <v>63</v>
      </c>
      <c r="BC95" s="131">
        <f t="shared" ref="BC95:BC117" si="131">AW95+AX95</f>
        <v>0</v>
      </c>
      <c r="BD95" s="131">
        <f t="shared" ref="BD95:BD117" si="132">G95/(100-BE95)*100</f>
        <v>0</v>
      </c>
      <c r="BE95" s="131">
        <v>0</v>
      </c>
      <c r="BF95" s="131">
        <f>95</f>
        <v>95</v>
      </c>
      <c r="BH95" s="131">
        <f t="shared" ref="BH95:BH117" si="133">F95*AO95</f>
        <v>0</v>
      </c>
      <c r="BI95" s="131">
        <f t="shared" ref="BI95:BI117" si="134">F95*AP95</f>
        <v>0</v>
      </c>
      <c r="BJ95" s="131">
        <f t="shared" ref="BJ95:BJ117" si="135">F95*G95</f>
        <v>0</v>
      </c>
      <c r="BK95" s="131"/>
      <c r="BL95" s="131"/>
      <c r="BW95" s="131">
        <v>21</v>
      </c>
      <c r="BX95" s="133" t="s">
        <v>644</v>
      </c>
    </row>
    <row r="96" spans="1:76" x14ac:dyDescent="0.25">
      <c r="A96" s="127" t="s">
        <v>296</v>
      </c>
      <c r="B96" s="128" t="s">
        <v>347</v>
      </c>
      <c r="C96" s="277" t="s">
        <v>348</v>
      </c>
      <c r="D96" s="278"/>
      <c r="E96" s="128" t="s">
        <v>164</v>
      </c>
      <c r="F96" s="129">
        <v>8</v>
      </c>
      <c r="G96" s="178">
        <v>0</v>
      </c>
      <c r="H96" s="129">
        <f t="shared" si="112"/>
        <v>0</v>
      </c>
      <c r="I96" s="129">
        <f t="shared" si="113"/>
        <v>0</v>
      </c>
      <c r="J96" s="129">
        <f t="shared" si="114"/>
        <v>0</v>
      </c>
      <c r="K96" s="130" t="s">
        <v>60</v>
      </c>
      <c r="Z96" s="131">
        <f t="shared" si="115"/>
        <v>0</v>
      </c>
      <c r="AB96" s="131">
        <f t="shared" si="116"/>
        <v>0</v>
      </c>
      <c r="AC96" s="131">
        <f t="shared" si="117"/>
        <v>0</v>
      </c>
      <c r="AD96" s="131">
        <f t="shared" si="118"/>
        <v>0</v>
      </c>
      <c r="AE96" s="131">
        <f t="shared" si="119"/>
        <v>0</v>
      </c>
      <c r="AF96" s="131">
        <f t="shared" si="120"/>
        <v>0</v>
      </c>
      <c r="AG96" s="131">
        <f t="shared" si="121"/>
        <v>0</v>
      </c>
      <c r="AH96" s="131">
        <f t="shared" si="122"/>
        <v>0</v>
      </c>
      <c r="AI96" s="115" t="s">
        <v>53</v>
      </c>
      <c r="AJ96" s="131">
        <f t="shared" si="123"/>
        <v>0</v>
      </c>
      <c r="AK96" s="131">
        <f t="shared" si="124"/>
        <v>0</v>
      </c>
      <c r="AL96" s="131">
        <f t="shared" si="125"/>
        <v>0</v>
      </c>
      <c r="AN96" s="131">
        <v>21</v>
      </c>
      <c r="AO96" s="131">
        <f t="shared" si="126"/>
        <v>0</v>
      </c>
      <c r="AP96" s="131">
        <f t="shared" si="127"/>
        <v>0</v>
      </c>
      <c r="AQ96" s="132" t="s">
        <v>343</v>
      </c>
      <c r="AV96" s="131">
        <f t="shared" si="128"/>
        <v>0</v>
      </c>
      <c r="AW96" s="131">
        <f t="shared" si="129"/>
        <v>0</v>
      </c>
      <c r="AX96" s="131">
        <f t="shared" si="130"/>
        <v>0</v>
      </c>
      <c r="AY96" s="132" t="s">
        <v>344</v>
      </c>
      <c r="AZ96" s="132" t="s">
        <v>345</v>
      </c>
      <c r="BA96" s="115" t="s">
        <v>63</v>
      </c>
      <c r="BC96" s="131">
        <f t="shared" si="131"/>
        <v>0</v>
      </c>
      <c r="BD96" s="131">
        <f t="shared" si="132"/>
        <v>0</v>
      </c>
      <c r="BE96" s="131">
        <v>0</v>
      </c>
      <c r="BF96" s="131">
        <f>96</f>
        <v>96</v>
      </c>
      <c r="BH96" s="131">
        <f t="shared" si="133"/>
        <v>0</v>
      </c>
      <c r="BI96" s="131">
        <f t="shared" si="134"/>
        <v>0</v>
      </c>
      <c r="BJ96" s="131">
        <f t="shared" si="135"/>
        <v>0</v>
      </c>
      <c r="BK96" s="131"/>
      <c r="BL96" s="131"/>
      <c r="BW96" s="131">
        <v>21</v>
      </c>
      <c r="BX96" s="133" t="s">
        <v>348</v>
      </c>
    </row>
    <row r="97" spans="1:76" x14ac:dyDescent="0.25">
      <c r="A97" s="127" t="s">
        <v>301</v>
      </c>
      <c r="B97" s="128" t="s">
        <v>350</v>
      </c>
      <c r="C97" s="277" t="s">
        <v>351</v>
      </c>
      <c r="D97" s="278"/>
      <c r="E97" s="128" t="s">
        <v>164</v>
      </c>
      <c r="F97" s="129">
        <v>7</v>
      </c>
      <c r="G97" s="178">
        <v>0</v>
      </c>
      <c r="H97" s="129">
        <f t="shared" si="112"/>
        <v>0</v>
      </c>
      <c r="I97" s="129">
        <f t="shared" si="113"/>
        <v>0</v>
      </c>
      <c r="J97" s="129">
        <f t="shared" si="114"/>
        <v>0</v>
      </c>
      <c r="K97" s="130" t="s">
        <v>60</v>
      </c>
      <c r="Z97" s="131">
        <f t="shared" si="115"/>
        <v>0</v>
      </c>
      <c r="AB97" s="131">
        <f t="shared" si="116"/>
        <v>0</v>
      </c>
      <c r="AC97" s="131">
        <f t="shared" si="117"/>
        <v>0</v>
      </c>
      <c r="AD97" s="131">
        <f t="shared" si="118"/>
        <v>0</v>
      </c>
      <c r="AE97" s="131">
        <f t="shared" si="119"/>
        <v>0</v>
      </c>
      <c r="AF97" s="131">
        <f t="shared" si="120"/>
        <v>0</v>
      </c>
      <c r="AG97" s="131">
        <f t="shared" si="121"/>
        <v>0</v>
      </c>
      <c r="AH97" s="131">
        <f t="shared" si="122"/>
        <v>0</v>
      </c>
      <c r="AI97" s="115" t="s">
        <v>53</v>
      </c>
      <c r="AJ97" s="131">
        <f t="shared" si="123"/>
        <v>0</v>
      </c>
      <c r="AK97" s="131">
        <f t="shared" si="124"/>
        <v>0</v>
      </c>
      <c r="AL97" s="131">
        <f t="shared" si="125"/>
        <v>0</v>
      </c>
      <c r="AN97" s="131">
        <v>21</v>
      </c>
      <c r="AO97" s="131">
        <f t="shared" si="126"/>
        <v>0</v>
      </c>
      <c r="AP97" s="131">
        <f t="shared" si="127"/>
        <v>0</v>
      </c>
      <c r="AQ97" s="132" t="s">
        <v>343</v>
      </c>
      <c r="AV97" s="131">
        <f t="shared" si="128"/>
        <v>0</v>
      </c>
      <c r="AW97" s="131">
        <f t="shared" si="129"/>
        <v>0</v>
      </c>
      <c r="AX97" s="131">
        <f t="shared" si="130"/>
        <v>0</v>
      </c>
      <c r="AY97" s="132" t="s">
        <v>344</v>
      </c>
      <c r="AZ97" s="132" t="s">
        <v>345</v>
      </c>
      <c r="BA97" s="115" t="s">
        <v>63</v>
      </c>
      <c r="BC97" s="131">
        <f t="shared" si="131"/>
        <v>0</v>
      </c>
      <c r="BD97" s="131">
        <f t="shared" si="132"/>
        <v>0</v>
      </c>
      <c r="BE97" s="131">
        <v>0</v>
      </c>
      <c r="BF97" s="131">
        <f>97</f>
        <v>97</v>
      </c>
      <c r="BH97" s="131">
        <f t="shared" si="133"/>
        <v>0</v>
      </c>
      <c r="BI97" s="131">
        <f t="shared" si="134"/>
        <v>0</v>
      </c>
      <c r="BJ97" s="131">
        <f t="shared" si="135"/>
        <v>0</v>
      </c>
      <c r="BK97" s="131"/>
      <c r="BL97" s="131"/>
      <c r="BW97" s="131">
        <v>21</v>
      </c>
      <c r="BX97" s="133" t="s">
        <v>351</v>
      </c>
    </row>
    <row r="98" spans="1:76" x14ac:dyDescent="0.25">
      <c r="A98" s="127" t="s">
        <v>307</v>
      </c>
      <c r="B98" s="128" t="s">
        <v>353</v>
      </c>
      <c r="C98" s="277" t="s">
        <v>354</v>
      </c>
      <c r="D98" s="278"/>
      <c r="E98" s="128" t="s">
        <v>164</v>
      </c>
      <c r="F98" s="129">
        <v>56</v>
      </c>
      <c r="G98" s="178">
        <v>0</v>
      </c>
      <c r="H98" s="129">
        <f t="shared" si="112"/>
        <v>0</v>
      </c>
      <c r="I98" s="129">
        <f t="shared" si="113"/>
        <v>0</v>
      </c>
      <c r="J98" s="129">
        <f t="shared" si="114"/>
        <v>0</v>
      </c>
      <c r="K98" s="130" t="s">
        <v>60</v>
      </c>
      <c r="Z98" s="131">
        <f t="shared" si="115"/>
        <v>0</v>
      </c>
      <c r="AB98" s="131">
        <f t="shared" si="116"/>
        <v>0</v>
      </c>
      <c r="AC98" s="131">
        <f t="shared" si="117"/>
        <v>0</v>
      </c>
      <c r="AD98" s="131">
        <f t="shared" si="118"/>
        <v>0</v>
      </c>
      <c r="AE98" s="131">
        <f t="shared" si="119"/>
        <v>0</v>
      </c>
      <c r="AF98" s="131">
        <f t="shared" si="120"/>
        <v>0</v>
      </c>
      <c r="AG98" s="131">
        <f t="shared" si="121"/>
        <v>0</v>
      </c>
      <c r="AH98" s="131">
        <f t="shared" si="122"/>
        <v>0</v>
      </c>
      <c r="AI98" s="115" t="s">
        <v>53</v>
      </c>
      <c r="AJ98" s="131">
        <f t="shared" si="123"/>
        <v>0</v>
      </c>
      <c r="AK98" s="131">
        <f t="shared" si="124"/>
        <v>0</v>
      </c>
      <c r="AL98" s="131">
        <f t="shared" si="125"/>
        <v>0</v>
      </c>
      <c r="AN98" s="131">
        <v>21</v>
      </c>
      <c r="AO98" s="131">
        <f t="shared" si="126"/>
        <v>0</v>
      </c>
      <c r="AP98" s="131">
        <f t="shared" si="127"/>
        <v>0</v>
      </c>
      <c r="AQ98" s="132" t="s">
        <v>343</v>
      </c>
      <c r="AV98" s="131">
        <f t="shared" si="128"/>
        <v>0</v>
      </c>
      <c r="AW98" s="131">
        <f t="shared" si="129"/>
        <v>0</v>
      </c>
      <c r="AX98" s="131">
        <f t="shared" si="130"/>
        <v>0</v>
      </c>
      <c r="AY98" s="132" t="s">
        <v>344</v>
      </c>
      <c r="AZ98" s="132" t="s">
        <v>345</v>
      </c>
      <c r="BA98" s="115" t="s">
        <v>63</v>
      </c>
      <c r="BC98" s="131">
        <f t="shared" si="131"/>
        <v>0</v>
      </c>
      <c r="BD98" s="131">
        <f t="shared" si="132"/>
        <v>0</v>
      </c>
      <c r="BE98" s="131">
        <v>0</v>
      </c>
      <c r="BF98" s="131">
        <f>98</f>
        <v>98</v>
      </c>
      <c r="BH98" s="131">
        <f t="shared" si="133"/>
        <v>0</v>
      </c>
      <c r="BI98" s="131">
        <f t="shared" si="134"/>
        <v>0</v>
      </c>
      <c r="BJ98" s="131">
        <f t="shared" si="135"/>
        <v>0</v>
      </c>
      <c r="BK98" s="131"/>
      <c r="BL98" s="131"/>
      <c r="BW98" s="131">
        <v>21</v>
      </c>
      <c r="BX98" s="133" t="s">
        <v>354</v>
      </c>
    </row>
    <row r="99" spans="1:76" x14ac:dyDescent="0.25">
      <c r="A99" s="127" t="s">
        <v>311</v>
      </c>
      <c r="B99" s="128" t="s">
        <v>356</v>
      </c>
      <c r="C99" s="277" t="s">
        <v>357</v>
      </c>
      <c r="D99" s="278"/>
      <c r="E99" s="128" t="s">
        <v>164</v>
      </c>
      <c r="F99" s="129">
        <v>243</v>
      </c>
      <c r="G99" s="178">
        <v>0</v>
      </c>
      <c r="H99" s="129">
        <f t="shared" si="112"/>
        <v>0</v>
      </c>
      <c r="I99" s="129">
        <f t="shared" si="113"/>
        <v>0</v>
      </c>
      <c r="J99" s="129">
        <f t="shared" si="114"/>
        <v>0</v>
      </c>
      <c r="K99" s="130" t="s">
        <v>60</v>
      </c>
      <c r="Z99" s="131">
        <f t="shared" si="115"/>
        <v>0</v>
      </c>
      <c r="AB99" s="131">
        <f t="shared" si="116"/>
        <v>0</v>
      </c>
      <c r="AC99" s="131">
        <f t="shared" si="117"/>
        <v>0</v>
      </c>
      <c r="AD99" s="131">
        <f t="shared" si="118"/>
        <v>0</v>
      </c>
      <c r="AE99" s="131">
        <f t="shared" si="119"/>
        <v>0</v>
      </c>
      <c r="AF99" s="131">
        <f t="shared" si="120"/>
        <v>0</v>
      </c>
      <c r="AG99" s="131">
        <f t="shared" si="121"/>
        <v>0</v>
      </c>
      <c r="AH99" s="131">
        <f t="shared" si="122"/>
        <v>0</v>
      </c>
      <c r="AI99" s="115" t="s">
        <v>53</v>
      </c>
      <c r="AJ99" s="131">
        <f t="shared" si="123"/>
        <v>0</v>
      </c>
      <c r="AK99" s="131">
        <f t="shared" si="124"/>
        <v>0</v>
      </c>
      <c r="AL99" s="131">
        <f t="shared" si="125"/>
        <v>0</v>
      </c>
      <c r="AN99" s="131">
        <v>21</v>
      </c>
      <c r="AO99" s="131">
        <f t="shared" si="126"/>
        <v>0</v>
      </c>
      <c r="AP99" s="131">
        <f t="shared" si="127"/>
        <v>0</v>
      </c>
      <c r="AQ99" s="132" t="s">
        <v>343</v>
      </c>
      <c r="AV99" s="131">
        <f t="shared" si="128"/>
        <v>0</v>
      </c>
      <c r="AW99" s="131">
        <f t="shared" si="129"/>
        <v>0</v>
      </c>
      <c r="AX99" s="131">
        <f t="shared" si="130"/>
        <v>0</v>
      </c>
      <c r="AY99" s="132" t="s">
        <v>344</v>
      </c>
      <c r="AZ99" s="132" t="s">
        <v>345</v>
      </c>
      <c r="BA99" s="115" t="s">
        <v>63</v>
      </c>
      <c r="BC99" s="131">
        <f t="shared" si="131"/>
        <v>0</v>
      </c>
      <c r="BD99" s="131">
        <f t="shared" si="132"/>
        <v>0</v>
      </c>
      <c r="BE99" s="131">
        <v>0</v>
      </c>
      <c r="BF99" s="131">
        <f>99</f>
        <v>99</v>
      </c>
      <c r="BH99" s="131">
        <f t="shared" si="133"/>
        <v>0</v>
      </c>
      <c r="BI99" s="131">
        <f t="shared" si="134"/>
        <v>0</v>
      </c>
      <c r="BJ99" s="131">
        <f t="shared" si="135"/>
        <v>0</v>
      </c>
      <c r="BK99" s="131"/>
      <c r="BL99" s="131"/>
      <c r="BW99" s="131">
        <v>21</v>
      </c>
      <c r="BX99" s="133" t="s">
        <v>357</v>
      </c>
    </row>
    <row r="100" spans="1:76" x14ac:dyDescent="0.25">
      <c r="A100" s="127" t="s">
        <v>314</v>
      </c>
      <c r="B100" s="128" t="s">
        <v>359</v>
      </c>
      <c r="C100" s="277" t="s">
        <v>360</v>
      </c>
      <c r="D100" s="278"/>
      <c r="E100" s="128" t="s">
        <v>59</v>
      </c>
      <c r="F100" s="129">
        <v>146.5</v>
      </c>
      <c r="G100" s="178">
        <v>0</v>
      </c>
      <c r="H100" s="129">
        <f t="shared" si="112"/>
        <v>0</v>
      </c>
      <c r="I100" s="129">
        <f t="shared" si="113"/>
        <v>0</v>
      </c>
      <c r="J100" s="129">
        <f t="shared" si="114"/>
        <v>0</v>
      </c>
      <c r="K100" s="130" t="s">
        <v>60</v>
      </c>
      <c r="Z100" s="131">
        <f t="shared" si="115"/>
        <v>0</v>
      </c>
      <c r="AB100" s="131">
        <f t="shared" si="116"/>
        <v>0</v>
      </c>
      <c r="AC100" s="131">
        <f t="shared" si="117"/>
        <v>0</v>
      </c>
      <c r="AD100" s="131">
        <f t="shared" si="118"/>
        <v>0</v>
      </c>
      <c r="AE100" s="131">
        <f t="shared" si="119"/>
        <v>0</v>
      </c>
      <c r="AF100" s="131">
        <f t="shared" si="120"/>
        <v>0</v>
      </c>
      <c r="AG100" s="131">
        <f t="shared" si="121"/>
        <v>0</v>
      </c>
      <c r="AH100" s="131">
        <f t="shared" si="122"/>
        <v>0</v>
      </c>
      <c r="AI100" s="115" t="s">
        <v>53</v>
      </c>
      <c r="AJ100" s="131">
        <f t="shared" si="123"/>
        <v>0</v>
      </c>
      <c r="AK100" s="131">
        <f t="shared" si="124"/>
        <v>0</v>
      </c>
      <c r="AL100" s="131">
        <f t="shared" si="125"/>
        <v>0</v>
      </c>
      <c r="AN100" s="131">
        <v>21</v>
      </c>
      <c r="AO100" s="131">
        <f t="shared" si="126"/>
        <v>0</v>
      </c>
      <c r="AP100" s="131">
        <f t="shared" si="127"/>
        <v>0</v>
      </c>
      <c r="AQ100" s="132" t="s">
        <v>343</v>
      </c>
      <c r="AV100" s="131">
        <f t="shared" si="128"/>
        <v>0</v>
      </c>
      <c r="AW100" s="131">
        <f t="shared" si="129"/>
        <v>0</v>
      </c>
      <c r="AX100" s="131">
        <f t="shared" si="130"/>
        <v>0</v>
      </c>
      <c r="AY100" s="132" t="s">
        <v>344</v>
      </c>
      <c r="AZ100" s="132" t="s">
        <v>345</v>
      </c>
      <c r="BA100" s="115" t="s">
        <v>63</v>
      </c>
      <c r="BC100" s="131">
        <f t="shared" si="131"/>
        <v>0</v>
      </c>
      <c r="BD100" s="131">
        <f t="shared" si="132"/>
        <v>0</v>
      </c>
      <c r="BE100" s="131">
        <v>0</v>
      </c>
      <c r="BF100" s="131">
        <f>100</f>
        <v>100</v>
      </c>
      <c r="BH100" s="131">
        <f t="shared" si="133"/>
        <v>0</v>
      </c>
      <c r="BI100" s="131">
        <f t="shared" si="134"/>
        <v>0</v>
      </c>
      <c r="BJ100" s="131">
        <f t="shared" si="135"/>
        <v>0</v>
      </c>
      <c r="BK100" s="131"/>
      <c r="BL100" s="131"/>
      <c r="BW100" s="131">
        <v>21</v>
      </c>
      <c r="BX100" s="133" t="s">
        <v>360</v>
      </c>
    </row>
    <row r="101" spans="1:76" x14ac:dyDescent="0.25">
      <c r="A101" s="127" t="s">
        <v>317</v>
      </c>
      <c r="B101" s="128" t="s">
        <v>362</v>
      </c>
      <c r="C101" s="277" t="s">
        <v>363</v>
      </c>
      <c r="D101" s="278"/>
      <c r="E101" s="128" t="s">
        <v>59</v>
      </c>
      <c r="F101" s="129">
        <v>19</v>
      </c>
      <c r="G101" s="178">
        <v>0</v>
      </c>
      <c r="H101" s="129">
        <f t="shared" si="112"/>
        <v>0</v>
      </c>
      <c r="I101" s="129">
        <f t="shared" si="113"/>
        <v>0</v>
      </c>
      <c r="J101" s="129">
        <f t="shared" si="114"/>
        <v>0</v>
      </c>
      <c r="K101" s="130" t="s">
        <v>60</v>
      </c>
      <c r="Z101" s="131">
        <f t="shared" si="115"/>
        <v>0</v>
      </c>
      <c r="AB101" s="131">
        <f t="shared" si="116"/>
        <v>0</v>
      </c>
      <c r="AC101" s="131">
        <f t="shared" si="117"/>
        <v>0</v>
      </c>
      <c r="AD101" s="131">
        <f t="shared" si="118"/>
        <v>0</v>
      </c>
      <c r="AE101" s="131">
        <f t="shared" si="119"/>
        <v>0</v>
      </c>
      <c r="AF101" s="131">
        <f t="shared" si="120"/>
        <v>0</v>
      </c>
      <c r="AG101" s="131">
        <f t="shared" si="121"/>
        <v>0</v>
      </c>
      <c r="AH101" s="131">
        <f t="shared" si="122"/>
        <v>0</v>
      </c>
      <c r="AI101" s="115" t="s">
        <v>53</v>
      </c>
      <c r="AJ101" s="131">
        <f t="shared" si="123"/>
        <v>0</v>
      </c>
      <c r="AK101" s="131">
        <f t="shared" si="124"/>
        <v>0</v>
      </c>
      <c r="AL101" s="131">
        <f t="shared" si="125"/>
        <v>0</v>
      </c>
      <c r="AN101" s="131">
        <v>21</v>
      </c>
      <c r="AO101" s="131">
        <f t="shared" si="126"/>
        <v>0</v>
      </c>
      <c r="AP101" s="131">
        <f t="shared" si="127"/>
        <v>0</v>
      </c>
      <c r="AQ101" s="132" t="s">
        <v>343</v>
      </c>
      <c r="AV101" s="131">
        <f t="shared" si="128"/>
        <v>0</v>
      </c>
      <c r="AW101" s="131">
        <f t="shared" si="129"/>
        <v>0</v>
      </c>
      <c r="AX101" s="131">
        <f t="shared" si="130"/>
        <v>0</v>
      </c>
      <c r="AY101" s="132" t="s">
        <v>344</v>
      </c>
      <c r="AZ101" s="132" t="s">
        <v>345</v>
      </c>
      <c r="BA101" s="115" t="s">
        <v>63</v>
      </c>
      <c r="BC101" s="131">
        <f t="shared" si="131"/>
        <v>0</v>
      </c>
      <c r="BD101" s="131">
        <f t="shared" si="132"/>
        <v>0</v>
      </c>
      <c r="BE101" s="131">
        <v>0</v>
      </c>
      <c r="BF101" s="131">
        <f>101</f>
        <v>101</v>
      </c>
      <c r="BH101" s="131">
        <f t="shared" si="133"/>
        <v>0</v>
      </c>
      <c r="BI101" s="131">
        <f t="shared" si="134"/>
        <v>0</v>
      </c>
      <c r="BJ101" s="131">
        <f t="shared" si="135"/>
        <v>0</v>
      </c>
      <c r="BK101" s="131"/>
      <c r="BL101" s="131"/>
      <c r="BW101" s="131">
        <v>21</v>
      </c>
      <c r="BX101" s="133" t="s">
        <v>363</v>
      </c>
    </row>
    <row r="102" spans="1:76" x14ac:dyDescent="0.25">
      <c r="A102" s="127" t="s">
        <v>322</v>
      </c>
      <c r="B102" s="128" t="s">
        <v>365</v>
      </c>
      <c r="C102" s="277" t="s">
        <v>366</v>
      </c>
      <c r="D102" s="278"/>
      <c r="E102" s="128" t="s">
        <v>59</v>
      </c>
      <c r="F102" s="129">
        <v>72.8</v>
      </c>
      <c r="G102" s="178">
        <v>0</v>
      </c>
      <c r="H102" s="129">
        <f t="shared" si="112"/>
        <v>0</v>
      </c>
      <c r="I102" s="129">
        <f t="shared" si="113"/>
        <v>0</v>
      </c>
      <c r="J102" s="129">
        <f t="shared" si="114"/>
        <v>0</v>
      </c>
      <c r="K102" s="130" t="s">
        <v>60</v>
      </c>
      <c r="Z102" s="131">
        <f t="shared" si="115"/>
        <v>0</v>
      </c>
      <c r="AB102" s="131">
        <f t="shared" si="116"/>
        <v>0</v>
      </c>
      <c r="AC102" s="131">
        <f t="shared" si="117"/>
        <v>0</v>
      </c>
      <c r="AD102" s="131">
        <f t="shared" si="118"/>
        <v>0</v>
      </c>
      <c r="AE102" s="131">
        <f t="shared" si="119"/>
        <v>0</v>
      </c>
      <c r="AF102" s="131">
        <f t="shared" si="120"/>
        <v>0</v>
      </c>
      <c r="AG102" s="131">
        <f t="shared" si="121"/>
        <v>0</v>
      </c>
      <c r="AH102" s="131">
        <f t="shared" si="122"/>
        <v>0</v>
      </c>
      <c r="AI102" s="115" t="s">
        <v>53</v>
      </c>
      <c r="AJ102" s="131">
        <f t="shared" si="123"/>
        <v>0</v>
      </c>
      <c r="AK102" s="131">
        <f t="shared" si="124"/>
        <v>0</v>
      </c>
      <c r="AL102" s="131">
        <f t="shared" si="125"/>
        <v>0</v>
      </c>
      <c r="AN102" s="131">
        <v>21</v>
      </c>
      <c r="AO102" s="131">
        <f t="shared" si="126"/>
        <v>0</v>
      </c>
      <c r="AP102" s="131">
        <f t="shared" si="127"/>
        <v>0</v>
      </c>
      <c r="AQ102" s="132" t="s">
        <v>343</v>
      </c>
      <c r="AV102" s="131">
        <f t="shared" si="128"/>
        <v>0</v>
      </c>
      <c r="AW102" s="131">
        <f t="shared" si="129"/>
        <v>0</v>
      </c>
      <c r="AX102" s="131">
        <f t="shared" si="130"/>
        <v>0</v>
      </c>
      <c r="AY102" s="132" t="s">
        <v>344</v>
      </c>
      <c r="AZ102" s="132" t="s">
        <v>345</v>
      </c>
      <c r="BA102" s="115" t="s">
        <v>63</v>
      </c>
      <c r="BC102" s="131">
        <f t="shared" si="131"/>
        <v>0</v>
      </c>
      <c r="BD102" s="131">
        <f t="shared" si="132"/>
        <v>0</v>
      </c>
      <c r="BE102" s="131">
        <v>0</v>
      </c>
      <c r="BF102" s="131">
        <f>102</f>
        <v>102</v>
      </c>
      <c r="BH102" s="131">
        <f t="shared" si="133"/>
        <v>0</v>
      </c>
      <c r="BI102" s="131">
        <f t="shared" si="134"/>
        <v>0</v>
      </c>
      <c r="BJ102" s="131">
        <f t="shared" si="135"/>
        <v>0</v>
      </c>
      <c r="BK102" s="131"/>
      <c r="BL102" s="131"/>
      <c r="BW102" s="131">
        <v>21</v>
      </c>
      <c r="BX102" s="133" t="s">
        <v>366</v>
      </c>
    </row>
    <row r="103" spans="1:76" x14ac:dyDescent="0.25">
      <c r="A103" s="127" t="s">
        <v>328</v>
      </c>
      <c r="B103" s="128" t="s">
        <v>368</v>
      </c>
      <c r="C103" s="277" t="s">
        <v>369</v>
      </c>
      <c r="D103" s="278"/>
      <c r="E103" s="128" t="s">
        <v>59</v>
      </c>
      <c r="F103" s="129">
        <v>8</v>
      </c>
      <c r="G103" s="178">
        <v>0</v>
      </c>
      <c r="H103" s="129">
        <f t="shared" si="112"/>
        <v>0</v>
      </c>
      <c r="I103" s="129">
        <f t="shared" si="113"/>
        <v>0</v>
      </c>
      <c r="J103" s="129">
        <f t="shared" si="114"/>
        <v>0</v>
      </c>
      <c r="K103" s="130" t="s">
        <v>60</v>
      </c>
      <c r="Z103" s="131">
        <f t="shared" si="115"/>
        <v>0</v>
      </c>
      <c r="AB103" s="131">
        <f t="shared" si="116"/>
        <v>0</v>
      </c>
      <c r="AC103" s="131">
        <f t="shared" si="117"/>
        <v>0</v>
      </c>
      <c r="AD103" s="131">
        <f t="shared" si="118"/>
        <v>0</v>
      </c>
      <c r="AE103" s="131">
        <f t="shared" si="119"/>
        <v>0</v>
      </c>
      <c r="AF103" s="131">
        <f t="shared" si="120"/>
        <v>0</v>
      </c>
      <c r="AG103" s="131">
        <f t="shared" si="121"/>
        <v>0</v>
      </c>
      <c r="AH103" s="131">
        <f t="shared" si="122"/>
        <v>0</v>
      </c>
      <c r="AI103" s="115" t="s">
        <v>53</v>
      </c>
      <c r="AJ103" s="131">
        <f t="shared" si="123"/>
        <v>0</v>
      </c>
      <c r="AK103" s="131">
        <f t="shared" si="124"/>
        <v>0</v>
      </c>
      <c r="AL103" s="131">
        <f t="shared" si="125"/>
        <v>0</v>
      </c>
      <c r="AN103" s="131">
        <v>21</v>
      </c>
      <c r="AO103" s="131">
        <f t="shared" si="126"/>
        <v>0</v>
      </c>
      <c r="AP103" s="131">
        <f t="shared" si="127"/>
        <v>0</v>
      </c>
      <c r="AQ103" s="132" t="s">
        <v>343</v>
      </c>
      <c r="AV103" s="131">
        <f t="shared" si="128"/>
        <v>0</v>
      </c>
      <c r="AW103" s="131">
        <f t="shared" si="129"/>
        <v>0</v>
      </c>
      <c r="AX103" s="131">
        <f t="shared" si="130"/>
        <v>0</v>
      </c>
      <c r="AY103" s="132" t="s">
        <v>344</v>
      </c>
      <c r="AZ103" s="132" t="s">
        <v>345</v>
      </c>
      <c r="BA103" s="115" t="s">
        <v>63</v>
      </c>
      <c r="BC103" s="131">
        <f t="shared" si="131"/>
        <v>0</v>
      </c>
      <c r="BD103" s="131">
        <f t="shared" si="132"/>
        <v>0</v>
      </c>
      <c r="BE103" s="131">
        <v>0</v>
      </c>
      <c r="BF103" s="131">
        <f>103</f>
        <v>103</v>
      </c>
      <c r="BH103" s="131">
        <f t="shared" si="133"/>
        <v>0</v>
      </c>
      <c r="BI103" s="131">
        <f t="shared" si="134"/>
        <v>0</v>
      </c>
      <c r="BJ103" s="131">
        <f t="shared" si="135"/>
        <v>0</v>
      </c>
      <c r="BK103" s="131"/>
      <c r="BL103" s="131"/>
      <c r="BW103" s="131">
        <v>21</v>
      </c>
      <c r="BX103" s="133" t="s">
        <v>369</v>
      </c>
    </row>
    <row r="104" spans="1:76" x14ac:dyDescent="0.25">
      <c r="A104" s="127" t="s">
        <v>332</v>
      </c>
      <c r="B104" s="128" t="s">
        <v>371</v>
      </c>
      <c r="C104" s="277" t="s">
        <v>372</v>
      </c>
      <c r="D104" s="278"/>
      <c r="E104" s="128" t="s">
        <v>164</v>
      </c>
      <c r="F104" s="129">
        <v>18</v>
      </c>
      <c r="G104" s="178">
        <v>0</v>
      </c>
      <c r="H104" s="129">
        <f t="shared" si="112"/>
        <v>0</v>
      </c>
      <c r="I104" s="129">
        <f t="shared" si="113"/>
        <v>0</v>
      </c>
      <c r="J104" s="129">
        <f t="shared" si="114"/>
        <v>0</v>
      </c>
      <c r="K104" s="130" t="s">
        <v>60</v>
      </c>
      <c r="Z104" s="131">
        <f t="shared" si="115"/>
        <v>0</v>
      </c>
      <c r="AB104" s="131">
        <f t="shared" si="116"/>
        <v>0</v>
      </c>
      <c r="AC104" s="131">
        <f t="shared" si="117"/>
        <v>0</v>
      </c>
      <c r="AD104" s="131">
        <f t="shared" si="118"/>
        <v>0</v>
      </c>
      <c r="AE104" s="131">
        <f t="shared" si="119"/>
        <v>0</v>
      </c>
      <c r="AF104" s="131">
        <f t="shared" si="120"/>
        <v>0</v>
      </c>
      <c r="AG104" s="131">
        <f t="shared" si="121"/>
        <v>0</v>
      </c>
      <c r="AH104" s="131">
        <f t="shared" si="122"/>
        <v>0</v>
      </c>
      <c r="AI104" s="115" t="s">
        <v>53</v>
      </c>
      <c r="AJ104" s="131">
        <f t="shared" si="123"/>
        <v>0</v>
      </c>
      <c r="AK104" s="131">
        <f t="shared" si="124"/>
        <v>0</v>
      </c>
      <c r="AL104" s="131">
        <f t="shared" si="125"/>
        <v>0</v>
      </c>
      <c r="AN104" s="131">
        <v>21</v>
      </c>
      <c r="AO104" s="131">
        <f t="shared" si="126"/>
        <v>0</v>
      </c>
      <c r="AP104" s="131">
        <f t="shared" si="127"/>
        <v>0</v>
      </c>
      <c r="AQ104" s="132" t="s">
        <v>343</v>
      </c>
      <c r="AV104" s="131">
        <f t="shared" si="128"/>
        <v>0</v>
      </c>
      <c r="AW104" s="131">
        <f t="shared" si="129"/>
        <v>0</v>
      </c>
      <c r="AX104" s="131">
        <f t="shared" si="130"/>
        <v>0</v>
      </c>
      <c r="AY104" s="132" t="s">
        <v>344</v>
      </c>
      <c r="AZ104" s="132" t="s">
        <v>345</v>
      </c>
      <c r="BA104" s="115" t="s">
        <v>63</v>
      </c>
      <c r="BC104" s="131">
        <f t="shared" si="131"/>
        <v>0</v>
      </c>
      <c r="BD104" s="131">
        <f t="shared" si="132"/>
        <v>0</v>
      </c>
      <c r="BE104" s="131">
        <v>0</v>
      </c>
      <c r="BF104" s="131">
        <f>104</f>
        <v>104</v>
      </c>
      <c r="BH104" s="131">
        <f t="shared" si="133"/>
        <v>0</v>
      </c>
      <c r="BI104" s="131">
        <f t="shared" si="134"/>
        <v>0</v>
      </c>
      <c r="BJ104" s="131">
        <f t="shared" si="135"/>
        <v>0</v>
      </c>
      <c r="BK104" s="131"/>
      <c r="BL104" s="131"/>
      <c r="BW104" s="131">
        <v>21</v>
      </c>
      <c r="BX104" s="133" t="s">
        <v>372</v>
      </c>
    </row>
    <row r="105" spans="1:76" x14ac:dyDescent="0.25">
      <c r="A105" s="127" t="s">
        <v>335</v>
      </c>
      <c r="B105" s="128" t="s">
        <v>374</v>
      </c>
      <c r="C105" s="277" t="s">
        <v>375</v>
      </c>
      <c r="D105" s="278"/>
      <c r="E105" s="128" t="s">
        <v>164</v>
      </c>
      <c r="F105" s="129">
        <v>8</v>
      </c>
      <c r="G105" s="178">
        <v>0</v>
      </c>
      <c r="H105" s="129">
        <f t="shared" si="112"/>
        <v>0</v>
      </c>
      <c r="I105" s="129">
        <f t="shared" si="113"/>
        <v>0</v>
      </c>
      <c r="J105" s="129">
        <f t="shared" si="114"/>
        <v>0</v>
      </c>
      <c r="K105" s="130" t="s">
        <v>60</v>
      </c>
      <c r="Z105" s="131">
        <f t="shared" si="115"/>
        <v>0</v>
      </c>
      <c r="AB105" s="131">
        <f t="shared" si="116"/>
        <v>0</v>
      </c>
      <c r="AC105" s="131">
        <f t="shared" si="117"/>
        <v>0</v>
      </c>
      <c r="AD105" s="131">
        <f t="shared" si="118"/>
        <v>0</v>
      </c>
      <c r="AE105" s="131">
        <f t="shared" si="119"/>
        <v>0</v>
      </c>
      <c r="AF105" s="131">
        <f t="shared" si="120"/>
        <v>0</v>
      </c>
      <c r="AG105" s="131">
        <f t="shared" si="121"/>
        <v>0</v>
      </c>
      <c r="AH105" s="131">
        <f t="shared" si="122"/>
        <v>0</v>
      </c>
      <c r="AI105" s="115" t="s">
        <v>53</v>
      </c>
      <c r="AJ105" s="131">
        <f t="shared" si="123"/>
        <v>0</v>
      </c>
      <c r="AK105" s="131">
        <f t="shared" si="124"/>
        <v>0</v>
      </c>
      <c r="AL105" s="131">
        <f t="shared" si="125"/>
        <v>0</v>
      </c>
      <c r="AN105" s="131">
        <v>21</v>
      </c>
      <c r="AO105" s="131">
        <f t="shared" si="126"/>
        <v>0</v>
      </c>
      <c r="AP105" s="131">
        <f t="shared" si="127"/>
        <v>0</v>
      </c>
      <c r="AQ105" s="132" t="s">
        <v>343</v>
      </c>
      <c r="AV105" s="131">
        <f t="shared" si="128"/>
        <v>0</v>
      </c>
      <c r="AW105" s="131">
        <f t="shared" si="129"/>
        <v>0</v>
      </c>
      <c r="AX105" s="131">
        <f t="shared" si="130"/>
        <v>0</v>
      </c>
      <c r="AY105" s="132" t="s">
        <v>344</v>
      </c>
      <c r="AZ105" s="132" t="s">
        <v>345</v>
      </c>
      <c r="BA105" s="115" t="s">
        <v>63</v>
      </c>
      <c r="BC105" s="131">
        <f t="shared" si="131"/>
        <v>0</v>
      </c>
      <c r="BD105" s="131">
        <f t="shared" si="132"/>
        <v>0</v>
      </c>
      <c r="BE105" s="131">
        <v>0</v>
      </c>
      <c r="BF105" s="131">
        <f>105</f>
        <v>105</v>
      </c>
      <c r="BH105" s="131">
        <f t="shared" si="133"/>
        <v>0</v>
      </c>
      <c r="BI105" s="131">
        <f t="shared" si="134"/>
        <v>0</v>
      </c>
      <c r="BJ105" s="131">
        <f t="shared" si="135"/>
        <v>0</v>
      </c>
      <c r="BK105" s="131"/>
      <c r="BL105" s="131"/>
      <c r="BW105" s="131">
        <v>21</v>
      </c>
      <c r="BX105" s="133" t="s">
        <v>375</v>
      </c>
    </row>
    <row r="106" spans="1:76" x14ac:dyDescent="0.25">
      <c r="A106" s="127" t="s">
        <v>340</v>
      </c>
      <c r="B106" s="128" t="s">
        <v>555</v>
      </c>
      <c r="C106" s="277" t="s">
        <v>556</v>
      </c>
      <c r="D106" s="278"/>
      <c r="E106" s="128" t="s">
        <v>164</v>
      </c>
      <c r="F106" s="129">
        <v>38</v>
      </c>
      <c r="G106" s="178">
        <v>0</v>
      </c>
      <c r="H106" s="129">
        <f t="shared" si="112"/>
        <v>0</v>
      </c>
      <c r="I106" s="129">
        <f t="shared" si="113"/>
        <v>0</v>
      </c>
      <c r="J106" s="129">
        <f t="shared" si="114"/>
        <v>0</v>
      </c>
      <c r="K106" s="130" t="s">
        <v>60</v>
      </c>
      <c r="Z106" s="131">
        <f t="shared" si="115"/>
        <v>0</v>
      </c>
      <c r="AB106" s="131">
        <f t="shared" si="116"/>
        <v>0</v>
      </c>
      <c r="AC106" s="131">
        <f t="shared" si="117"/>
        <v>0</v>
      </c>
      <c r="AD106" s="131">
        <f t="shared" si="118"/>
        <v>0</v>
      </c>
      <c r="AE106" s="131">
        <f t="shared" si="119"/>
        <v>0</v>
      </c>
      <c r="AF106" s="131">
        <f t="shared" si="120"/>
        <v>0</v>
      </c>
      <c r="AG106" s="131">
        <f t="shared" si="121"/>
        <v>0</v>
      </c>
      <c r="AH106" s="131">
        <f t="shared" si="122"/>
        <v>0</v>
      </c>
      <c r="AI106" s="115" t="s">
        <v>53</v>
      </c>
      <c r="AJ106" s="131">
        <f t="shared" si="123"/>
        <v>0</v>
      </c>
      <c r="AK106" s="131">
        <f t="shared" si="124"/>
        <v>0</v>
      </c>
      <c r="AL106" s="131">
        <f t="shared" si="125"/>
        <v>0</v>
      </c>
      <c r="AN106" s="131">
        <v>21</v>
      </c>
      <c r="AO106" s="131">
        <f t="shared" si="126"/>
        <v>0</v>
      </c>
      <c r="AP106" s="131">
        <f t="shared" si="127"/>
        <v>0</v>
      </c>
      <c r="AQ106" s="132" t="s">
        <v>343</v>
      </c>
      <c r="AV106" s="131">
        <f t="shared" si="128"/>
        <v>0</v>
      </c>
      <c r="AW106" s="131">
        <f t="shared" si="129"/>
        <v>0</v>
      </c>
      <c r="AX106" s="131">
        <f t="shared" si="130"/>
        <v>0</v>
      </c>
      <c r="AY106" s="132" t="s">
        <v>344</v>
      </c>
      <c r="AZ106" s="132" t="s">
        <v>345</v>
      </c>
      <c r="BA106" s="115" t="s">
        <v>63</v>
      </c>
      <c r="BC106" s="131">
        <f t="shared" si="131"/>
        <v>0</v>
      </c>
      <c r="BD106" s="131">
        <f t="shared" si="132"/>
        <v>0</v>
      </c>
      <c r="BE106" s="131">
        <v>0</v>
      </c>
      <c r="BF106" s="131">
        <f>106</f>
        <v>106</v>
      </c>
      <c r="BH106" s="131">
        <f t="shared" si="133"/>
        <v>0</v>
      </c>
      <c r="BI106" s="131">
        <f t="shared" si="134"/>
        <v>0</v>
      </c>
      <c r="BJ106" s="131">
        <f t="shared" si="135"/>
        <v>0</v>
      </c>
      <c r="BK106" s="131"/>
      <c r="BL106" s="131"/>
      <c r="BW106" s="131">
        <v>21</v>
      </c>
      <c r="BX106" s="133" t="s">
        <v>556</v>
      </c>
    </row>
    <row r="107" spans="1:76" x14ac:dyDescent="0.25">
      <c r="A107" s="127" t="s">
        <v>346</v>
      </c>
      <c r="B107" s="128" t="s">
        <v>377</v>
      </c>
      <c r="C107" s="277" t="s">
        <v>378</v>
      </c>
      <c r="D107" s="278"/>
      <c r="E107" s="128" t="s">
        <v>164</v>
      </c>
      <c r="F107" s="129">
        <v>4</v>
      </c>
      <c r="G107" s="178">
        <v>0</v>
      </c>
      <c r="H107" s="129">
        <f t="shared" si="112"/>
        <v>0</v>
      </c>
      <c r="I107" s="129">
        <f t="shared" si="113"/>
        <v>0</v>
      </c>
      <c r="J107" s="129">
        <f t="shared" si="114"/>
        <v>0</v>
      </c>
      <c r="K107" s="130" t="s">
        <v>60</v>
      </c>
      <c r="Z107" s="131">
        <f t="shared" si="115"/>
        <v>0</v>
      </c>
      <c r="AB107" s="131">
        <f t="shared" si="116"/>
        <v>0</v>
      </c>
      <c r="AC107" s="131">
        <f t="shared" si="117"/>
        <v>0</v>
      </c>
      <c r="AD107" s="131">
        <f t="shared" si="118"/>
        <v>0</v>
      </c>
      <c r="AE107" s="131">
        <f t="shared" si="119"/>
        <v>0</v>
      </c>
      <c r="AF107" s="131">
        <f t="shared" si="120"/>
        <v>0</v>
      </c>
      <c r="AG107" s="131">
        <f t="shared" si="121"/>
        <v>0</v>
      </c>
      <c r="AH107" s="131">
        <f t="shared" si="122"/>
        <v>0</v>
      </c>
      <c r="AI107" s="115" t="s">
        <v>53</v>
      </c>
      <c r="AJ107" s="131">
        <f t="shared" si="123"/>
        <v>0</v>
      </c>
      <c r="AK107" s="131">
        <f t="shared" si="124"/>
        <v>0</v>
      </c>
      <c r="AL107" s="131">
        <f t="shared" si="125"/>
        <v>0</v>
      </c>
      <c r="AN107" s="131">
        <v>21</v>
      </c>
      <c r="AO107" s="131">
        <f t="shared" si="126"/>
        <v>0</v>
      </c>
      <c r="AP107" s="131">
        <f t="shared" si="127"/>
        <v>0</v>
      </c>
      <c r="AQ107" s="132" t="s">
        <v>343</v>
      </c>
      <c r="AV107" s="131">
        <f t="shared" si="128"/>
        <v>0</v>
      </c>
      <c r="AW107" s="131">
        <f t="shared" si="129"/>
        <v>0</v>
      </c>
      <c r="AX107" s="131">
        <f t="shared" si="130"/>
        <v>0</v>
      </c>
      <c r="AY107" s="132" t="s">
        <v>344</v>
      </c>
      <c r="AZ107" s="132" t="s">
        <v>345</v>
      </c>
      <c r="BA107" s="115" t="s">
        <v>63</v>
      </c>
      <c r="BC107" s="131">
        <f t="shared" si="131"/>
        <v>0</v>
      </c>
      <c r="BD107" s="131">
        <f t="shared" si="132"/>
        <v>0</v>
      </c>
      <c r="BE107" s="131">
        <v>0</v>
      </c>
      <c r="BF107" s="131">
        <f>107</f>
        <v>107</v>
      </c>
      <c r="BH107" s="131">
        <f t="shared" si="133"/>
        <v>0</v>
      </c>
      <c r="BI107" s="131">
        <f t="shared" si="134"/>
        <v>0</v>
      </c>
      <c r="BJ107" s="131">
        <f t="shared" si="135"/>
        <v>0</v>
      </c>
      <c r="BK107" s="131"/>
      <c r="BL107" s="131"/>
      <c r="BW107" s="131">
        <v>21</v>
      </c>
      <c r="BX107" s="133" t="s">
        <v>378</v>
      </c>
    </row>
    <row r="108" spans="1:76" x14ac:dyDescent="0.25">
      <c r="A108" s="127" t="s">
        <v>349</v>
      </c>
      <c r="B108" s="128" t="s">
        <v>557</v>
      </c>
      <c r="C108" s="277" t="s">
        <v>558</v>
      </c>
      <c r="D108" s="278"/>
      <c r="E108" s="128" t="s">
        <v>164</v>
      </c>
      <c r="F108" s="129">
        <v>2</v>
      </c>
      <c r="G108" s="178">
        <v>0</v>
      </c>
      <c r="H108" s="129">
        <f t="shared" si="112"/>
        <v>0</v>
      </c>
      <c r="I108" s="129">
        <f t="shared" si="113"/>
        <v>0</v>
      </c>
      <c r="J108" s="129">
        <f t="shared" si="114"/>
        <v>0</v>
      </c>
      <c r="K108" s="130" t="s">
        <v>60</v>
      </c>
      <c r="Z108" s="131">
        <f t="shared" si="115"/>
        <v>0</v>
      </c>
      <c r="AB108" s="131">
        <f t="shared" si="116"/>
        <v>0</v>
      </c>
      <c r="AC108" s="131">
        <f t="shared" si="117"/>
        <v>0</v>
      </c>
      <c r="AD108" s="131">
        <f t="shared" si="118"/>
        <v>0</v>
      </c>
      <c r="AE108" s="131">
        <f t="shared" si="119"/>
        <v>0</v>
      </c>
      <c r="AF108" s="131">
        <f t="shared" si="120"/>
        <v>0</v>
      </c>
      <c r="AG108" s="131">
        <f t="shared" si="121"/>
        <v>0</v>
      </c>
      <c r="AH108" s="131">
        <f t="shared" si="122"/>
        <v>0</v>
      </c>
      <c r="AI108" s="115" t="s">
        <v>53</v>
      </c>
      <c r="AJ108" s="131">
        <f t="shared" si="123"/>
        <v>0</v>
      </c>
      <c r="AK108" s="131">
        <f t="shared" si="124"/>
        <v>0</v>
      </c>
      <c r="AL108" s="131">
        <f t="shared" si="125"/>
        <v>0</v>
      </c>
      <c r="AN108" s="131">
        <v>21</v>
      </c>
      <c r="AO108" s="131">
        <f t="shared" si="126"/>
        <v>0</v>
      </c>
      <c r="AP108" s="131">
        <f t="shared" si="127"/>
        <v>0</v>
      </c>
      <c r="AQ108" s="132" t="s">
        <v>343</v>
      </c>
      <c r="AV108" s="131">
        <f t="shared" si="128"/>
        <v>0</v>
      </c>
      <c r="AW108" s="131">
        <f t="shared" si="129"/>
        <v>0</v>
      </c>
      <c r="AX108" s="131">
        <f t="shared" si="130"/>
        <v>0</v>
      </c>
      <c r="AY108" s="132" t="s">
        <v>344</v>
      </c>
      <c r="AZ108" s="132" t="s">
        <v>345</v>
      </c>
      <c r="BA108" s="115" t="s">
        <v>63</v>
      </c>
      <c r="BC108" s="131">
        <f t="shared" si="131"/>
        <v>0</v>
      </c>
      <c r="BD108" s="131">
        <f t="shared" si="132"/>
        <v>0</v>
      </c>
      <c r="BE108" s="131">
        <v>0</v>
      </c>
      <c r="BF108" s="131">
        <f>108</f>
        <v>108</v>
      </c>
      <c r="BH108" s="131">
        <f t="shared" si="133"/>
        <v>0</v>
      </c>
      <c r="BI108" s="131">
        <f t="shared" si="134"/>
        <v>0</v>
      </c>
      <c r="BJ108" s="131">
        <f t="shared" si="135"/>
        <v>0</v>
      </c>
      <c r="BK108" s="131"/>
      <c r="BL108" s="131"/>
      <c r="BW108" s="131">
        <v>21</v>
      </c>
      <c r="BX108" s="133" t="s">
        <v>558</v>
      </c>
    </row>
    <row r="109" spans="1:76" x14ac:dyDescent="0.25">
      <c r="A109" s="127" t="s">
        <v>352</v>
      </c>
      <c r="B109" s="128" t="s">
        <v>559</v>
      </c>
      <c r="C109" s="277" t="s">
        <v>560</v>
      </c>
      <c r="D109" s="278"/>
      <c r="E109" s="128" t="s">
        <v>164</v>
      </c>
      <c r="F109" s="129">
        <v>2</v>
      </c>
      <c r="G109" s="178">
        <v>0</v>
      </c>
      <c r="H109" s="129">
        <f t="shared" si="112"/>
        <v>0</v>
      </c>
      <c r="I109" s="129">
        <f t="shared" si="113"/>
        <v>0</v>
      </c>
      <c r="J109" s="129">
        <f t="shared" si="114"/>
        <v>0</v>
      </c>
      <c r="K109" s="130" t="s">
        <v>60</v>
      </c>
      <c r="Z109" s="131">
        <f t="shared" si="115"/>
        <v>0</v>
      </c>
      <c r="AB109" s="131">
        <f t="shared" si="116"/>
        <v>0</v>
      </c>
      <c r="AC109" s="131">
        <f t="shared" si="117"/>
        <v>0</v>
      </c>
      <c r="AD109" s="131">
        <f t="shared" si="118"/>
        <v>0</v>
      </c>
      <c r="AE109" s="131">
        <f t="shared" si="119"/>
        <v>0</v>
      </c>
      <c r="AF109" s="131">
        <f t="shared" si="120"/>
        <v>0</v>
      </c>
      <c r="AG109" s="131">
        <f t="shared" si="121"/>
        <v>0</v>
      </c>
      <c r="AH109" s="131">
        <f t="shared" si="122"/>
        <v>0</v>
      </c>
      <c r="AI109" s="115" t="s">
        <v>53</v>
      </c>
      <c r="AJ109" s="131">
        <f t="shared" si="123"/>
        <v>0</v>
      </c>
      <c r="AK109" s="131">
        <f t="shared" si="124"/>
        <v>0</v>
      </c>
      <c r="AL109" s="131">
        <f t="shared" si="125"/>
        <v>0</v>
      </c>
      <c r="AN109" s="131">
        <v>21</v>
      </c>
      <c r="AO109" s="131">
        <f t="shared" si="126"/>
        <v>0</v>
      </c>
      <c r="AP109" s="131">
        <f t="shared" si="127"/>
        <v>0</v>
      </c>
      <c r="AQ109" s="132" t="s">
        <v>343</v>
      </c>
      <c r="AV109" s="131">
        <f t="shared" si="128"/>
        <v>0</v>
      </c>
      <c r="AW109" s="131">
        <f t="shared" si="129"/>
        <v>0</v>
      </c>
      <c r="AX109" s="131">
        <f t="shared" si="130"/>
        <v>0</v>
      </c>
      <c r="AY109" s="132" t="s">
        <v>344</v>
      </c>
      <c r="AZ109" s="132" t="s">
        <v>345</v>
      </c>
      <c r="BA109" s="115" t="s">
        <v>63</v>
      </c>
      <c r="BC109" s="131">
        <f t="shared" si="131"/>
        <v>0</v>
      </c>
      <c r="BD109" s="131">
        <f t="shared" si="132"/>
        <v>0</v>
      </c>
      <c r="BE109" s="131">
        <v>0</v>
      </c>
      <c r="BF109" s="131">
        <f>109</f>
        <v>109</v>
      </c>
      <c r="BH109" s="131">
        <f t="shared" si="133"/>
        <v>0</v>
      </c>
      <c r="BI109" s="131">
        <f t="shared" si="134"/>
        <v>0</v>
      </c>
      <c r="BJ109" s="131">
        <f t="shared" si="135"/>
        <v>0</v>
      </c>
      <c r="BK109" s="131"/>
      <c r="BL109" s="131"/>
      <c r="BW109" s="131">
        <v>21</v>
      </c>
      <c r="BX109" s="133" t="s">
        <v>560</v>
      </c>
    </row>
    <row r="110" spans="1:76" x14ac:dyDescent="0.25">
      <c r="A110" s="127" t="s">
        <v>355</v>
      </c>
      <c r="B110" s="128" t="s">
        <v>561</v>
      </c>
      <c r="C110" s="277" t="s">
        <v>645</v>
      </c>
      <c r="D110" s="278"/>
      <c r="E110" s="128" t="s">
        <v>164</v>
      </c>
      <c r="F110" s="129">
        <v>1</v>
      </c>
      <c r="G110" s="178">
        <v>0</v>
      </c>
      <c r="H110" s="129">
        <f t="shared" si="112"/>
        <v>0</v>
      </c>
      <c r="I110" s="129">
        <f t="shared" si="113"/>
        <v>0</v>
      </c>
      <c r="J110" s="129">
        <f t="shared" si="114"/>
        <v>0</v>
      </c>
      <c r="K110" s="130" t="s">
        <v>60</v>
      </c>
      <c r="Z110" s="131">
        <f t="shared" si="115"/>
        <v>0</v>
      </c>
      <c r="AB110" s="131">
        <f t="shared" si="116"/>
        <v>0</v>
      </c>
      <c r="AC110" s="131">
        <f t="shared" si="117"/>
        <v>0</v>
      </c>
      <c r="AD110" s="131">
        <f t="shared" si="118"/>
        <v>0</v>
      </c>
      <c r="AE110" s="131">
        <f t="shared" si="119"/>
        <v>0</v>
      </c>
      <c r="AF110" s="131">
        <f t="shared" si="120"/>
        <v>0</v>
      </c>
      <c r="AG110" s="131">
        <f t="shared" si="121"/>
        <v>0</v>
      </c>
      <c r="AH110" s="131">
        <f t="shared" si="122"/>
        <v>0</v>
      </c>
      <c r="AI110" s="115" t="s">
        <v>53</v>
      </c>
      <c r="AJ110" s="131">
        <f t="shared" si="123"/>
        <v>0</v>
      </c>
      <c r="AK110" s="131">
        <f t="shared" si="124"/>
        <v>0</v>
      </c>
      <c r="AL110" s="131">
        <f t="shared" si="125"/>
        <v>0</v>
      </c>
      <c r="AN110" s="131">
        <v>21</v>
      </c>
      <c r="AO110" s="131">
        <f t="shared" si="126"/>
        <v>0</v>
      </c>
      <c r="AP110" s="131">
        <f t="shared" si="127"/>
        <v>0</v>
      </c>
      <c r="AQ110" s="132" t="s">
        <v>343</v>
      </c>
      <c r="AV110" s="131">
        <f t="shared" si="128"/>
        <v>0</v>
      </c>
      <c r="AW110" s="131">
        <f t="shared" si="129"/>
        <v>0</v>
      </c>
      <c r="AX110" s="131">
        <f t="shared" si="130"/>
        <v>0</v>
      </c>
      <c r="AY110" s="132" t="s">
        <v>344</v>
      </c>
      <c r="AZ110" s="132" t="s">
        <v>345</v>
      </c>
      <c r="BA110" s="115" t="s">
        <v>63</v>
      </c>
      <c r="BC110" s="131">
        <f t="shared" si="131"/>
        <v>0</v>
      </c>
      <c r="BD110" s="131">
        <f t="shared" si="132"/>
        <v>0</v>
      </c>
      <c r="BE110" s="131">
        <v>0</v>
      </c>
      <c r="BF110" s="131">
        <f>110</f>
        <v>110</v>
      </c>
      <c r="BH110" s="131">
        <f t="shared" si="133"/>
        <v>0</v>
      </c>
      <c r="BI110" s="131">
        <f t="shared" si="134"/>
        <v>0</v>
      </c>
      <c r="BJ110" s="131">
        <f t="shared" si="135"/>
        <v>0</v>
      </c>
      <c r="BK110" s="131"/>
      <c r="BL110" s="131"/>
      <c r="BW110" s="131">
        <v>21</v>
      </c>
      <c r="BX110" s="133" t="s">
        <v>645</v>
      </c>
    </row>
    <row r="111" spans="1:76" x14ac:dyDescent="0.25">
      <c r="A111" s="127" t="s">
        <v>358</v>
      </c>
      <c r="B111" s="128" t="s">
        <v>565</v>
      </c>
      <c r="C111" s="277" t="s">
        <v>646</v>
      </c>
      <c r="D111" s="278"/>
      <c r="E111" s="128" t="s">
        <v>164</v>
      </c>
      <c r="F111" s="129">
        <v>1</v>
      </c>
      <c r="G111" s="178">
        <v>0</v>
      </c>
      <c r="H111" s="129">
        <f t="shared" si="112"/>
        <v>0</v>
      </c>
      <c r="I111" s="129">
        <f t="shared" si="113"/>
        <v>0</v>
      </c>
      <c r="J111" s="129">
        <f t="shared" si="114"/>
        <v>0</v>
      </c>
      <c r="K111" s="130" t="s">
        <v>60</v>
      </c>
      <c r="Z111" s="131">
        <f t="shared" si="115"/>
        <v>0</v>
      </c>
      <c r="AB111" s="131">
        <f t="shared" si="116"/>
        <v>0</v>
      </c>
      <c r="AC111" s="131">
        <f t="shared" si="117"/>
        <v>0</v>
      </c>
      <c r="AD111" s="131">
        <f t="shared" si="118"/>
        <v>0</v>
      </c>
      <c r="AE111" s="131">
        <f t="shared" si="119"/>
        <v>0</v>
      </c>
      <c r="AF111" s="131">
        <f t="shared" si="120"/>
        <v>0</v>
      </c>
      <c r="AG111" s="131">
        <f t="shared" si="121"/>
        <v>0</v>
      </c>
      <c r="AH111" s="131">
        <f t="shared" si="122"/>
        <v>0</v>
      </c>
      <c r="AI111" s="115" t="s">
        <v>53</v>
      </c>
      <c r="AJ111" s="131">
        <f t="shared" si="123"/>
        <v>0</v>
      </c>
      <c r="AK111" s="131">
        <f t="shared" si="124"/>
        <v>0</v>
      </c>
      <c r="AL111" s="131">
        <f t="shared" si="125"/>
        <v>0</v>
      </c>
      <c r="AN111" s="131">
        <v>21</v>
      </c>
      <c r="AO111" s="131">
        <f t="shared" si="126"/>
        <v>0</v>
      </c>
      <c r="AP111" s="131">
        <f t="shared" si="127"/>
        <v>0</v>
      </c>
      <c r="AQ111" s="132" t="s">
        <v>343</v>
      </c>
      <c r="AV111" s="131">
        <f t="shared" si="128"/>
        <v>0</v>
      </c>
      <c r="AW111" s="131">
        <f t="shared" si="129"/>
        <v>0</v>
      </c>
      <c r="AX111" s="131">
        <f t="shared" si="130"/>
        <v>0</v>
      </c>
      <c r="AY111" s="132" t="s">
        <v>344</v>
      </c>
      <c r="AZ111" s="132" t="s">
        <v>345</v>
      </c>
      <c r="BA111" s="115" t="s">
        <v>63</v>
      </c>
      <c r="BC111" s="131">
        <f t="shared" si="131"/>
        <v>0</v>
      </c>
      <c r="BD111" s="131">
        <f t="shared" si="132"/>
        <v>0</v>
      </c>
      <c r="BE111" s="131">
        <v>0</v>
      </c>
      <c r="BF111" s="131">
        <f>111</f>
        <v>111</v>
      </c>
      <c r="BH111" s="131">
        <f t="shared" si="133"/>
        <v>0</v>
      </c>
      <c r="BI111" s="131">
        <f t="shared" si="134"/>
        <v>0</v>
      </c>
      <c r="BJ111" s="131">
        <f t="shared" si="135"/>
        <v>0</v>
      </c>
      <c r="BK111" s="131"/>
      <c r="BL111" s="131"/>
      <c r="BW111" s="131">
        <v>21</v>
      </c>
      <c r="BX111" s="133" t="s">
        <v>646</v>
      </c>
    </row>
    <row r="112" spans="1:76" x14ac:dyDescent="0.25">
      <c r="A112" s="127" t="s">
        <v>361</v>
      </c>
      <c r="B112" s="128" t="s">
        <v>395</v>
      </c>
      <c r="C112" s="277" t="s">
        <v>396</v>
      </c>
      <c r="D112" s="278"/>
      <c r="E112" s="128" t="s">
        <v>164</v>
      </c>
      <c r="F112" s="129">
        <v>1</v>
      </c>
      <c r="G112" s="178">
        <v>0</v>
      </c>
      <c r="H112" s="129">
        <f t="shared" si="112"/>
        <v>0</v>
      </c>
      <c r="I112" s="129">
        <f t="shared" si="113"/>
        <v>0</v>
      </c>
      <c r="J112" s="129">
        <f t="shared" si="114"/>
        <v>0</v>
      </c>
      <c r="K112" s="130" t="s">
        <v>60</v>
      </c>
      <c r="Z112" s="131">
        <f t="shared" si="115"/>
        <v>0</v>
      </c>
      <c r="AB112" s="131">
        <f t="shared" si="116"/>
        <v>0</v>
      </c>
      <c r="AC112" s="131">
        <f t="shared" si="117"/>
        <v>0</v>
      </c>
      <c r="AD112" s="131">
        <f t="shared" si="118"/>
        <v>0</v>
      </c>
      <c r="AE112" s="131">
        <f t="shared" si="119"/>
        <v>0</v>
      </c>
      <c r="AF112" s="131">
        <f t="shared" si="120"/>
        <v>0</v>
      </c>
      <c r="AG112" s="131">
        <f t="shared" si="121"/>
        <v>0</v>
      </c>
      <c r="AH112" s="131">
        <f t="shared" si="122"/>
        <v>0</v>
      </c>
      <c r="AI112" s="115" t="s">
        <v>53</v>
      </c>
      <c r="AJ112" s="131">
        <f t="shared" si="123"/>
        <v>0</v>
      </c>
      <c r="AK112" s="131">
        <f t="shared" si="124"/>
        <v>0</v>
      </c>
      <c r="AL112" s="131">
        <f t="shared" si="125"/>
        <v>0</v>
      </c>
      <c r="AN112" s="131">
        <v>21</v>
      </c>
      <c r="AO112" s="131">
        <f t="shared" si="126"/>
        <v>0</v>
      </c>
      <c r="AP112" s="131">
        <f t="shared" si="127"/>
        <v>0</v>
      </c>
      <c r="AQ112" s="132" t="s">
        <v>343</v>
      </c>
      <c r="AV112" s="131">
        <f t="shared" si="128"/>
        <v>0</v>
      </c>
      <c r="AW112" s="131">
        <f t="shared" si="129"/>
        <v>0</v>
      </c>
      <c r="AX112" s="131">
        <f t="shared" si="130"/>
        <v>0</v>
      </c>
      <c r="AY112" s="132" t="s">
        <v>344</v>
      </c>
      <c r="AZ112" s="132" t="s">
        <v>345</v>
      </c>
      <c r="BA112" s="115" t="s">
        <v>63</v>
      </c>
      <c r="BC112" s="131">
        <f t="shared" si="131"/>
        <v>0</v>
      </c>
      <c r="BD112" s="131">
        <f t="shared" si="132"/>
        <v>0</v>
      </c>
      <c r="BE112" s="131">
        <v>0</v>
      </c>
      <c r="BF112" s="131">
        <f>112</f>
        <v>112</v>
      </c>
      <c r="BH112" s="131">
        <f t="shared" si="133"/>
        <v>0</v>
      </c>
      <c r="BI112" s="131">
        <f t="shared" si="134"/>
        <v>0</v>
      </c>
      <c r="BJ112" s="131">
        <f t="shared" si="135"/>
        <v>0</v>
      </c>
      <c r="BK112" s="131"/>
      <c r="BL112" s="131"/>
      <c r="BW112" s="131">
        <v>21</v>
      </c>
      <c r="BX112" s="133" t="s">
        <v>396</v>
      </c>
    </row>
    <row r="113" spans="1:76" x14ac:dyDescent="0.25">
      <c r="A113" s="127" t="s">
        <v>364</v>
      </c>
      <c r="B113" s="128" t="s">
        <v>647</v>
      </c>
      <c r="C113" s="277" t="s">
        <v>648</v>
      </c>
      <c r="D113" s="278"/>
      <c r="E113" s="128" t="s">
        <v>164</v>
      </c>
      <c r="F113" s="129">
        <v>1</v>
      </c>
      <c r="G113" s="178">
        <v>0</v>
      </c>
      <c r="H113" s="129">
        <f t="shared" si="112"/>
        <v>0</v>
      </c>
      <c r="I113" s="129">
        <f t="shared" si="113"/>
        <v>0</v>
      </c>
      <c r="J113" s="129">
        <f t="shared" si="114"/>
        <v>0</v>
      </c>
      <c r="K113" s="130" t="s">
        <v>60</v>
      </c>
      <c r="Z113" s="131">
        <f t="shared" si="115"/>
        <v>0</v>
      </c>
      <c r="AB113" s="131">
        <f t="shared" si="116"/>
        <v>0</v>
      </c>
      <c r="AC113" s="131">
        <f t="shared" si="117"/>
        <v>0</v>
      </c>
      <c r="AD113" s="131">
        <f t="shared" si="118"/>
        <v>0</v>
      </c>
      <c r="AE113" s="131">
        <f t="shared" si="119"/>
        <v>0</v>
      </c>
      <c r="AF113" s="131">
        <f t="shared" si="120"/>
        <v>0</v>
      </c>
      <c r="AG113" s="131">
        <f t="shared" si="121"/>
        <v>0</v>
      </c>
      <c r="AH113" s="131">
        <f t="shared" si="122"/>
        <v>0</v>
      </c>
      <c r="AI113" s="115" t="s">
        <v>53</v>
      </c>
      <c r="AJ113" s="131">
        <f t="shared" si="123"/>
        <v>0</v>
      </c>
      <c r="AK113" s="131">
        <f t="shared" si="124"/>
        <v>0</v>
      </c>
      <c r="AL113" s="131">
        <f t="shared" si="125"/>
        <v>0</v>
      </c>
      <c r="AN113" s="131">
        <v>21</v>
      </c>
      <c r="AO113" s="131">
        <f t="shared" si="126"/>
        <v>0</v>
      </c>
      <c r="AP113" s="131">
        <f t="shared" si="127"/>
        <v>0</v>
      </c>
      <c r="AQ113" s="132" t="s">
        <v>343</v>
      </c>
      <c r="AV113" s="131">
        <f t="shared" si="128"/>
        <v>0</v>
      </c>
      <c r="AW113" s="131">
        <f t="shared" si="129"/>
        <v>0</v>
      </c>
      <c r="AX113" s="131">
        <f t="shared" si="130"/>
        <v>0</v>
      </c>
      <c r="AY113" s="132" t="s">
        <v>344</v>
      </c>
      <c r="AZ113" s="132" t="s">
        <v>345</v>
      </c>
      <c r="BA113" s="115" t="s">
        <v>63</v>
      </c>
      <c r="BC113" s="131">
        <f t="shared" si="131"/>
        <v>0</v>
      </c>
      <c r="BD113" s="131">
        <f t="shared" si="132"/>
        <v>0</v>
      </c>
      <c r="BE113" s="131">
        <v>0</v>
      </c>
      <c r="BF113" s="131">
        <f>113</f>
        <v>113</v>
      </c>
      <c r="BH113" s="131">
        <f t="shared" si="133"/>
        <v>0</v>
      </c>
      <c r="BI113" s="131">
        <f t="shared" si="134"/>
        <v>0</v>
      </c>
      <c r="BJ113" s="131">
        <f t="shared" si="135"/>
        <v>0</v>
      </c>
      <c r="BK113" s="131"/>
      <c r="BL113" s="131"/>
      <c r="BW113" s="131">
        <v>21</v>
      </c>
      <c r="BX113" s="133" t="s">
        <v>648</v>
      </c>
    </row>
    <row r="114" spans="1:76" x14ac:dyDescent="0.25">
      <c r="A114" s="134" t="s">
        <v>367</v>
      </c>
      <c r="B114" s="135" t="s">
        <v>400</v>
      </c>
      <c r="C114" s="270" t="s">
        <v>401</v>
      </c>
      <c r="D114" s="271"/>
      <c r="E114" s="135" t="s">
        <v>164</v>
      </c>
      <c r="F114" s="131">
        <v>4</v>
      </c>
      <c r="G114" s="179">
        <v>0</v>
      </c>
      <c r="H114" s="131">
        <f t="shared" si="112"/>
        <v>0</v>
      </c>
      <c r="I114" s="131">
        <f t="shared" si="113"/>
        <v>0</v>
      </c>
      <c r="J114" s="131">
        <f t="shared" si="114"/>
        <v>0</v>
      </c>
      <c r="K114" s="136" t="s">
        <v>53</v>
      </c>
      <c r="Z114" s="131">
        <f t="shared" si="115"/>
        <v>0</v>
      </c>
      <c r="AB114" s="131">
        <f t="shared" si="116"/>
        <v>0</v>
      </c>
      <c r="AC114" s="131">
        <f t="shared" si="117"/>
        <v>0</v>
      </c>
      <c r="AD114" s="131">
        <f t="shared" si="118"/>
        <v>0</v>
      </c>
      <c r="AE114" s="131">
        <f t="shared" si="119"/>
        <v>0</v>
      </c>
      <c r="AF114" s="131">
        <f t="shared" si="120"/>
        <v>0</v>
      </c>
      <c r="AG114" s="131">
        <f t="shared" si="121"/>
        <v>0</v>
      </c>
      <c r="AH114" s="131">
        <f t="shared" si="122"/>
        <v>0</v>
      </c>
      <c r="AI114" s="115" t="s">
        <v>53</v>
      </c>
      <c r="AJ114" s="131">
        <f t="shared" si="123"/>
        <v>0</v>
      </c>
      <c r="AK114" s="131">
        <f t="shared" si="124"/>
        <v>0</v>
      </c>
      <c r="AL114" s="131">
        <f t="shared" si="125"/>
        <v>0</v>
      </c>
      <c r="AN114" s="131">
        <v>21</v>
      </c>
      <c r="AO114" s="131">
        <f t="shared" si="126"/>
        <v>0</v>
      </c>
      <c r="AP114" s="131">
        <f t="shared" si="127"/>
        <v>0</v>
      </c>
      <c r="AQ114" s="132" t="s">
        <v>343</v>
      </c>
      <c r="AV114" s="131">
        <f t="shared" si="128"/>
        <v>0</v>
      </c>
      <c r="AW114" s="131">
        <f t="shared" si="129"/>
        <v>0</v>
      </c>
      <c r="AX114" s="131">
        <f t="shared" si="130"/>
        <v>0</v>
      </c>
      <c r="AY114" s="132" t="s">
        <v>344</v>
      </c>
      <c r="AZ114" s="132" t="s">
        <v>345</v>
      </c>
      <c r="BA114" s="115" t="s">
        <v>63</v>
      </c>
      <c r="BC114" s="131">
        <f t="shared" si="131"/>
        <v>0</v>
      </c>
      <c r="BD114" s="131">
        <f t="shared" si="132"/>
        <v>0</v>
      </c>
      <c r="BE114" s="131">
        <v>0</v>
      </c>
      <c r="BF114" s="131">
        <f>114</f>
        <v>114</v>
      </c>
      <c r="BH114" s="131">
        <f t="shared" si="133"/>
        <v>0</v>
      </c>
      <c r="BI114" s="131">
        <f t="shared" si="134"/>
        <v>0</v>
      </c>
      <c r="BJ114" s="131">
        <f t="shared" si="135"/>
        <v>0</v>
      </c>
      <c r="BK114" s="131"/>
      <c r="BL114" s="131"/>
      <c r="BW114" s="131">
        <v>21</v>
      </c>
      <c r="BX114" s="133" t="s">
        <v>401</v>
      </c>
    </row>
    <row r="115" spans="1:76" x14ac:dyDescent="0.25">
      <c r="A115" s="134" t="s">
        <v>370</v>
      </c>
      <c r="B115" s="135" t="s">
        <v>397</v>
      </c>
      <c r="C115" s="270" t="s">
        <v>398</v>
      </c>
      <c r="D115" s="271"/>
      <c r="E115" s="135" t="s">
        <v>164</v>
      </c>
      <c r="F115" s="131">
        <v>4</v>
      </c>
      <c r="G115" s="179">
        <v>0</v>
      </c>
      <c r="H115" s="131">
        <f t="shared" si="112"/>
        <v>0</v>
      </c>
      <c r="I115" s="131">
        <f t="shared" si="113"/>
        <v>0</v>
      </c>
      <c r="J115" s="131">
        <f t="shared" si="114"/>
        <v>0</v>
      </c>
      <c r="K115" s="136" t="s">
        <v>53</v>
      </c>
      <c r="Z115" s="131">
        <f t="shared" si="115"/>
        <v>0</v>
      </c>
      <c r="AB115" s="131">
        <f t="shared" si="116"/>
        <v>0</v>
      </c>
      <c r="AC115" s="131">
        <f t="shared" si="117"/>
        <v>0</v>
      </c>
      <c r="AD115" s="131">
        <f t="shared" si="118"/>
        <v>0</v>
      </c>
      <c r="AE115" s="131">
        <f t="shared" si="119"/>
        <v>0</v>
      </c>
      <c r="AF115" s="131">
        <f t="shared" si="120"/>
        <v>0</v>
      </c>
      <c r="AG115" s="131">
        <f t="shared" si="121"/>
        <v>0</v>
      </c>
      <c r="AH115" s="131">
        <f t="shared" si="122"/>
        <v>0</v>
      </c>
      <c r="AI115" s="115" t="s">
        <v>53</v>
      </c>
      <c r="AJ115" s="131">
        <f t="shared" si="123"/>
        <v>0</v>
      </c>
      <c r="AK115" s="131">
        <f t="shared" si="124"/>
        <v>0</v>
      </c>
      <c r="AL115" s="131">
        <f t="shared" si="125"/>
        <v>0</v>
      </c>
      <c r="AN115" s="131">
        <v>21</v>
      </c>
      <c r="AO115" s="131">
        <f t="shared" si="126"/>
        <v>0</v>
      </c>
      <c r="AP115" s="131">
        <f t="shared" si="127"/>
        <v>0</v>
      </c>
      <c r="AQ115" s="132" t="s">
        <v>343</v>
      </c>
      <c r="AV115" s="131">
        <f t="shared" si="128"/>
        <v>0</v>
      </c>
      <c r="AW115" s="131">
        <f t="shared" si="129"/>
        <v>0</v>
      </c>
      <c r="AX115" s="131">
        <f t="shared" si="130"/>
        <v>0</v>
      </c>
      <c r="AY115" s="132" t="s">
        <v>344</v>
      </c>
      <c r="AZ115" s="132" t="s">
        <v>345</v>
      </c>
      <c r="BA115" s="115" t="s">
        <v>63</v>
      </c>
      <c r="BC115" s="131">
        <f t="shared" si="131"/>
        <v>0</v>
      </c>
      <c r="BD115" s="131">
        <f t="shared" si="132"/>
        <v>0</v>
      </c>
      <c r="BE115" s="131">
        <v>0</v>
      </c>
      <c r="BF115" s="131">
        <f>115</f>
        <v>115</v>
      </c>
      <c r="BH115" s="131">
        <f t="shared" si="133"/>
        <v>0</v>
      </c>
      <c r="BI115" s="131">
        <f t="shared" si="134"/>
        <v>0</v>
      </c>
      <c r="BJ115" s="131">
        <f t="shared" si="135"/>
        <v>0</v>
      </c>
      <c r="BK115" s="131"/>
      <c r="BL115" s="131"/>
      <c r="BW115" s="131">
        <v>21</v>
      </c>
      <c r="BX115" s="133" t="s">
        <v>398</v>
      </c>
    </row>
    <row r="116" spans="1:76" x14ac:dyDescent="0.25">
      <c r="A116" s="134" t="s">
        <v>373</v>
      </c>
      <c r="B116" s="135" t="s">
        <v>570</v>
      </c>
      <c r="C116" s="270" t="s">
        <v>571</v>
      </c>
      <c r="D116" s="271"/>
      <c r="E116" s="135" t="s">
        <v>164</v>
      </c>
      <c r="F116" s="131">
        <v>6</v>
      </c>
      <c r="G116" s="179">
        <v>0</v>
      </c>
      <c r="H116" s="131">
        <f t="shared" si="112"/>
        <v>0</v>
      </c>
      <c r="I116" s="131">
        <f t="shared" si="113"/>
        <v>0</v>
      </c>
      <c r="J116" s="131">
        <f t="shared" si="114"/>
        <v>0</v>
      </c>
      <c r="K116" s="136" t="s">
        <v>53</v>
      </c>
      <c r="Z116" s="131">
        <f t="shared" si="115"/>
        <v>0</v>
      </c>
      <c r="AB116" s="131">
        <f t="shared" si="116"/>
        <v>0</v>
      </c>
      <c r="AC116" s="131">
        <f t="shared" si="117"/>
        <v>0</v>
      </c>
      <c r="AD116" s="131">
        <f t="shared" si="118"/>
        <v>0</v>
      </c>
      <c r="AE116" s="131">
        <f t="shared" si="119"/>
        <v>0</v>
      </c>
      <c r="AF116" s="131">
        <f t="shared" si="120"/>
        <v>0</v>
      </c>
      <c r="AG116" s="131">
        <f t="shared" si="121"/>
        <v>0</v>
      </c>
      <c r="AH116" s="131">
        <f t="shared" si="122"/>
        <v>0</v>
      </c>
      <c r="AI116" s="115" t="s">
        <v>53</v>
      </c>
      <c r="AJ116" s="131">
        <f t="shared" si="123"/>
        <v>0</v>
      </c>
      <c r="AK116" s="131">
        <f t="shared" si="124"/>
        <v>0</v>
      </c>
      <c r="AL116" s="131">
        <f t="shared" si="125"/>
        <v>0</v>
      </c>
      <c r="AN116" s="131">
        <v>21</v>
      </c>
      <c r="AO116" s="131">
        <f t="shared" si="126"/>
        <v>0</v>
      </c>
      <c r="AP116" s="131">
        <f t="shared" si="127"/>
        <v>0</v>
      </c>
      <c r="AQ116" s="132" t="s">
        <v>343</v>
      </c>
      <c r="AV116" s="131">
        <f t="shared" si="128"/>
        <v>0</v>
      </c>
      <c r="AW116" s="131">
        <f t="shared" si="129"/>
        <v>0</v>
      </c>
      <c r="AX116" s="131">
        <f t="shared" si="130"/>
        <v>0</v>
      </c>
      <c r="AY116" s="132" t="s">
        <v>344</v>
      </c>
      <c r="AZ116" s="132" t="s">
        <v>345</v>
      </c>
      <c r="BA116" s="115" t="s">
        <v>63</v>
      </c>
      <c r="BC116" s="131">
        <f t="shared" si="131"/>
        <v>0</v>
      </c>
      <c r="BD116" s="131">
        <f t="shared" si="132"/>
        <v>0</v>
      </c>
      <c r="BE116" s="131">
        <v>0</v>
      </c>
      <c r="BF116" s="131">
        <f>116</f>
        <v>116</v>
      </c>
      <c r="BH116" s="131">
        <f t="shared" si="133"/>
        <v>0</v>
      </c>
      <c r="BI116" s="131">
        <f t="shared" si="134"/>
        <v>0</v>
      </c>
      <c r="BJ116" s="131">
        <f t="shared" si="135"/>
        <v>0</v>
      </c>
      <c r="BK116" s="131"/>
      <c r="BL116" s="131"/>
      <c r="BW116" s="131">
        <v>21</v>
      </c>
      <c r="BX116" s="133" t="s">
        <v>571</v>
      </c>
    </row>
    <row r="117" spans="1:76" x14ac:dyDescent="0.25">
      <c r="A117" s="127" t="s">
        <v>376</v>
      </c>
      <c r="B117" s="128" t="s">
        <v>406</v>
      </c>
      <c r="C117" s="277" t="s">
        <v>407</v>
      </c>
      <c r="D117" s="278"/>
      <c r="E117" s="128" t="s">
        <v>408</v>
      </c>
      <c r="F117" s="129">
        <v>0.45</v>
      </c>
      <c r="G117" s="178">
        <v>0</v>
      </c>
      <c r="H117" s="129">
        <f t="shared" si="112"/>
        <v>0</v>
      </c>
      <c r="I117" s="129">
        <f t="shared" si="113"/>
        <v>0</v>
      </c>
      <c r="J117" s="129">
        <f t="shared" si="114"/>
        <v>0</v>
      </c>
      <c r="K117" s="130" t="s">
        <v>60</v>
      </c>
      <c r="Z117" s="131">
        <f t="shared" si="115"/>
        <v>0</v>
      </c>
      <c r="AB117" s="131">
        <f t="shared" si="116"/>
        <v>0</v>
      </c>
      <c r="AC117" s="131">
        <f t="shared" si="117"/>
        <v>0</v>
      </c>
      <c r="AD117" s="131">
        <f t="shared" si="118"/>
        <v>0</v>
      </c>
      <c r="AE117" s="131">
        <f t="shared" si="119"/>
        <v>0</v>
      </c>
      <c r="AF117" s="131">
        <f t="shared" si="120"/>
        <v>0</v>
      </c>
      <c r="AG117" s="131">
        <f t="shared" si="121"/>
        <v>0</v>
      </c>
      <c r="AH117" s="131">
        <f t="shared" si="122"/>
        <v>0</v>
      </c>
      <c r="AI117" s="115" t="s">
        <v>53</v>
      </c>
      <c r="AJ117" s="131">
        <f t="shared" si="123"/>
        <v>0</v>
      </c>
      <c r="AK117" s="131">
        <f t="shared" si="124"/>
        <v>0</v>
      </c>
      <c r="AL117" s="131">
        <f t="shared" si="125"/>
        <v>0</v>
      </c>
      <c r="AN117" s="131">
        <v>21</v>
      </c>
      <c r="AO117" s="131">
        <f t="shared" si="126"/>
        <v>0</v>
      </c>
      <c r="AP117" s="131">
        <f t="shared" si="127"/>
        <v>0</v>
      </c>
      <c r="AQ117" s="132" t="s">
        <v>343</v>
      </c>
      <c r="AV117" s="131">
        <f t="shared" si="128"/>
        <v>0</v>
      </c>
      <c r="AW117" s="131">
        <f t="shared" si="129"/>
        <v>0</v>
      </c>
      <c r="AX117" s="131">
        <f t="shared" si="130"/>
        <v>0</v>
      </c>
      <c r="AY117" s="132" t="s">
        <v>344</v>
      </c>
      <c r="AZ117" s="132" t="s">
        <v>345</v>
      </c>
      <c r="BA117" s="115" t="s">
        <v>63</v>
      </c>
      <c r="BC117" s="131">
        <f t="shared" si="131"/>
        <v>0</v>
      </c>
      <c r="BD117" s="131">
        <f t="shared" si="132"/>
        <v>0</v>
      </c>
      <c r="BE117" s="131">
        <v>0</v>
      </c>
      <c r="BF117" s="131">
        <f>117</f>
        <v>117</v>
      </c>
      <c r="BH117" s="131">
        <f t="shared" si="133"/>
        <v>0</v>
      </c>
      <c r="BI117" s="131">
        <f t="shared" si="134"/>
        <v>0</v>
      </c>
      <c r="BJ117" s="131">
        <f t="shared" si="135"/>
        <v>0</v>
      </c>
      <c r="BK117" s="131"/>
      <c r="BL117" s="131"/>
      <c r="BW117" s="131">
        <v>21</v>
      </c>
      <c r="BX117" s="133" t="s">
        <v>407</v>
      </c>
    </row>
    <row r="118" spans="1:76" x14ac:dyDescent="0.25">
      <c r="A118" s="123" t="s">
        <v>53</v>
      </c>
      <c r="B118" s="124" t="s">
        <v>409</v>
      </c>
      <c r="C118" s="272" t="s">
        <v>410</v>
      </c>
      <c r="D118" s="273"/>
      <c r="E118" s="125" t="s">
        <v>9</v>
      </c>
      <c r="F118" s="125" t="s">
        <v>9</v>
      </c>
      <c r="G118" s="125" t="s">
        <v>9</v>
      </c>
      <c r="H118" s="110">
        <f>H119+H121+H123</f>
        <v>0</v>
      </c>
      <c r="I118" s="110">
        <f>I119+I121+I123</f>
        <v>0</v>
      </c>
      <c r="J118" s="110">
        <f>J119+J121+J123</f>
        <v>0</v>
      </c>
      <c r="K118" s="126" t="s">
        <v>53</v>
      </c>
      <c r="AI118" s="115" t="s">
        <v>53</v>
      </c>
    </row>
    <row r="119" spans="1:76" x14ac:dyDescent="0.25">
      <c r="A119" s="123" t="s">
        <v>53</v>
      </c>
      <c r="B119" s="124" t="s">
        <v>411</v>
      </c>
      <c r="C119" s="272" t="s">
        <v>412</v>
      </c>
      <c r="D119" s="273"/>
      <c r="E119" s="125" t="s">
        <v>9</v>
      </c>
      <c r="F119" s="125" t="s">
        <v>9</v>
      </c>
      <c r="G119" s="125" t="s">
        <v>9</v>
      </c>
      <c r="H119" s="110">
        <f>SUM(H120:H120)</f>
        <v>0</v>
      </c>
      <c r="I119" s="110">
        <f>SUM(I120:I120)</f>
        <v>0</v>
      </c>
      <c r="J119" s="110">
        <f>SUM(J120:J120)</f>
        <v>0</v>
      </c>
      <c r="K119" s="126" t="s">
        <v>53</v>
      </c>
      <c r="AI119" s="115" t="s">
        <v>53</v>
      </c>
      <c r="AS119" s="110">
        <f>SUM(AJ120:AJ120)</f>
        <v>0</v>
      </c>
      <c r="AT119" s="110">
        <f>SUM(AK120:AK120)</f>
        <v>0</v>
      </c>
      <c r="AU119" s="110">
        <f>SUM(AL120:AL120)</f>
        <v>0</v>
      </c>
    </row>
    <row r="120" spans="1:76" x14ac:dyDescent="0.25">
      <c r="A120" s="134" t="s">
        <v>255</v>
      </c>
      <c r="B120" s="135" t="s">
        <v>414</v>
      </c>
      <c r="C120" s="270" t="s">
        <v>415</v>
      </c>
      <c r="D120" s="271"/>
      <c r="E120" s="135" t="s">
        <v>416</v>
      </c>
      <c r="F120" s="131">
        <v>1</v>
      </c>
      <c r="G120" s="179">
        <v>0</v>
      </c>
      <c r="H120" s="131">
        <f>F120*AO120</f>
        <v>0</v>
      </c>
      <c r="I120" s="131">
        <f>F120*AP120</f>
        <v>0</v>
      </c>
      <c r="J120" s="131">
        <f>F120*G120</f>
        <v>0</v>
      </c>
      <c r="K120" s="136" t="s">
        <v>53</v>
      </c>
      <c r="Z120" s="131">
        <f>IF(AQ120="5",BJ120,0)</f>
        <v>0</v>
      </c>
      <c r="AB120" s="131">
        <f>IF(AQ120="1",BH120,0)</f>
        <v>0</v>
      </c>
      <c r="AC120" s="131">
        <f>IF(AQ120="1",BI120,0)</f>
        <v>0</v>
      </c>
      <c r="AD120" s="131">
        <f>IF(AQ120="7",BH120,0)</f>
        <v>0</v>
      </c>
      <c r="AE120" s="131">
        <f>IF(AQ120="7",BI120,0)</f>
        <v>0</v>
      </c>
      <c r="AF120" s="131">
        <f>IF(AQ120="2",BH120,0)</f>
        <v>0</v>
      </c>
      <c r="AG120" s="131">
        <f>IF(AQ120="2",BI120,0)</f>
        <v>0</v>
      </c>
      <c r="AH120" s="131">
        <f>IF(AQ120="0",BJ120,0)</f>
        <v>0</v>
      </c>
      <c r="AI120" s="115" t="s">
        <v>53</v>
      </c>
      <c r="AJ120" s="131">
        <f>IF(AN120=0,J120,0)</f>
        <v>0</v>
      </c>
      <c r="AK120" s="131">
        <f>IF(AN120=12,J120,0)</f>
        <v>0</v>
      </c>
      <c r="AL120" s="131">
        <f>IF(AN120=21,J120,0)</f>
        <v>0</v>
      </c>
      <c r="AN120" s="131">
        <v>21</v>
      </c>
      <c r="AO120" s="131">
        <f>G120*0</f>
        <v>0</v>
      </c>
      <c r="AP120" s="131">
        <f>G120*(1-0)</f>
        <v>0</v>
      </c>
      <c r="AQ120" s="132" t="s">
        <v>405</v>
      </c>
      <c r="AV120" s="131">
        <f>AW120+AX120</f>
        <v>0</v>
      </c>
      <c r="AW120" s="131">
        <f>F120*AO120</f>
        <v>0</v>
      </c>
      <c r="AX120" s="131">
        <f>F120*AP120</f>
        <v>0</v>
      </c>
      <c r="AY120" s="132" t="s">
        <v>417</v>
      </c>
      <c r="AZ120" s="132" t="s">
        <v>418</v>
      </c>
      <c r="BA120" s="115" t="s">
        <v>63</v>
      </c>
      <c r="BC120" s="131">
        <f>AW120+AX120</f>
        <v>0</v>
      </c>
      <c r="BD120" s="131">
        <f>G120/(100-BE120)*100</f>
        <v>0</v>
      </c>
      <c r="BE120" s="131">
        <v>0</v>
      </c>
      <c r="BF120" s="131">
        <f>120</f>
        <v>120</v>
      </c>
      <c r="BH120" s="131">
        <f>F120*AO120</f>
        <v>0</v>
      </c>
      <c r="BI120" s="131">
        <f>F120*AP120</f>
        <v>0</v>
      </c>
      <c r="BJ120" s="131">
        <f>F120*G120</f>
        <v>0</v>
      </c>
      <c r="BK120" s="131"/>
      <c r="BL120" s="131"/>
      <c r="BM120" s="131">
        <f>F120*G120</f>
        <v>0</v>
      </c>
      <c r="BW120" s="131">
        <v>21</v>
      </c>
      <c r="BX120" s="133" t="s">
        <v>415</v>
      </c>
    </row>
    <row r="121" spans="1:76" x14ac:dyDescent="0.25">
      <c r="A121" s="123" t="s">
        <v>53</v>
      </c>
      <c r="B121" s="124" t="s">
        <v>419</v>
      </c>
      <c r="C121" s="272" t="s">
        <v>420</v>
      </c>
      <c r="D121" s="273"/>
      <c r="E121" s="125" t="s">
        <v>9</v>
      </c>
      <c r="F121" s="125" t="s">
        <v>9</v>
      </c>
      <c r="G121" s="125" t="s">
        <v>9</v>
      </c>
      <c r="H121" s="110">
        <f>SUM(H122:H122)</f>
        <v>0</v>
      </c>
      <c r="I121" s="110">
        <f>SUM(I122:I122)</f>
        <v>0</v>
      </c>
      <c r="J121" s="110">
        <f>SUM(J122:J122)</f>
        <v>0</v>
      </c>
      <c r="K121" s="126" t="s">
        <v>53</v>
      </c>
      <c r="AI121" s="115" t="s">
        <v>53</v>
      </c>
      <c r="AS121" s="110">
        <f>SUM(AJ122:AJ122)</f>
        <v>0</v>
      </c>
      <c r="AT121" s="110">
        <f>SUM(AK122:AK122)</f>
        <v>0</v>
      </c>
      <c r="AU121" s="110">
        <f>SUM(AL122:AL122)</f>
        <v>0</v>
      </c>
    </row>
    <row r="122" spans="1:76" x14ac:dyDescent="0.25">
      <c r="A122" s="134" t="s">
        <v>381</v>
      </c>
      <c r="B122" s="135" t="s">
        <v>422</v>
      </c>
      <c r="C122" s="270" t="s">
        <v>420</v>
      </c>
      <c r="D122" s="271"/>
      <c r="E122" s="135" t="s">
        <v>416</v>
      </c>
      <c r="F122" s="131">
        <v>1</v>
      </c>
      <c r="G122" s="179">
        <v>0</v>
      </c>
      <c r="H122" s="131">
        <f>F122*AO122</f>
        <v>0</v>
      </c>
      <c r="I122" s="131">
        <f>F122*AP122</f>
        <v>0</v>
      </c>
      <c r="J122" s="131">
        <f>F122*G122</f>
        <v>0</v>
      </c>
      <c r="K122" s="136" t="s">
        <v>53</v>
      </c>
      <c r="Z122" s="131">
        <f>IF(AQ122="5",BJ122,0)</f>
        <v>0</v>
      </c>
      <c r="AB122" s="131">
        <f>IF(AQ122="1",BH122,0)</f>
        <v>0</v>
      </c>
      <c r="AC122" s="131">
        <f>IF(AQ122="1",BI122,0)</f>
        <v>0</v>
      </c>
      <c r="AD122" s="131">
        <f>IF(AQ122="7",BH122,0)</f>
        <v>0</v>
      </c>
      <c r="AE122" s="131">
        <f>IF(AQ122="7",BI122,0)</f>
        <v>0</v>
      </c>
      <c r="AF122" s="131">
        <f>IF(AQ122="2",BH122,0)</f>
        <v>0</v>
      </c>
      <c r="AG122" s="131">
        <f>IF(AQ122="2",BI122,0)</f>
        <v>0</v>
      </c>
      <c r="AH122" s="131">
        <f>IF(AQ122="0",BJ122,0)</f>
        <v>0</v>
      </c>
      <c r="AI122" s="115" t="s">
        <v>53</v>
      </c>
      <c r="AJ122" s="131">
        <f>IF(AN122=0,J122,0)</f>
        <v>0</v>
      </c>
      <c r="AK122" s="131">
        <f>IF(AN122=12,J122,0)</f>
        <v>0</v>
      </c>
      <c r="AL122" s="131">
        <f>IF(AN122=21,J122,0)</f>
        <v>0</v>
      </c>
      <c r="AN122" s="131">
        <v>21</v>
      </c>
      <c r="AO122" s="131">
        <f>G122*0</f>
        <v>0</v>
      </c>
      <c r="AP122" s="131">
        <f>G122*(1-0)</f>
        <v>0</v>
      </c>
      <c r="AQ122" s="132" t="s">
        <v>405</v>
      </c>
      <c r="AV122" s="131">
        <f>AW122+AX122</f>
        <v>0</v>
      </c>
      <c r="AW122" s="131">
        <f>F122*AO122</f>
        <v>0</v>
      </c>
      <c r="AX122" s="131">
        <f>F122*AP122</f>
        <v>0</v>
      </c>
      <c r="AY122" s="132" t="s">
        <v>423</v>
      </c>
      <c r="AZ122" s="132" t="s">
        <v>418</v>
      </c>
      <c r="BA122" s="115" t="s">
        <v>63</v>
      </c>
      <c r="BC122" s="131">
        <f>AW122+AX122</f>
        <v>0</v>
      </c>
      <c r="BD122" s="131">
        <f>G122/(100-BE122)*100</f>
        <v>0</v>
      </c>
      <c r="BE122" s="131">
        <v>0</v>
      </c>
      <c r="BF122" s="131">
        <f>122</f>
        <v>122</v>
      </c>
      <c r="BH122" s="131">
        <f>F122*AO122</f>
        <v>0</v>
      </c>
      <c r="BI122" s="131">
        <f>F122*AP122</f>
        <v>0</v>
      </c>
      <c r="BJ122" s="131">
        <f>F122*G122</f>
        <v>0</v>
      </c>
      <c r="BK122" s="131"/>
      <c r="BL122" s="131"/>
      <c r="BO122" s="131">
        <f>F122*G122</f>
        <v>0</v>
      </c>
      <c r="BW122" s="131">
        <v>21</v>
      </c>
      <c r="BX122" s="133" t="s">
        <v>420</v>
      </c>
    </row>
    <row r="123" spans="1:76" x14ac:dyDescent="0.25">
      <c r="A123" s="123" t="s">
        <v>53</v>
      </c>
      <c r="B123" s="124" t="s">
        <v>424</v>
      </c>
      <c r="C123" s="272" t="s">
        <v>425</v>
      </c>
      <c r="D123" s="273"/>
      <c r="E123" s="125" t="s">
        <v>9</v>
      </c>
      <c r="F123" s="125" t="s">
        <v>9</v>
      </c>
      <c r="G123" s="125" t="s">
        <v>9</v>
      </c>
      <c r="H123" s="110">
        <f>SUM(H124:H124)</f>
        <v>0</v>
      </c>
      <c r="I123" s="110">
        <f>SUM(I124:I124)</f>
        <v>0</v>
      </c>
      <c r="J123" s="110">
        <f>SUM(J124:J124)</f>
        <v>0</v>
      </c>
      <c r="K123" s="126" t="s">
        <v>53</v>
      </c>
      <c r="AI123" s="115" t="s">
        <v>53</v>
      </c>
      <c r="AS123" s="110">
        <f>SUM(AJ124:AJ124)</f>
        <v>0</v>
      </c>
      <c r="AT123" s="110">
        <f>SUM(AK124:AK124)</f>
        <v>0</v>
      </c>
      <c r="AU123" s="110">
        <f>SUM(AL124:AL124)</f>
        <v>0</v>
      </c>
    </row>
    <row r="124" spans="1:76" x14ac:dyDescent="0.25">
      <c r="A124" s="137" t="s">
        <v>269</v>
      </c>
      <c r="B124" s="138" t="s">
        <v>427</v>
      </c>
      <c r="C124" s="274" t="s">
        <v>428</v>
      </c>
      <c r="D124" s="275"/>
      <c r="E124" s="138" t="s">
        <v>416</v>
      </c>
      <c r="F124" s="139">
        <v>1</v>
      </c>
      <c r="G124" s="180">
        <v>0</v>
      </c>
      <c r="H124" s="139">
        <f>F124*AO124</f>
        <v>0</v>
      </c>
      <c r="I124" s="139">
        <f>F124*AP124</f>
        <v>0</v>
      </c>
      <c r="J124" s="139">
        <f>F124*G124</f>
        <v>0</v>
      </c>
      <c r="K124" s="140" t="s">
        <v>53</v>
      </c>
      <c r="Z124" s="131">
        <f>IF(AQ124="5",BJ124,0)</f>
        <v>0</v>
      </c>
      <c r="AB124" s="131">
        <f>IF(AQ124="1",BH124,0)</f>
        <v>0</v>
      </c>
      <c r="AC124" s="131">
        <f>IF(AQ124="1",BI124,0)</f>
        <v>0</v>
      </c>
      <c r="AD124" s="131">
        <f>IF(AQ124="7",BH124,0)</f>
        <v>0</v>
      </c>
      <c r="AE124" s="131">
        <f>IF(AQ124="7",BI124,0)</f>
        <v>0</v>
      </c>
      <c r="AF124" s="131">
        <f>IF(AQ124="2",BH124,0)</f>
        <v>0</v>
      </c>
      <c r="AG124" s="131">
        <f>IF(AQ124="2",BI124,0)</f>
        <v>0</v>
      </c>
      <c r="AH124" s="131">
        <f>IF(AQ124="0",BJ124,0)</f>
        <v>0</v>
      </c>
      <c r="AI124" s="115" t="s">
        <v>53</v>
      </c>
      <c r="AJ124" s="131">
        <f>IF(AN124=0,J124,0)</f>
        <v>0</v>
      </c>
      <c r="AK124" s="131">
        <f>IF(AN124=12,J124,0)</f>
        <v>0</v>
      </c>
      <c r="AL124" s="131">
        <f>IF(AN124=21,J124,0)</f>
        <v>0</v>
      </c>
      <c r="AN124" s="131">
        <v>21</v>
      </c>
      <c r="AO124" s="131">
        <f>G124*0</f>
        <v>0</v>
      </c>
      <c r="AP124" s="131">
        <f>G124*(1-0)</f>
        <v>0</v>
      </c>
      <c r="AQ124" s="132" t="s">
        <v>405</v>
      </c>
      <c r="AV124" s="131">
        <f>AW124+AX124</f>
        <v>0</v>
      </c>
      <c r="AW124" s="131">
        <f>F124*AO124</f>
        <v>0</v>
      </c>
      <c r="AX124" s="131">
        <f>F124*AP124</f>
        <v>0</v>
      </c>
      <c r="AY124" s="132" t="s">
        <v>429</v>
      </c>
      <c r="AZ124" s="132" t="s">
        <v>418</v>
      </c>
      <c r="BA124" s="115" t="s">
        <v>63</v>
      </c>
      <c r="BC124" s="131">
        <f>AW124+AX124</f>
        <v>0</v>
      </c>
      <c r="BD124" s="131">
        <f>G124/(100-BE124)*100</f>
        <v>0</v>
      </c>
      <c r="BE124" s="131">
        <v>0</v>
      </c>
      <c r="BF124" s="131">
        <f>124</f>
        <v>124</v>
      </c>
      <c r="BH124" s="131">
        <f>F124*AO124</f>
        <v>0</v>
      </c>
      <c r="BI124" s="131">
        <f>F124*AP124</f>
        <v>0</v>
      </c>
      <c r="BJ124" s="131">
        <f>F124*G124</f>
        <v>0</v>
      </c>
      <c r="BK124" s="131"/>
      <c r="BL124" s="131"/>
      <c r="BR124" s="131">
        <f>F124*G124</f>
        <v>0</v>
      </c>
      <c r="BW124" s="131">
        <v>21</v>
      </c>
      <c r="BX124" s="133" t="s">
        <v>428</v>
      </c>
    </row>
    <row r="125" spans="1:76" x14ac:dyDescent="0.25">
      <c r="H125" s="276" t="s">
        <v>430</v>
      </c>
      <c r="I125" s="276"/>
      <c r="J125" s="141">
        <f>ROUND(J12+J17+J21+J23+J31+J35+J40+J47+J49+J60+J64+J67+J72+J81+J83+J85+J87+J94+J119+J121+J123,0)</f>
        <v>0</v>
      </c>
    </row>
    <row r="126" spans="1:76" x14ac:dyDescent="0.25">
      <c r="A126" s="142" t="s">
        <v>431</v>
      </c>
    </row>
    <row r="127" spans="1:76" ht="12.75" customHeight="1" x14ac:dyDescent="0.25">
      <c r="A127" s="270" t="s">
        <v>53</v>
      </c>
      <c r="B127" s="271"/>
      <c r="C127" s="271"/>
      <c r="D127" s="271"/>
      <c r="E127" s="271"/>
      <c r="F127" s="271"/>
      <c r="G127" s="271"/>
      <c r="H127" s="271"/>
      <c r="I127" s="271"/>
      <c r="J127" s="271"/>
      <c r="K127" s="271"/>
    </row>
  </sheetData>
  <mergeCells count="143">
    <mergeCell ref="A4:B5"/>
    <mergeCell ref="C4:D5"/>
    <mergeCell ref="E4:F5"/>
    <mergeCell ref="G4:G5"/>
    <mergeCell ref="H4:H5"/>
    <mergeCell ref="I4:K5"/>
    <mergeCell ref="A1:K1"/>
    <mergeCell ref="A2:B3"/>
    <mergeCell ref="C2:D3"/>
    <mergeCell ref="E2:F3"/>
    <mergeCell ref="G2:G3"/>
    <mergeCell ref="H2:H3"/>
    <mergeCell ref="I2:K3"/>
    <mergeCell ref="A8:B9"/>
    <mergeCell ref="C8:D9"/>
    <mergeCell ref="E8:F9"/>
    <mergeCell ref="G8:G9"/>
    <mergeCell ref="H8:H9"/>
    <mergeCell ref="I8:K9"/>
    <mergeCell ref="A6:B7"/>
    <mergeCell ref="C6:D7"/>
    <mergeCell ref="E6:F7"/>
    <mergeCell ref="G6:G7"/>
    <mergeCell ref="H6:H7"/>
    <mergeCell ref="I6:K7"/>
    <mergeCell ref="C15:D15"/>
    <mergeCell ref="C16:D16"/>
    <mergeCell ref="C17:D17"/>
    <mergeCell ref="C18:D18"/>
    <mergeCell ref="C19:D19"/>
    <mergeCell ref="C20:D20"/>
    <mergeCell ref="C10:D10"/>
    <mergeCell ref="H10:J10"/>
    <mergeCell ref="C11:D11"/>
    <mergeCell ref="C12:D12"/>
    <mergeCell ref="C13:D13"/>
    <mergeCell ref="C14:D14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123:D123"/>
    <mergeCell ref="C124:D124"/>
    <mergeCell ref="H125:I125"/>
    <mergeCell ref="A127:K127"/>
    <mergeCell ref="C117:D117"/>
    <mergeCell ref="C118:D118"/>
    <mergeCell ref="C119:D119"/>
    <mergeCell ref="C120:D120"/>
    <mergeCell ref="C121:D121"/>
    <mergeCell ref="C122:D122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A14" sqref="A14"/>
    </sheetView>
  </sheetViews>
  <sheetFormatPr defaultColWidth="12.140625" defaultRowHeight="15" customHeight="1" x14ac:dyDescent="0.25"/>
  <cols>
    <col min="1" max="1" width="9.140625" style="109" customWidth="1"/>
    <col min="2" max="2" width="12.85546875" style="109" customWidth="1"/>
    <col min="3" max="3" width="27.140625" style="109" customWidth="1"/>
    <col min="4" max="4" width="10" style="109" customWidth="1"/>
    <col min="5" max="5" width="14" style="109" customWidth="1"/>
    <col min="6" max="6" width="27.140625" style="109" customWidth="1"/>
    <col min="7" max="7" width="9.140625" style="109" customWidth="1"/>
    <col min="8" max="8" width="12.85546875" style="109" customWidth="1"/>
    <col min="9" max="9" width="27.140625" style="109" customWidth="1"/>
    <col min="10" max="16384" width="12.140625" style="109"/>
  </cols>
  <sheetData>
    <row r="1" spans="1:9" ht="54.75" customHeight="1" x14ac:dyDescent="0.25">
      <c r="A1" s="327" t="s">
        <v>478</v>
      </c>
      <c r="B1" s="289"/>
      <c r="C1" s="289"/>
      <c r="D1" s="289"/>
      <c r="E1" s="289"/>
      <c r="F1" s="289"/>
      <c r="G1" s="289"/>
      <c r="H1" s="289"/>
      <c r="I1" s="289"/>
    </row>
    <row r="2" spans="1:9" x14ac:dyDescent="0.25">
      <c r="A2" s="290" t="s">
        <v>1</v>
      </c>
      <c r="B2" s="291"/>
      <c r="C2" s="292" t="str">
        <f>'SO-103'!C2</f>
        <v>NEDRAŽICE - CHODNÍKY A ÚPRAVY VNITŘNÍCH PROSTOR OBCE</v>
      </c>
      <c r="D2" s="293"/>
      <c r="E2" s="294" t="s">
        <v>5</v>
      </c>
      <c r="F2" s="294" t="str">
        <f>'SO-103'!I2</f>
        <v>Obec Kostelec, Kostelec 34, 349 01 Stříbro</v>
      </c>
      <c r="G2" s="291"/>
      <c r="H2" s="294" t="s">
        <v>479</v>
      </c>
      <c r="I2" s="295" t="s">
        <v>480</v>
      </c>
    </row>
    <row r="3" spans="1:9" ht="15" customHeight="1" x14ac:dyDescent="0.25">
      <c r="A3" s="287"/>
      <c r="B3" s="271"/>
      <c r="C3" s="276"/>
      <c r="D3" s="276"/>
      <c r="E3" s="271"/>
      <c r="F3" s="271"/>
      <c r="G3" s="271"/>
      <c r="H3" s="271"/>
      <c r="I3" s="288"/>
    </row>
    <row r="4" spans="1:9" x14ac:dyDescent="0.25">
      <c r="A4" s="286" t="s">
        <v>7</v>
      </c>
      <c r="B4" s="271"/>
      <c r="C4" s="270" t="str">
        <f>'SO-103'!C4</f>
        <v>SO-103 MK větev "A"</v>
      </c>
      <c r="D4" s="271"/>
      <c r="E4" s="270" t="s">
        <v>10</v>
      </c>
      <c r="F4" s="270" t="str">
        <f>'SO-103'!I4</f>
        <v>ing. Rudolf Moses, Zárečná 1521, 347 01 Tachov</v>
      </c>
      <c r="G4" s="271"/>
      <c r="H4" s="270" t="s">
        <v>479</v>
      </c>
      <c r="I4" s="288" t="s">
        <v>481</v>
      </c>
    </row>
    <row r="5" spans="1:9" ht="15" customHeight="1" x14ac:dyDescent="0.25">
      <c r="A5" s="287"/>
      <c r="B5" s="271"/>
      <c r="C5" s="271"/>
      <c r="D5" s="271"/>
      <c r="E5" s="271"/>
      <c r="F5" s="271"/>
      <c r="G5" s="271"/>
      <c r="H5" s="271"/>
      <c r="I5" s="288"/>
    </row>
    <row r="6" spans="1:9" x14ac:dyDescent="0.25">
      <c r="A6" s="286" t="s">
        <v>12</v>
      </c>
      <c r="B6" s="271"/>
      <c r="C6" s="270" t="str">
        <f>'SO-103'!C6</f>
        <v>Nedražice</v>
      </c>
      <c r="D6" s="271"/>
      <c r="E6" s="270" t="s">
        <v>16</v>
      </c>
      <c r="F6" s="270" t="str">
        <f>'SO-103'!I6</f>
        <v>dle výběr. řízení</v>
      </c>
      <c r="G6" s="271"/>
      <c r="H6" s="270" t="s">
        <v>479</v>
      </c>
      <c r="I6" s="288" t="s">
        <v>482</v>
      </c>
    </row>
    <row r="7" spans="1:9" ht="15" customHeight="1" x14ac:dyDescent="0.25">
      <c r="A7" s="287"/>
      <c r="B7" s="271"/>
      <c r="C7" s="271"/>
      <c r="D7" s="271"/>
      <c r="E7" s="271"/>
      <c r="F7" s="271"/>
      <c r="G7" s="271"/>
      <c r="H7" s="271"/>
      <c r="I7" s="288"/>
    </row>
    <row r="8" spans="1:9" x14ac:dyDescent="0.25">
      <c r="A8" s="286" t="s">
        <v>8</v>
      </c>
      <c r="B8" s="271"/>
      <c r="C8" s="270" t="str">
        <f>'SO-103'!G4</f>
        <v xml:space="preserve"> </v>
      </c>
      <c r="D8" s="271"/>
      <c r="E8" s="270" t="s">
        <v>14</v>
      </c>
      <c r="F8" s="270" t="str">
        <f>'SO-103'!G6</f>
        <v>31.10.2025</v>
      </c>
      <c r="G8" s="271"/>
      <c r="H8" s="271" t="s">
        <v>483</v>
      </c>
      <c r="I8" s="326">
        <v>91</v>
      </c>
    </row>
    <row r="9" spans="1:9" x14ac:dyDescent="0.25">
      <c r="A9" s="287"/>
      <c r="B9" s="271"/>
      <c r="C9" s="271"/>
      <c r="D9" s="271"/>
      <c r="E9" s="271"/>
      <c r="F9" s="271"/>
      <c r="G9" s="271"/>
      <c r="H9" s="271"/>
      <c r="I9" s="288"/>
    </row>
    <row r="10" spans="1:9" x14ac:dyDescent="0.25">
      <c r="A10" s="286" t="s">
        <v>18</v>
      </c>
      <c r="B10" s="271"/>
      <c r="C10" s="270" t="str">
        <f>'SO-103'!C8</f>
        <v>8222771</v>
      </c>
      <c r="D10" s="271"/>
      <c r="E10" s="270" t="s">
        <v>22</v>
      </c>
      <c r="F10" s="270" t="str">
        <f>'SO-103'!I8</f>
        <v>Ing. Moses</v>
      </c>
      <c r="G10" s="271"/>
      <c r="H10" s="271" t="s">
        <v>484</v>
      </c>
      <c r="I10" s="324" t="str">
        <f>'SO-103'!G8</f>
        <v>21.10.2024</v>
      </c>
    </row>
    <row r="11" spans="1:9" x14ac:dyDescent="0.25">
      <c r="A11" s="323"/>
      <c r="B11" s="275"/>
      <c r="C11" s="275"/>
      <c r="D11" s="275"/>
      <c r="E11" s="275"/>
      <c r="F11" s="275"/>
      <c r="G11" s="275"/>
      <c r="H11" s="275"/>
      <c r="I11" s="325"/>
    </row>
    <row r="12" spans="1:9" ht="23.25" x14ac:dyDescent="0.25">
      <c r="A12" s="320" t="s">
        <v>485</v>
      </c>
      <c r="B12" s="320"/>
      <c r="C12" s="320"/>
      <c r="D12" s="320"/>
      <c r="E12" s="320"/>
      <c r="F12" s="320"/>
      <c r="G12" s="320"/>
      <c r="H12" s="320"/>
      <c r="I12" s="320"/>
    </row>
    <row r="13" spans="1:9" ht="26.25" customHeight="1" x14ac:dyDescent="0.25">
      <c r="A13" s="157" t="s">
        <v>486</v>
      </c>
      <c r="B13" s="321" t="s">
        <v>487</v>
      </c>
      <c r="C13" s="322"/>
      <c r="D13" s="158" t="s">
        <v>488</v>
      </c>
      <c r="E13" s="321" t="s">
        <v>489</v>
      </c>
      <c r="F13" s="322"/>
      <c r="G13" s="158" t="s">
        <v>490</v>
      </c>
      <c r="H13" s="321" t="s">
        <v>491</v>
      </c>
      <c r="I13" s="322"/>
    </row>
    <row r="14" spans="1:9" ht="15.75" x14ac:dyDescent="0.25">
      <c r="A14" s="159" t="s">
        <v>492</v>
      </c>
      <c r="B14" s="160" t="s">
        <v>493</v>
      </c>
      <c r="C14" s="161">
        <f>SUM('SO-103'!AB12:AB124)</f>
        <v>0</v>
      </c>
      <c r="D14" s="318" t="s">
        <v>494</v>
      </c>
      <c r="E14" s="319"/>
      <c r="F14" s="161">
        <f>[2]VORN!I15</f>
        <v>0</v>
      </c>
      <c r="G14" s="318" t="s">
        <v>420</v>
      </c>
      <c r="H14" s="319"/>
      <c r="I14" s="162">
        <f>[2]VORN!I21</f>
        <v>0</v>
      </c>
    </row>
    <row r="15" spans="1:9" ht="15.75" x14ac:dyDescent="0.25">
      <c r="A15" s="163" t="s">
        <v>53</v>
      </c>
      <c r="B15" s="160" t="s">
        <v>38</v>
      </c>
      <c r="C15" s="161">
        <f>SUM('SO-103'!AC12:AC124)</f>
        <v>0</v>
      </c>
      <c r="D15" s="318" t="s">
        <v>495</v>
      </c>
      <c r="E15" s="319"/>
      <c r="F15" s="161">
        <f>[2]VORN!I16</f>
        <v>0</v>
      </c>
      <c r="G15" s="318" t="s">
        <v>496</v>
      </c>
      <c r="H15" s="319"/>
      <c r="I15" s="162">
        <f>[2]VORN!I22</f>
        <v>0</v>
      </c>
    </row>
    <row r="16" spans="1:9" ht="15.75" x14ac:dyDescent="0.25">
      <c r="A16" s="159" t="s">
        <v>497</v>
      </c>
      <c r="B16" s="160" t="s">
        <v>493</v>
      </c>
      <c r="C16" s="161">
        <f>SUM('SO-103'!AD12:AD124)</f>
        <v>0</v>
      </c>
      <c r="D16" s="318" t="s">
        <v>498</v>
      </c>
      <c r="E16" s="319"/>
      <c r="F16" s="161">
        <f>[2]VORN!I17</f>
        <v>0</v>
      </c>
      <c r="G16" s="318" t="s">
        <v>425</v>
      </c>
      <c r="H16" s="319"/>
      <c r="I16" s="162">
        <f>[2]VORN!I23</f>
        <v>0</v>
      </c>
    </row>
    <row r="17" spans="1:9" ht="15.75" x14ac:dyDescent="0.25">
      <c r="A17" s="163" t="s">
        <v>53</v>
      </c>
      <c r="B17" s="160" t="s">
        <v>38</v>
      </c>
      <c r="C17" s="161">
        <f>SUM('SO-103'!AE12:AE124)</f>
        <v>0</v>
      </c>
      <c r="D17" s="318" t="s">
        <v>53</v>
      </c>
      <c r="E17" s="319"/>
      <c r="F17" s="162" t="s">
        <v>53</v>
      </c>
      <c r="G17" s="318" t="s">
        <v>499</v>
      </c>
      <c r="H17" s="319"/>
      <c r="I17" s="162">
        <f>[2]VORN!I24</f>
        <v>0</v>
      </c>
    </row>
    <row r="18" spans="1:9" ht="15.75" x14ac:dyDescent="0.25">
      <c r="A18" s="159" t="s">
        <v>500</v>
      </c>
      <c r="B18" s="160" t="s">
        <v>493</v>
      </c>
      <c r="C18" s="161">
        <f>SUM('SO-103'!AF12:AF124)</f>
        <v>0</v>
      </c>
      <c r="D18" s="318" t="s">
        <v>53</v>
      </c>
      <c r="E18" s="319"/>
      <c r="F18" s="162" t="s">
        <v>53</v>
      </c>
      <c r="G18" s="318" t="s">
        <v>501</v>
      </c>
      <c r="H18" s="319"/>
      <c r="I18" s="162">
        <f>[2]VORN!I25</f>
        <v>0</v>
      </c>
    </row>
    <row r="19" spans="1:9" ht="15.75" x14ac:dyDescent="0.25">
      <c r="A19" s="163" t="s">
        <v>53</v>
      </c>
      <c r="B19" s="160" t="s">
        <v>38</v>
      </c>
      <c r="C19" s="161">
        <f>SUM('SO-103'!AG12:AG124)</f>
        <v>0</v>
      </c>
      <c r="D19" s="318" t="s">
        <v>53</v>
      </c>
      <c r="E19" s="319"/>
      <c r="F19" s="162" t="s">
        <v>53</v>
      </c>
      <c r="G19" s="318" t="s">
        <v>502</v>
      </c>
      <c r="H19" s="319"/>
      <c r="I19" s="162">
        <f>[2]VORN!I26</f>
        <v>0</v>
      </c>
    </row>
    <row r="20" spans="1:9" ht="15.75" x14ac:dyDescent="0.25">
      <c r="A20" s="307" t="s">
        <v>339</v>
      </c>
      <c r="B20" s="308"/>
      <c r="C20" s="161">
        <f>SUM('SO-103'!AH12:AH124)</f>
        <v>0</v>
      </c>
      <c r="D20" s="318" t="s">
        <v>53</v>
      </c>
      <c r="E20" s="319"/>
      <c r="F20" s="162" t="s">
        <v>53</v>
      </c>
      <c r="G20" s="318" t="s">
        <v>53</v>
      </c>
      <c r="H20" s="319"/>
      <c r="I20" s="162" t="s">
        <v>53</v>
      </c>
    </row>
    <row r="21" spans="1:9" ht="15.75" x14ac:dyDescent="0.25">
      <c r="A21" s="312" t="s">
        <v>503</v>
      </c>
      <c r="B21" s="313"/>
      <c r="C21" s="164">
        <f>SUM('SO-103'!Z12:Z124)</f>
        <v>0</v>
      </c>
      <c r="D21" s="297" t="s">
        <v>53</v>
      </c>
      <c r="E21" s="314"/>
      <c r="F21" s="165" t="s">
        <v>53</v>
      </c>
      <c r="G21" s="297" t="s">
        <v>53</v>
      </c>
      <c r="H21" s="314"/>
      <c r="I21" s="165" t="s">
        <v>53</v>
      </c>
    </row>
    <row r="22" spans="1:9" ht="16.5" customHeight="1" x14ac:dyDescent="0.25">
      <c r="A22" s="315" t="s">
        <v>504</v>
      </c>
      <c r="B22" s="316"/>
      <c r="C22" s="166">
        <f>ROUND(SUM(C14:C21),0)</f>
        <v>0</v>
      </c>
      <c r="D22" s="317" t="s">
        <v>505</v>
      </c>
      <c r="E22" s="316"/>
      <c r="F22" s="166">
        <f>SUM(F14:F21)</f>
        <v>0</v>
      </c>
      <c r="G22" s="317" t="s">
        <v>506</v>
      </c>
      <c r="H22" s="316"/>
      <c r="I22" s="166">
        <f>SUM(I14:I21)</f>
        <v>0</v>
      </c>
    </row>
    <row r="23" spans="1:9" ht="16.5" thickBot="1" x14ac:dyDescent="0.3">
      <c r="D23" s="307" t="s">
        <v>507</v>
      </c>
      <c r="E23" s="308"/>
      <c r="F23" s="167">
        <v>0</v>
      </c>
      <c r="G23" s="309" t="s">
        <v>508</v>
      </c>
      <c r="H23" s="308"/>
      <c r="I23" s="161">
        <v>0</v>
      </c>
    </row>
    <row r="24" spans="1:9" ht="15.75" x14ac:dyDescent="0.25">
      <c r="G24" s="307" t="s">
        <v>509</v>
      </c>
      <c r="H24" s="308"/>
      <c r="I24" s="164">
        <f>vorn_sum</f>
        <v>0</v>
      </c>
    </row>
    <row r="25" spans="1:9" ht="15.75" x14ac:dyDescent="0.25">
      <c r="G25" s="307" t="s">
        <v>510</v>
      </c>
      <c r="H25" s="308"/>
      <c r="I25" s="166">
        <v>0</v>
      </c>
    </row>
    <row r="27" spans="1:9" ht="15.75" x14ac:dyDescent="0.25">
      <c r="A27" s="310" t="s">
        <v>511</v>
      </c>
      <c r="B27" s="311"/>
      <c r="C27" s="168">
        <f>ROUND(SUM('SO-103'!AJ12:AJ124),0)</f>
        <v>0</v>
      </c>
    </row>
    <row r="28" spans="1:9" ht="15.75" x14ac:dyDescent="0.25">
      <c r="A28" s="302" t="s">
        <v>512</v>
      </c>
      <c r="B28" s="303"/>
      <c r="C28" s="169">
        <f>ROUND(SUM('SO-103'!AK12:AK124),0)</f>
        <v>0</v>
      </c>
      <c r="D28" s="311" t="s">
        <v>513</v>
      </c>
      <c r="E28" s="311"/>
      <c r="F28" s="168">
        <f>ROUND(C28*(12/100),2)</f>
        <v>0</v>
      </c>
      <c r="G28" s="311" t="s">
        <v>514</v>
      </c>
      <c r="H28" s="311"/>
      <c r="I28" s="168">
        <f>ROUND(SUM(C27:C29),0)</f>
        <v>0</v>
      </c>
    </row>
    <row r="29" spans="1:9" ht="15.75" x14ac:dyDescent="0.25">
      <c r="A29" s="302" t="s">
        <v>515</v>
      </c>
      <c r="B29" s="303"/>
      <c r="C29" s="169">
        <f>ROUND(SUM('SO-103'!AL12:AL124),0)</f>
        <v>0</v>
      </c>
      <c r="D29" s="303" t="s">
        <v>516</v>
      </c>
      <c r="E29" s="303"/>
      <c r="F29" s="169">
        <f>ROUND(C29*(21/100),2)</f>
        <v>0</v>
      </c>
      <c r="G29" s="303" t="s">
        <v>517</v>
      </c>
      <c r="H29" s="303"/>
      <c r="I29" s="169">
        <f>ROUND(SUM(F28:F29)+I28,0)</f>
        <v>0</v>
      </c>
    </row>
    <row r="31" spans="1:9" x14ac:dyDescent="0.25">
      <c r="A31" s="304" t="s">
        <v>518</v>
      </c>
      <c r="B31" s="305"/>
      <c r="C31" s="306"/>
      <c r="D31" s="305" t="s">
        <v>519</v>
      </c>
      <c r="E31" s="305"/>
      <c r="F31" s="306"/>
      <c r="G31" s="305" t="s">
        <v>520</v>
      </c>
      <c r="H31" s="305"/>
      <c r="I31" s="306"/>
    </row>
    <row r="32" spans="1:9" x14ac:dyDescent="0.25">
      <c r="A32" s="296" t="s">
        <v>53</v>
      </c>
      <c r="B32" s="297"/>
      <c r="C32" s="298"/>
      <c r="D32" s="297" t="s">
        <v>53</v>
      </c>
      <c r="E32" s="297"/>
      <c r="F32" s="298"/>
      <c r="G32" s="297" t="s">
        <v>53</v>
      </c>
      <c r="H32" s="297"/>
      <c r="I32" s="298"/>
    </row>
    <row r="33" spans="1:9" x14ac:dyDescent="0.25">
      <c r="A33" s="296" t="s">
        <v>53</v>
      </c>
      <c r="B33" s="297"/>
      <c r="C33" s="298"/>
      <c r="D33" s="297" t="s">
        <v>53</v>
      </c>
      <c r="E33" s="297"/>
      <c r="F33" s="298"/>
      <c r="G33" s="297" t="s">
        <v>53</v>
      </c>
      <c r="H33" s="297"/>
      <c r="I33" s="298"/>
    </row>
    <row r="34" spans="1:9" x14ac:dyDescent="0.25">
      <c r="A34" s="296" t="s">
        <v>53</v>
      </c>
      <c r="B34" s="297"/>
      <c r="C34" s="298"/>
      <c r="D34" s="297" t="s">
        <v>53</v>
      </c>
      <c r="E34" s="297"/>
      <c r="F34" s="298"/>
      <c r="G34" s="297" t="s">
        <v>53</v>
      </c>
      <c r="H34" s="297"/>
      <c r="I34" s="298"/>
    </row>
    <row r="35" spans="1:9" ht="15.75" thickBot="1" x14ac:dyDescent="0.3">
      <c r="A35" s="299" t="s">
        <v>521</v>
      </c>
      <c r="B35" s="300"/>
      <c r="C35" s="301"/>
      <c r="D35" s="300" t="s">
        <v>521</v>
      </c>
      <c r="E35" s="300"/>
      <c r="F35" s="301"/>
      <c r="G35" s="300" t="s">
        <v>521</v>
      </c>
      <c r="H35" s="300"/>
      <c r="I35" s="301"/>
    </row>
    <row r="36" spans="1:9" x14ac:dyDescent="0.25">
      <c r="A36" s="142" t="s">
        <v>431</v>
      </c>
    </row>
    <row r="37" spans="1:9" ht="12.75" customHeight="1" x14ac:dyDescent="0.25">
      <c r="A37" s="270" t="s">
        <v>53</v>
      </c>
      <c r="B37" s="271"/>
      <c r="C37" s="271"/>
      <c r="D37" s="271"/>
      <c r="E37" s="271"/>
      <c r="F37" s="271"/>
      <c r="G37" s="271"/>
      <c r="H37" s="271"/>
      <c r="I37" s="271"/>
    </row>
  </sheetData>
  <mergeCells count="83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6"/>
  <sheetViews>
    <sheetView workbookViewId="0">
      <selection activeCell="L34" sqref="L34"/>
    </sheetView>
  </sheetViews>
  <sheetFormatPr defaultColWidth="12.140625" defaultRowHeight="15" customHeight="1" x14ac:dyDescent="0.25"/>
  <cols>
    <col min="1" max="2" width="9.140625" style="109" customWidth="1"/>
    <col min="3" max="3" width="14.28515625" style="109" customWidth="1"/>
    <col min="4" max="4" width="68.140625" style="109" customWidth="1"/>
    <col min="5" max="5" width="16.5703125" style="109" customWidth="1"/>
    <col min="6" max="6" width="24.140625" style="109" customWidth="1"/>
    <col min="7" max="7" width="15.7109375" style="109" customWidth="1"/>
    <col min="8" max="8" width="20" style="109" customWidth="1"/>
    <col min="9" max="16384" width="12.140625" style="109"/>
  </cols>
  <sheetData>
    <row r="1" spans="1:8" ht="54.75" customHeight="1" x14ac:dyDescent="0.25">
      <c r="A1" s="289" t="s">
        <v>432</v>
      </c>
      <c r="B1" s="289"/>
      <c r="C1" s="289"/>
      <c r="D1" s="289"/>
      <c r="E1" s="289"/>
      <c r="F1" s="289"/>
      <c r="G1" s="289"/>
      <c r="H1" s="289"/>
    </row>
    <row r="2" spans="1:8" x14ac:dyDescent="0.25">
      <c r="A2" s="290" t="s">
        <v>1</v>
      </c>
      <c r="B2" s="291"/>
      <c r="C2" s="292" t="str">
        <f>'SO-103'!C2</f>
        <v>NEDRAŽICE - CHODNÍKY A ÚPRAVY VNITŘNÍCH PROSTOR OBCE</v>
      </c>
      <c r="D2" s="293"/>
      <c r="E2" s="294" t="s">
        <v>5</v>
      </c>
      <c r="F2" s="294" t="str">
        <f>'SO-103'!I2</f>
        <v>Obec Kostelec, Kostelec 34, 349 01 Stříbro</v>
      </c>
      <c r="G2" s="291"/>
      <c r="H2" s="295"/>
    </row>
    <row r="3" spans="1:8" ht="15" customHeight="1" x14ac:dyDescent="0.25">
      <c r="A3" s="287"/>
      <c r="B3" s="271"/>
      <c r="C3" s="276"/>
      <c r="D3" s="276"/>
      <c r="E3" s="271"/>
      <c r="F3" s="271"/>
      <c r="G3" s="271"/>
      <c r="H3" s="288"/>
    </row>
    <row r="4" spans="1:8" x14ac:dyDescent="0.25">
      <c r="A4" s="286" t="s">
        <v>7</v>
      </c>
      <c r="B4" s="271"/>
      <c r="C4" s="270" t="str">
        <f>'SO-103'!C4</f>
        <v>SO-103 MK větev "A"</v>
      </c>
      <c r="D4" s="271"/>
      <c r="E4" s="270" t="s">
        <v>10</v>
      </c>
      <c r="F4" s="270" t="str">
        <f>'SO-103'!I4</f>
        <v>ing. Rudolf Moses, Zárečná 1521, 347 01 Tachov</v>
      </c>
      <c r="G4" s="271"/>
      <c r="H4" s="288"/>
    </row>
    <row r="5" spans="1:8" ht="15" customHeight="1" x14ac:dyDescent="0.25">
      <c r="A5" s="287"/>
      <c r="B5" s="271"/>
      <c r="C5" s="271"/>
      <c r="D5" s="271"/>
      <c r="E5" s="271"/>
      <c r="F5" s="271"/>
      <c r="G5" s="271"/>
      <c r="H5" s="288"/>
    </row>
    <row r="6" spans="1:8" x14ac:dyDescent="0.25">
      <c r="A6" s="286" t="s">
        <v>12</v>
      </c>
      <c r="B6" s="271"/>
      <c r="C6" s="270" t="str">
        <f>'SO-103'!C6</f>
        <v>Nedražice</v>
      </c>
      <c r="D6" s="271"/>
      <c r="E6" s="270" t="s">
        <v>16</v>
      </c>
      <c r="F6" s="270" t="str">
        <f>'SO-103'!I6</f>
        <v>dle výběr. řízení</v>
      </c>
      <c r="G6" s="271"/>
      <c r="H6" s="288"/>
    </row>
    <row r="7" spans="1:8" ht="15" customHeight="1" x14ac:dyDescent="0.25">
      <c r="A7" s="287"/>
      <c r="B7" s="271"/>
      <c r="C7" s="271"/>
      <c r="D7" s="271"/>
      <c r="E7" s="271"/>
      <c r="F7" s="271"/>
      <c r="G7" s="271"/>
      <c r="H7" s="288"/>
    </row>
    <row r="8" spans="1:8" x14ac:dyDescent="0.25">
      <c r="A8" s="286" t="s">
        <v>22</v>
      </c>
      <c r="B8" s="271"/>
      <c r="C8" s="270" t="str">
        <f>'SO-103'!I8</f>
        <v>Ing. Moses</v>
      </c>
      <c r="D8" s="271"/>
      <c r="E8" s="270" t="s">
        <v>20</v>
      </c>
      <c r="F8" s="270" t="str">
        <f>'SO-103'!G8</f>
        <v>21.10.2024</v>
      </c>
      <c r="G8" s="271"/>
      <c r="H8" s="288"/>
    </row>
    <row r="9" spans="1:8" ht="15.75" thickBot="1" x14ac:dyDescent="0.3">
      <c r="A9" s="287"/>
      <c r="B9" s="271"/>
      <c r="C9" s="271"/>
      <c r="D9" s="271"/>
      <c r="E9" s="271"/>
      <c r="F9" s="271"/>
      <c r="G9" s="271"/>
      <c r="H9" s="288"/>
    </row>
    <row r="10" spans="1:8" ht="15.75" thickBot="1" x14ac:dyDescent="0.3">
      <c r="A10" s="143" t="s">
        <v>24</v>
      </c>
      <c r="B10" s="144" t="s">
        <v>433</v>
      </c>
      <c r="C10" s="144" t="s">
        <v>25</v>
      </c>
      <c r="D10" s="330" t="s">
        <v>26</v>
      </c>
      <c r="E10" s="331"/>
      <c r="F10" s="144" t="s">
        <v>27</v>
      </c>
      <c r="G10" s="145" t="s">
        <v>28</v>
      </c>
      <c r="H10" s="146" t="s">
        <v>434</v>
      </c>
    </row>
    <row r="11" spans="1:8" x14ac:dyDescent="0.25">
      <c r="A11" s="134" t="s">
        <v>56</v>
      </c>
      <c r="B11" s="135" t="s">
        <v>53</v>
      </c>
      <c r="C11" s="135" t="s">
        <v>65</v>
      </c>
      <c r="D11" s="271" t="s">
        <v>540</v>
      </c>
      <c r="E11" s="271"/>
      <c r="F11" s="135" t="s">
        <v>67</v>
      </c>
      <c r="G11" s="131">
        <v>10.6</v>
      </c>
      <c r="H11" s="147">
        <v>0</v>
      </c>
    </row>
    <row r="12" spans="1:8" x14ac:dyDescent="0.25">
      <c r="A12" s="148"/>
      <c r="D12" s="149" t="s">
        <v>649</v>
      </c>
      <c r="E12" s="328" t="s">
        <v>53</v>
      </c>
      <c r="F12" s="328"/>
      <c r="G12" s="150">
        <v>10.6</v>
      </c>
      <c r="H12" s="151"/>
    </row>
    <row r="13" spans="1:8" x14ac:dyDescent="0.25">
      <c r="A13" s="134" t="s">
        <v>64</v>
      </c>
      <c r="B13" s="135" t="s">
        <v>53</v>
      </c>
      <c r="C13" s="135" t="s">
        <v>69</v>
      </c>
      <c r="D13" s="271" t="s">
        <v>70</v>
      </c>
      <c r="E13" s="271"/>
      <c r="F13" s="135" t="s">
        <v>59</v>
      </c>
      <c r="G13" s="131">
        <v>10</v>
      </c>
      <c r="H13" s="147">
        <v>0</v>
      </c>
    </row>
    <row r="14" spans="1:8" x14ac:dyDescent="0.25">
      <c r="A14" s="148"/>
      <c r="D14" s="149" t="s">
        <v>93</v>
      </c>
      <c r="E14" s="328" t="s">
        <v>53</v>
      </c>
      <c r="F14" s="328"/>
      <c r="G14" s="150">
        <v>10</v>
      </c>
      <c r="H14" s="151"/>
    </row>
    <row r="15" spans="1:8" x14ac:dyDescent="0.25">
      <c r="A15" s="134" t="s">
        <v>68</v>
      </c>
      <c r="B15" s="135" t="s">
        <v>53</v>
      </c>
      <c r="C15" s="135" t="s">
        <v>57</v>
      </c>
      <c r="D15" s="271" t="s">
        <v>58</v>
      </c>
      <c r="E15" s="271"/>
      <c r="F15" s="135" t="s">
        <v>59</v>
      </c>
      <c r="G15" s="131">
        <v>142</v>
      </c>
      <c r="H15" s="147">
        <v>0</v>
      </c>
    </row>
    <row r="16" spans="1:8" x14ac:dyDescent="0.25">
      <c r="A16" s="148"/>
      <c r="D16" s="149" t="s">
        <v>650</v>
      </c>
      <c r="E16" s="328" t="s">
        <v>53</v>
      </c>
      <c r="F16" s="328"/>
      <c r="G16" s="150">
        <v>142</v>
      </c>
      <c r="H16" s="151"/>
    </row>
    <row r="17" spans="1:8" x14ac:dyDescent="0.25">
      <c r="A17" s="134" t="s">
        <v>71</v>
      </c>
      <c r="B17" s="135" t="s">
        <v>53</v>
      </c>
      <c r="C17" s="135" t="s">
        <v>622</v>
      </c>
      <c r="D17" s="271" t="s">
        <v>623</v>
      </c>
      <c r="E17" s="271"/>
      <c r="F17" s="135" t="s">
        <v>59</v>
      </c>
      <c r="G17" s="131">
        <v>142</v>
      </c>
      <c r="H17" s="147">
        <v>0</v>
      </c>
    </row>
    <row r="18" spans="1:8" x14ac:dyDescent="0.25">
      <c r="A18" s="148"/>
      <c r="D18" s="149" t="s">
        <v>650</v>
      </c>
      <c r="E18" s="328" t="s">
        <v>53</v>
      </c>
      <c r="F18" s="328"/>
      <c r="G18" s="150">
        <v>142</v>
      </c>
      <c r="H18" s="151"/>
    </row>
    <row r="19" spans="1:8" x14ac:dyDescent="0.25">
      <c r="A19" s="134" t="s">
        <v>76</v>
      </c>
      <c r="B19" s="135" t="s">
        <v>53</v>
      </c>
      <c r="C19" s="135" t="s">
        <v>77</v>
      </c>
      <c r="D19" s="271" t="s">
        <v>78</v>
      </c>
      <c r="E19" s="271"/>
      <c r="F19" s="135" t="s">
        <v>79</v>
      </c>
      <c r="G19" s="131">
        <v>4</v>
      </c>
      <c r="H19" s="147">
        <v>0</v>
      </c>
    </row>
    <row r="20" spans="1:8" x14ac:dyDescent="0.25">
      <c r="A20" s="148"/>
      <c r="D20" s="149" t="s">
        <v>71</v>
      </c>
      <c r="E20" s="328" t="s">
        <v>53</v>
      </c>
      <c r="F20" s="328"/>
      <c r="G20" s="150">
        <v>4</v>
      </c>
      <c r="H20" s="151"/>
    </row>
    <row r="21" spans="1:8" x14ac:dyDescent="0.25">
      <c r="A21" s="134" t="s">
        <v>81</v>
      </c>
      <c r="B21" s="135" t="s">
        <v>53</v>
      </c>
      <c r="C21" s="135" t="s">
        <v>82</v>
      </c>
      <c r="D21" s="271" t="s">
        <v>83</v>
      </c>
      <c r="E21" s="271"/>
      <c r="F21" s="135" t="s">
        <v>79</v>
      </c>
      <c r="G21" s="131">
        <v>44.4</v>
      </c>
      <c r="H21" s="147">
        <v>0</v>
      </c>
    </row>
    <row r="22" spans="1:8" x14ac:dyDescent="0.25">
      <c r="A22" s="148"/>
      <c r="D22" s="149" t="s">
        <v>651</v>
      </c>
      <c r="E22" s="328" t="s">
        <v>53</v>
      </c>
      <c r="F22" s="328"/>
      <c r="G22" s="150">
        <v>44.4</v>
      </c>
      <c r="H22" s="151"/>
    </row>
    <row r="23" spans="1:8" x14ac:dyDescent="0.25">
      <c r="A23" s="134" t="s">
        <v>84</v>
      </c>
      <c r="B23" s="135" t="s">
        <v>53</v>
      </c>
      <c r="C23" s="135" t="s">
        <v>85</v>
      </c>
      <c r="D23" s="271" t="s">
        <v>86</v>
      </c>
      <c r="E23" s="271"/>
      <c r="F23" s="135" t="s">
        <v>79</v>
      </c>
      <c r="G23" s="131">
        <v>222</v>
      </c>
      <c r="H23" s="147">
        <v>0</v>
      </c>
    </row>
    <row r="24" spans="1:8" x14ac:dyDescent="0.25">
      <c r="A24" s="148"/>
      <c r="D24" s="149" t="s">
        <v>652</v>
      </c>
      <c r="E24" s="328" t="s">
        <v>53</v>
      </c>
      <c r="F24" s="328"/>
      <c r="G24" s="150">
        <v>222</v>
      </c>
      <c r="H24" s="151"/>
    </row>
    <row r="25" spans="1:8" x14ac:dyDescent="0.25">
      <c r="A25" s="134" t="s">
        <v>87</v>
      </c>
      <c r="B25" s="135" t="s">
        <v>53</v>
      </c>
      <c r="C25" s="135" t="s">
        <v>98</v>
      </c>
      <c r="D25" s="271" t="s">
        <v>99</v>
      </c>
      <c r="E25" s="271"/>
      <c r="F25" s="135" t="s">
        <v>79</v>
      </c>
      <c r="G25" s="131">
        <v>22.2</v>
      </c>
      <c r="H25" s="147">
        <v>0</v>
      </c>
    </row>
    <row r="26" spans="1:8" x14ac:dyDescent="0.25">
      <c r="A26" s="148"/>
      <c r="D26" s="149" t="s">
        <v>653</v>
      </c>
      <c r="E26" s="328" t="s">
        <v>53</v>
      </c>
      <c r="F26" s="328"/>
      <c r="G26" s="150">
        <v>22.2</v>
      </c>
      <c r="H26" s="151"/>
    </row>
    <row r="27" spans="1:8" x14ac:dyDescent="0.25">
      <c r="A27" s="134" t="s">
        <v>90</v>
      </c>
      <c r="B27" s="135" t="s">
        <v>53</v>
      </c>
      <c r="C27" s="135" t="s">
        <v>103</v>
      </c>
      <c r="D27" s="271" t="s">
        <v>104</v>
      </c>
      <c r="E27" s="271"/>
      <c r="F27" s="135" t="s">
        <v>79</v>
      </c>
      <c r="G27" s="131">
        <v>1</v>
      </c>
      <c r="H27" s="147">
        <v>0</v>
      </c>
    </row>
    <row r="28" spans="1:8" x14ac:dyDescent="0.25">
      <c r="A28" s="148"/>
      <c r="D28" s="149" t="s">
        <v>654</v>
      </c>
      <c r="E28" s="328" t="s">
        <v>53</v>
      </c>
      <c r="F28" s="328"/>
      <c r="G28" s="150">
        <v>1</v>
      </c>
      <c r="H28" s="151"/>
    </row>
    <row r="29" spans="1:8" x14ac:dyDescent="0.25">
      <c r="A29" s="134" t="s">
        <v>93</v>
      </c>
      <c r="B29" s="135" t="s">
        <v>53</v>
      </c>
      <c r="C29" s="135" t="s">
        <v>106</v>
      </c>
      <c r="D29" s="271" t="s">
        <v>107</v>
      </c>
      <c r="E29" s="271"/>
      <c r="F29" s="135" t="s">
        <v>79</v>
      </c>
      <c r="G29" s="131">
        <v>216</v>
      </c>
      <c r="H29" s="147">
        <v>0</v>
      </c>
    </row>
    <row r="30" spans="1:8" x14ac:dyDescent="0.25">
      <c r="A30" s="148"/>
      <c r="D30" s="149" t="s">
        <v>655</v>
      </c>
      <c r="E30" s="328" t="s">
        <v>53</v>
      </c>
      <c r="F30" s="328"/>
      <c r="G30" s="150">
        <v>216</v>
      </c>
      <c r="H30" s="151"/>
    </row>
    <row r="31" spans="1:8" x14ac:dyDescent="0.25">
      <c r="A31" s="134" t="s">
        <v>54</v>
      </c>
      <c r="B31" s="135" t="s">
        <v>53</v>
      </c>
      <c r="C31" s="135" t="s">
        <v>109</v>
      </c>
      <c r="D31" s="271" t="s">
        <v>110</v>
      </c>
      <c r="E31" s="271"/>
      <c r="F31" s="135" t="s">
        <v>79</v>
      </c>
      <c r="G31" s="131">
        <v>1</v>
      </c>
      <c r="H31" s="147">
        <v>0</v>
      </c>
    </row>
    <row r="32" spans="1:8" x14ac:dyDescent="0.25">
      <c r="A32" s="148"/>
      <c r="D32" s="149" t="s">
        <v>654</v>
      </c>
      <c r="E32" s="328" t="s">
        <v>53</v>
      </c>
      <c r="F32" s="328"/>
      <c r="G32" s="150">
        <v>1</v>
      </c>
      <c r="H32" s="151"/>
    </row>
    <row r="33" spans="1:8" x14ac:dyDescent="0.25">
      <c r="A33" s="134" t="s">
        <v>74</v>
      </c>
      <c r="B33" s="135" t="s">
        <v>53</v>
      </c>
      <c r="C33" s="135" t="s">
        <v>112</v>
      </c>
      <c r="D33" s="271" t="s">
        <v>113</v>
      </c>
      <c r="E33" s="271"/>
      <c r="F33" s="135" t="s">
        <v>79</v>
      </c>
      <c r="G33" s="131">
        <v>3</v>
      </c>
      <c r="H33" s="147">
        <v>0</v>
      </c>
    </row>
    <row r="34" spans="1:8" x14ac:dyDescent="0.25">
      <c r="A34" s="148"/>
      <c r="D34" s="149" t="s">
        <v>68</v>
      </c>
      <c r="E34" s="328" t="s">
        <v>53</v>
      </c>
      <c r="F34" s="328"/>
      <c r="G34" s="150">
        <v>3</v>
      </c>
      <c r="H34" s="151"/>
    </row>
    <row r="35" spans="1:8" x14ac:dyDescent="0.25">
      <c r="A35" s="134" t="s">
        <v>96</v>
      </c>
      <c r="B35" s="135" t="s">
        <v>53</v>
      </c>
      <c r="C35" s="135" t="s">
        <v>114</v>
      </c>
      <c r="D35" s="271" t="s">
        <v>115</v>
      </c>
      <c r="E35" s="271"/>
      <c r="F35" s="135" t="s">
        <v>79</v>
      </c>
      <c r="G35" s="131">
        <v>216</v>
      </c>
      <c r="H35" s="147">
        <v>0</v>
      </c>
    </row>
    <row r="36" spans="1:8" x14ac:dyDescent="0.25">
      <c r="A36" s="148"/>
      <c r="D36" s="149" t="s">
        <v>655</v>
      </c>
      <c r="E36" s="328" t="s">
        <v>53</v>
      </c>
      <c r="F36" s="328"/>
      <c r="G36" s="150">
        <v>216</v>
      </c>
      <c r="H36" s="151"/>
    </row>
    <row r="37" spans="1:8" x14ac:dyDescent="0.25">
      <c r="A37" s="134" t="s">
        <v>108</v>
      </c>
      <c r="B37" s="135" t="s">
        <v>53</v>
      </c>
      <c r="C37" s="135" t="s">
        <v>117</v>
      </c>
      <c r="D37" s="271" t="s">
        <v>118</v>
      </c>
      <c r="E37" s="271"/>
      <c r="F37" s="135" t="s">
        <v>79</v>
      </c>
      <c r="G37" s="131">
        <v>2160</v>
      </c>
      <c r="H37" s="147">
        <v>0</v>
      </c>
    </row>
    <row r="38" spans="1:8" x14ac:dyDescent="0.25">
      <c r="A38" s="148"/>
      <c r="D38" s="149" t="s">
        <v>656</v>
      </c>
      <c r="E38" s="328" t="s">
        <v>53</v>
      </c>
      <c r="F38" s="328"/>
      <c r="G38" s="150">
        <v>2160</v>
      </c>
      <c r="H38" s="151"/>
    </row>
    <row r="39" spans="1:8" x14ac:dyDescent="0.25">
      <c r="A39" s="134" t="s">
        <v>111</v>
      </c>
      <c r="B39" s="135" t="s">
        <v>53</v>
      </c>
      <c r="C39" s="135" t="s">
        <v>120</v>
      </c>
      <c r="D39" s="271" t="s">
        <v>121</v>
      </c>
      <c r="E39" s="271"/>
      <c r="F39" s="135" t="s">
        <v>122</v>
      </c>
      <c r="G39" s="131">
        <v>388.8</v>
      </c>
      <c r="H39" s="147">
        <v>0</v>
      </c>
    </row>
    <row r="40" spans="1:8" x14ac:dyDescent="0.25">
      <c r="A40" s="148"/>
      <c r="D40" s="149" t="s">
        <v>657</v>
      </c>
      <c r="E40" s="328" t="s">
        <v>53</v>
      </c>
      <c r="F40" s="328"/>
      <c r="G40" s="150">
        <v>388.8</v>
      </c>
      <c r="H40" s="151"/>
    </row>
    <row r="41" spans="1:8" x14ac:dyDescent="0.25">
      <c r="A41" s="134" t="s">
        <v>101</v>
      </c>
      <c r="B41" s="135" t="s">
        <v>53</v>
      </c>
      <c r="C41" s="135" t="s">
        <v>125</v>
      </c>
      <c r="D41" s="271" t="s">
        <v>126</v>
      </c>
      <c r="E41" s="271"/>
      <c r="F41" s="135" t="s">
        <v>79</v>
      </c>
      <c r="G41" s="131">
        <v>1</v>
      </c>
      <c r="H41" s="147">
        <v>0</v>
      </c>
    </row>
    <row r="42" spans="1:8" x14ac:dyDescent="0.25">
      <c r="A42" s="148"/>
      <c r="D42" s="149" t="s">
        <v>654</v>
      </c>
      <c r="E42" s="328" t="s">
        <v>53</v>
      </c>
      <c r="F42" s="328"/>
      <c r="G42" s="150">
        <v>1</v>
      </c>
      <c r="H42" s="151"/>
    </row>
    <row r="43" spans="1:8" x14ac:dyDescent="0.25">
      <c r="A43" s="134" t="s">
        <v>116</v>
      </c>
      <c r="B43" s="135" t="s">
        <v>53</v>
      </c>
      <c r="C43" s="135" t="s">
        <v>129</v>
      </c>
      <c r="D43" s="271" t="s">
        <v>130</v>
      </c>
      <c r="E43" s="271"/>
      <c r="F43" s="135" t="s">
        <v>79</v>
      </c>
      <c r="G43" s="131">
        <v>2</v>
      </c>
      <c r="H43" s="147">
        <v>0</v>
      </c>
    </row>
    <row r="44" spans="1:8" x14ac:dyDescent="0.25">
      <c r="A44" s="148"/>
      <c r="D44" s="149" t="s">
        <v>64</v>
      </c>
      <c r="E44" s="328" t="s">
        <v>53</v>
      </c>
      <c r="F44" s="328"/>
      <c r="G44" s="150">
        <v>2</v>
      </c>
      <c r="H44" s="151"/>
    </row>
    <row r="45" spans="1:8" x14ac:dyDescent="0.25">
      <c r="A45" s="134" t="s">
        <v>119</v>
      </c>
      <c r="B45" s="135" t="s">
        <v>53</v>
      </c>
      <c r="C45" s="135" t="s">
        <v>132</v>
      </c>
      <c r="D45" s="271" t="s">
        <v>133</v>
      </c>
      <c r="E45" s="271"/>
      <c r="F45" s="135" t="s">
        <v>79</v>
      </c>
      <c r="G45" s="131">
        <v>4</v>
      </c>
      <c r="H45" s="147">
        <v>0</v>
      </c>
    </row>
    <row r="46" spans="1:8" x14ac:dyDescent="0.25">
      <c r="A46" s="148"/>
      <c r="D46" s="149" t="s">
        <v>71</v>
      </c>
      <c r="E46" s="328" t="s">
        <v>53</v>
      </c>
      <c r="F46" s="328"/>
      <c r="G46" s="150">
        <v>4</v>
      </c>
      <c r="H46" s="151"/>
    </row>
    <row r="47" spans="1:8" x14ac:dyDescent="0.25">
      <c r="A47" s="134" t="s">
        <v>124</v>
      </c>
      <c r="B47" s="135" t="s">
        <v>53</v>
      </c>
      <c r="C47" s="135" t="s">
        <v>136</v>
      </c>
      <c r="D47" s="271" t="s">
        <v>137</v>
      </c>
      <c r="E47" s="271"/>
      <c r="F47" s="135" t="s">
        <v>59</v>
      </c>
      <c r="G47" s="131">
        <v>633.48</v>
      </c>
      <c r="H47" s="147">
        <v>0</v>
      </c>
    </row>
    <row r="48" spans="1:8" x14ac:dyDescent="0.25">
      <c r="A48" s="148"/>
      <c r="D48" s="149" t="s">
        <v>658</v>
      </c>
      <c r="E48" s="328" t="s">
        <v>53</v>
      </c>
      <c r="F48" s="328"/>
      <c r="G48" s="150">
        <v>633.48</v>
      </c>
      <c r="H48" s="151"/>
    </row>
    <row r="49" spans="1:8" x14ac:dyDescent="0.25">
      <c r="A49" s="134" t="s">
        <v>128</v>
      </c>
      <c r="B49" s="135" t="s">
        <v>53</v>
      </c>
      <c r="C49" s="135" t="s">
        <v>140</v>
      </c>
      <c r="D49" s="271" t="s">
        <v>141</v>
      </c>
      <c r="E49" s="271"/>
      <c r="F49" s="135" t="s">
        <v>59</v>
      </c>
      <c r="G49" s="131">
        <v>60</v>
      </c>
      <c r="H49" s="147">
        <v>0</v>
      </c>
    </row>
    <row r="50" spans="1:8" x14ac:dyDescent="0.25">
      <c r="A50" s="148"/>
      <c r="D50" s="149" t="s">
        <v>277</v>
      </c>
      <c r="E50" s="328" t="s">
        <v>53</v>
      </c>
      <c r="F50" s="328"/>
      <c r="G50" s="150">
        <v>60</v>
      </c>
      <c r="H50" s="151"/>
    </row>
    <row r="51" spans="1:8" x14ac:dyDescent="0.25">
      <c r="A51" s="134" t="s">
        <v>131</v>
      </c>
      <c r="B51" s="135" t="s">
        <v>53</v>
      </c>
      <c r="C51" s="135" t="s">
        <v>143</v>
      </c>
      <c r="D51" s="271" t="s">
        <v>144</v>
      </c>
      <c r="E51" s="271"/>
      <c r="F51" s="135" t="s">
        <v>59</v>
      </c>
      <c r="G51" s="131">
        <v>60</v>
      </c>
      <c r="H51" s="147">
        <v>0</v>
      </c>
    </row>
    <row r="52" spans="1:8" x14ac:dyDescent="0.25">
      <c r="A52" s="148"/>
      <c r="D52" s="149" t="s">
        <v>277</v>
      </c>
      <c r="E52" s="328" t="s">
        <v>53</v>
      </c>
      <c r="F52" s="328"/>
      <c r="G52" s="150">
        <v>60</v>
      </c>
      <c r="H52" s="151"/>
    </row>
    <row r="53" spans="1:8" x14ac:dyDescent="0.25">
      <c r="A53" s="134" t="s">
        <v>135</v>
      </c>
      <c r="B53" s="135" t="s">
        <v>53</v>
      </c>
      <c r="C53" s="135" t="s">
        <v>146</v>
      </c>
      <c r="D53" s="271" t="s">
        <v>147</v>
      </c>
      <c r="E53" s="271"/>
      <c r="F53" s="135" t="s">
        <v>59</v>
      </c>
      <c r="G53" s="131">
        <v>60</v>
      </c>
      <c r="H53" s="147">
        <v>0</v>
      </c>
    </row>
    <row r="54" spans="1:8" x14ac:dyDescent="0.25">
      <c r="A54" s="148"/>
      <c r="D54" s="149" t="s">
        <v>277</v>
      </c>
      <c r="E54" s="328" t="s">
        <v>53</v>
      </c>
      <c r="F54" s="328"/>
      <c r="G54" s="150">
        <v>60</v>
      </c>
      <c r="H54" s="151"/>
    </row>
    <row r="55" spans="1:8" x14ac:dyDescent="0.25">
      <c r="A55" s="134" t="s">
        <v>139</v>
      </c>
      <c r="B55" s="135" t="s">
        <v>53</v>
      </c>
      <c r="C55" s="135" t="s">
        <v>156</v>
      </c>
      <c r="D55" s="271" t="s">
        <v>157</v>
      </c>
      <c r="E55" s="271"/>
      <c r="F55" s="135" t="s">
        <v>67</v>
      </c>
      <c r="G55" s="131">
        <v>0.7</v>
      </c>
      <c r="H55" s="147">
        <v>0</v>
      </c>
    </row>
    <row r="56" spans="1:8" x14ac:dyDescent="0.25">
      <c r="A56" s="148"/>
      <c r="D56" s="149" t="s">
        <v>659</v>
      </c>
      <c r="E56" s="328" t="s">
        <v>53</v>
      </c>
      <c r="F56" s="328"/>
      <c r="G56" s="150">
        <v>0.7</v>
      </c>
      <c r="H56" s="151"/>
    </row>
    <row r="57" spans="1:8" x14ac:dyDescent="0.25">
      <c r="A57" s="134" t="s">
        <v>142</v>
      </c>
      <c r="B57" s="135" t="s">
        <v>53</v>
      </c>
      <c r="C57" s="135" t="s">
        <v>159</v>
      </c>
      <c r="D57" s="271" t="s">
        <v>160</v>
      </c>
      <c r="E57" s="271"/>
      <c r="F57" s="135" t="s">
        <v>67</v>
      </c>
      <c r="G57" s="131">
        <v>3.15</v>
      </c>
      <c r="H57" s="147">
        <v>0</v>
      </c>
    </row>
    <row r="58" spans="1:8" x14ac:dyDescent="0.25">
      <c r="A58" s="148"/>
      <c r="D58" s="149" t="s">
        <v>660</v>
      </c>
      <c r="E58" s="328" t="s">
        <v>53</v>
      </c>
      <c r="F58" s="328"/>
      <c r="G58" s="150">
        <v>3.15</v>
      </c>
      <c r="H58" s="151"/>
    </row>
    <row r="59" spans="1:8" x14ac:dyDescent="0.25">
      <c r="A59" s="134" t="s">
        <v>145</v>
      </c>
      <c r="B59" s="135" t="s">
        <v>53</v>
      </c>
      <c r="C59" s="135" t="s">
        <v>162</v>
      </c>
      <c r="D59" s="271" t="s">
        <v>542</v>
      </c>
      <c r="E59" s="271"/>
      <c r="F59" s="135" t="s">
        <v>164</v>
      </c>
      <c r="G59" s="131">
        <v>4</v>
      </c>
      <c r="H59" s="147">
        <v>0</v>
      </c>
    </row>
    <row r="60" spans="1:8" x14ac:dyDescent="0.25">
      <c r="A60" s="148"/>
      <c r="D60" s="149" t="s">
        <v>661</v>
      </c>
      <c r="E60" s="328" t="s">
        <v>53</v>
      </c>
      <c r="F60" s="328"/>
      <c r="G60" s="150">
        <v>4</v>
      </c>
      <c r="H60" s="151"/>
    </row>
    <row r="61" spans="1:8" x14ac:dyDescent="0.25">
      <c r="A61" s="134" t="s">
        <v>150</v>
      </c>
      <c r="B61" s="135" t="s">
        <v>53</v>
      </c>
      <c r="C61" s="135" t="s">
        <v>543</v>
      </c>
      <c r="D61" s="271" t="s">
        <v>544</v>
      </c>
      <c r="E61" s="271"/>
      <c r="F61" s="135" t="s">
        <v>67</v>
      </c>
      <c r="G61" s="131">
        <v>0.7</v>
      </c>
      <c r="H61" s="147">
        <v>0</v>
      </c>
    </row>
    <row r="62" spans="1:8" x14ac:dyDescent="0.25">
      <c r="A62" s="148"/>
      <c r="D62" s="149" t="s">
        <v>659</v>
      </c>
      <c r="E62" s="328" t="s">
        <v>53</v>
      </c>
      <c r="F62" s="328"/>
      <c r="G62" s="150">
        <v>0.7</v>
      </c>
      <c r="H62" s="151"/>
    </row>
    <row r="63" spans="1:8" x14ac:dyDescent="0.25">
      <c r="A63" s="134" t="s">
        <v>155</v>
      </c>
      <c r="B63" s="135" t="s">
        <v>53</v>
      </c>
      <c r="C63" s="135" t="s">
        <v>151</v>
      </c>
      <c r="D63" s="271" t="s">
        <v>545</v>
      </c>
      <c r="E63" s="271"/>
      <c r="F63" s="135" t="s">
        <v>67</v>
      </c>
      <c r="G63" s="131">
        <v>6.7</v>
      </c>
      <c r="H63" s="147">
        <v>0</v>
      </c>
    </row>
    <row r="64" spans="1:8" x14ac:dyDescent="0.25">
      <c r="A64" s="148"/>
      <c r="D64" s="149" t="s">
        <v>662</v>
      </c>
      <c r="E64" s="328" t="s">
        <v>53</v>
      </c>
      <c r="F64" s="328"/>
      <c r="G64" s="150">
        <v>6.7</v>
      </c>
      <c r="H64" s="151"/>
    </row>
    <row r="65" spans="1:8" x14ac:dyDescent="0.25">
      <c r="A65" s="134" t="s">
        <v>158</v>
      </c>
      <c r="B65" s="135" t="s">
        <v>53</v>
      </c>
      <c r="C65" s="135" t="s">
        <v>546</v>
      </c>
      <c r="D65" s="271" t="s">
        <v>547</v>
      </c>
      <c r="E65" s="271"/>
      <c r="F65" s="135" t="s">
        <v>67</v>
      </c>
      <c r="G65" s="131">
        <v>0.7</v>
      </c>
      <c r="H65" s="147">
        <v>0</v>
      </c>
    </row>
    <row r="66" spans="1:8" x14ac:dyDescent="0.25">
      <c r="A66" s="148"/>
      <c r="D66" s="149" t="s">
        <v>659</v>
      </c>
      <c r="E66" s="328" t="s">
        <v>53</v>
      </c>
      <c r="F66" s="328"/>
      <c r="G66" s="150">
        <v>0.7</v>
      </c>
      <c r="H66" s="151"/>
    </row>
    <row r="67" spans="1:8" x14ac:dyDescent="0.25">
      <c r="A67" s="134" t="s">
        <v>161</v>
      </c>
      <c r="B67" s="135" t="s">
        <v>53</v>
      </c>
      <c r="C67" s="135" t="s">
        <v>170</v>
      </c>
      <c r="D67" s="271" t="s">
        <v>624</v>
      </c>
      <c r="E67" s="271"/>
      <c r="F67" s="135" t="s">
        <v>59</v>
      </c>
      <c r="G67" s="131">
        <v>152.69999999999999</v>
      </c>
      <c r="H67" s="147">
        <v>0</v>
      </c>
    </row>
    <row r="68" spans="1:8" x14ac:dyDescent="0.25">
      <c r="A68" s="148"/>
      <c r="D68" s="149" t="s">
        <v>663</v>
      </c>
      <c r="E68" s="328" t="s">
        <v>53</v>
      </c>
      <c r="F68" s="328"/>
      <c r="G68" s="150">
        <v>152.69999999999999</v>
      </c>
      <c r="H68" s="151"/>
    </row>
    <row r="69" spans="1:8" x14ac:dyDescent="0.25">
      <c r="A69" s="134" t="s">
        <v>165</v>
      </c>
      <c r="B69" s="135" t="s">
        <v>53</v>
      </c>
      <c r="C69" s="135" t="s">
        <v>184</v>
      </c>
      <c r="D69" s="271" t="s">
        <v>625</v>
      </c>
      <c r="E69" s="271"/>
      <c r="F69" s="135" t="s">
        <v>59</v>
      </c>
      <c r="G69" s="131">
        <v>101.86</v>
      </c>
      <c r="H69" s="147">
        <v>0</v>
      </c>
    </row>
    <row r="70" spans="1:8" x14ac:dyDescent="0.25">
      <c r="A70" s="148"/>
      <c r="D70" s="149" t="s">
        <v>664</v>
      </c>
      <c r="E70" s="328" t="s">
        <v>53</v>
      </c>
      <c r="F70" s="328"/>
      <c r="G70" s="150">
        <v>101.86</v>
      </c>
      <c r="H70" s="151"/>
    </row>
    <row r="71" spans="1:8" x14ac:dyDescent="0.25">
      <c r="A71" s="134" t="s">
        <v>169</v>
      </c>
      <c r="B71" s="135" t="s">
        <v>53</v>
      </c>
      <c r="C71" s="135" t="s">
        <v>187</v>
      </c>
      <c r="D71" s="271" t="s">
        <v>626</v>
      </c>
      <c r="E71" s="271"/>
      <c r="F71" s="135" t="s">
        <v>59</v>
      </c>
      <c r="G71" s="131">
        <v>92.6</v>
      </c>
      <c r="H71" s="147">
        <v>0</v>
      </c>
    </row>
    <row r="72" spans="1:8" x14ac:dyDescent="0.25">
      <c r="A72" s="148"/>
      <c r="D72" s="149" t="s">
        <v>665</v>
      </c>
      <c r="E72" s="328" t="s">
        <v>53</v>
      </c>
      <c r="F72" s="328"/>
      <c r="G72" s="150">
        <v>92.6</v>
      </c>
      <c r="H72" s="151"/>
    </row>
    <row r="73" spans="1:8" x14ac:dyDescent="0.25">
      <c r="A73" s="134" t="s">
        <v>174</v>
      </c>
      <c r="B73" s="135" t="s">
        <v>53</v>
      </c>
      <c r="C73" s="135" t="s">
        <v>179</v>
      </c>
      <c r="D73" s="271" t="s">
        <v>548</v>
      </c>
      <c r="E73" s="271"/>
      <c r="F73" s="135" t="s">
        <v>59</v>
      </c>
      <c r="G73" s="131">
        <v>221.67</v>
      </c>
      <c r="H73" s="147">
        <v>0</v>
      </c>
    </row>
    <row r="74" spans="1:8" x14ac:dyDescent="0.25">
      <c r="A74" s="148"/>
      <c r="D74" s="149" t="s">
        <v>666</v>
      </c>
      <c r="E74" s="328" t="s">
        <v>53</v>
      </c>
      <c r="F74" s="328"/>
      <c r="G74" s="150">
        <v>221.67</v>
      </c>
      <c r="H74" s="151"/>
    </row>
    <row r="75" spans="1:8" x14ac:dyDescent="0.25">
      <c r="A75" s="134" t="s">
        <v>148</v>
      </c>
      <c r="B75" s="135" t="s">
        <v>53</v>
      </c>
      <c r="C75" s="135" t="s">
        <v>187</v>
      </c>
      <c r="D75" s="271" t="s">
        <v>627</v>
      </c>
      <c r="E75" s="271"/>
      <c r="F75" s="135" t="s">
        <v>59</v>
      </c>
      <c r="G75" s="131">
        <v>111.12</v>
      </c>
      <c r="H75" s="147">
        <v>0</v>
      </c>
    </row>
    <row r="76" spans="1:8" x14ac:dyDescent="0.25">
      <c r="A76" s="148"/>
      <c r="D76" s="149" t="s">
        <v>667</v>
      </c>
      <c r="E76" s="328" t="s">
        <v>53</v>
      </c>
      <c r="F76" s="328"/>
      <c r="G76" s="150">
        <v>111.12</v>
      </c>
      <c r="H76" s="151"/>
    </row>
    <row r="77" spans="1:8" x14ac:dyDescent="0.25">
      <c r="A77" s="134" t="s">
        <v>183</v>
      </c>
      <c r="B77" s="135" t="s">
        <v>53</v>
      </c>
      <c r="C77" s="135" t="s">
        <v>184</v>
      </c>
      <c r="D77" s="271" t="s">
        <v>549</v>
      </c>
      <c r="E77" s="271"/>
      <c r="F77" s="135" t="s">
        <v>59</v>
      </c>
      <c r="G77" s="131">
        <v>100.98</v>
      </c>
      <c r="H77" s="147">
        <v>0</v>
      </c>
    </row>
    <row r="78" spans="1:8" x14ac:dyDescent="0.25">
      <c r="A78" s="148"/>
      <c r="D78" s="149" t="s">
        <v>668</v>
      </c>
      <c r="E78" s="328" t="s">
        <v>53</v>
      </c>
      <c r="F78" s="328"/>
      <c r="G78" s="150">
        <v>100.98</v>
      </c>
      <c r="H78" s="151"/>
    </row>
    <row r="79" spans="1:8" x14ac:dyDescent="0.25">
      <c r="A79" s="134" t="s">
        <v>186</v>
      </c>
      <c r="B79" s="135" t="s">
        <v>53</v>
      </c>
      <c r="C79" s="135" t="s">
        <v>187</v>
      </c>
      <c r="D79" s="271" t="s">
        <v>550</v>
      </c>
      <c r="E79" s="271"/>
      <c r="F79" s="135" t="s">
        <v>59</v>
      </c>
      <c r="G79" s="131">
        <v>110.16</v>
      </c>
      <c r="H79" s="147">
        <v>0</v>
      </c>
    </row>
    <row r="80" spans="1:8" x14ac:dyDescent="0.25">
      <c r="A80" s="148"/>
      <c r="D80" s="149" t="s">
        <v>669</v>
      </c>
      <c r="E80" s="328" t="s">
        <v>53</v>
      </c>
      <c r="F80" s="328"/>
      <c r="G80" s="150">
        <v>110.16</v>
      </c>
      <c r="H80" s="151"/>
    </row>
    <row r="81" spans="1:8" x14ac:dyDescent="0.25">
      <c r="A81" s="134" t="s">
        <v>189</v>
      </c>
      <c r="B81" s="135" t="s">
        <v>53</v>
      </c>
      <c r="C81" s="135" t="s">
        <v>187</v>
      </c>
      <c r="D81" s="271" t="s">
        <v>551</v>
      </c>
      <c r="E81" s="271"/>
      <c r="F81" s="135" t="s">
        <v>59</v>
      </c>
      <c r="G81" s="131">
        <v>82.62</v>
      </c>
      <c r="H81" s="147">
        <v>0</v>
      </c>
    </row>
    <row r="82" spans="1:8" x14ac:dyDescent="0.25">
      <c r="A82" s="148"/>
      <c r="D82" s="149" t="s">
        <v>670</v>
      </c>
      <c r="E82" s="328" t="s">
        <v>53</v>
      </c>
      <c r="F82" s="328"/>
      <c r="G82" s="150">
        <v>82.62</v>
      </c>
      <c r="H82" s="151"/>
    </row>
    <row r="83" spans="1:8" x14ac:dyDescent="0.25">
      <c r="A83" s="134" t="s">
        <v>191</v>
      </c>
      <c r="B83" s="135" t="s">
        <v>53</v>
      </c>
      <c r="C83" s="135" t="s">
        <v>192</v>
      </c>
      <c r="D83" s="271" t="s">
        <v>552</v>
      </c>
      <c r="E83" s="271"/>
      <c r="F83" s="135" t="s">
        <v>59</v>
      </c>
      <c r="G83" s="131">
        <v>139.05000000000001</v>
      </c>
      <c r="H83" s="147">
        <v>0</v>
      </c>
    </row>
    <row r="84" spans="1:8" x14ac:dyDescent="0.25">
      <c r="A84" s="148"/>
      <c r="D84" s="149" t="s">
        <v>671</v>
      </c>
      <c r="E84" s="328" t="s">
        <v>53</v>
      </c>
      <c r="F84" s="328"/>
      <c r="G84" s="150">
        <v>139.05000000000001</v>
      </c>
      <c r="H84" s="151"/>
    </row>
    <row r="85" spans="1:8" x14ac:dyDescent="0.25">
      <c r="A85" s="134" t="s">
        <v>194</v>
      </c>
      <c r="B85" s="135" t="s">
        <v>53</v>
      </c>
      <c r="C85" s="135" t="s">
        <v>628</v>
      </c>
      <c r="D85" s="271" t="s">
        <v>629</v>
      </c>
      <c r="E85" s="271"/>
      <c r="F85" s="135" t="s">
        <v>59</v>
      </c>
      <c r="G85" s="131">
        <v>92.6</v>
      </c>
      <c r="H85" s="147">
        <v>0</v>
      </c>
    </row>
    <row r="86" spans="1:8" x14ac:dyDescent="0.25">
      <c r="A86" s="148"/>
      <c r="D86" s="149" t="s">
        <v>665</v>
      </c>
      <c r="E86" s="328" t="s">
        <v>53</v>
      </c>
      <c r="F86" s="328"/>
      <c r="G86" s="150">
        <v>92.6</v>
      </c>
      <c r="H86" s="151"/>
    </row>
    <row r="87" spans="1:8" x14ac:dyDescent="0.25">
      <c r="A87" s="134" t="s">
        <v>197</v>
      </c>
      <c r="B87" s="135" t="s">
        <v>53</v>
      </c>
      <c r="C87" s="135" t="s">
        <v>195</v>
      </c>
      <c r="D87" s="271" t="s">
        <v>196</v>
      </c>
      <c r="E87" s="271"/>
      <c r="F87" s="135" t="s">
        <v>59</v>
      </c>
      <c r="G87" s="131">
        <v>10</v>
      </c>
      <c r="H87" s="147">
        <v>0</v>
      </c>
    </row>
    <row r="88" spans="1:8" x14ac:dyDescent="0.25">
      <c r="A88" s="148"/>
      <c r="D88" s="149" t="s">
        <v>93</v>
      </c>
      <c r="E88" s="328" t="s">
        <v>53</v>
      </c>
      <c r="F88" s="328"/>
      <c r="G88" s="150">
        <v>10</v>
      </c>
      <c r="H88" s="151"/>
    </row>
    <row r="89" spans="1:8" x14ac:dyDescent="0.25">
      <c r="A89" s="134" t="s">
        <v>199</v>
      </c>
      <c r="B89" s="135" t="s">
        <v>53</v>
      </c>
      <c r="C89" s="135" t="s">
        <v>213</v>
      </c>
      <c r="D89" s="271" t="s">
        <v>214</v>
      </c>
      <c r="E89" s="271"/>
      <c r="F89" s="135" t="s">
        <v>59</v>
      </c>
      <c r="G89" s="131">
        <v>92.6</v>
      </c>
      <c r="H89" s="147">
        <v>0</v>
      </c>
    </row>
    <row r="90" spans="1:8" x14ac:dyDescent="0.25">
      <c r="A90" s="148"/>
      <c r="D90" s="149" t="s">
        <v>665</v>
      </c>
      <c r="E90" s="328" t="s">
        <v>53</v>
      </c>
      <c r="F90" s="328"/>
      <c r="G90" s="150">
        <v>92.6</v>
      </c>
      <c r="H90" s="151"/>
    </row>
    <row r="91" spans="1:8" x14ac:dyDescent="0.25">
      <c r="A91" s="134" t="s">
        <v>201</v>
      </c>
      <c r="B91" s="135" t="s">
        <v>53</v>
      </c>
      <c r="C91" s="135" t="s">
        <v>209</v>
      </c>
      <c r="D91" s="271" t="s">
        <v>210</v>
      </c>
      <c r="E91" s="271"/>
      <c r="F91" s="135" t="s">
        <v>59</v>
      </c>
      <c r="G91" s="131">
        <v>281.60000000000002</v>
      </c>
      <c r="H91" s="147">
        <v>0</v>
      </c>
    </row>
    <row r="92" spans="1:8" x14ac:dyDescent="0.25">
      <c r="A92" s="148"/>
      <c r="D92" s="149" t="s">
        <v>672</v>
      </c>
      <c r="E92" s="328" t="s">
        <v>53</v>
      </c>
      <c r="F92" s="328"/>
      <c r="G92" s="150">
        <v>281.60000000000002</v>
      </c>
      <c r="H92" s="151"/>
    </row>
    <row r="93" spans="1:8" x14ac:dyDescent="0.25">
      <c r="A93" s="134" t="s">
        <v>203</v>
      </c>
      <c r="B93" s="135" t="s">
        <v>53</v>
      </c>
      <c r="C93" s="135" t="s">
        <v>630</v>
      </c>
      <c r="D93" s="271" t="s">
        <v>631</v>
      </c>
      <c r="E93" s="271"/>
      <c r="F93" s="135" t="s">
        <v>59</v>
      </c>
      <c r="G93" s="131">
        <v>192.78</v>
      </c>
      <c r="H93" s="147">
        <v>0</v>
      </c>
    </row>
    <row r="94" spans="1:8" x14ac:dyDescent="0.25">
      <c r="A94" s="148"/>
      <c r="D94" s="149" t="s">
        <v>673</v>
      </c>
      <c r="E94" s="328" t="s">
        <v>53</v>
      </c>
      <c r="F94" s="328"/>
      <c r="G94" s="150">
        <v>192.78</v>
      </c>
      <c r="H94" s="151"/>
    </row>
    <row r="95" spans="1:8" x14ac:dyDescent="0.25">
      <c r="A95" s="134" t="s">
        <v>208</v>
      </c>
      <c r="B95" s="135" t="s">
        <v>53</v>
      </c>
      <c r="C95" s="135" t="s">
        <v>217</v>
      </c>
      <c r="D95" s="271" t="s">
        <v>218</v>
      </c>
      <c r="E95" s="271"/>
      <c r="F95" s="135" t="s">
        <v>59</v>
      </c>
      <c r="G95" s="131">
        <v>154.5</v>
      </c>
      <c r="H95" s="147">
        <v>0</v>
      </c>
    </row>
    <row r="96" spans="1:8" x14ac:dyDescent="0.25">
      <c r="A96" s="148"/>
      <c r="D96" s="149" t="s">
        <v>674</v>
      </c>
      <c r="E96" s="328" t="s">
        <v>53</v>
      </c>
      <c r="F96" s="328"/>
      <c r="G96" s="150">
        <v>154.5</v>
      </c>
      <c r="H96" s="151"/>
    </row>
    <row r="97" spans="1:8" x14ac:dyDescent="0.25">
      <c r="A97" s="134" t="s">
        <v>212</v>
      </c>
      <c r="B97" s="135" t="s">
        <v>53</v>
      </c>
      <c r="C97" s="135" t="s">
        <v>221</v>
      </c>
      <c r="D97" s="271" t="s">
        <v>222</v>
      </c>
      <c r="E97" s="271"/>
      <c r="F97" s="135" t="s">
        <v>59</v>
      </c>
      <c r="G97" s="131">
        <v>91.8</v>
      </c>
      <c r="H97" s="147">
        <v>0</v>
      </c>
    </row>
    <row r="98" spans="1:8" x14ac:dyDescent="0.25">
      <c r="A98" s="148"/>
      <c r="D98" s="149" t="s">
        <v>675</v>
      </c>
      <c r="E98" s="328" t="s">
        <v>53</v>
      </c>
      <c r="F98" s="328"/>
      <c r="G98" s="150">
        <v>91.8</v>
      </c>
      <c r="H98" s="151"/>
    </row>
    <row r="99" spans="1:8" x14ac:dyDescent="0.25">
      <c r="A99" s="134" t="s">
        <v>167</v>
      </c>
      <c r="B99" s="135" t="s">
        <v>53</v>
      </c>
      <c r="C99" s="135" t="s">
        <v>258</v>
      </c>
      <c r="D99" s="271" t="s">
        <v>259</v>
      </c>
      <c r="E99" s="271"/>
      <c r="F99" s="135" t="s">
        <v>164</v>
      </c>
      <c r="G99" s="131">
        <v>4</v>
      </c>
      <c r="H99" s="147">
        <v>0</v>
      </c>
    </row>
    <row r="100" spans="1:8" x14ac:dyDescent="0.25">
      <c r="A100" s="148"/>
      <c r="D100" s="149" t="s">
        <v>71</v>
      </c>
      <c r="E100" s="328" t="s">
        <v>53</v>
      </c>
      <c r="F100" s="328"/>
      <c r="G100" s="150">
        <v>4</v>
      </c>
      <c r="H100" s="151"/>
    </row>
    <row r="101" spans="1:8" x14ac:dyDescent="0.25">
      <c r="A101" s="134" t="s">
        <v>220</v>
      </c>
      <c r="B101" s="135" t="s">
        <v>53</v>
      </c>
      <c r="C101" s="135" t="s">
        <v>263</v>
      </c>
      <c r="D101" s="271" t="s">
        <v>264</v>
      </c>
      <c r="E101" s="271"/>
      <c r="F101" s="135" t="s">
        <v>164</v>
      </c>
      <c r="G101" s="131">
        <v>3</v>
      </c>
      <c r="H101" s="147">
        <v>0</v>
      </c>
    </row>
    <row r="102" spans="1:8" x14ac:dyDescent="0.25">
      <c r="A102" s="148"/>
      <c r="D102" s="149" t="s">
        <v>68</v>
      </c>
      <c r="E102" s="328" t="s">
        <v>53</v>
      </c>
      <c r="F102" s="328"/>
      <c r="G102" s="150">
        <v>3</v>
      </c>
      <c r="H102" s="151"/>
    </row>
    <row r="103" spans="1:8" x14ac:dyDescent="0.25">
      <c r="A103" s="134" t="s">
        <v>223</v>
      </c>
      <c r="B103" s="135" t="s">
        <v>53</v>
      </c>
      <c r="C103" s="135" t="s">
        <v>265</v>
      </c>
      <c r="D103" s="271" t="s">
        <v>632</v>
      </c>
      <c r="E103" s="271"/>
      <c r="F103" s="135" t="s">
        <v>164</v>
      </c>
      <c r="G103" s="131">
        <v>3</v>
      </c>
      <c r="H103" s="147">
        <v>0</v>
      </c>
    </row>
    <row r="104" spans="1:8" x14ac:dyDescent="0.25">
      <c r="A104" s="148"/>
      <c r="D104" s="149" t="s">
        <v>68</v>
      </c>
      <c r="E104" s="328" t="s">
        <v>53</v>
      </c>
      <c r="F104" s="328"/>
      <c r="G104" s="150">
        <v>3</v>
      </c>
      <c r="H104" s="151"/>
    </row>
    <row r="105" spans="1:8" x14ac:dyDescent="0.25">
      <c r="A105" s="134" t="s">
        <v>226</v>
      </c>
      <c r="B105" s="135" t="s">
        <v>53</v>
      </c>
      <c r="C105" s="135" t="s">
        <v>267</v>
      </c>
      <c r="D105" s="271" t="s">
        <v>268</v>
      </c>
      <c r="E105" s="271"/>
      <c r="F105" s="135" t="s">
        <v>164</v>
      </c>
      <c r="G105" s="131">
        <v>6</v>
      </c>
      <c r="H105" s="147">
        <v>0</v>
      </c>
    </row>
    <row r="106" spans="1:8" x14ac:dyDescent="0.25">
      <c r="A106" s="148"/>
      <c r="D106" s="149" t="s">
        <v>81</v>
      </c>
      <c r="E106" s="328" t="s">
        <v>53</v>
      </c>
      <c r="F106" s="328"/>
      <c r="G106" s="150">
        <v>6</v>
      </c>
      <c r="H106" s="151"/>
    </row>
    <row r="107" spans="1:8" x14ac:dyDescent="0.25">
      <c r="A107" s="134" t="s">
        <v>229</v>
      </c>
      <c r="B107" s="135" t="s">
        <v>53</v>
      </c>
      <c r="C107" s="135" t="s">
        <v>272</v>
      </c>
      <c r="D107" s="271" t="s">
        <v>273</v>
      </c>
      <c r="E107" s="271"/>
      <c r="F107" s="135" t="s">
        <v>67</v>
      </c>
      <c r="G107" s="131">
        <v>133</v>
      </c>
      <c r="H107" s="147">
        <v>0</v>
      </c>
    </row>
    <row r="108" spans="1:8" x14ac:dyDescent="0.25">
      <c r="A108" s="148"/>
      <c r="D108" s="149" t="s">
        <v>676</v>
      </c>
      <c r="E108" s="328" t="s">
        <v>53</v>
      </c>
      <c r="F108" s="328"/>
      <c r="G108" s="150">
        <v>133</v>
      </c>
      <c r="H108" s="151"/>
    </row>
    <row r="109" spans="1:8" x14ac:dyDescent="0.25">
      <c r="A109" s="134" t="s">
        <v>234</v>
      </c>
      <c r="B109" s="135" t="s">
        <v>53</v>
      </c>
      <c r="C109" s="135" t="s">
        <v>272</v>
      </c>
      <c r="D109" s="271" t="s">
        <v>276</v>
      </c>
      <c r="E109" s="271"/>
      <c r="F109" s="135" t="s">
        <v>67</v>
      </c>
      <c r="G109" s="131">
        <v>121.5</v>
      </c>
      <c r="H109" s="147">
        <v>0</v>
      </c>
    </row>
    <row r="110" spans="1:8" x14ac:dyDescent="0.25">
      <c r="A110" s="148"/>
      <c r="D110" s="149" t="s">
        <v>677</v>
      </c>
      <c r="E110" s="328" t="s">
        <v>53</v>
      </c>
      <c r="F110" s="328"/>
      <c r="G110" s="150">
        <v>121.5</v>
      </c>
      <c r="H110" s="151"/>
    </row>
    <row r="111" spans="1:8" x14ac:dyDescent="0.25">
      <c r="A111" s="134" t="s">
        <v>239</v>
      </c>
      <c r="B111" s="135" t="s">
        <v>53</v>
      </c>
      <c r="C111" s="135" t="s">
        <v>278</v>
      </c>
      <c r="D111" s="271" t="s">
        <v>279</v>
      </c>
      <c r="E111" s="271"/>
      <c r="F111" s="135" t="s">
        <v>79</v>
      </c>
      <c r="G111" s="131">
        <v>5.73</v>
      </c>
      <c r="H111" s="147">
        <v>0</v>
      </c>
    </row>
    <row r="112" spans="1:8" x14ac:dyDescent="0.25">
      <c r="A112" s="148"/>
      <c r="D112" s="149" t="s">
        <v>678</v>
      </c>
      <c r="E112" s="328" t="s">
        <v>53</v>
      </c>
      <c r="F112" s="328"/>
      <c r="G112" s="150">
        <v>5.73</v>
      </c>
      <c r="H112" s="151"/>
    </row>
    <row r="113" spans="1:8" x14ac:dyDescent="0.25">
      <c r="A113" s="134" t="s">
        <v>244</v>
      </c>
      <c r="B113" s="135" t="s">
        <v>53</v>
      </c>
      <c r="C113" s="135" t="s">
        <v>633</v>
      </c>
      <c r="D113" s="271" t="s">
        <v>634</v>
      </c>
      <c r="E113" s="271"/>
      <c r="F113" s="135" t="s">
        <v>67</v>
      </c>
      <c r="G113" s="131">
        <v>133</v>
      </c>
      <c r="H113" s="147">
        <v>0</v>
      </c>
    </row>
    <row r="114" spans="1:8" x14ac:dyDescent="0.25">
      <c r="A114" s="148"/>
      <c r="D114" s="149" t="s">
        <v>676</v>
      </c>
      <c r="E114" s="328" t="s">
        <v>53</v>
      </c>
      <c r="F114" s="328"/>
      <c r="G114" s="150">
        <v>133</v>
      </c>
      <c r="H114" s="151"/>
    </row>
    <row r="115" spans="1:8" x14ac:dyDescent="0.25">
      <c r="A115" s="134" t="s">
        <v>251</v>
      </c>
      <c r="B115" s="135" t="s">
        <v>53</v>
      </c>
      <c r="C115" s="135" t="s">
        <v>281</v>
      </c>
      <c r="D115" s="271" t="s">
        <v>554</v>
      </c>
      <c r="E115" s="271"/>
      <c r="F115" s="135" t="s">
        <v>164</v>
      </c>
      <c r="G115" s="131">
        <v>4</v>
      </c>
      <c r="H115" s="147">
        <v>0</v>
      </c>
    </row>
    <row r="116" spans="1:8" x14ac:dyDescent="0.25">
      <c r="A116" s="148"/>
      <c r="D116" s="149" t="s">
        <v>661</v>
      </c>
      <c r="E116" s="328" t="s">
        <v>53</v>
      </c>
      <c r="F116" s="328"/>
      <c r="G116" s="150">
        <v>4</v>
      </c>
      <c r="H116" s="151"/>
    </row>
    <row r="117" spans="1:8" x14ac:dyDescent="0.25">
      <c r="A117" s="134" t="s">
        <v>257</v>
      </c>
      <c r="B117" s="135" t="s">
        <v>53</v>
      </c>
      <c r="C117" s="135" t="s">
        <v>284</v>
      </c>
      <c r="D117" s="271" t="s">
        <v>285</v>
      </c>
      <c r="E117" s="271"/>
      <c r="F117" s="135" t="s">
        <v>67</v>
      </c>
      <c r="G117" s="131">
        <v>90</v>
      </c>
      <c r="H117" s="147">
        <v>0</v>
      </c>
    </row>
    <row r="118" spans="1:8" x14ac:dyDescent="0.25">
      <c r="A118" s="148"/>
      <c r="D118" s="149" t="s">
        <v>381</v>
      </c>
      <c r="E118" s="328" t="s">
        <v>53</v>
      </c>
      <c r="F118" s="328"/>
      <c r="G118" s="150">
        <v>90</v>
      </c>
      <c r="H118" s="151"/>
    </row>
    <row r="119" spans="1:8" x14ac:dyDescent="0.25">
      <c r="A119" s="134" t="s">
        <v>262</v>
      </c>
      <c r="B119" s="135" t="s">
        <v>53</v>
      </c>
      <c r="C119" s="135" t="s">
        <v>635</v>
      </c>
      <c r="D119" s="271" t="s">
        <v>636</v>
      </c>
      <c r="E119" s="271"/>
      <c r="F119" s="135" t="s">
        <v>67</v>
      </c>
      <c r="G119" s="131">
        <v>122</v>
      </c>
      <c r="H119" s="147">
        <v>0</v>
      </c>
    </row>
    <row r="120" spans="1:8" x14ac:dyDescent="0.25">
      <c r="A120" s="148"/>
      <c r="D120" s="149" t="s">
        <v>679</v>
      </c>
      <c r="E120" s="328" t="s">
        <v>53</v>
      </c>
      <c r="F120" s="328"/>
      <c r="G120" s="150">
        <v>122</v>
      </c>
      <c r="H120" s="151"/>
    </row>
    <row r="121" spans="1:8" x14ac:dyDescent="0.25">
      <c r="A121" s="134" t="s">
        <v>177</v>
      </c>
      <c r="B121" s="135" t="s">
        <v>53</v>
      </c>
      <c r="C121" s="135" t="s">
        <v>637</v>
      </c>
      <c r="D121" s="271" t="s">
        <v>638</v>
      </c>
      <c r="E121" s="271"/>
      <c r="F121" s="135" t="s">
        <v>67</v>
      </c>
      <c r="G121" s="131">
        <v>35</v>
      </c>
      <c r="H121" s="147">
        <v>0</v>
      </c>
    </row>
    <row r="122" spans="1:8" x14ac:dyDescent="0.25">
      <c r="A122" s="148"/>
      <c r="D122" s="149" t="s">
        <v>680</v>
      </c>
      <c r="E122" s="328" t="s">
        <v>53</v>
      </c>
      <c r="F122" s="328"/>
      <c r="G122" s="150">
        <v>35</v>
      </c>
      <c r="H122" s="151"/>
    </row>
    <row r="123" spans="1:8" x14ac:dyDescent="0.25">
      <c r="A123" s="134" t="s">
        <v>206</v>
      </c>
      <c r="B123" s="135" t="s">
        <v>53</v>
      </c>
      <c r="C123" s="135" t="s">
        <v>302</v>
      </c>
      <c r="D123" s="271" t="s">
        <v>303</v>
      </c>
      <c r="E123" s="271"/>
      <c r="F123" s="135" t="s">
        <v>164</v>
      </c>
      <c r="G123" s="131">
        <v>1</v>
      </c>
      <c r="H123" s="147">
        <v>0</v>
      </c>
    </row>
    <row r="124" spans="1:8" x14ac:dyDescent="0.25">
      <c r="A124" s="148"/>
      <c r="D124" s="149" t="s">
        <v>56</v>
      </c>
      <c r="E124" s="328" t="s">
        <v>53</v>
      </c>
      <c r="F124" s="328"/>
      <c r="G124" s="150">
        <v>1</v>
      </c>
      <c r="H124" s="151"/>
    </row>
    <row r="125" spans="1:8" x14ac:dyDescent="0.25">
      <c r="A125" s="134" t="s">
        <v>271</v>
      </c>
      <c r="B125" s="135" t="s">
        <v>53</v>
      </c>
      <c r="C125" s="135" t="s">
        <v>318</v>
      </c>
      <c r="D125" s="271" t="s">
        <v>319</v>
      </c>
      <c r="E125" s="271"/>
      <c r="F125" s="135" t="s">
        <v>164</v>
      </c>
      <c r="G125" s="131">
        <v>3</v>
      </c>
      <c r="H125" s="147">
        <v>0</v>
      </c>
    </row>
    <row r="126" spans="1:8" x14ac:dyDescent="0.25">
      <c r="A126" s="148"/>
      <c r="D126" s="149" t="s">
        <v>68</v>
      </c>
      <c r="E126" s="328" t="s">
        <v>53</v>
      </c>
      <c r="F126" s="328"/>
      <c r="G126" s="150">
        <v>3</v>
      </c>
      <c r="H126" s="151"/>
    </row>
    <row r="127" spans="1:8" x14ac:dyDescent="0.25">
      <c r="A127" s="134" t="s">
        <v>215</v>
      </c>
      <c r="B127" s="135" t="s">
        <v>53</v>
      </c>
      <c r="C127" s="135" t="s">
        <v>323</v>
      </c>
      <c r="D127" s="271" t="s">
        <v>324</v>
      </c>
      <c r="E127" s="271"/>
      <c r="F127" s="135" t="s">
        <v>122</v>
      </c>
      <c r="G127" s="131">
        <v>422.25</v>
      </c>
      <c r="H127" s="147">
        <v>0</v>
      </c>
    </row>
    <row r="128" spans="1:8" x14ac:dyDescent="0.25">
      <c r="A128" s="148"/>
      <c r="D128" s="149" t="s">
        <v>681</v>
      </c>
      <c r="E128" s="328" t="s">
        <v>53</v>
      </c>
      <c r="F128" s="328"/>
      <c r="G128" s="150">
        <v>422.25</v>
      </c>
      <c r="H128" s="151"/>
    </row>
    <row r="129" spans="1:8" x14ac:dyDescent="0.25">
      <c r="A129" s="134" t="s">
        <v>277</v>
      </c>
      <c r="B129" s="135" t="s">
        <v>53</v>
      </c>
      <c r="C129" s="135" t="s">
        <v>329</v>
      </c>
      <c r="D129" s="271" t="s">
        <v>330</v>
      </c>
      <c r="E129" s="271"/>
      <c r="F129" s="135" t="s">
        <v>122</v>
      </c>
      <c r="G129" s="131">
        <v>34.909999999999997</v>
      </c>
      <c r="H129" s="147">
        <v>0</v>
      </c>
    </row>
    <row r="130" spans="1:8" x14ac:dyDescent="0.25">
      <c r="A130" s="148"/>
      <c r="D130" s="149" t="s">
        <v>682</v>
      </c>
      <c r="E130" s="328" t="s">
        <v>53</v>
      </c>
      <c r="F130" s="328"/>
      <c r="G130" s="150">
        <v>34.909999999999997</v>
      </c>
      <c r="H130" s="151"/>
    </row>
    <row r="131" spans="1:8" x14ac:dyDescent="0.25">
      <c r="A131" s="134" t="s">
        <v>280</v>
      </c>
      <c r="B131" s="135" t="s">
        <v>53</v>
      </c>
      <c r="C131" s="135" t="s">
        <v>333</v>
      </c>
      <c r="D131" s="271" t="s">
        <v>334</v>
      </c>
      <c r="E131" s="271"/>
      <c r="F131" s="135" t="s">
        <v>122</v>
      </c>
      <c r="G131" s="131">
        <v>209.46</v>
      </c>
      <c r="H131" s="147">
        <v>0</v>
      </c>
    </row>
    <row r="132" spans="1:8" x14ac:dyDescent="0.25">
      <c r="A132" s="148"/>
      <c r="D132" s="149" t="s">
        <v>683</v>
      </c>
      <c r="E132" s="328" t="s">
        <v>53</v>
      </c>
      <c r="F132" s="328"/>
      <c r="G132" s="150">
        <v>209.46</v>
      </c>
      <c r="H132" s="151"/>
    </row>
    <row r="133" spans="1:8" x14ac:dyDescent="0.25">
      <c r="A133" s="134" t="s">
        <v>283</v>
      </c>
      <c r="B133" s="135" t="s">
        <v>53</v>
      </c>
      <c r="C133" s="135" t="s">
        <v>336</v>
      </c>
      <c r="D133" s="271" t="s">
        <v>337</v>
      </c>
      <c r="E133" s="271"/>
      <c r="F133" s="135" t="s">
        <v>122</v>
      </c>
      <c r="G133" s="131">
        <v>34.909999999999997</v>
      </c>
      <c r="H133" s="147">
        <v>0</v>
      </c>
    </row>
    <row r="134" spans="1:8" x14ac:dyDescent="0.25">
      <c r="A134" s="148"/>
      <c r="D134" s="149" t="s">
        <v>684</v>
      </c>
      <c r="E134" s="328" t="s">
        <v>53</v>
      </c>
      <c r="F134" s="328"/>
      <c r="G134" s="150">
        <v>34.909999999999997</v>
      </c>
      <c r="H134" s="151"/>
    </row>
    <row r="135" spans="1:8" x14ac:dyDescent="0.25">
      <c r="A135" s="134" t="s">
        <v>232</v>
      </c>
      <c r="B135" s="135" t="s">
        <v>53</v>
      </c>
      <c r="C135" s="135" t="s">
        <v>329</v>
      </c>
      <c r="D135" s="271" t="s">
        <v>639</v>
      </c>
      <c r="E135" s="271"/>
      <c r="F135" s="135" t="s">
        <v>122</v>
      </c>
      <c r="G135" s="131">
        <v>44.87</v>
      </c>
      <c r="H135" s="147">
        <v>0</v>
      </c>
    </row>
    <row r="136" spans="1:8" x14ac:dyDescent="0.25">
      <c r="A136" s="148"/>
      <c r="D136" s="149" t="s">
        <v>685</v>
      </c>
      <c r="E136" s="328" t="s">
        <v>53</v>
      </c>
      <c r="F136" s="328"/>
      <c r="G136" s="150">
        <v>44.87</v>
      </c>
      <c r="H136" s="151"/>
    </row>
    <row r="137" spans="1:8" x14ac:dyDescent="0.25">
      <c r="A137" s="134" t="s">
        <v>287</v>
      </c>
      <c r="B137" s="135" t="s">
        <v>53</v>
      </c>
      <c r="C137" s="135" t="s">
        <v>333</v>
      </c>
      <c r="D137" s="271" t="s">
        <v>640</v>
      </c>
      <c r="E137" s="271"/>
      <c r="F137" s="135" t="s">
        <v>122</v>
      </c>
      <c r="G137" s="131">
        <v>269.22000000000003</v>
      </c>
      <c r="H137" s="147">
        <v>0</v>
      </c>
    </row>
    <row r="138" spans="1:8" x14ac:dyDescent="0.25">
      <c r="A138" s="148"/>
      <c r="D138" s="149" t="s">
        <v>686</v>
      </c>
      <c r="E138" s="328" t="s">
        <v>53</v>
      </c>
      <c r="F138" s="328"/>
      <c r="G138" s="150">
        <v>269.22000000000003</v>
      </c>
      <c r="H138" s="151"/>
    </row>
    <row r="139" spans="1:8" x14ac:dyDescent="0.25">
      <c r="A139" s="134" t="s">
        <v>290</v>
      </c>
      <c r="B139" s="135" t="s">
        <v>53</v>
      </c>
      <c r="C139" s="135" t="s">
        <v>641</v>
      </c>
      <c r="D139" s="271" t="s">
        <v>642</v>
      </c>
      <c r="E139" s="271"/>
      <c r="F139" s="135" t="s">
        <v>122</v>
      </c>
      <c r="G139" s="131">
        <v>44.87</v>
      </c>
      <c r="H139" s="147">
        <v>0</v>
      </c>
    </row>
    <row r="140" spans="1:8" x14ac:dyDescent="0.25">
      <c r="A140" s="148"/>
      <c r="D140" s="149" t="s">
        <v>687</v>
      </c>
      <c r="E140" s="328" t="s">
        <v>53</v>
      </c>
      <c r="F140" s="328"/>
      <c r="G140" s="150">
        <v>44.87</v>
      </c>
      <c r="H140" s="151"/>
    </row>
    <row r="141" spans="1:8" x14ac:dyDescent="0.25">
      <c r="A141" s="134" t="s">
        <v>293</v>
      </c>
      <c r="B141" s="135" t="s">
        <v>53</v>
      </c>
      <c r="C141" s="135" t="s">
        <v>643</v>
      </c>
      <c r="D141" s="271" t="s">
        <v>644</v>
      </c>
      <c r="E141" s="271"/>
      <c r="F141" s="135" t="s">
        <v>164</v>
      </c>
      <c r="G141" s="131">
        <v>63</v>
      </c>
      <c r="H141" s="147">
        <v>0</v>
      </c>
    </row>
    <row r="142" spans="1:8" x14ac:dyDescent="0.25">
      <c r="A142" s="148"/>
      <c r="D142" s="149" t="s">
        <v>232</v>
      </c>
      <c r="E142" s="328" t="s">
        <v>53</v>
      </c>
      <c r="F142" s="328"/>
      <c r="G142" s="150">
        <v>63</v>
      </c>
      <c r="H142" s="151"/>
    </row>
    <row r="143" spans="1:8" x14ac:dyDescent="0.25">
      <c r="A143" s="134" t="s">
        <v>296</v>
      </c>
      <c r="B143" s="135" t="s">
        <v>53</v>
      </c>
      <c r="C143" s="135" t="s">
        <v>347</v>
      </c>
      <c r="D143" s="271" t="s">
        <v>348</v>
      </c>
      <c r="E143" s="271"/>
      <c r="F143" s="135" t="s">
        <v>164</v>
      </c>
      <c r="G143" s="131">
        <v>8</v>
      </c>
      <c r="H143" s="147">
        <v>0</v>
      </c>
    </row>
    <row r="144" spans="1:8" x14ac:dyDescent="0.25">
      <c r="A144" s="148"/>
      <c r="D144" s="149" t="s">
        <v>87</v>
      </c>
      <c r="E144" s="328" t="s">
        <v>53</v>
      </c>
      <c r="F144" s="328"/>
      <c r="G144" s="150">
        <v>8</v>
      </c>
      <c r="H144" s="151"/>
    </row>
    <row r="145" spans="1:8" x14ac:dyDescent="0.25">
      <c r="A145" s="134" t="s">
        <v>301</v>
      </c>
      <c r="B145" s="135" t="s">
        <v>53</v>
      </c>
      <c r="C145" s="135" t="s">
        <v>350</v>
      </c>
      <c r="D145" s="271" t="s">
        <v>351</v>
      </c>
      <c r="E145" s="271"/>
      <c r="F145" s="135" t="s">
        <v>164</v>
      </c>
      <c r="G145" s="131">
        <v>7</v>
      </c>
      <c r="H145" s="147">
        <v>0</v>
      </c>
    </row>
    <row r="146" spans="1:8" x14ac:dyDescent="0.25">
      <c r="A146" s="148"/>
      <c r="D146" s="149" t="s">
        <v>84</v>
      </c>
      <c r="E146" s="328" t="s">
        <v>53</v>
      </c>
      <c r="F146" s="328"/>
      <c r="G146" s="150">
        <v>7</v>
      </c>
      <c r="H146" s="151"/>
    </row>
    <row r="147" spans="1:8" x14ac:dyDescent="0.25">
      <c r="A147" s="134" t="s">
        <v>307</v>
      </c>
      <c r="B147" s="135" t="s">
        <v>53</v>
      </c>
      <c r="C147" s="135" t="s">
        <v>353</v>
      </c>
      <c r="D147" s="271" t="s">
        <v>354</v>
      </c>
      <c r="E147" s="271"/>
      <c r="F147" s="135" t="s">
        <v>164</v>
      </c>
      <c r="G147" s="131">
        <v>56</v>
      </c>
      <c r="H147" s="147">
        <v>0</v>
      </c>
    </row>
    <row r="148" spans="1:8" x14ac:dyDescent="0.25">
      <c r="A148" s="148"/>
      <c r="D148" s="149" t="s">
        <v>177</v>
      </c>
      <c r="E148" s="328" t="s">
        <v>53</v>
      </c>
      <c r="F148" s="328"/>
      <c r="G148" s="150">
        <v>56</v>
      </c>
      <c r="H148" s="151"/>
    </row>
    <row r="149" spans="1:8" x14ac:dyDescent="0.25">
      <c r="A149" s="134" t="s">
        <v>311</v>
      </c>
      <c r="B149" s="135" t="s">
        <v>53</v>
      </c>
      <c r="C149" s="135" t="s">
        <v>356</v>
      </c>
      <c r="D149" s="271" t="s">
        <v>357</v>
      </c>
      <c r="E149" s="271"/>
      <c r="F149" s="135" t="s">
        <v>164</v>
      </c>
      <c r="G149" s="131">
        <v>243</v>
      </c>
      <c r="H149" s="147">
        <v>0</v>
      </c>
    </row>
    <row r="150" spans="1:8" x14ac:dyDescent="0.25">
      <c r="A150" s="148"/>
      <c r="D150" s="149" t="s">
        <v>688</v>
      </c>
      <c r="E150" s="328" t="s">
        <v>53</v>
      </c>
      <c r="F150" s="328"/>
      <c r="G150" s="150">
        <v>243</v>
      </c>
      <c r="H150" s="151"/>
    </row>
    <row r="151" spans="1:8" x14ac:dyDescent="0.25">
      <c r="A151" s="134" t="s">
        <v>314</v>
      </c>
      <c r="B151" s="135" t="s">
        <v>53</v>
      </c>
      <c r="C151" s="135" t="s">
        <v>359</v>
      </c>
      <c r="D151" s="271" t="s">
        <v>360</v>
      </c>
      <c r="E151" s="271"/>
      <c r="F151" s="135" t="s">
        <v>59</v>
      </c>
      <c r="G151" s="131">
        <v>146.5</v>
      </c>
      <c r="H151" s="147">
        <v>0</v>
      </c>
    </row>
    <row r="152" spans="1:8" x14ac:dyDescent="0.25">
      <c r="A152" s="148"/>
      <c r="D152" s="149" t="s">
        <v>689</v>
      </c>
      <c r="E152" s="328" t="s">
        <v>53</v>
      </c>
      <c r="F152" s="328"/>
      <c r="G152" s="150">
        <v>146.5</v>
      </c>
      <c r="H152" s="151"/>
    </row>
    <row r="153" spans="1:8" x14ac:dyDescent="0.25">
      <c r="A153" s="134" t="s">
        <v>317</v>
      </c>
      <c r="B153" s="135" t="s">
        <v>53</v>
      </c>
      <c r="C153" s="135" t="s">
        <v>362</v>
      </c>
      <c r="D153" s="271" t="s">
        <v>363</v>
      </c>
      <c r="E153" s="271"/>
      <c r="F153" s="135" t="s">
        <v>59</v>
      </c>
      <c r="G153" s="131">
        <v>19</v>
      </c>
      <c r="H153" s="147">
        <v>0</v>
      </c>
    </row>
    <row r="154" spans="1:8" x14ac:dyDescent="0.25">
      <c r="A154" s="148"/>
      <c r="D154" s="149" t="s">
        <v>124</v>
      </c>
      <c r="E154" s="328" t="s">
        <v>53</v>
      </c>
      <c r="F154" s="328"/>
      <c r="G154" s="150">
        <v>19</v>
      </c>
      <c r="H154" s="151"/>
    </row>
    <row r="155" spans="1:8" x14ac:dyDescent="0.25">
      <c r="A155" s="134" t="s">
        <v>322</v>
      </c>
      <c r="B155" s="135" t="s">
        <v>53</v>
      </c>
      <c r="C155" s="135" t="s">
        <v>365</v>
      </c>
      <c r="D155" s="271" t="s">
        <v>366</v>
      </c>
      <c r="E155" s="271"/>
      <c r="F155" s="135" t="s">
        <v>59</v>
      </c>
      <c r="G155" s="131">
        <v>72.8</v>
      </c>
      <c r="H155" s="147">
        <v>0</v>
      </c>
    </row>
    <row r="156" spans="1:8" x14ac:dyDescent="0.25">
      <c r="A156" s="148"/>
      <c r="D156" s="149" t="s">
        <v>690</v>
      </c>
      <c r="E156" s="328" t="s">
        <v>53</v>
      </c>
      <c r="F156" s="328"/>
      <c r="G156" s="150">
        <v>72.8</v>
      </c>
      <c r="H156" s="151"/>
    </row>
    <row r="157" spans="1:8" x14ac:dyDescent="0.25">
      <c r="A157" s="134" t="s">
        <v>328</v>
      </c>
      <c r="B157" s="135" t="s">
        <v>53</v>
      </c>
      <c r="C157" s="135" t="s">
        <v>368</v>
      </c>
      <c r="D157" s="271" t="s">
        <v>369</v>
      </c>
      <c r="E157" s="271"/>
      <c r="F157" s="135" t="s">
        <v>59</v>
      </c>
      <c r="G157" s="131">
        <v>8</v>
      </c>
      <c r="H157" s="147">
        <v>0</v>
      </c>
    </row>
    <row r="158" spans="1:8" x14ac:dyDescent="0.25">
      <c r="A158" s="148"/>
      <c r="D158" s="149" t="s">
        <v>87</v>
      </c>
      <c r="E158" s="328" t="s">
        <v>53</v>
      </c>
      <c r="F158" s="328"/>
      <c r="G158" s="150">
        <v>8</v>
      </c>
      <c r="H158" s="151"/>
    </row>
    <row r="159" spans="1:8" x14ac:dyDescent="0.25">
      <c r="A159" s="134" t="s">
        <v>332</v>
      </c>
      <c r="B159" s="135" t="s">
        <v>53</v>
      </c>
      <c r="C159" s="135" t="s">
        <v>371</v>
      </c>
      <c r="D159" s="271" t="s">
        <v>372</v>
      </c>
      <c r="E159" s="271"/>
      <c r="F159" s="135" t="s">
        <v>164</v>
      </c>
      <c r="G159" s="131">
        <v>18</v>
      </c>
      <c r="H159" s="147">
        <v>0</v>
      </c>
    </row>
    <row r="160" spans="1:8" x14ac:dyDescent="0.25">
      <c r="A160" s="148"/>
      <c r="D160" s="149" t="s">
        <v>119</v>
      </c>
      <c r="E160" s="328" t="s">
        <v>53</v>
      </c>
      <c r="F160" s="328"/>
      <c r="G160" s="150">
        <v>18</v>
      </c>
      <c r="H160" s="151"/>
    </row>
    <row r="161" spans="1:8" x14ac:dyDescent="0.25">
      <c r="A161" s="134" t="s">
        <v>335</v>
      </c>
      <c r="B161" s="135" t="s">
        <v>53</v>
      </c>
      <c r="C161" s="135" t="s">
        <v>374</v>
      </c>
      <c r="D161" s="271" t="s">
        <v>375</v>
      </c>
      <c r="E161" s="271"/>
      <c r="F161" s="135" t="s">
        <v>164</v>
      </c>
      <c r="G161" s="131">
        <v>8</v>
      </c>
      <c r="H161" s="147">
        <v>0</v>
      </c>
    </row>
    <row r="162" spans="1:8" x14ac:dyDescent="0.25">
      <c r="A162" s="148"/>
      <c r="D162" s="149" t="s">
        <v>87</v>
      </c>
      <c r="E162" s="328" t="s">
        <v>53</v>
      </c>
      <c r="F162" s="328"/>
      <c r="G162" s="150">
        <v>8</v>
      </c>
      <c r="H162" s="151"/>
    </row>
    <row r="163" spans="1:8" x14ac:dyDescent="0.25">
      <c r="A163" s="134" t="s">
        <v>340</v>
      </c>
      <c r="B163" s="135" t="s">
        <v>53</v>
      </c>
      <c r="C163" s="135" t="s">
        <v>555</v>
      </c>
      <c r="D163" s="271" t="s">
        <v>556</v>
      </c>
      <c r="E163" s="271"/>
      <c r="F163" s="135" t="s">
        <v>164</v>
      </c>
      <c r="G163" s="131">
        <v>38</v>
      </c>
      <c r="H163" s="147">
        <v>0</v>
      </c>
    </row>
    <row r="164" spans="1:8" x14ac:dyDescent="0.25">
      <c r="A164" s="148"/>
      <c r="D164" s="149" t="s">
        <v>691</v>
      </c>
      <c r="E164" s="328" t="s">
        <v>53</v>
      </c>
      <c r="F164" s="328"/>
      <c r="G164" s="150">
        <v>38</v>
      </c>
      <c r="H164" s="151"/>
    </row>
    <row r="165" spans="1:8" x14ac:dyDescent="0.25">
      <c r="A165" s="134" t="s">
        <v>346</v>
      </c>
      <c r="B165" s="135" t="s">
        <v>53</v>
      </c>
      <c r="C165" s="135" t="s">
        <v>377</v>
      </c>
      <c r="D165" s="271" t="s">
        <v>378</v>
      </c>
      <c r="E165" s="271"/>
      <c r="F165" s="135" t="s">
        <v>164</v>
      </c>
      <c r="G165" s="131">
        <v>4</v>
      </c>
      <c r="H165" s="147">
        <v>0</v>
      </c>
    </row>
    <row r="166" spans="1:8" x14ac:dyDescent="0.25">
      <c r="A166" s="148"/>
      <c r="D166" s="149" t="s">
        <v>71</v>
      </c>
      <c r="E166" s="328" t="s">
        <v>53</v>
      </c>
      <c r="F166" s="328"/>
      <c r="G166" s="150">
        <v>4</v>
      </c>
      <c r="H166" s="151"/>
    </row>
    <row r="167" spans="1:8" x14ac:dyDescent="0.25">
      <c r="A167" s="134" t="s">
        <v>349</v>
      </c>
      <c r="B167" s="135" t="s">
        <v>53</v>
      </c>
      <c r="C167" s="135" t="s">
        <v>557</v>
      </c>
      <c r="D167" s="271" t="s">
        <v>558</v>
      </c>
      <c r="E167" s="271"/>
      <c r="F167" s="135" t="s">
        <v>164</v>
      </c>
      <c r="G167" s="131">
        <v>2</v>
      </c>
      <c r="H167" s="147">
        <v>0</v>
      </c>
    </row>
    <row r="168" spans="1:8" x14ac:dyDescent="0.25">
      <c r="A168" s="148"/>
      <c r="D168" s="149" t="s">
        <v>64</v>
      </c>
      <c r="E168" s="328" t="s">
        <v>53</v>
      </c>
      <c r="F168" s="328"/>
      <c r="G168" s="150">
        <v>2</v>
      </c>
      <c r="H168" s="151"/>
    </row>
    <row r="169" spans="1:8" x14ac:dyDescent="0.25">
      <c r="A169" s="134" t="s">
        <v>352</v>
      </c>
      <c r="B169" s="135" t="s">
        <v>53</v>
      </c>
      <c r="C169" s="135" t="s">
        <v>559</v>
      </c>
      <c r="D169" s="271" t="s">
        <v>560</v>
      </c>
      <c r="E169" s="271"/>
      <c r="F169" s="135" t="s">
        <v>164</v>
      </c>
      <c r="G169" s="131">
        <v>2</v>
      </c>
      <c r="H169" s="147">
        <v>0</v>
      </c>
    </row>
    <row r="170" spans="1:8" x14ac:dyDescent="0.25">
      <c r="A170" s="148"/>
      <c r="D170" s="149" t="s">
        <v>64</v>
      </c>
      <c r="E170" s="328" t="s">
        <v>53</v>
      </c>
      <c r="F170" s="328"/>
      <c r="G170" s="150">
        <v>2</v>
      </c>
      <c r="H170" s="151"/>
    </row>
    <row r="171" spans="1:8" x14ac:dyDescent="0.25">
      <c r="A171" s="134" t="s">
        <v>355</v>
      </c>
      <c r="B171" s="135" t="s">
        <v>53</v>
      </c>
      <c r="C171" s="135" t="s">
        <v>561</v>
      </c>
      <c r="D171" s="271" t="s">
        <v>645</v>
      </c>
      <c r="E171" s="271"/>
      <c r="F171" s="135" t="s">
        <v>164</v>
      </c>
      <c r="G171" s="131">
        <v>1</v>
      </c>
      <c r="H171" s="147">
        <v>0</v>
      </c>
    </row>
    <row r="172" spans="1:8" x14ac:dyDescent="0.25">
      <c r="A172" s="148"/>
      <c r="D172" s="149" t="s">
        <v>56</v>
      </c>
      <c r="E172" s="328" t="s">
        <v>53</v>
      </c>
      <c r="F172" s="328"/>
      <c r="G172" s="150">
        <v>1</v>
      </c>
      <c r="H172" s="151"/>
    </row>
    <row r="173" spans="1:8" x14ac:dyDescent="0.25">
      <c r="A173" s="134" t="s">
        <v>358</v>
      </c>
      <c r="B173" s="135" t="s">
        <v>53</v>
      </c>
      <c r="C173" s="135" t="s">
        <v>565</v>
      </c>
      <c r="D173" s="271" t="s">
        <v>646</v>
      </c>
      <c r="E173" s="271"/>
      <c r="F173" s="135" t="s">
        <v>164</v>
      </c>
      <c r="G173" s="131">
        <v>1</v>
      </c>
      <c r="H173" s="147">
        <v>0</v>
      </c>
    </row>
    <row r="174" spans="1:8" x14ac:dyDescent="0.25">
      <c r="A174" s="148"/>
      <c r="D174" s="149" t="s">
        <v>56</v>
      </c>
      <c r="E174" s="328" t="s">
        <v>53</v>
      </c>
      <c r="F174" s="328"/>
      <c r="G174" s="150">
        <v>1</v>
      </c>
      <c r="H174" s="151"/>
    </row>
    <row r="175" spans="1:8" x14ac:dyDescent="0.25">
      <c r="A175" s="134" t="s">
        <v>361</v>
      </c>
      <c r="B175" s="135" t="s">
        <v>53</v>
      </c>
      <c r="C175" s="135" t="s">
        <v>395</v>
      </c>
      <c r="D175" s="271" t="s">
        <v>396</v>
      </c>
      <c r="E175" s="271"/>
      <c r="F175" s="135" t="s">
        <v>164</v>
      </c>
      <c r="G175" s="131">
        <v>1</v>
      </c>
      <c r="H175" s="147">
        <v>0</v>
      </c>
    </row>
    <row r="176" spans="1:8" x14ac:dyDescent="0.25">
      <c r="A176" s="148"/>
      <c r="D176" s="149" t="s">
        <v>56</v>
      </c>
      <c r="E176" s="328" t="s">
        <v>53</v>
      </c>
      <c r="F176" s="328"/>
      <c r="G176" s="150">
        <v>1</v>
      </c>
      <c r="H176" s="151"/>
    </row>
    <row r="177" spans="1:8" x14ac:dyDescent="0.25">
      <c r="A177" s="134" t="s">
        <v>364</v>
      </c>
      <c r="B177" s="135" t="s">
        <v>53</v>
      </c>
      <c r="C177" s="135" t="s">
        <v>647</v>
      </c>
      <c r="D177" s="271" t="s">
        <v>648</v>
      </c>
      <c r="E177" s="271"/>
      <c r="F177" s="135" t="s">
        <v>164</v>
      </c>
      <c r="G177" s="131">
        <v>1</v>
      </c>
      <c r="H177" s="147">
        <v>0</v>
      </c>
    </row>
    <row r="178" spans="1:8" x14ac:dyDescent="0.25">
      <c r="A178" s="148"/>
      <c r="D178" s="149" t="s">
        <v>56</v>
      </c>
      <c r="E178" s="328" t="s">
        <v>53</v>
      </c>
      <c r="F178" s="328"/>
      <c r="G178" s="150">
        <v>1</v>
      </c>
      <c r="H178" s="151"/>
    </row>
    <row r="179" spans="1:8" x14ac:dyDescent="0.25">
      <c r="A179" s="134" t="s">
        <v>367</v>
      </c>
      <c r="B179" s="135" t="s">
        <v>53</v>
      </c>
      <c r="C179" s="135" t="s">
        <v>400</v>
      </c>
      <c r="D179" s="271" t="s">
        <v>401</v>
      </c>
      <c r="E179" s="271"/>
      <c r="F179" s="135" t="s">
        <v>164</v>
      </c>
      <c r="G179" s="131">
        <v>4</v>
      </c>
      <c r="H179" s="147">
        <v>0</v>
      </c>
    </row>
    <row r="180" spans="1:8" x14ac:dyDescent="0.25">
      <c r="A180" s="148"/>
      <c r="D180" s="149" t="s">
        <v>71</v>
      </c>
      <c r="E180" s="328" t="s">
        <v>53</v>
      </c>
      <c r="F180" s="328"/>
      <c r="G180" s="150">
        <v>4</v>
      </c>
      <c r="H180" s="151"/>
    </row>
    <row r="181" spans="1:8" x14ac:dyDescent="0.25">
      <c r="A181" s="134" t="s">
        <v>370</v>
      </c>
      <c r="B181" s="135" t="s">
        <v>53</v>
      </c>
      <c r="C181" s="135" t="s">
        <v>397</v>
      </c>
      <c r="D181" s="271" t="s">
        <v>398</v>
      </c>
      <c r="E181" s="271"/>
      <c r="F181" s="135" t="s">
        <v>164</v>
      </c>
      <c r="G181" s="131">
        <v>4</v>
      </c>
      <c r="H181" s="147">
        <v>0</v>
      </c>
    </row>
    <row r="182" spans="1:8" x14ac:dyDescent="0.25">
      <c r="A182" s="148"/>
      <c r="D182" s="149" t="s">
        <v>71</v>
      </c>
      <c r="E182" s="328" t="s">
        <v>53</v>
      </c>
      <c r="F182" s="328"/>
      <c r="G182" s="150">
        <v>4</v>
      </c>
      <c r="H182" s="151"/>
    </row>
    <row r="183" spans="1:8" x14ac:dyDescent="0.25">
      <c r="A183" s="134" t="s">
        <v>373</v>
      </c>
      <c r="B183" s="135" t="s">
        <v>53</v>
      </c>
      <c r="C183" s="135" t="s">
        <v>570</v>
      </c>
      <c r="D183" s="271" t="s">
        <v>571</v>
      </c>
      <c r="E183" s="271"/>
      <c r="F183" s="135" t="s">
        <v>164</v>
      </c>
      <c r="G183" s="131">
        <v>6</v>
      </c>
      <c r="H183" s="147">
        <v>0</v>
      </c>
    </row>
    <row r="184" spans="1:8" x14ac:dyDescent="0.25">
      <c r="A184" s="148"/>
      <c r="D184" s="149" t="s">
        <v>81</v>
      </c>
      <c r="E184" s="328" t="s">
        <v>53</v>
      </c>
      <c r="F184" s="328"/>
      <c r="G184" s="150">
        <v>6</v>
      </c>
      <c r="H184" s="151"/>
    </row>
    <row r="185" spans="1:8" x14ac:dyDescent="0.25">
      <c r="A185" s="134" t="s">
        <v>376</v>
      </c>
      <c r="B185" s="135" t="s">
        <v>53</v>
      </c>
      <c r="C185" s="135" t="s">
        <v>406</v>
      </c>
      <c r="D185" s="271" t="s">
        <v>407</v>
      </c>
      <c r="E185" s="271"/>
      <c r="F185" s="135" t="s">
        <v>408</v>
      </c>
      <c r="G185" s="131">
        <v>0.45</v>
      </c>
      <c r="H185" s="147">
        <v>0</v>
      </c>
    </row>
    <row r="186" spans="1:8" x14ac:dyDescent="0.25">
      <c r="A186" s="148"/>
      <c r="D186" s="149" t="s">
        <v>692</v>
      </c>
      <c r="E186" s="328" t="s">
        <v>53</v>
      </c>
      <c r="F186" s="328"/>
      <c r="G186" s="150">
        <v>0.45</v>
      </c>
      <c r="H186" s="151"/>
    </row>
    <row r="187" spans="1:8" x14ac:dyDescent="0.25">
      <c r="A187" s="134" t="s">
        <v>53</v>
      </c>
      <c r="B187" s="135" t="s">
        <v>53</v>
      </c>
      <c r="C187" s="135" t="s">
        <v>53</v>
      </c>
      <c r="D187" s="149" t="s">
        <v>693</v>
      </c>
      <c r="E187" s="328" t="s">
        <v>53</v>
      </c>
      <c r="F187" s="328"/>
      <c r="G187" s="150">
        <v>0</v>
      </c>
      <c r="H187" s="136" t="s">
        <v>53</v>
      </c>
    </row>
    <row r="188" spans="1:8" x14ac:dyDescent="0.25">
      <c r="A188" s="134" t="s">
        <v>255</v>
      </c>
      <c r="B188" s="135" t="s">
        <v>53</v>
      </c>
      <c r="C188" s="135" t="s">
        <v>414</v>
      </c>
      <c r="D188" s="271" t="s">
        <v>415</v>
      </c>
      <c r="E188" s="271"/>
      <c r="F188" s="135" t="s">
        <v>416</v>
      </c>
      <c r="G188" s="131">
        <v>1</v>
      </c>
      <c r="H188" s="147">
        <v>0</v>
      </c>
    </row>
    <row r="189" spans="1:8" x14ac:dyDescent="0.25">
      <c r="A189" s="148"/>
      <c r="D189" s="149" t="s">
        <v>56</v>
      </c>
      <c r="E189" s="328" t="s">
        <v>53</v>
      </c>
      <c r="F189" s="328"/>
      <c r="G189" s="150">
        <v>1</v>
      </c>
      <c r="H189" s="151"/>
    </row>
    <row r="190" spans="1:8" x14ac:dyDescent="0.25">
      <c r="A190" s="134" t="s">
        <v>381</v>
      </c>
      <c r="B190" s="135" t="s">
        <v>53</v>
      </c>
      <c r="C190" s="135" t="s">
        <v>422</v>
      </c>
      <c r="D190" s="271" t="s">
        <v>420</v>
      </c>
      <c r="E190" s="271"/>
      <c r="F190" s="135" t="s">
        <v>416</v>
      </c>
      <c r="G190" s="131">
        <v>1</v>
      </c>
      <c r="H190" s="147">
        <v>0</v>
      </c>
    </row>
    <row r="191" spans="1:8" x14ac:dyDescent="0.25">
      <c r="A191" s="148"/>
      <c r="D191" s="149" t="s">
        <v>56</v>
      </c>
      <c r="E191" s="328" t="s">
        <v>53</v>
      </c>
      <c r="F191" s="328"/>
      <c r="G191" s="150">
        <v>1</v>
      </c>
      <c r="H191" s="151"/>
    </row>
    <row r="192" spans="1:8" x14ac:dyDescent="0.25">
      <c r="A192" s="134" t="s">
        <v>269</v>
      </c>
      <c r="B192" s="135" t="s">
        <v>53</v>
      </c>
      <c r="C192" s="135" t="s">
        <v>427</v>
      </c>
      <c r="D192" s="271" t="s">
        <v>428</v>
      </c>
      <c r="E192" s="271"/>
      <c r="F192" s="135" t="s">
        <v>416</v>
      </c>
      <c r="G192" s="131">
        <v>1</v>
      </c>
      <c r="H192" s="147">
        <v>0</v>
      </c>
    </row>
    <row r="193" spans="1:8" x14ac:dyDescent="0.25">
      <c r="A193" s="152"/>
      <c r="B193" s="153"/>
      <c r="C193" s="153"/>
      <c r="D193" s="154" t="s">
        <v>619</v>
      </c>
      <c r="E193" s="329" t="s">
        <v>53</v>
      </c>
      <c r="F193" s="329"/>
      <c r="G193" s="155">
        <v>1</v>
      </c>
      <c r="H193" s="156"/>
    </row>
    <row r="195" spans="1:8" x14ac:dyDescent="0.25">
      <c r="A195" s="142" t="s">
        <v>431</v>
      </c>
    </row>
    <row r="196" spans="1:8" ht="12.75" customHeight="1" x14ac:dyDescent="0.25">
      <c r="A196" s="270" t="s">
        <v>53</v>
      </c>
      <c r="B196" s="271"/>
      <c r="C196" s="271"/>
      <c r="D196" s="271"/>
      <c r="E196" s="271"/>
      <c r="F196" s="271"/>
      <c r="G196" s="271"/>
    </row>
  </sheetData>
  <mergeCells count="202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10:E10"/>
    <mergeCell ref="D11:E11"/>
    <mergeCell ref="E12:F12"/>
    <mergeCell ref="D13:E13"/>
    <mergeCell ref="E14:F14"/>
    <mergeCell ref="D15:E15"/>
    <mergeCell ref="A6:B7"/>
    <mergeCell ref="C6:D7"/>
    <mergeCell ref="E6:E7"/>
    <mergeCell ref="F6:H7"/>
    <mergeCell ref="A8:B9"/>
    <mergeCell ref="C8:D9"/>
    <mergeCell ref="E8:E9"/>
    <mergeCell ref="F8:H9"/>
    <mergeCell ref="E22:F22"/>
    <mergeCell ref="D23:E23"/>
    <mergeCell ref="E24:F24"/>
    <mergeCell ref="D25:E25"/>
    <mergeCell ref="E26:F26"/>
    <mergeCell ref="D27:E27"/>
    <mergeCell ref="E16:F16"/>
    <mergeCell ref="D17:E17"/>
    <mergeCell ref="E18:F18"/>
    <mergeCell ref="D19:E19"/>
    <mergeCell ref="E20:F20"/>
    <mergeCell ref="D21:E21"/>
    <mergeCell ref="E34:F34"/>
    <mergeCell ref="D35:E35"/>
    <mergeCell ref="E36:F36"/>
    <mergeCell ref="D37:E37"/>
    <mergeCell ref="E38:F38"/>
    <mergeCell ref="D39:E39"/>
    <mergeCell ref="E28:F28"/>
    <mergeCell ref="D29:E29"/>
    <mergeCell ref="E30:F30"/>
    <mergeCell ref="D31:E31"/>
    <mergeCell ref="E32:F32"/>
    <mergeCell ref="D33:E33"/>
    <mergeCell ref="E46:F46"/>
    <mergeCell ref="D47:E47"/>
    <mergeCell ref="E48:F48"/>
    <mergeCell ref="D49:E49"/>
    <mergeCell ref="E50:F50"/>
    <mergeCell ref="D51:E51"/>
    <mergeCell ref="E40:F40"/>
    <mergeCell ref="D41:E41"/>
    <mergeCell ref="E42:F42"/>
    <mergeCell ref="D43:E43"/>
    <mergeCell ref="E44:F44"/>
    <mergeCell ref="D45:E45"/>
    <mergeCell ref="E58:F58"/>
    <mergeCell ref="D59:E59"/>
    <mergeCell ref="E60:F60"/>
    <mergeCell ref="D61:E61"/>
    <mergeCell ref="E62:F62"/>
    <mergeCell ref="D63:E63"/>
    <mergeCell ref="E52:F52"/>
    <mergeCell ref="D53:E53"/>
    <mergeCell ref="E54:F54"/>
    <mergeCell ref="D55:E55"/>
    <mergeCell ref="E56:F56"/>
    <mergeCell ref="D57:E57"/>
    <mergeCell ref="E70:F70"/>
    <mergeCell ref="D71:E71"/>
    <mergeCell ref="E72:F72"/>
    <mergeCell ref="D73:E73"/>
    <mergeCell ref="E74:F74"/>
    <mergeCell ref="D75:E75"/>
    <mergeCell ref="E64:F64"/>
    <mergeCell ref="D65:E65"/>
    <mergeCell ref="E66:F66"/>
    <mergeCell ref="D67:E67"/>
    <mergeCell ref="E68:F68"/>
    <mergeCell ref="D69:E69"/>
    <mergeCell ref="E82:F82"/>
    <mergeCell ref="D83:E83"/>
    <mergeCell ref="E84:F84"/>
    <mergeCell ref="D85:E85"/>
    <mergeCell ref="E86:F86"/>
    <mergeCell ref="D87:E87"/>
    <mergeCell ref="E76:F76"/>
    <mergeCell ref="D77:E77"/>
    <mergeCell ref="E78:F78"/>
    <mergeCell ref="D79:E79"/>
    <mergeCell ref="E80:F80"/>
    <mergeCell ref="D81:E81"/>
    <mergeCell ref="E94:F94"/>
    <mergeCell ref="D95:E95"/>
    <mergeCell ref="E96:F96"/>
    <mergeCell ref="D97:E97"/>
    <mergeCell ref="E98:F98"/>
    <mergeCell ref="D99:E99"/>
    <mergeCell ref="E88:F88"/>
    <mergeCell ref="D89:E89"/>
    <mergeCell ref="E90:F90"/>
    <mergeCell ref="D91:E91"/>
    <mergeCell ref="E92:F92"/>
    <mergeCell ref="D93:E93"/>
    <mergeCell ref="E106:F106"/>
    <mergeCell ref="D107:E107"/>
    <mergeCell ref="E108:F108"/>
    <mergeCell ref="D109:E109"/>
    <mergeCell ref="E110:F110"/>
    <mergeCell ref="D111:E111"/>
    <mergeCell ref="E100:F100"/>
    <mergeCell ref="D101:E101"/>
    <mergeCell ref="E102:F102"/>
    <mergeCell ref="D103:E103"/>
    <mergeCell ref="E104:F104"/>
    <mergeCell ref="D105:E105"/>
    <mergeCell ref="E118:F118"/>
    <mergeCell ref="D119:E119"/>
    <mergeCell ref="E120:F120"/>
    <mergeCell ref="D121:E121"/>
    <mergeCell ref="E122:F122"/>
    <mergeCell ref="D123:E123"/>
    <mergeCell ref="E112:F112"/>
    <mergeCell ref="D113:E113"/>
    <mergeCell ref="E114:F114"/>
    <mergeCell ref="D115:E115"/>
    <mergeCell ref="E116:F116"/>
    <mergeCell ref="D117:E117"/>
    <mergeCell ref="E130:F130"/>
    <mergeCell ref="D131:E131"/>
    <mergeCell ref="E132:F132"/>
    <mergeCell ref="D133:E133"/>
    <mergeCell ref="E134:F134"/>
    <mergeCell ref="D135:E135"/>
    <mergeCell ref="E124:F124"/>
    <mergeCell ref="D125:E125"/>
    <mergeCell ref="E126:F126"/>
    <mergeCell ref="D127:E127"/>
    <mergeCell ref="E128:F128"/>
    <mergeCell ref="D129:E129"/>
    <mergeCell ref="E142:F142"/>
    <mergeCell ref="D143:E143"/>
    <mergeCell ref="E144:F144"/>
    <mergeCell ref="D145:E145"/>
    <mergeCell ref="E146:F146"/>
    <mergeCell ref="D147:E147"/>
    <mergeCell ref="E136:F136"/>
    <mergeCell ref="D137:E137"/>
    <mergeCell ref="E138:F138"/>
    <mergeCell ref="D139:E139"/>
    <mergeCell ref="E140:F140"/>
    <mergeCell ref="D141:E141"/>
    <mergeCell ref="E154:F154"/>
    <mergeCell ref="D155:E155"/>
    <mergeCell ref="E156:F156"/>
    <mergeCell ref="D157:E157"/>
    <mergeCell ref="E158:F158"/>
    <mergeCell ref="D159:E159"/>
    <mergeCell ref="E148:F148"/>
    <mergeCell ref="D149:E149"/>
    <mergeCell ref="E150:F150"/>
    <mergeCell ref="D151:E151"/>
    <mergeCell ref="E152:F152"/>
    <mergeCell ref="D153:E153"/>
    <mergeCell ref="E166:F166"/>
    <mergeCell ref="D167:E167"/>
    <mergeCell ref="E168:F168"/>
    <mergeCell ref="D169:E169"/>
    <mergeCell ref="E170:F170"/>
    <mergeCell ref="D171:E171"/>
    <mergeCell ref="E160:F160"/>
    <mergeCell ref="D161:E161"/>
    <mergeCell ref="E162:F162"/>
    <mergeCell ref="D163:E163"/>
    <mergeCell ref="E164:F164"/>
    <mergeCell ref="D165:E165"/>
    <mergeCell ref="E178:F178"/>
    <mergeCell ref="D179:E179"/>
    <mergeCell ref="E180:F180"/>
    <mergeCell ref="D181:E181"/>
    <mergeCell ref="E182:F182"/>
    <mergeCell ref="D183:E183"/>
    <mergeCell ref="E172:F172"/>
    <mergeCell ref="D173:E173"/>
    <mergeCell ref="E174:F174"/>
    <mergeCell ref="D175:E175"/>
    <mergeCell ref="E176:F176"/>
    <mergeCell ref="D177:E177"/>
    <mergeCell ref="D190:E190"/>
    <mergeCell ref="E191:F191"/>
    <mergeCell ref="D192:E192"/>
    <mergeCell ref="E193:F193"/>
    <mergeCell ref="A196:G196"/>
    <mergeCell ref="E184:F184"/>
    <mergeCell ref="D185:E185"/>
    <mergeCell ref="E186:F186"/>
    <mergeCell ref="E187:F187"/>
    <mergeCell ref="D188:E188"/>
    <mergeCell ref="E189:F18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435"/>
  <sheetViews>
    <sheetView workbookViewId="0">
      <pane ySplit="11" topLeftCell="A12" activePane="bottomLeft" state="frozen"/>
      <selection activeCell="A435" sqref="A435:K435"/>
      <selection pane="bottomLeft" activeCell="L435" sqref="L435"/>
    </sheetView>
  </sheetViews>
  <sheetFormatPr defaultColWidth="12.140625" defaultRowHeight="15" customHeight="1" x14ac:dyDescent="0.25"/>
  <cols>
    <col min="1" max="1" width="4" style="109" customWidth="1"/>
    <col min="2" max="2" width="17.85546875" style="109" customWidth="1"/>
    <col min="3" max="3" width="28.5703125" style="109" customWidth="1"/>
    <col min="4" max="4" width="35.7109375" style="109" customWidth="1"/>
    <col min="5" max="5" width="6.7109375" style="109" customWidth="1"/>
    <col min="6" max="6" width="12.85546875" style="109" customWidth="1"/>
    <col min="7" max="7" width="12" style="109" customWidth="1"/>
    <col min="8" max="10" width="15.7109375" style="109" customWidth="1"/>
    <col min="11" max="11" width="13.42578125" style="109" customWidth="1"/>
    <col min="12" max="75" width="12.140625" style="109"/>
    <col min="76" max="76" width="64.28515625" style="109" hidden="1" customWidth="1"/>
    <col min="77" max="16384" width="12.140625" style="109"/>
  </cols>
  <sheetData>
    <row r="1" spans="1:76" ht="54.75" customHeight="1" x14ac:dyDescent="0.25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AS1" s="110">
        <f>SUM(AJ1:AJ2)</f>
        <v>0</v>
      </c>
      <c r="AT1" s="110">
        <f>SUM(AK1:AK2)</f>
        <v>0</v>
      </c>
      <c r="AU1" s="110">
        <f>SUM(AL1:AL2)</f>
        <v>0</v>
      </c>
    </row>
    <row r="2" spans="1:76" x14ac:dyDescent="0.25">
      <c r="A2" s="290" t="s">
        <v>1</v>
      </c>
      <c r="B2" s="291"/>
      <c r="C2" s="292" t="s">
        <v>2</v>
      </c>
      <c r="D2" s="293"/>
      <c r="E2" s="291" t="s">
        <v>3</v>
      </c>
      <c r="F2" s="291"/>
      <c r="G2" s="291" t="s">
        <v>4</v>
      </c>
      <c r="H2" s="294" t="s">
        <v>5</v>
      </c>
      <c r="I2" s="294" t="s">
        <v>6</v>
      </c>
      <c r="J2" s="291"/>
      <c r="K2" s="295"/>
    </row>
    <row r="3" spans="1:76" x14ac:dyDescent="0.25">
      <c r="A3" s="287"/>
      <c r="B3" s="271"/>
      <c r="C3" s="276"/>
      <c r="D3" s="276"/>
      <c r="E3" s="271"/>
      <c r="F3" s="271"/>
      <c r="G3" s="271"/>
      <c r="H3" s="271"/>
      <c r="I3" s="271"/>
      <c r="J3" s="271"/>
      <c r="K3" s="288"/>
    </row>
    <row r="4" spans="1:76" x14ac:dyDescent="0.25">
      <c r="A4" s="286" t="s">
        <v>7</v>
      </c>
      <c r="B4" s="271"/>
      <c r="C4" s="270" t="s">
        <v>694</v>
      </c>
      <c r="D4" s="271"/>
      <c r="E4" s="271" t="s">
        <v>8</v>
      </c>
      <c r="F4" s="271"/>
      <c r="G4" s="271" t="s">
        <v>695</v>
      </c>
      <c r="H4" s="270" t="s">
        <v>10</v>
      </c>
      <c r="I4" s="270" t="s">
        <v>696</v>
      </c>
      <c r="J4" s="271"/>
      <c r="K4" s="288"/>
    </row>
    <row r="5" spans="1:76" x14ac:dyDescent="0.25">
      <c r="A5" s="287"/>
      <c r="B5" s="271"/>
      <c r="C5" s="271"/>
      <c r="D5" s="271"/>
      <c r="E5" s="271"/>
      <c r="F5" s="271"/>
      <c r="G5" s="271"/>
      <c r="H5" s="271"/>
      <c r="I5" s="271"/>
      <c r="J5" s="271"/>
      <c r="K5" s="288"/>
    </row>
    <row r="6" spans="1:76" x14ac:dyDescent="0.25">
      <c r="A6" s="286" t="s">
        <v>12</v>
      </c>
      <c r="B6" s="271"/>
      <c r="C6" s="270" t="s">
        <v>13</v>
      </c>
      <c r="D6" s="271"/>
      <c r="E6" s="271" t="s">
        <v>14</v>
      </c>
      <c r="F6" s="271"/>
      <c r="G6" s="271" t="s">
        <v>15</v>
      </c>
      <c r="H6" s="270" t="s">
        <v>16</v>
      </c>
      <c r="I6" s="271" t="s">
        <v>697</v>
      </c>
      <c r="J6" s="271"/>
      <c r="K6" s="288"/>
    </row>
    <row r="7" spans="1:76" x14ac:dyDescent="0.25">
      <c r="A7" s="287"/>
      <c r="B7" s="271"/>
      <c r="C7" s="271"/>
      <c r="D7" s="271"/>
      <c r="E7" s="271"/>
      <c r="F7" s="271"/>
      <c r="G7" s="271"/>
      <c r="H7" s="271"/>
      <c r="I7" s="271"/>
      <c r="J7" s="271"/>
      <c r="K7" s="288"/>
    </row>
    <row r="8" spans="1:76" x14ac:dyDescent="0.25">
      <c r="A8" s="286" t="s">
        <v>18</v>
      </c>
      <c r="B8" s="271"/>
      <c r="C8" s="270" t="s">
        <v>698</v>
      </c>
      <c r="D8" s="271"/>
      <c r="E8" s="271" t="s">
        <v>20</v>
      </c>
      <c r="F8" s="271"/>
      <c r="G8" s="271" t="s">
        <v>699</v>
      </c>
      <c r="H8" s="270" t="s">
        <v>22</v>
      </c>
      <c r="I8" s="270" t="s">
        <v>700</v>
      </c>
      <c r="J8" s="271"/>
      <c r="K8" s="288"/>
    </row>
    <row r="9" spans="1:76" ht="15.75" thickBot="1" x14ac:dyDescent="0.3">
      <c r="A9" s="287"/>
      <c r="B9" s="271"/>
      <c r="C9" s="271"/>
      <c r="D9" s="271"/>
      <c r="E9" s="271"/>
      <c r="F9" s="271"/>
      <c r="G9" s="271"/>
      <c r="H9" s="271"/>
      <c r="I9" s="271"/>
      <c r="J9" s="271"/>
      <c r="K9" s="288"/>
    </row>
    <row r="10" spans="1:76" x14ac:dyDescent="0.25">
      <c r="A10" s="111" t="s">
        <v>24</v>
      </c>
      <c r="B10" s="112" t="s">
        <v>25</v>
      </c>
      <c r="C10" s="279" t="s">
        <v>26</v>
      </c>
      <c r="D10" s="280"/>
      <c r="E10" s="112" t="s">
        <v>27</v>
      </c>
      <c r="F10" s="113" t="s">
        <v>28</v>
      </c>
      <c r="G10" s="114" t="s">
        <v>29</v>
      </c>
      <c r="H10" s="281" t="s">
        <v>30</v>
      </c>
      <c r="I10" s="282"/>
      <c r="J10" s="283"/>
      <c r="K10" s="113" t="s">
        <v>31</v>
      </c>
      <c r="BK10" s="115" t="s">
        <v>32</v>
      </c>
      <c r="BL10" s="116" t="s">
        <v>33</v>
      </c>
      <c r="BW10" s="116" t="s">
        <v>34</v>
      </c>
    </row>
    <row r="11" spans="1:76" ht="15.75" thickBot="1" x14ac:dyDescent="0.3">
      <c r="A11" s="117" t="s">
        <v>9</v>
      </c>
      <c r="B11" s="118" t="s">
        <v>9</v>
      </c>
      <c r="C11" s="284" t="s">
        <v>35</v>
      </c>
      <c r="D11" s="285"/>
      <c r="E11" s="118" t="s">
        <v>9</v>
      </c>
      <c r="F11" s="118" t="s">
        <v>9</v>
      </c>
      <c r="G11" s="119" t="s">
        <v>36</v>
      </c>
      <c r="H11" s="120" t="s">
        <v>37</v>
      </c>
      <c r="I11" s="121" t="s">
        <v>38</v>
      </c>
      <c r="J11" s="122" t="s">
        <v>39</v>
      </c>
      <c r="K11" s="121" t="s">
        <v>40</v>
      </c>
      <c r="Z11" s="115" t="s">
        <v>41</v>
      </c>
      <c r="AA11" s="115" t="s">
        <v>42</v>
      </c>
      <c r="AB11" s="115" t="s">
        <v>43</v>
      </c>
      <c r="AC11" s="115" t="s">
        <v>44</v>
      </c>
      <c r="AD11" s="115" t="s">
        <v>45</v>
      </c>
      <c r="AE11" s="115" t="s">
        <v>46</v>
      </c>
      <c r="AF11" s="115" t="s">
        <v>47</v>
      </c>
      <c r="AG11" s="115" t="s">
        <v>48</v>
      </c>
      <c r="AH11" s="115" t="s">
        <v>49</v>
      </c>
      <c r="BH11" s="115" t="s">
        <v>50</v>
      </c>
      <c r="BI11" s="115" t="s">
        <v>51</v>
      </c>
      <c r="BJ11" s="115" t="s">
        <v>52</v>
      </c>
    </row>
    <row r="12" spans="1:76" x14ac:dyDescent="0.25">
      <c r="A12" s="123" t="s">
        <v>53</v>
      </c>
      <c r="B12" s="124" t="s">
        <v>53</v>
      </c>
      <c r="C12" s="272" t="s">
        <v>701</v>
      </c>
      <c r="D12" s="273"/>
      <c r="E12" s="125" t="s">
        <v>9</v>
      </c>
      <c r="F12" s="125" t="s">
        <v>9</v>
      </c>
      <c r="G12" s="125" t="s">
        <v>9</v>
      </c>
      <c r="H12" s="110">
        <f>H13+H15+H17+H20+H22+H29+H31+H33+H35+H43+H45+H47</f>
        <v>0</v>
      </c>
      <c r="I12" s="110">
        <f>I13+I15+I17+I20+I22+I29+I31+I33+I35+I43+I45+I47</f>
        <v>0</v>
      </c>
      <c r="J12" s="110">
        <f>J13+J15+J17+J20+J22+J29+J31+J33+J35+J43+J45+J47</f>
        <v>0</v>
      </c>
      <c r="K12" s="126" t="s">
        <v>53</v>
      </c>
    </row>
    <row r="13" spans="1:76" x14ac:dyDescent="0.25">
      <c r="A13" s="123" t="s">
        <v>53</v>
      </c>
      <c r="B13" s="124" t="s">
        <v>54</v>
      </c>
      <c r="C13" s="272" t="s">
        <v>55</v>
      </c>
      <c r="D13" s="273"/>
      <c r="E13" s="125" t="s">
        <v>9</v>
      </c>
      <c r="F13" s="125" t="s">
        <v>9</v>
      </c>
      <c r="G13" s="125" t="s">
        <v>9</v>
      </c>
      <c r="H13" s="110">
        <f>SUM(H14:H14)</f>
        <v>0</v>
      </c>
      <c r="I13" s="110">
        <f>SUM(I14:I14)</f>
        <v>0</v>
      </c>
      <c r="J13" s="110">
        <f>SUM(J14:J14)</f>
        <v>0</v>
      </c>
      <c r="K13" s="126" t="s">
        <v>53</v>
      </c>
      <c r="AI13" s="115" t="s">
        <v>702</v>
      </c>
      <c r="AS13" s="110">
        <f>SUM(AJ14:AJ14)</f>
        <v>0</v>
      </c>
      <c r="AT13" s="110">
        <f>SUM(AK14:AK14)</f>
        <v>0</v>
      </c>
      <c r="AU13" s="110">
        <f>SUM(AL14:AL14)</f>
        <v>0</v>
      </c>
    </row>
    <row r="14" spans="1:76" x14ac:dyDescent="0.25">
      <c r="A14" s="134" t="s">
        <v>56</v>
      </c>
      <c r="B14" s="135" t="s">
        <v>703</v>
      </c>
      <c r="C14" s="270" t="s">
        <v>704</v>
      </c>
      <c r="D14" s="271"/>
      <c r="E14" s="135" t="s">
        <v>705</v>
      </c>
      <c r="F14" s="131">
        <v>8</v>
      </c>
      <c r="G14" s="179">
        <v>0</v>
      </c>
      <c r="H14" s="131">
        <f>F14*AO14</f>
        <v>0</v>
      </c>
      <c r="I14" s="131">
        <f>F14*AP14</f>
        <v>0</v>
      </c>
      <c r="J14" s="131">
        <f>F14*G14</f>
        <v>0</v>
      </c>
      <c r="K14" s="136" t="s">
        <v>60</v>
      </c>
      <c r="Z14" s="131">
        <f>IF(AQ14="5",BJ14,0)</f>
        <v>0</v>
      </c>
      <c r="AB14" s="131">
        <f>IF(AQ14="1",BH14,0)</f>
        <v>0</v>
      </c>
      <c r="AC14" s="131">
        <f>IF(AQ14="1",BI14,0)</f>
        <v>0</v>
      </c>
      <c r="AD14" s="131">
        <f>IF(AQ14="7",BH14,0)</f>
        <v>0</v>
      </c>
      <c r="AE14" s="131">
        <f>IF(AQ14="7",BI14,0)</f>
        <v>0</v>
      </c>
      <c r="AF14" s="131">
        <f>IF(AQ14="2",BH14,0)</f>
        <v>0</v>
      </c>
      <c r="AG14" s="131">
        <f>IF(AQ14="2",BI14,0)</f>
        <v>0</v>
      </c>
      <c r="AH14" s="131">
        <f>IF(AQ14="0",BJ14,0)</f>
        <v>0</v>
      </c>
      <c r="AI14" s="115" t="s">
        <v>702</v>
      </c>
      <c r="AJ14" s="131">
        <f>IF(AN14=0,J14,0)</f>
        <v>0</v>
      </c>
      <c r="AK14" s="131">
        <f>IF(AN14=12,J14,0)</f>
        <v>0</v>
      </c>
      <c r="AL14" s="131">
        <f>IF(AN14=21,J14,0)</f>
        <v>0</v>
      </c>
      <c r="AN14" s="131">
        <v>21</v>
      </c>
      <c r="AO14" s="131">
        <f>G14*0</f>
        <v>0</v>
      </c>
      <c r="AP14" s="131">
        <f>G14*(1-0)</f>
        <v>0</v>
      </c>
      <c r="AQ14" s="132" t="s">
        <v>56</v>
      </c>
      <c r="AV14" s="131">
        <f>AW14+AX14</f>
        <v>0</v>
      </c>
      <c r="AW14" s="131">
        <f>F14*AO14</f>
        <v>0</v>
      </c>
      <c r="AX14" s="131">
        <f>F14*AP14</f>
        <v>0</v>
      </c>
      <c r="AY14" s="132" t="s">
        <v>61</v>
      </c>
      <c r="AZ14" s="132" t="s">
        <v>706</v>
      </c>
      <c r="BA14" s="115" t="s">
        <v>707</v>
      </c>
      <c r="BC14" s="131">
        <f>AW14+AX14</f>
        <v>0</v>
      </c>
      <c r="BD14" s="131">
        <f>G14/(100-BE14)*100</f>
        <v>0</v>
      </c>
      <c r="BE14" s="131">
        <v>0</v>
      </c>
      <c r="BF14" s="131">
        <f>14</f>
        <v>14</v>
      </c>
      <c r="BH14" s="131">
        <f>F14*AO14</f>
        <v>0</v>
      </c>
      <c r="BI14" s="131">
        <f>F14*AP14</f>
        <v>0</v>
      </c>
      <c r="BJ14" s="131">
        <f>F14*G14</f>
        <v>0</v>
      </c>
      <c r="BK14" s="131"/>
      <c r="BL14" s="131">
        <v>11</v>
      </c>
      <c r="BW14" s="131">
        <v>21</v>
      </c>
      <c r="BX14" s="133" t="s">
        <v>704</v>
      </c>
    </row>
    <row r="15" spans="1:76" x14ac:dyDescent="0.25">
      <c r="A15" s="123" t="s">
        <v>53</v>
      </c>
      <c r="B15" s="124" t="s">
        <v>96</v>
      </c>
      <c r="C15" s="272" t="s">
        <v>97</v>
      </c>
      <c r="D15" s="273"/>
      <c r="E15" s="125" t="s">
        <v>9</v>
      </c>
      <c r="F15" s="125" t="s">
        <v>9</v>
      </c>
      <c r="G15" s="125" t="s">
        <v>9</v>
      </c>
      <c r="H15" s="110">
        <f>SUM(H16:H16)</f>
        <v>0</v>
      </c>
      <c r="I15" s="110">
        <f>SUM(I16:I16)</f>
        <v>0</v>
      </c>
      <c r="J15" s="110">
        <f>SUM(J16:J16)</f>
        <v>0</v>
      </c>
      <c r="K15" s="126" t="s">
        <v>53</v>
      </c>
      <c r="AI15" s="115" t="s">
        <v>702</v>
      </c>
      <c r="AS15" s="110">
        <f>SUM(AJ16:AJ16)</f>
        <v>0</v>
      </c>
      <c r="AT15" s="110">
        <f>SUM(AK16:AK16)</f>
        <v>0</v>
      </c>
      <c r="AU15" s="110">
        <f>SUM(AL16:AL16)</f>
        <v>0</v>
      </c>
    </row>
    <row r="16" spans="1:76" x14ac:dyDescent="0.25">
      <c r="A16" s="134" t="s">
        <v>64</v>
      </c>
      <c r="B16" s="135" t="s">
        <v>708</v>
      </c>
      <c r="C16" s="270" t="s">
        <v>709</v>
      </c>
      <c r="D16" s="271"/>
      <c r="E16" s="135" t="s">
        <v>79</v>
      </c>
      <c r="F16" s="131">
        <v>24</v>
      </c>
      <c r="G16" s="179">
        <v>0</v>
      </c>
      <c r="H16" s="131">
        <f>F16*AO16</f>
        <v>0</v>
      </c>
      <c r="I16" s="131">
        <f>F16*AP16</f>
        <v>0</v>
      </c>
      <c r="J16" s="131">
        <f>F16*G16</f>
        <v>0</v>
      </c>
      <c r="K16" s="136" t="s">
        <v>60</v>
      </c>
      <c r="Z16" s="131">
        <f>IF(AQ16="5",BJ16,0)</f>
        <v>0</v>
      </c>
      <c r="AB16" s="131">
        <f>IF(AQ16="1",BH16,0)</f>
        <v>0</v>
      </c>
      <c r="AC16" s="131">
        <f>IF(AQ16="1",BI16,0)</f>
        <v>0</v>
      </c>
      <c r="AD16" s="131">
        <f>IF(AQ16="7",BH16,0)</f>
        <v>0</v>
      </c>
      <c r="AE16" s="131">
        <f>IF(AQ16="7",BI16,0)</f>
        <v>0</v>
      </c>
      <c r="AF16" s="131">
        <f>IF(AQ16="2",BH16,0)</f>
        <v>0</v>
      </c>
      <c r="AG16" s="131">
        <f>IF(AQ16="2",BI16,0)</f>
        <v>0</v>
      </c>
      <c r="AH16" s="131">
        <f>IF(AQ16="0",BJ16,0)</f>
        <v>0</v>
      </c>
      <c r="AI16" s="115" t="s">
        <v>702</v>
      </c>
      <c r="AJ16" s="131">
        <f>IF(AN16=0,J16,0)</f>
        <v>0</v>
      </c>
      <c r="AK16" s="131">
        <f>IF(AN16=12,J16,0)</f>
        <v>0</v>
      </c>
      <c r="AL16" s="131">
        <f>IF(AN16=21,J16,0)</f>
        <v>0</v>
      </c>
      <c r="AN16" s="131">
        <v>21</v>
      </c>
      <c r="AO16" s="131">
        <f>G16*0</f>
        <v>0</v>
      </c>
      <c r="AP16" s="131">
        <f>G16*(1-0)</f>
        <v>0</v>
      </c>
      <c r="AQ16" s="132" t="s">
        <v>56</v>
      </c>
      <c r="AV16" s="131">
        <f>AW16+AX16</f>
        <v>0</v>
      </c>
      <c r="AW16" s="131">
        <f>F16*AO16</f>
        <v>0</v>
      </c>
      <c r="AX16" s="131">
        <f>F16*AP16</f>
        <v>0</v>
      </c>
      <c r="AY16" s="132" t="s">
        <v>100</v>
      </c>
      <c r="AZ16" s="132" t="s">
        <v>706</v>
      </c>
      <c r="BA16" s="115" t="s">
        <v>707</v>
      </c>
      <c r="BC16" s="131">
        <f>AW16+AX16</f>
        <v>0</v>
      </c>
      <c r="BD16" s="131">
        <f>G16/(100-BE16)*100</f>
        <v>0</v>
      </c>
      <c r="BE16" s="131">
        <v>0</v>
      </c>
      <c r="BF16" s="131">
        <f>16</f>
        <v>16</v>
      </c>
      <c r="BH16" s="131">
        <f>F16*AO16</f>
        <v>0</v>
      </c>
      <c r="BI16" s="131">
        <f>F16*AP16</f>
        <v>0</v>
      </c>
      <c r="BJ16" s="131">
        <f>F16*G16</f>
        <v>0</v>
      </c>
      <c r="BK16" s="131"/>
      <c r="BL16" s="131">
        <v>13</v>
      </c>
      <c r="BW16" s="131">
        <v>21</v>
      </c>
      <c r="BX16" s="133" t="s">
        <v>709</v>
      </c>
    </row>
    <row r="17" spans="1:76" x14ac:dyDescent="0.25">
      <c r="A17" s="123" t="s">
        <v>53</v>
      </c>
      <c r="B17" s="124" t="s">
        <v>101</v>
      </c>
      <c r="C17" s="272" t="s">
        <v>102</v>
      </c>
      <c r="D17" s="273"/>
      <c r="E17" s="125" t="s">
        <v>9</v>
      </c>
      <c r="F17" s="125" t="s">
        <v>9</v>
      </c>
      <c r="G17" s="125" t="s">
        <v>9</v>
      </c>
      <c r="H17" s="110">
        <f>SUM(H18:H19)</f>
        <v>0</v>
      </c>
      <c r="I17" s="110">
        <f>SUM(I18:I19)</f>
        <v>0</v>
      </c>
      <c r="J17" s="110">
        <f>SUM(J18:J19)</f>
        <v>0</v>
      </c>
      <c r="K17" s="126" t="s">
        <v>53</v>
      </c>
      <c r="AI17" s="115" t="s">
        <v>702</v>
      </c>
      <c r="AS17" s="110">
        <f>SUM(AJ18:AJ19)</f>
        <v>0</v>
      </c>
      <c r="AT17" s="110">
        <f>SUM(AK18:AK19)</f>
        <v>0</v>
      </c>
      <c r="AU17" s="110">
        <f>SUM(AL18:AL19)</f>
        <v>0</v>
      </c>
    </row>
    <row r="18" spans="1:76" x14ac:dyDescent="0.25">
      <c r="A18" s="134" t="s">
        <v>68</v>
      </c>
      <c r="B18" s="135" t="s">
        <v>114</v>
      </c>
      <c r="C18" s="270" t="s">
        <v>710</v>
      </c>
      <c r="D18" s="271"/>
      <c r="E18" s="135" t="s">
        <v>79</v>
      </c>
      <c r="F18" s="131">
        <v>6</v>
      </c>
      <c r="G18" s="179">
        <v>0</v>
      </c>
      <c r="H18" s="131">
        <f>F18*AO18</f>
        <v>0</v>
      </c>
      <c r="I18" s="131">
        <f>F18*AP18</f>
        <v>0</v>
      </c>
      <c r="J18" s="131">
        <f>F18*G18</f>
        <v>0</v>
      </c>
      <c r="K18" s="136" t="s">
        <v>711</v>
      </c>
      <c r="Z18" s="131">
        <f>IF(AQ18="5",BJ18,0)</f>
        <v>0</v>
      </c>
      <c r="AB18" s="131">
        <f>IF(AQ18="1",BH18,0)</f>
        <v>0</v>
      </c>
      <c r="AC18" s="131">
        <f>IF(AQ18="1",BI18,0)</f>
        <v>0</v>
      </c>
      <c r="AD18" s="131">
        <f>IF(AQ18="7",BH18,0)</f>
        <v>0</v>
      </c>
      <c r="AE18" s="131">
        <f>IF(AQ18="7",BI18,0)</f>
        <v>0</v>
      </c>
      <c r="AF18" s="131">
        <f>IF(AQ18="2",BH18,0)</f>
        <v>0</v>
      </c>
      <c r="AG18" s="131">
        <f>IF(AQ18="2",BI18,0)</f>
        <v>0</v>
      </c>
      <c r="AH18" s="131">
        <f>IF(AQ18="0",BJ18,0)</f>
        <v>0</v>
      </c>
      <c r="AI18" s="115" t="s">
        <v>702</v>
      </c>
      <c r="AJ18" s="131">
        <f>IF(AN18=0,J18,0)</f>
        <v>0</v>
      </c>
      <c r="AK18" s="131">
        <f>IF(AN18=12,J18,0)</f>
        <v>0</v>
      </c>
      <c r="AL18" s="131">
        <f>IF(AN18=21,J18,0)</f>
        <v>0</v>
      </c>
      <c r="AN18" s="131">
        <v>21</v>
      </c>
      <c r="AO18" s="131">
        <f>G18*0</f>
        <v>0</v>
      </c>
      <c r="AP18" s="131">
        <f>G18*(1-0)</f>
        <v>0</v>
      </c>
      <c r="AQ18" s="132" t="s">
        <v>56</v>
      </c>
      <c r="AV18" s="131">
        <f>AW18+AX18</f>
        <v>0</v>
      </c>
      <c r="AW18" s="131">
        <f>F18*AO18</f>
        <v>0</v>
      </c>
      <c r="AX18" s="131">
        <f>F18*AP18</f>
        <v>0</v>
      </c>
      <c r="AY18" s="132" t="s">
        <v>105</v>
      </c>
      <c r="AZ18" s="132" t="s">
        <v>706</v>
      </c>
      <c r="BA18" s="115" t="s">
        <v>707</v>
      </c>
      <c r="BC18" s="131">
        <f>AW18+AX18</f>
        <v>0</v>
      </c>
      <c r="BD18" s="131">
        <f>G18/(100-BE18)*100</f>
        <v>0</v>
      </c>
      <c r="BE18" s="131">
        <v>0</v>
      </c>
      <c r="BF18" s="131">
        <f>18</f>
        <v>18</v>
      </c>
      <c r="BH18" s="131">
        <f>F18*AO18</f>
        <v>0</v>
      </c>
      <c r="BI18" s="131">
        <f>F18*AP18</f>
        <v>0</v>
      </c>
      <c r="BJ18" s="131">
        <f>F18*G18</f>
        <v>0</v>
      </c>
      <c r="BK18" s="131"/>
      <c r="BL18" s="131">
        <v>16</v>
      </c>
      <c r="BW18" s="131">
        <v>21</v>
      </c>
      <c r="BX18" s="133" t="s">
        <v>710</v>
      </c>
    </row>
    <row r="19" spans="1:76" x14ac:dyDescent="0.25">
      <c r="A19" s="134" t="s">
        <v>71</v>
      </c>
      <c r="B19" s="135" t="s">
        <v>712</v>
      </c>
      <c r="C19" s="270" t="s">
        <v>713</v>
      </c>
      <c r="D19" s="271"/>
      <c r="E19" s="135" t="s">
        <v>122</v>
      </c>
      <c r="F19" s="131">
        <v>15</v>
      </c>
      <c r="G19" s="179">
        <v>0</v>
      </c>
      <c r="H19" s="131">
        <f>F19*AO19</f>
        <v>0</v>
      </c>
      <c r="I19" s="131">
        <f>F19*AP19</f>
        <v>0</v>
      </c>
      <c r="J19" s="131">
        <f>F19*G19</f>
        <v>0</v>
      </c>
      <c r="K19" s="136" t="s">
        <v>711</v>
      </c>
      <c r="Z19" s="131">
        <f>IF(AQ19="5",BJ19,0)</f>
        <v>0</v>
      </c>
      <c r="AB19" s="131">
        <f>IF(AQ19="1",BH19,0)</f>
        <v>0</v>
      </c>
      <c r="AC19" s="131">
        <f>IF(AQ19="1",BI19,0)</f>
        <v>0</v>
      </c>
      <c r="AD19" s="131">
        <f>IF(AQ19="7",BH19,0)</f>
        <v>0</v>
      </c>
      <c r="AE19" s="131">
        <f>IF(AQ19="7",BI19,0)</f>
        <v>0</v>
      </c>
      <c r="AF19" s="131">
        <f>IF(AQ19="2",BH19,0)</f>
        <v>0</v>
      </c>
      <c r="AG19" s="131">
        <f>IF(AQ19="2",BI19,0)</f>
        <v>0</v>
      </c>
      <c r="AH19" s="131">
        <f>IF(AQ19="0",BJ19,0)</f>
        <v>0</v>
      </c>
      <c r="AI19" s="115" t="s">
        <v>702</v>
      </c>
      <c r="AJ19" s="131">
        <f>IF(AN19=0,J19,0)</f>
        <v>0</v>
      </c>
      <c r="AK19" s="131">
        <f>IF(AN19=12,J19,0)</f>
        <v>0</v>
      </c>
      <c r="AL19" s="131">
        <f>IF(AN19=21,J19,0)</f>
        <v>0</v>
      </c>
      <c r="AN19" s="131">
        <v>21</v>
      </c>
      <c r="AO19" s="131">
        <f>G19*0</f>
        <v>0</v>
      </c>
      <c r="AP19" s="131">
        <f>G19*(1-0)</f>
        <v>0</v>
      </c>
      <c r="AQ19" s="132" t="s">
        <v>56</v>
      </c>
      <c r="AV19" s="131">
        <f>AW19+AX19</f>
        <v>0</v>
      </c>
      <c r="AW19" s="131">
        <f>F19*AO19</f>
        <v>0</v>
      </c>
      <c r="AX19" s="131">
        <f>F19*AP19</f>
        <v>0</v>
      </c>
      <c r="AY19" s="132" t="s">
        <v>105</v>
      </c>
      <c r="AZ19" s="132" t="s">
        <v>706</v>
      </c>
      <c r="BA19" s="115" t="s">
        <v>707</v>
      </c>
      <c r="BC19" s="131">
        <f>AW19+AX19</f>
        <v>0</v>
      </c>
      <c r="BD19" s="131">
        <f>G19/(100-BE19)*100</f>
        <v>0</v>
      </c>
      <c r="BE19" s="131">
        <v>0</v>
      </c>
      <c r="BF19" s="131">
        <f>19</f>
        <v>19</v>
      </c>
      <c r="BH19" s="131">
        <f>F19*AO19</f>
        <v>0</v>
      </c>
      <c r="BI19" s="131">
        <f>F19*AP19</f>
        <v>0</v>
      </c>
      <c r="BJ19" s="131">
        <f>F19*G19</f>
        <v>0</v>
      </c>
      <c r="BK19" s="131"/>
      <c r="BL19" s="131">
        <v>16</v>
      </c>
      <c r="BW19" s="131">
        <v>21</v>
      </c>
      <c r="BX19" s="133" t="s">
        <v>713</v>
      </c>
    </row>
    <row r="20" spans="1:76" x14ac:dyDescent="0.25">
      <c r="A20" s="123" t="s">
        <v>53</v>
      </c>
      <c r="B20" s="124" t="s">
        <v>116</v>
      </c>
      <c r="C20" s="272" t="s">
        <v>123</v>
      </c>
      <c r="D20" s="273"/>
      <c r="E20" s="125" t="s">
        <v>9</v>
      </c>
      <c r="F20" s="125" t="s">
        <v>9</v>
      </c>
      <c r="G20" s="125" t="s">
        <v>9</v>
      </c>
      <c r="H20" s="110">
        <f>SUM(H21:H21)</f>
        <v>0</v>
      </c>
      <c r="I20" s="110">
        <f>SUM(I21:I21)</f>
        <v>0</v>
      </c>
      <c r="J20" s="110">
        <f>SUM(J21:J21)</f>
        <v>0</v>
      </c>
      <c r="K20" s="126" t="s">
        <v>53</v>
      </c>
      <c r="AI20" s="115" t="s">
        <v>702</v>
      </c>
      <c r="AS20" s="110">
        <f>SUM(AJ21:AJ21)</f>
        <v>0</v>
      </c>
      <c r="AT20" s="110">
        <f>SUM(AK21:AK21)</f>
        <v>0</v>
      </c>
      <c r="AU20" s="110">
        <f>SUM(AL21:AL21)</f>
        <v>0</v>
      </c>
    </row>
    <row r="21" spans="1:76" x14ac:dyDescent="0.25">
      <c r="A21" s="134" t="s">
        <v>76</v>
      </c>
      <c r="B21" s="135" t="s">
        <v>129</v>
      </c>
      <c r="C21" s="270" t="s">
        <v>714</v>
      </c>
      <c r="D21" s="271"/>
      <c r="E21" s="135" t="s">
        <v>79</v>
      </c>
      <c r="F21" s="131">
        <v>24</v>
      </c>
      <c r="G21" s="179">
        <v>0</v>
      </c>
      <c r="H21" s="131">
        <f>F21*AO21</f>
        <v>0</v>
      </c>
      <c r="I21" s="131">
        <f>F21*AP21</f>
        <v>0</v>
      </c>
      <c r="J21" s="131">
        <f>F21*G21</f>
        <v>0</v>
      </c>
      <c r="K21" s="136" t="s">
        <v>60</v>
      </c>
      <c r="Z21" s="131">
        <f>IF(AQ21="5",BJ21,0)</f>
        <v>0</v>
      </c>
      <c r="AB21" s="131">
        <f>IF(AQ21="1",BH21,0)</f>
        <v>0</v>
      </c>
      <c r="AC21" s="131">
        <f>IF(AQ21="1",BI21,0)</f>
        <v>0</v>
      </c>
      <c r="AD21" s="131">
        <f>IF(AQ21="7",BH21,0)</f>
        <v>0</v>
      </c>
      <c r="AE21" s="131">
        <f>IF(AQ21="7",BI21,0)</f>
        <v>0</v>
      </c>
      <c r="AF21" s="131">
        <f>IF(AQ21="2",BH21,0)</f>
        <v>0</v>
      </c>
      <c r="AG21" s="131">
        <f>IF(AQ21="2",BI21,0)</f>
        <v>0</v>
      </c>
      <c r="AH21" s="131">
        <f>IF(AQ21="0",BJ21,0)</f>
        <v>0</v>
      </c>
      <c r="AI21" s="115" t="s">
        <v>702</v>
      </c>
      <c r="AJ21" s="131">
        <f>IF(AN21=0,J21,0)</f>
        <v>0</v>
      </c>
      <c r="AK21" s="131">
        <f>IF(AN21=12,J21,0)</f>
        <v>0</v>
      </c>
      <c r="AL21" s="131">
        <f>IF(AN21=21,J21,0)</f>
        <v>0</v>
      </c>
      <c r="AN21" s="131">
        <v>21</v>
      </c>
      <c r="AO21" s="131">
        <f>G21*0</f>
        <v>0</v>
      </c>
      <c r="AP21" s="131">
        <f>G21*(1-0)</f>
        <v>0</v>
      </c>
      <c r="AQ21" s="132" t="s">
        <v>56</v>
      </c>
      <c r="AV21" s="131">
        <f>AW21+AX21</f>
        <v>0</v>
      </c>
      <c r="AW21" s="131">
        <f>F21*AO21</f>
        <v>0</v>
      </c>
      <c r="AX21" s="131">
        <f>F21*AP21</f>
        <v>0</v>
      </c>
      <c r="AY21" s="132" t="s">
        <v>127</v>
      </c>
      <c r="AZ21" s="132" t="s">
        <v>706</v>
      </c>
      <c r="BA21" s="115" t="s">
        <v>707</v>
      </c>
      <c r="BC21" s="131">
        <f>AW21+AX21</f>
        <v>0</v>
      </c>
      <c r="BD21" s="131">
        <f>G21/(100-BE21)*100</f>
        <v>0</v>
      </c>
      <c r="BE21" s="131">
        <v>0</v>
      </c>
      <c r="BF21" s="131">
        <f>21</f>
        <v>21</v>
      </c>
      <c r="BH21" s="131">
        <f>F21*AO21</f>
        <v>0</v>
      </c>
      <c r="BI21" s="131">
        <f>F21*AP21</f>
        <v>0</v>
      </c>
      <c r="BJ21" s="131">
        <f>F21*G21</f>
        <v>0</v>
      </c>
      <c r="BK21" s="131"/>
      <c r="BL21" s="131">
        <v>17</v>
      </c>
      <c r="BW21" s="131">
        <v>21</v>
      </c>
      <c r="BX21" s="133" t="s">
        <v>714</v>
      </c>
    </row>
    <row r="22" spans="1:76" x14ac:dyDescent="0.25">
      <c r="A22" s="123" t="s">
        <v>53</v>
      </c>
      <c r="B22" s="124" t="s">
        <v>255</v>
      </c>
      <c r="C22" s="272" t="s">
        <v>715</v>
      </c>
      <c r="D22" s="273"/>
      <c r="E22" s="125" t="s">
        <v>9</v>
      </c>
      <c r="F22" s="125" t="s">
        <v>9</v>
      </c>
      <c r="G22" s="125" t="s">
        <v>9</v>
      </c>
      <c r="H22" s="110">
        <f>SUM(H23:H28)</f>
        <v>0</v>
      </c>
      <c r="I22" s="110">
        <f>SUM(I23:I28)</f>
        <v>0</v>
      </c>
      <c r="J22" s="110">
        <f>SUM(J23:J28)</f>
        <v>0</v>
      </c>
      <c r="K22" s="126" t="s">
        <v>53</v>
      </c>
      <c r="AI22" s="115" t="s">
        <v>702</v>
      </c>
      <c r="AS22" s="110">
        <f>SUM(AJ23:AJ28)</f>
        <v>0</v>
      </c>
      <c r="AT22" s="110">
        <f>SUM(AK23:AK28)</f>
        <v>0</v>
      </c>
      <c r="AU22" s="110">
        <f>SUM(AL23:AL28)</f>
        <v>0</v>
      </c>
    </row>
    <row r="23" spans="1:76" x14ac:dyDescent="0.25">
      <c r="A23" s="134" t="s">
        <v>81</v>
      </c>
      <c r="B23" s="135" t="s">
        <v>716</v>
      </c>
      <c r="C23" s="270" t="s">
        <v>717</v>
      </c>
      <c r="D23" s="271"/>
      <c r="E23" s="135" t="s">
        <v>79</v>
      </c>
      <c r="F23" s="131">
        <v>6</v>
      </c>
      <c r="G23" s="179">
        <v>0</v>
      </c>
      <c r="H23" s="131">
        <f t="shared" ref="H23:H28" si="0">F23*AO23</f>
        <v>0</v>
      </c>
      <c r="I23" s="131">
        <f t="shared" ref="I23:I28" si="1">F23*AP23</f>
        <v>0</v>
      </c>
      <c r="J23" s="131">
        <f t="shared" ref="J23:J28" si="2">F23*G23</f>
        <v>0</v>
      </c>
      <c r="K23" s="136" t="s">
        <v>60</v>
      </c>
      <c r="Z23" s="131">
        <f t="shared" ref="Z23:Z28" si="3">IF(AQ23="5",BJ23,0)</f>
        <v>0</v>
      </c>
      <c r="AB23" s="131">
        <f t="shared" ref="AB23:AB28" si="4">IF(AQ23="1",BH23,0)</f>
        <v>0</v>
      </c>
      <c r="AC23" s="131">
        <f t="shared" ref="AC23:AC28" si="5">IF(AQ23="1",BI23,0)</f>
        <v>0</v>
      </c>
      <c r="AD23" s="131">
        <f t="shared" ref="AD23:AD28" si="6">IF(AQ23="7",BH23,0)</f>
        <v>0</v>
      </c>
      <c r="AE23" s="131">
        <f t="shared" ref="AE23:AE28" si="7">IF(AQ23="7",BI23,0)</f>
        <v>0</v>
      </c>
      <c r="AF23" s="131">
        <f t="shared" ref="AF23:AF28" si="8">IF(AQ23="2",BH23,0)</f>
        <v>0</v>
      </c>
      <c r="AG23" s="131">
        <f t="shared" ref="AG23:AG28" si="9">IF(AQ23="2",BI23,0)</f>
        <v>0</v>
      </c>
      <c r="AH23" s="131">
        <f t="shared" ref="AH23:AH28" si="10">IF(AQ23="0",BJ23,0)</f>
        <v>0</v>
      </c>
      <c r="AI23" s="115" t="s">
        <v>702</v>
      </c>
      <c r="AJ23" s="131">
        <f t="shared" ref="AJ23:AJ28" si="11">IF(AN23=0,J23,0)</f>
        <v>0</v>
      </c>
      <c r="AK23" s="131">
        <f t="shared" ref="AK23:AK28" si="12">IF(AN23=12,J23,0)</f>
        <v>0</v>
      </c>
      <c r="AL23" s="131">
        <f t="shared" ref="AL23:AL28" si="13">IF(AN23=21,J23,0)</f>
        <v>0</v>
      </c>
      <c r="AN23" s="131">
        <v>21</v>
      </c>
      <c r="AO23" s="131">
        <f>G23*0.735830657</f>
        <v>0</v>
      </c>
      <c r="AP23" s="131">
        <f>G23*(1-0.735830657)</f>
        <v>0</v>
      </c>
      <c r="AQ23" s="132" t="s">
        <v>56</v>
      </c>
      <c r="AV23" s="131">
        <f t="shared" ref="AV23:AV28" si="14">AW23+AX23</f>
        <v>0</v>
      </c>
      <c r="AW23" s="131">
        <f t="shared" ref="AW23:AW28" si="15">F23*AO23</f>
        <v>0</v>
      </c>
      <c r="AX23" s="131">
        <f t="shared" ref="AX23:AX28" si="16">F23*AP23</f>
        <v>0</v>
      </c>
      <c r="AY23" s="132" t="s">
        <v>260</v>
      </c>
      <c r="AZ23" s="132" t="s">
        <v>718</v>
      </c>
      <c r="BA23" s="115" t="s">
        <v>707</v>
      </c>
      <c r="BC23" s="131">
        <f t="shared" ref="BC23:BC28" si="17">AW23+AX23</f>
        <v>0</v>
      </c>
      <c r="BD23" s="131">
        <f t="shared" ref="BD23:BD28" si="18">G23/(100-BE23)*100</f>
        <v>0</v>
      </c>
      <c r="BE23" s="131">
        <v>0</v>
      </c>
      <c r="BF23" s="131">
        <f>23</f>
        <v>23</v>
      </c>
      <c r="BH23" s="131">
        <f t="shared" ref="BH23:BH28" si="19">F23*AO23</f>
        <v>0</v>
      </c>
      <c r="BI23" s="131">
        <f t="shared" ref="BI23:BI28" si="20">F23*AP23</f>
        <v>0</v>
      </c>
      <c r="BJ23" s="131">
        <f t="shared" ref="BJ23:BJ28" si="21">F23*G23</f>
        <v>0</v>
      </c>
      <c r="BK23" s="131"/>
      <c r="BL23" s="131">
        <v>89</v>
      </c>
      <c r="BW23" s="131">
        <v>21</v>
      </c>
      <c r="BX23" s="133" t="s">
        <v>717</v>
      </c>
    </row>
    <row r="24" spans="1:76" x14ac:dyDescent="0.25">
      <c r="A24" s="134" t="s">
        <v>84</v>
      </c>
      <c r="B24" s="135" t="s">
        <v>719</v>
      </c>
      <c r="C24" s="270" t="s">
        <v>720</v>
      </c>
      <c r="D24" s="271"/>
      <c r="E24" s="135" t="s">
        <v>59</v>
      </c>
      <c r="F24" s="131">
        <v>6</v>
      </c>
      <c r="G24" s="179">
        <v>0</v>
      </c>
      <c r="H24" s="131">
        <f t="shared" si="0"/>
        <v>0</v>
      </c>
      <c r="I24" s="131">
        <f t="shared" si="1"/>
        <v>0</v>
      </c>
      <c r="J24" s="131">
        <f t="shared" si="2"/>
        <v>0</v>
      </c>
      <c r="K24" s="136" t="s">
        <v>60</v>
      </c>
      <c r="Z24" s="131">
        <f t="shared" si="3"/>
        <v>0</v>
      </c>
      <c r="AB24" s="131">
        <f t="shared" si="4"/>
        <v>0</v>
      </c>
      <c r="AC24" s="131">
        <f t="shared" si="5"/>
        <v>0</v>
      </c>
      <c r="AD24" s="131">
        <f t="shared" si="6"/>
        <v>0</v>
      </c>
      <c r="AE24" s="131">
        <f t="shared" si="7"/>
        <v>0</v>
      </c>
      <c r="AF24" s="131">
        <f t="shared" si="8"/>
        <v>0</v>
      </c>
      <c r="AG24" s="131">
        <f t="shared" si="9"/>
        <v>0</v>
      </c>
      <c r="AH24" s="131">
        <f t="shared" si="10"/>
        <v>0</v>
      </c>
      <c r="AI24" s="115" t="s">
        <v>702</v>
      </c>
      <c r="AJ24" s="131">
        <f t="shared" si="11"/>
        <v>0</v>
      </c>
      <c r="AK24" s="131">
        <f t="shared" si="12"/>
        <v>0</v>
      </c>
      <c r="AL24" s="131">
        <f t="shared" si="13"/>
        <v>0</v>
      </c>
      <c r="AN24" s="131">
        <v>21</v>
      </c>
      <c r="AO24" s="131">
        <f>G24*0.252878168</f>
        <v>0</v>
      </c>
      <c r="AP24" s="131">
        <f>G24*(1-0.252878168)</f>
        <v>0</v>
      </c>
      <c r="AQ24" s="132" t="s">
        <v>56</v>
      </c>
      <c r="AV24" s="131">
        <f t="shared" si="14"/>
        <v>0</v>
      </c>
      <c r="AW24" s="131">
        <f t="shared" si="15"/>
        <v>0</v>
      </c>
      <c r="AX24" s="131">
        <f t="shared" si="16"/>
        <v>0</v>
      </c>
      <c r="AY24" s="132" t="s">
        <v>260</v>
      </c>
      <c r="AZ24" s="132" t="s">
        <v>718</v>
      </c>
      <c r="BA24" s="115" t="s">
        <v>707</v>
      </c>
      <c r="BC24" s="131">
        <f t="shared" si="17"/>
        <v>0</v>
      </c>
      <c r="BD24" s="131">
        <f t="shared" si="18"/>
        <v>0</v>
      </c>
      <c r="BE24" s="131">
        <v>0</v>
      </c>
      <c r="BF24" s="131">
        <f>24</f>
        <v>24</v>
      </c>
      <c r="BH24" s="131">
        <f t="shared" si="19"/>
        <v>0</v>
      </c>
      <c r="BI24" s="131">
        <f t="shared" si="20"/>
        <v>0</v>
      </c>
      <c r="BJ24" s="131">
        <f t="shared" si="21"/>
        <v>0</v>
      </c>
      <c r="BK24" s="131"/>
      <c r="BL24" s="131">
        <v>89</v>
      </c>
      <c r="BW24" s="131">
        <v>21</v>
      </c>
      <c r="BX24" s="133" t="s">
        <v>720</v>
      </c>
    </row>
    <row r="25" spans="1:76" x14ac:dyDescent="0.25">
      <c r="A25" s="134" t="s">
        <v>87</v>
      </c>
      <c r="B25" s="135" t="s">
        <v>721</v>
      </c>
      <c r="C25" s="270" t="s">
        <v>722</v>
      </c>
      <c r="D25" s="271"/>
      <c r="E25" s="135" t="s">
        <v>164</v>
      </c>
      <c r="F25" s="131">
        <v>6</v>
      </c>
      <c r="G25" s="179">
        <v>0</v>
      </c>
      <c r="H25" s="131">
        <f t="shared" si="0"/>
        <v>0</v>
      </c>
      <c r="I25" s="131">
        <f t="shared" si="1"/>
        <v>0</v>
      </c>
      <c r="J25" s="131">
        <f t="shared" si="2"/>
        <v>0</v>
      </c>
      <c r="K25" s="136" t="s">
        <v>60</v>
      </c>
      <c r="Z25" s="131">
        <f t="shared" si="3"/>
        <v>0</v>
      </c>
      <c r="AB25" s="131">
        <f t="shared" si="4"/>
        <v>0</v>
      </c>
      <c r="AC25" s="131">
        <f t="shared" si="5"/>
        <v>0</v>
      </c>
      <c r="AD25" s="131">
        <f t="shared" si="6"/>
        <v>0</v>
      </c>
      <c r="AE25" s="131">
        <f t="shared" si="7"/>
        <v>0</v>
      </c>
      <c r="AF25" s="131">
        <f t="shared" si="8"/>
        <v>0</v>
      </c>
      <c r="AG25" s="131">
        <f t="shared" si="9"/>
        <v>0</v>
      </c>
      <c r="AH25" s="131">
        <f t="shared" si="10"/>
        <v>0</v>
      </c>
      <c r="AI25" s="115" t="s">
        <v>702</v>
      </c>
      <c r="AJ25" s="131">
        <f t="shared" si="11"/>
        <v>0</v>
      </c>
      <c r="AK25" s="131">
        <f t="shared" si="12"/>
        <v>0</v>
      </c>
      <c r="AL25" s="131">
        <f t="shared" si="13"/>
        <v>0</v>
      </c>
      <c r="AN25" s="131">
        <v>21</v>
      </c>
      <c r="AO25" s="131">
        <f>G25*0</f>
        <v>0</v>
      </c>
      <c r="AP25" s="131">
        <f>G25*(1-0)</f>
        <v>0</v>
      </c>
      <c r="AQ25" s="132" t="s">
        <v>56</v>
      </c>
      <c r="AV25" s="131">
        <f t="shared" si="14"/>
        <v>0</v>
      </c>
      <c r="AW25" s="131">
        <f t="shared" si="15"/>
        <v>0</v>
      </c>
      <c r="AX25" s="131">
        <f t="shared" si="16"/>
        <v>0</v>
      </c>
      <c r="AY25" s="132" t="s">
        <v>260</v>
      </c>
      <c r="AZ25" s="132" t="s">
        <v>718</v>
      </c>
      <c r="BA25" s="115" t="s">
        <v>707</v>
      </c>
      <c r="BC25" s="131">
        <f t="shared" si="17"/>
        <v>0</v>
      </c>
      <c r="BD25" s="131">
        <f t="shared" si="18"/>
        <v>0</v>
      </c>
      <c r="BE25" s="131">
        <v>0</v>
      </c>
      <c r="BF25" s="131">
        <f>25</f>
        <v>25</v>
      </c>
      <c r="BH25" s="131">
        <f t="shared" si="19"/>
        <v>0</v>
      </c>
      <c r="BI25" s="131">
        <f t="shared" si="20"/>
        <v>0</v>
      </c>
      <c r="BJ25" s="131">
        <f t="shared" si="21"/>
        <v>0</v>
      </c>
      <c r="BK25" s="131"/>
      <c r="BL25" s="131">
        <v>89</v>
      </c>
      <c r="BW25" s="131">
        <v>21</v>
      </c>
      <c r="BX25" s="133" t="s">
        <v>722</v>
      </c>
    </row>
    <row r="26" spans="1:76" x14ac:dyDescent="0.25">
      <c r="A26" s="134" t="s">
        <v>90</v>
      </c>
      <c r="B26" s="135" t="s">
        <v>723</v>
      </c>
      <c r="C26" s="270" t="s">
        <v>724</v>
      </c>
      <c r="D26" s="271"/>
      <c r="E26" s="135" t="s">
        <v>164</v>
      </c>
      <c r="F26" s="131">
        <v>12</v>
      </c>
      <c r="G26" s="179">
        <v>0</v>
      </c>
      <c r="H26" s="131">
        <f t="shared" si="0"/>
        <v>0</v>
      </c>
      <c r="I26" s="131">
        <f t="shared" si="1"/>
        <v>0</v>
      </c>
      <c r="J26" s="131">
        <f t="shared" si="2"/>
        <v>0</v>
      </c>
      <c r="K26" s="136" t="s">
        <v>60</v>
      </c>
      <c r="Z26" s="131">
        <f t="shared" si="3"/>
        <v>0</v>
      </c>
      <c r="AB26" s="131">
        <f t="shared" si="4"/>
        <v>0</v>
      </c>
      <c r="AC26" s="131">
        <f t="shared" si="5"/>
        <v>0</v>
      </c>
      <c r="AD26" s="131">
        <f t="shared" si="6"/>
        <v>0</v>
      </c>
      <c r="AE26" s="131">
        <f t="shared" si="7"/>
        <v>0</v>
      </c>
      <c r="AF26" s="131">
        <f t="shared" si="8"/>
        <v>0</v>
      </c>
      <c r="AG26" s="131">
        <f t="shared" si="9"/>
        <v>0</v>
      </c>
      <c r="AH26" s="131">
        <f t="shared" si="10"/>
        <v>0</v>
      </c>
      <c r="AI26" s="115" t="s">
        <v>702</v>
      </c>
      <c r="AJ26" s="131">
        <f t="shared" si="11"/>
        <v>0</v>
      </c>
      <c r="AK26" s="131">
        <f t="shared" si="12"/>
        <v>0</v>
      </c>
      <c r="AL26" s="131">
        <f t="shared" si="13"/>
        <v>0</v>
      </c>
      <c r="AN26" s="131">
        <v>21</v>
      </c>
      <c r="AO26" s="131">
        <f>G26*0</f>
        <v>0</v>
      </c>
      <c r="AP26" s="131">
        <f>G26*(1-0)</f>
        <v>0</v>
      </c>
      <c r="AQ26" s="132" t="s">
        <v>56</v>
      </c>
      <c r="AV26" s="131">
        <f t="shared" si="14"/>
        <v>0</v>
      </c>
      <c r="AW26" s="131">
        <f t="shared" si="15"/>
        <v>0</v>
      </c>
      <c r="AX26" s="131">
        <f t="shared" si="16"/>
        <v>0</v>
      </c>
      <c r="AY26" s="132" t="s">
        <v>260</v>
      </c>
      <c r="AZ26" s="132" t="s">
        <v>718</v>
      </c>
      <c r="BA26" s="115" t="s">
        <v>707</v>
      </c>
      <c r="BC26" s="131">
        <f t="shared" si="17"/>
        <v>0</v>
      </c>
      <c r="BD26" s="131">
        <f t="shared" si="18"/>
        <v>0</v>
      </c>
      <c r="BE26" s="131">
        <v>0</v>
      </c>
      <c r="BF26" s="131">
        <f>26</f>
        <v>26</v>
      </c>
      <c r="BH26" s="131">
        <f t="shared" si="19"/>
        <v>0</v>
      </c>
      <c r="BI26" s="131">
        <f t="shared" si="20"/>
        <v>0</v>
      </c>
      <c r="BJ26" s="131">
        <f t="shared" si="21"/>
        <v>0</v>
      </c>
      <c r="BK26" s="131"/>
      <c r="BL26" s="131">
        <v>89</v>
      </c>
      <c r="BW26" s="131">
        <v>21</v>
      </c>
      <c r="BX26" s="133" t="s">
        <v>724</v>
      </c>
    </row>
    <row r="27" spans="1:76" x14ac:dyDescent="0.25">
      <c r="A27" s="134" t="s">
        <v>93</v>
      </c>
      <c r="B27" s="135" t="s">
        <v>725</v>
      </c>
      <c r="C27" s="270" t="s">
        <v>726</v>
      </c>
      <c r="D27" s="271"/>
      <c r="E27" s="135" t="s">
        <v>164</v>
      </c>
      <c r="F27" s="131">
        <v>2</v>
      </c>
      <c r="G27" s="179">
        <v>0</v>
      </c>
      <c r="H27" s="131">
        <f t="shared" si="0"/>
        <v>0</v>
      </c>
      <c r="I27" s="131">
        <f t="shared" si="1"/>
        <v>0</v>
      </c>
      <c r="J27" s="131">
        <f t="shared" si="2"/>
        <v>0</v>
      </c>
      <c r="K27" s="136" t="s">
        <v>60</v>
      </c>
      <c r="Z27" s="131">
        <f t="shared" si="3"/>
        <v>0</v>
      </c>
      <c r="AB27" s="131">
        <f t="shared" si="4"/>
        <v>0</v>
      </c>
      <c r="AC27" s="131">
        <f t="shared" si="5"/>
        <v>0</v>
      </c>
      <c r="AD27" s="131">
        <f t="shared" si="6"/>
        <v>0</v>
      </c>
      <c r="AE27" s="131">
        <f t="shared" si="7"/>
        <v>0</v>
      </c>
      <c r="AF27" s="131">
        <f t="shared" si="8"/>
        <v>0</v>
      </c>
      <c r="AG27" s="131">
        <f t="shared" si="9"/>
        <v>0</v>
      </c>
      <c r="AH27" s="131">
        <f t="shared" si="10"/>
        <v>0</v>
      </c>
      <c r="AI27" s="115" t="s">
        <v>702</v>
      </c>
      <c r="AJ27" s="131">
        <f t="shared" si="11"/>
        <v>0</v>
      </c>
      <c r="AK27" s="131">
        <f t="shared" si="12"/>
        <v>0</v>
      </c>
      <c r="AL27" s="131">
        <f t="shared" si="13"/>
        <v>0</v>
      </c>
      <c r="AN27" s="131">
        <v>21</v>
      </c>
      <c r="AO27" s="131">
        <f>G27*0.00977221</f>
        <v>0</v>
      </c>
      <c r="AP27" s="131">
        <f>G27*(1-0.00977221)</f>
        <v>0</v>
      </c>
      <c r="AQ27" s="132" t="s">
        <v>56</v>
      </c>
      <c r="AV27" s="131">
        <f t="shared" si="14"/>
        <v>0</v>
      </c>
      <c r="AW27" s="131">
        <f t="shared" si="15"/>
        <v>0</v>
      </c>
      <c r="AX27" s="131">
        <f t="shared" si="16"/>
        <v>0</v>
      </c>
      <c r="AY27" s="132" t="s">
        <v>260</v>
      </c>
      <c r="AZ27" s="132" t="s">
        <v>718</v>
      </c>
      <c r="BA27" s="115" t="s">
        <v>707</v>
      </c>
      <c r="BC27" s="131">
        <f t="shared" si="17"/>
        <v>0</v>
      </c>
      <c r="BD27" s="131">
        <f t="shared" si="18"/>
        <v>0</v>
      </c>
      <c r="BE27" s="131">
        <v>0</v>
      </c>
      <c r="BF27" s="131">
        <f>27</f>
        <v>27</v>
      </c>
      <c r="BH27" s="131">
        <f t="shared" si="19"/>
        <v>0</v>
      </c>
      <c r="BI27" s="131">
        <f t="shared" si="20"/>
        <v>0</v>
      </c>
      <c r="BJ27" s="131">
        <f t="shared" si="21"/>
        <v>0</v>
      </c>
      <c r="BK27" s="131"/>
      <c r="BL27" s="131">
        <v>89</v>
      </c>
      <c r="BW27" s="131">
        <v>21</v>
      </c>
      <c r="BX27" s="133" t="s">
        <v>726</v>
      </c>
    </row>
    <row r="28" spans="1:76" x14ac:dyDescent="0.25">
      <c r="A28" s="134" t="s">
        <v>54</v>
      </c>
      <c r="B28" s="135" t="s">
        <v>727</v>
      </c>
      <c r="C28" s="270" t="s">
        <v>728</v>
      </c>
      <c r="D28" s="271"/>
      <c r="E28" s="135" t="s">
        <v>164</v>
      </c>
      <c r="F28" s="131">
        <v>6</v>
      </c>
      <c r="G28" s="179">
        <v>0</v>
      </c>
      <c r="H28" s="131">
        <f t="shared" si="0"/>
        <v>0</v>
      </c>
      <c r="I28" s="131">
        <f t="shared" si="1"/>
        <v>0</v>
      </c>
      <c r="J28" s="131">
        <f t="shared" si="2"/>
        <v>0</v>
      </c>
      <c r="K28" s="136" t="s">
        <v>60</v>
      </c>
      <c r="Z28" s="131">
        <f t="shared" si="3"/>
        <v>0</v>
      </c>
      <c r="AB28" s="131">
        <f t="shared" si="4"/>
        <v>0</v>
      </c>
      <c r="AC28" s="131">
        <f t="shared" si="5"/>
        <v>0</v>
      </c>
      <c r="AD28" s="131">
        <f t="shared" si="6"/>
        <v>0</v>
      </c>
      <c r="AE28" s="131">
        <f t="shared" si="7"/>
        <v>0</v>
      </c>
      <c r="AF28" s="131">
        <f t="shared" si="8"/>
        <v>0</v>
      </c>
      <c r="AG28" s="131">
        <f t="shared" si="9"/>
        <v>0</v>
      </c>
      <c r="AH28" s="131">
        <f t="shared" si="10"/>
        <v>0</v>
      </c>
      <c r="AI28" s="115" t="s">
        <v>702</v>
      </c>
      <c r="AJ28" s="131">
        <f t="shared" si="11"/>
        <v>0</v>
      </c>
      <c r="AK28" s="131">
        <f t="shared" si="12"/>
        <v>0</v>
      </c>
      <c r="AL28" s="131">
        <f t="shared" si="13"/>
        <v>0</v>
      </c>
      <c r="AN28" s="131">
        <v>21</v>
      </c>
      <c r="AO28" s="131">
        <f>G28*0.00867543</f>
        <v>0</v>
      </c>
      <c r="AP28" s="131">
        <f>G28*(1-0.00867543)</f>
        <v>0</v>
      </c>
      <c r="AQ28" s="132" t="s">
        <v>56</v>
      </c>
      <c r="AV28" s="131">
        <f t="shared" si="14"/>
        <v>0</v>
      </c>
      <c r="AW28" s="131">
        <f t="shared" si="15"/>
        <v>0</v>
      </c>
      <c r="AX28" s="131">
        <f t="shared" si="16"/>
        <v>0</v>
      </c>
      <c r="AY28" s="132" t="s">
        <v>260</v>
      </c>
      <c r="AZ28" s="132" t="s">
        <v>718</v>
      </c>
      <c r="BA28" s="115" t="s">
        <v>707</v>
      </c>
      <c r="BC28" s="131">
        <f t="shared" si="17"/>
        <v>0</v>
      </c>
      <c r="BD28" s="131">
        <f t="shared" si="18"/>
        <v>0</v>
      </c>
      <c r="BE28" s="131">
        <v>0</v>
      </c>
      <c r="BF28" s="131">
        <f>28</f>
        <v>28</v>
      </c>
      <c r="BH28" s="131">
        <f t="shared" si="19"/>
        <v>0</v>
      </c>
      <c r="BI28" s="131">
        <f t="shared" si="20"/>
        <v>0</v>
      </c>
      <c r="BJ28" s="131">
        <f t="shared" si="21"/>
        <v>0</v>
      </c>
      <c r="BK28" s="131"/>
      <c r="BL28" s="131">
        <v>89</v>
      </c>
      <c r="BW28" s="131">
        <v>21</v>
      </c>
      <c r="BX28" s="133" t="s">
        <v>728</v>
      </c>
    </row>
    <row r="29" spans="1:76" x14ac:dyDescent="0.25">
      <c r="A29" s="123" t="s">
        <v>53</v>
      </c>
      <c r="B29" s="124" t="s">
        <v>305</v>
      </c>
      <c r="C29" s="272" t="s">
        <v>306</v>
      </c>
      <c r="D29" s="273"/>
      <c r="E29" s="125" t="s">
        <v>9</v>
      </c>
      <c r="F29" s="125" t="s">
        <v>9</v>
      </c>
      <c r="G29" s="125" t="s">
        <v>9</v>
      </c>
      <c r="H29" s="110">
        <f>SUM(H30:H30)</f>
        <v>0</v>
      </c>
      <c r="I29" s="110">
        <f>SUM(I30:I30)</f>
        <v>0</v>
      </c>
      <c r="J29" s="110">
        <f>SUM(J30:J30)</f>
        <v>0</v>
      </c>
      <c r="K29" s="126" t="s">
        <v>53</v>
      </c>
      <c r="AI29" s="115" t="s">
        <v>702</v>
      </c>
      <c r="AS29" s="110">
        <f>SUM(AJ30:AJ30)</f>
        <v>0</v>
      </c>
      <c r="AT29" s="110">
        <f>SUM(AK30:AK30)</f>
        <v>0</v>
      </c>
      <c r="AU29" s="110">
        <f>SUM(AL30:AL30)</f>
        <v>0</v>
      </c>
    </row>
    <row r="30" spans="1:76" ht="25.5" x14ac:dyDescent="0.25">
      <c r="A30" s="134" t="s">
        <v>74</v>
      </c>
      <c r="B30" s="135" t="s">
        <v>729</v>
      </c>
      <c r="C30" s="270" t="s">
        <v>730</v>
      </c>
      <c r="D30" s="271"/>
      <c r="E30" s="135" t="s">
        <v>79</v>
      </c>
      <c r="F30" s="131">
        <v>6</v>
      </c>
      <c r="G30" s="179">
        <v>0</v>
      </c>
      <c r="H30" s="131">
        <f>F30*AO30</f>
        <v>0</v>
      </c>
      <c r="I30" s="131">
        <f>F30*AP30</f>
        <v>0</v>
      </c>
      <c r="J30" s="131">
        <f>F30*G30</f>
        <v>0</v>
      </c>
      <c r="K30" s="136" t="s">
        <v>60</v>
      </c>
      <c r="Z30" s="131">
        <f>IF(AQ30="5",BJ30,0)</f>
        <v>0</v>
      </c>
      <c r="AB30" s="131">
        <f>IF(AQ30="1",BH30,0)</f>
        <v>0</v>
      </c>
      <c r="AC30" s="131">
        <f>IF(AQ30="1",BI30,0)</f>
        <v>0</v>
      </c>
      <c r="AD30" s="131">
        <f>IF(AQ30="7",BH30,0)</f>
        <v>0</v>
      </c>
      <c r="AE30" s="131">
        <f>IF(AQ30="7",BI30,0)</f>
        <v>0</v>
      </c>
      <c r="AF30" s="131">
        <f>IF(AQ30="2",BH30,0)</f>
        <v>0</v>
      </c>
      <c r="AG30" s="131">
        <f>IF(AQ30="2",BI30,0)</f>
        <v>0</v>
      </c>
      <c r="AH30" s="131">
        <f>IF(AQ30="0",BJ30,0)</f>
        <v>0</v>
      </c>
      <c r="AI30" s="115" t="s">
        <v>702</v>
      </c>
      <c r="AJ30" s="131">
        <f>IF(AN30=0,J30,0)</f>
        <v>0</v>
      </c>
      <c r="AK30" s="131">
        <f>IF(AN30=12,J30,0)</f>
        <v>0</v>
      </c>
      <c r="AL30" s="131">
        <f>IF(AN30=21,J30,0)</f>
        <v>0</v>
      </c>
      <c r="AN30" s="131">
        <v>21</v>
      </c>
      <c r="AO30" s="131">
        <f>G30*0</f>
        <v>0</v>
      </c>
      <c r="AP30" s="131">
        <f>G30*(1-0)</f>
        <v>0</v>
      </c>
      <c r="AQ30" s="132" t="s">
        <v>56</v>
      </c>
      <c r="AV30" s="131">
        <f>AW30+AX30</f>
        <v>0</v>
      </c>
      <c r="AW30" s="131">
        <f>F30*AO30</f>
        <v>0</v>
      </c>
      <c r="AX30" s="131">
        <f>F30*AP30</f>
        <v>0</v>
      </c>
      <c r="AY30" s="132" t="s">
        <v>310</v>
      </c>
      <c r="AZ30" s="132" t="s">
        <v>731</v>
      </c>
      <c r="BA30" s="115" t="s">
        <v>707</v>
      </c>
      <c r="BC30" s="131">
        <f>AW30+AX30</f>
        <v>0</v>
      </c>
      <c r="BD30" s="131">
        <f>G30/(100-BE30)*100</f>
        <v>0</v>
      </c>
      <c r="BE30" s="131">
        <v>0</v>
      </c>
      <c r="BF30" s="131">
        <f>30</f>
        <v>30</v>
      </c>
      <c r="BH30" s="131">
        <f>F30*AO30</f>
        <v>0</v>
      </c>
      <c r="BI30" s="131">
        <f>F30*AP30</f>
        <v>0</v>
      </c>
      <c r="BJ30" s="131">
        <f>F30*G30</f>
        <v>0</v>
      </c>
      <c r="BK30" s="131"/>
      <c r="BL30" s="131">
        <v>96</v>
      </c>
      <c r="BW30" s="131">
        <v>21</v>
      </c>
      <c r="BX30" s="133" t="s">
        <v>730</v>
      </c>
    </row>
    <row r="31" spans="1:76" x14ac:dyDescent="0.25">
      <c r="A31" s="123" t="s">
        <v>53</v>
      </c>
      <c r="B31" s="124" t="s">
        <v>399</v>
      </c>
      <c r="C31" s="272" t="s">
        <v>732</v>
      </c>
      <c r="D31" s="273"/>
      <c r="E31" s="125" t="s">
        <v>9</v>
      </c>
      <c r="F31" s="125" t="s">
        <v>9</v>
      </c>
      <c r="G31" s="125" t="s">
        <v>9</v>
      </c>
      <c r="H31" s="110">
        <f>SUM(H32:H32)</f>
        <v>0</v>
      </c>
      <c r="I31" s="110">
        <f>SUM(I32:I32)</f>
        <v>0</v>
      </c>
      <c r="J31" s="110">
        <f>SUM(J32:J32)</f>
        <v>0</v>
      </c>
      <c r="K31" s="126" t="s">
        <v>53</v>
      </c>
      <c r="AI31" s="115" t="s">
        <v>702</v>
      </c>
      <c r="AS31" s="110">
        <f>SUM(AJ32:AJ32)</f>
        <v>0</v>
      </c>
      <c r="AT31" s="110">
        <f>SUM(AK32:AK32)</f>
        <v>0</v>
      </c>
      <c r="AU31" s="110">
        <f>SUM(AL32:AL32)</f>
        <v>0</v>
      </c>
    </row>
    <row r="32" spans="1:76" x14ac:dyDescent="0.25">
      <c r="A32" s="134" t="s">
        <v>96</v>
      </c>
      <c r="B32" s="135" t="s">
        <v>733</v>
      </c>
      <c r="C32" s="270" t="s">
        <v>734</v>
      </c>
      <c r="D32" s="271"/>
      <c r="E32" s="135" t="s">
        <v>164</v>
      </c>
      <c r="F32" s="131">
        <v>6</v>
      </c>
      <c r="G32" s="179">
        <v>0</v>
      </c>
      <c r="H32" s="131">
        <f>F32*AO32</f>
        <v>0</v>
      </c>
      <c r="I32" s="131">
        <f>F32*AP32</f>
        <v>0</v>
      </c>
      <c r="J32" s="131">
        <f>F32*G32</f>
        <v>0</v>
      </c>
      <c r="K32" s="136" t="s">
        <v>60</v>
      </c>
      <c r="Z32" s="131">
        <f>IF(AQ32="5",BJ32,0)</f>
        <v>0</v>
      </c>
      <c r="AB32" s="131">
        <f>IF(AQ32="1",BH32,0)</f>
        <v>0</v>
      </c>
      <c r="AC32" s="131">
        <f>IF(AQ32="1",BI32,0)</f>
        <v>0</v>
      </c>
      <c r="AD32" s="131">
        <f>IF(AQ32="7",BH32,0)</f>
        <v>0</v>
      </c>
      <c r="AE32" s="131">
        <f>IF(AQ32="7",BI32,0)</f>
        <v>0</v>
      </c>
      <c r="AF32" s="131">
        <f>IF(AQ32="2",BH32,0)</f>
        <v>0</v>
      </c>
      <c r="AG32" s="131">
        <f>IF(AQ32="2",BI32,0)</f>
        <v>0</v>
      </c>
      <c r="AH32" s="131">
        <f>IF(AQ32="0",BJ32,0)</f>
        <v>0</v>
      </c>
      <c r="AI32" s="115" t="s">
        <v>702</v>
      </c>
      <c r="AJ32" s="131">
        <f>IF(AN32=0,J32,0)</f>
        <v>0</v>
      </c>
      <c r="AK32" s="131">
        <f>IF(AN32=12,J32,0)</f>
        <v>0</v>
      </c>
      <c r="AL32" s="131">
        <f>IF(AN32=21,J32,0)</f>
        <v>0</v>
      </c>
      <c r="AN32" s="131">
        <v>21</v>
      </c>
      <c r="AO32" s="131">
        <f>G32*0</f>
        <v>0</v>
      </c>
      <c r="AP32" s="131">
        <f>G32*(1-0)</f>
        <v>0</v>
      </c>
      <c r="AQ32" s="132" t="s">
        <v>56</v>
      </c>
      <c r="AV32" s="131">
        <f>AW32+AX32</f>
        <v>0</v>
      </c>
      <c r="AW32" s="131">
        <f>F32*AO32</f>
        <v>0</v>
      </c>
      <c r="AX32" s="131">
        <f>F32*AP32</f>
        <v>0</v>
      </c>
      <c r="AY32" s="132" t="s">
        <v>735</v>
      </c>
      <c r="AZ32" s="132" t="s">
        <v>731</v>
      </c>
      <c r="BA32" s="115" t="s">
        <v>707</v>
      </c>
      <c r="BC32" s="131">
        <f>AW32+AX32</f>
        <v>0</v>
      </c>
      <c r="BD32" s="131">
        <f>G32/(100-BE32)*100</f>
        <v>0</v>
      </c>
      <c r="BE32" s="131">
        <v>0</v>
      </c>
      <c r="BF32" s="131">
        <f>32</f>
        <v>32</v>
      </c>
      <c r="BH32" s="131">
        <f>F32*AO32</f>
        <v>0</v>
      </c>
      <c r="BI32" s="131">
        <f>F32*AP32</f>
        <v>0</v>
      </c>
      <c r="BJ32" s="131">
        <f>F32*G32</f>
        <v>0</v>
      </c>
      <c r="BK32" s="131"/>
      <c r="BL32" s="131">
        <v>97</v>
      </c>
      <c r="BW32" s="131">
        <v>21</v>
      </c>
      <c r="BX32" s="133" t="s">
        <v>734</v>
      </c>
    </row>
    <row r="33" spans="1:76" x14ac:dyDescent="0.25">
      <c r="A33" s="123" t="s">
        <v>53</v>
      </c>
      <c r="B33" s="124" t="s">
        <v>736</v>
      </c>
      <c r="C33" s="272" t="s">
        <v>737</v>
      </c>
      <c r="D33" s="273"/>
      <c r="E33" s="125" t="s">
        <v>9</v>
      </c>
      <c r="F33" s="125" t="s">
        <v>9</v>
      </c>
      <c r="G33" s="125" t="s">
        <v>9</v>
      </c>
      <c r="H33" s="110">
        <f>SUM(H34:H34)</f>
        <v>0</v>
      </c>
      <c r="I33" s="110">
        <f>SUM(I34:I34)</f>
        <v>0</v>
      </c>
      <c r="J33" s="110">
        <f>SUM(J34:J34)</f>
        <v>0</v>
      </c>
      <c r="K33" s="126" t="s">
        <v>53</v>
      </c>
      <c r="AI33" s="115" t="s">
        <v>702</v>
      </c>
      <c r="AS33" s="110">
        <f>SUM(AJ34:AJ34)</f>
        <v>0</v>
      </c>
      <c r="AT33" s="110">
        <f>SUM(AK34:AK34)</f>
        <v>0</v>
      </c>
      <c r="AU33" s="110">
        <f>SUM(AL34:AL34)</f>
        <v>0</v>
      </c>
    </row>
    <row r="34" spans="1:76" x14ac:dyDescent="0.25">
      <c r="A34" s="134" t="s">
        <v>108</v>
      </c>
      <c r="B34" s="135" t="s">
        <v>738</v>
      </c>
      <c r="C34" s="270" t="s">
        <v>739</v>
      </c>
      <c r="D34" s="271"/>
      <c r="E34" s="135" t="s">
        <v>122</v>
      </c>
      <c r="F34" s="131">
        <v>36.04</v>
      </c>
      <c r="G34" s="179">
        <v>0</v>
      </c>
      <c r="H34" s="131">
        <f>F34*AO34</f>
        <v>0</v>
      </c>
      <c r="I34" s="131">
        <f>F34*AP34</f>
        <v>0</v>
      </c>
      <c r="J34" s="131">
        <f>F34*G34</f>
        <v>0</v>
      </c>
      <c r="K34" s="136" t="s">
        <v>711</v>
      </c>
      <c r="Z34" s="131">
        <f>IF(AQ34="5",BJ34,0)</f>
        <v>0</v>
      </c>
      <c r="AB34" s="131">
        <f>IF(AQ34="1",BH34,0)</f>
        <v>0</v>
      </c>
      <c r="AC34" s="131">
        <f>IF(AQ34="1",BI34,0)</f>
        <v>0</v>
      </c>
      <c r="AD34" s="131">
        <f>IF(AQ34="7",BH34,0)</f>
        <v>0</v>
      </c>
      <c r="AE34" s="131">
        <f>IF(AQ34="7",BI34,0)</f>
        <v>0</v>
      </c>
      <c r="AF34" s="131">
        <f>IF(AQ34="2",BH34,0)</f>
        <v>0</v>
      </c>
      <c r="AG34" s="131">
        <f>IF(AQ34="2",BI34,0)</f>
        <v>0</v>
      </c>
      <c r="AH34" s="131">
        <f>IF(AQ34="0",BJ34,0)</f>
        <v>0</v>
      </c>
      <c r="AI34" s="115" t="s">
        <v>702</v>
      </c>
      <c r="AJ34" s="131">
        <f>IF(AN34=0,J34,0)</f>
        <v>0</v>
      </c>
      <c r="AK34" s="131">
        <f>IF(AN34=12,J34,0)</f>
        <v>0</v>
      </c>
      <c r="AL34" s="131">
        <f>IF(AN34=21,J34,0)</f>
        <v>0</v>
      </c>
      <c r="AN34" s="131">
        <v>21</v>
      </c>
      <c r="AO34" s="131">
        <f>G34*0</f>
        <v>0</v>
      </c>
      <c r="AP34" s="131">
        <f>G34*(1-0)</f>
        <v>0</v>
      </c>
      <c r="AQ34" s="132" t="s">
        <v>76</v>
      </c>
      <c r="AV34" s="131">
        <f>AW34+AX34</f>
        <v>0</v>
      </c>
      <c r="AW34" s="131">
        <f>F34*AO34</f>
        <v>0</v>
      </c>
      <c r="AX34" s="131">
        <f>F34*AP34</f>
        <v>0</v>
      </c>
      <c r="AY34" s="132" t="s">
        <v>740</v>
      </c>
      <c r="AZ34" s="132" t="s">
        <v>731</v>
      </c>
      <c r="BA34" s="115" t="s">
        <v>707</v>
      </c>
      <c r="BC34" s="131">
        <f>AW34+AX34</f>
        <v>0</v>
      </c>
      <c r="BD34" s="131">
        <f>G34/(100-BE34)*100</f>
        <v>0</v>
      </c>
      <c r="BE34" s="131">
        <v>0</v>
      </c>
      <c r="BF34" s="131">
        <f>34</f>
        <v>34</v>
      </c>
      <c r="BH34" s="131">
        <f>F34*AO34</f>
        <v>0</v>
      </c>
      <c r="BI34" s="131">
        <f>F34*AP34</f>
        <v>0</v>
      </c>
      <c r="BJ34" s="131">
        <f>F34*G34</f>
        <v>0</v>
      </c>
      <c r="BK34" s="131"/>
      <c r="BL34" s="131"/>
      <c r="BW34" s="131">
        <v>21</v>
      </c>
      <c r="BX34" s="133" t="s">
        <v>739</v>
      </c>
    </row>
    <row r="35" spans="1:76" x14ac:dyDescent="0.25">
      <c r="A35" s="123" t="s">
        <v>53</v>
      </c>
      <c r="B35" s="124" t="s">
        <v>338</v>
      </c>
      <c r="C35" s="272" t="s">
        <v>339</v>
      </c>
      <c r="D35" s="273"/>
      <c r="E35" s="125" t="s">
        <v>9</v>
      </c>
      <c r="F35" s="125" t="s">
        <v>9</v>
      </c>
      <c r="G35" s="125" t="s">
        <v>9</v>
      </c>
      <c r="H35" s="110">
        <f>SUM(H36:H41)</f>
        <v>0</v>
      </c>
      <c r="I35" s="110">
        <f>SUM(I36:I41)</f>
        <v>0</v>
      </c>
      <c r="J35" s="110">
        <f>SUM(J36:J41)</f>
        <v>0</v>
      </c>
      <c r="K35" s="126" t="s">
        <v>53</v>
      </c>
      <c r="AI35" s="115" t="s">
        <v>702</v>
      </c>
      <c r="AS35" s="110">
        <f>SUM(AJ36:AJ41)</f>
        <v>0</v>
      </c>
      <c r="AT35" s="110">
        <f>SUM(AK36:AK41)</f>
        <v>0</v>
      </c>
      <c r="AU35" s="110">
        <f>SUM(AL36:AL41)</f>
        <v>0</v>
      </c>
    </row>
    <row r="36" spans="1:76" x14ac:dyDescent="0.25">
      <c r="A36" s="134" t="s">
        <v>111</v>
      </c>
      <c r="B36" s="135" t="s">
        <v>741</v>
      </c>
      <c r="C36" s="270" t="s">
        <v>742</v>
      </c>
      <c r="D36" s="271"/>
      <c r="E36" s="135" t="s">
        <v>164</v>
      </c>
      <c r="F36" s="131">
        <v>6</v>
      </c>
      <c r="G36" s="179">
        <v>0</v>
      </c>
      <c r="H36" s="131">
        <f t="shared" ref="H36:H41" si="22">F36*AO36</f>
        <v>0</v>
      </c>
      <c r="I36" s="131">
        <f t="shared" ref="I36:I41" si="23">F36*AP36</f>
        <v>0</v>
      </c>
      <c r="J36" s="131">
        <f t="shared" ref="J36:J41" si="24">F36*G36</f>
        <v>0</v>
      </c>
      <c r="K36" s="136" t="s">
        <v>60</v>
      </c>
      <c r="Z36" s="131">
        <f t="shared" ref="Z36:Z41" si="25">IF(AQ36="5",BJ36,0)</f>
        <v>0</v>
      </c>
      <c r="AB36" s="131">
        <f t="shared" ref="AB36:AB41" si="26">IF(AQ36="1",BH36,0)</f>
        <v>0</v>
      </c>
      <c r="AC36" s="131">
        <f t="shared" ref="AC36:AC41" si="27">IF(AQ36="1",BI36,0)</f>
        <v>0</v>
      </c>
      <c r="AD36" s="131">
        <f t="shared" ref="AD36:AD41" si="28">IF(AQ36="7",BH36,0)</f>
        <v>0</v>
      </c>
      <c r="AE36" s="131">
        <f t="shared" ref="AE36:AE41" si="29">IF(AQ36="7",BI36,0)</f>
        <v>0</v>
      </c>
      <c r="AF36" s="131">
        <f t="shared" ref="AF36:AF41" si="30">IF(AQ36="2",BH36,0)</f>
        <v>0</v>
      </c>
      <c r="AG36" s="131">
        <f t="shared" ref="AG36:AG41" si="31">IF(AQ36="2",BI36,0)</f>
        <v>0</v>
      </c>
      <c r="AH36" s="131">
        <f t="shared" ref="AH36:AH41" si="32">IF(AQ36="0",BJ36,0)</f>
        <v>0</v>
      </c>
      <c r="AI36" s="115" t="s">
        <v>702</v>
      </c>
      <c r="AJ36" s="131">
        <f t="shared" ref="AJ36:AJ41" si="33">IF(AN36=0,J36,0)</f>
        <v>0</v>
      </c>
      <c r="AK36" s="131">
        <f t="shared" ref="AK36:AK41" si="34">IF(AN36=12,J36,0)</f>
        <v>0</v>
      </c>
      <c r="AL36" s="131">
        <f t="shared" ref="AL36:AL41" si="35">IF(AN36=21,J36,0)</f>
        <v>0</v>
      </c>
      <c r="AN36" s="131">
        <v>21</v>
      </c>
      <c r="AO36" s="131">
        <f t="shared" ref="AO36:AO41" si="36">G36*1</f>
        <v>0</v>
      </c>
      <c r="AP36" s="131">
        <f t="shared" ref="AP36:AP41" si="37">G36*(1-1)</f>
        <v>0</v>
      </c>
      <c r="AQ36" s="132" t="s">
        <v>343</v>
      </c>
      <c r="AV36" s="131">
        <f t="shared" ref="AV36:AV41" si="38">AW36+AX36</f>
        <v>0</v>
      </c>
      <c r="AW36" s="131">
        <f t="shared" ref="AW36:AW41" si="39">F36*AO36</f>
        <v>0</v>
      </c>
      <c r="AX36" s="131">
        <f t="shared" ref="AX36:AX41" si="40">F36*AP36</f>
        <v>0</v>
      </c>
      <c r="AY36" s="132" t="s">
        <v>344</v>
      </c>
      <c r="AZ36" s="132" t="s">
        <v>743</v>
      </c>
      <c r="BA36" s="115" t="s">
        <v>707</v>
      </c>
      <c r="BC36" s="131">
        <f t="shared" ref="BC36:BC41" si="41">AW36+AX36</f>
        <v>0</v>
      </c>
      <c r="BD36" s="131">
        <f t="shared" ref="BD36:BD41" si="42">G36/(100-BE36)*100</f>
        <v>0</v>
      </c>
      <c r="BE36" s="131">
        <v>0</v>
      </c>
      <c r="BF36" s="131">
        <f>36</f>
        <v>36</v>
      </c>
      <c r="BH36" s="131">
        <f t="shared" ref="BH36:BH41" si="43">F36*AO36</f>
        <v>0</v>
      </c>
      <c r="BI36" s="131">
        <f t="shared" ref="BI36:BI41" si="44">F36*AP36</f>
        <v>0</v>
      </c>
      <c r="BJ36" s="131">
        <f t="shared" ref="BJ36:BJ41" si="45">F36*G36</f>
        <v>0</v>
      </c>
      <c r="BK36" s="131"/>
      <c r="BL36" s="131"/>
      <c r="BW36" s="131">
        <v>21</v>
      </c>
      <c r="BX36" s="133" t="s">
        <v>742</v>
      </c>
    </row>
    <row r="37" spans="1:76" x14ac:dyDescent="0.25">
      <c r="A37" s="134" t="s">
        <v>101</v>
      </c>
      <c r="B37" s="135" t="s">
        <v>744</v>
      </c>
      <c r="C37" s="270" t="s">
        <v>745</v>
      </c>
      <c r="D37" s="271"/>
      <c r="E37" s="135" t="s">
        <v>164</v>
      </c>
      <c r="F37" s="131">
        <v>3</v>
      </c>
      <c r="G37" s="179">
        <v>0</v>
      </c>
      <c r="H37" s="131">
        <f t="shared" si="22"/>
        <v>0</v>
      </c>
      <c r="I37" s="131">
        <f t="shared" si="23"/>
        <v>0</v>
      </c>
      <c r="J37" s="131">
        <f t="shared" si="24"/>
        <v>0</v>
      </c>
      <c r="K37" s="136" t="s">
        <v>60</v>
      </c>
      <c r="Z37" s="131">
        <f t="shared" si="25"/>
        <v>0</v>
      </c>
      <c r="AB37" s="131">
        <f t="shared" si="26"/>
        <v>0</v>
      </c>
      <c r="AC37" s="131">
        <f t="shared" si="27"/>
        <v>0</v>
      </c>
      <c r="AD37" s="131">
        <f t="shared" si="28"/>
        <v>0</v>
      </c>
      <c r="AE37" s="131">
        <f t="shared" si="29"/>
        <v>0</v>
      </c>
      <c r="AF37" s="131">
        <f t="shared" si="30"/>
        <v>0</v>
      </c>
      <c r="AG37" s="131">
        <f t="shared" si="31"/>
        <v>0</v>
      </c>
      <c r="AH37" s="131">
        <f t="shared" si="32"/>
        <v>0</v>
      </c>
      <c r="AI37" s="115" t="s">
        <v>702</v>
      </c>
      <c r="AJ37" s="131">
        <f t="shared" si="33"/>
        <v>0</v>
      </c>
      <c r="AK37" s="131">
        <f t="shared" si="34"/>
        <v>0</v>
      </c>
      <c r="AL37" s="131">
        <f t="shared" si="35"/>
        <v>0</v>
      </c>
      <c r="AN37" s="131">
        <v>21</v>
      </c>
      <c r="AO37" s="131">
        <f t="shared" si="36"/>
        <v>0</v>
      </c>
      <c r="AP37" s="131">
        <f t="shared" si="37"/>
        <v>0</v>
      </c>
      <c r="AQ37" s="132" t="s">
        <v>343</v>
      </c>
      <c r="AV37" s="131">
        <f t="shared" si="38"/>
        <v>0</v>
      </c>
      <c r="AW37" s="131">
        <f t="shared" si="39"/>
        <v>0</v>
      </c>
      <c r="AX37" s="131">
        <f t="shared" si="40"/>
        <v>0</v>
      </c>
      <c r="AY37" s="132" t="s">
        <v>344</v>
      </c>
      <c r="AZ37" s="132" t="s">
        <v>743</v>
      </c>
      <c r="BA37" s="115" t="s">
        <v>707</v>
      </c>
      <c r="BC37" s="131">
        <f t="shared" si="41"/>
        <v>0</v>
      </c>
      <c r="BD37" s="131">
        <f t="shared" si="42"/>
        <v>0</v>
      </c>
      <c r="BE37" s="131">
        <v>0</v>
      </c>
      <c r="BF37" s="131">
        <f>37</f>
        <v>37</v>
      </c>
      <c r="BH37" s="131">
        <f t="shared" si="43"/>
        <v>0</v>
      </c>
      <c r="BI37" s="131">
        <f t="shared" si="44"/>
        <v>0</v>
      </c>
      <c r="BJ37" s="131">
        <f t="shared" si="45"/>
        <v>0</v>
      </c>
      <c r="BK37" s="131"/>
      <c r="BL37" s="131"/>
      <c r="BW37" s="131">
        <v>21</v>
      </c>
      <c r="BX37" s="133" t="s">
        <v>745</v>
      </c>
    </row>
    <row r="38" spans="1:76" x14ac:dyDescent="0.25">
      <c r="A38" s="134" t="s">
        <v>116</v>
      </c>
      <c r="B38" s="135" t="s">
        <v>746</v>
      </c>
      <c r="C38" s="270" t="s">
        <v>747</v>
      </c>
      <c r="D38" s="271"/>
      <c r="E38" s="135" t="s">
        <v>164</v>
      </c>
      <c r="F38" s="131">
        <v>6</v>
      </c>
      <c r="G38" s="179">
        <v>0</v>
      </c>
      <c r="H38" s="131">
        <f t="shared" si="22"/>
        <v>0</v>
      </c>
      <c r="I38" s="131">
        <f t="shared" si="23"/>
        <v>0</v>
      </c>
      <c r="J38" s="131">
        <f t="shared" si="24"/>
        <v>0</v>
      </c>
      <c r="K38" s="136" t="s">
        <v>60</v>
      </c>
      <c r="Z38" s="131">
        <f t="shared" si="25"/>
        <v>0</v>
      </c>
      <c r="AB38" s="131">
        <f t="shared" si="26"/>
        <v>0</v>
      </c>
      <c r="AC38" s="131">
        <f t="shared" si="27"/>
        <v>0</v>
      </c>
      <c r="AD38" s="131">
        <f t="shared" si="28"/>
        <v>0</v>
      </c>
      <c r="AE38" s="131">
        <f t="shared" si="29"/>
        <v>0</v>
      </c>
      <c r="AF38" s="131">
        <f t="shared" si="30"/>
        <v>0</v>
      </c>
      <c r="AG38" s="131">
        <f t="shared" si="31"/>
        <v>0</v>
      </c>
      <c r="AH38" s="131">
        <f t="shared" si="32"/>
        <v>0</v>
      </c>
      <c r="AI38" s="115" t="s">
        <v>702</v>
      </c>
      <c r="AJ38" s="131">
        <f t="shared" si="33"/>
        <v>0</v>
      </c>
      <c r="AK38" s="131">
        <f t="shared" si="34"/>
        <v>0</v>
      </c>
      <c r="AL38" s="131">
        <f t="shared" si="35"/>
        <v>0</v>
      </c>
      <c r="AN38" s="131">
        <v>21</v>
      </c>
      <c r="AO38" s="131">
        <f t="shared" si="36"/>
        <v>0</v>
      </c>
      <c r="AP38" s="131">
        <f t="shared" si="37"/>
        <v>0</v>
      </c>
      <c r="AQ38" s="132" t="s">
        <v>343</v>
      </c>
      <c r="AV38" s="131">
        <f t="shared" si="38"/>
        <v>0</v>
      </c>
      <c r="AW38" s="131">
        <f t="shared" si="39"/>
        <v>0</v>
      </c>
      <c r="AX38" s="131">
        <f t="shared" si="40"/>
        <v>0</v>
      </c>
      <c r="AY38" s="132" t="s">
        <v>344</v>
      </c>
      <c r="AZ38" s="132" t="s">
        <v>743</v>
      </c>
      <c r="BA38" s="115" t="s">
        <v>707</v>
      </c>
      <c r="BC38" s="131">
        <f t="shared" si="41"/>
        <v>0</v>
      </c>
      <c r="BD38" s="131">
        <f t="shared" si="42"/>
        <v>0</v>
      </c>
      <c r="BE38" s="131">
        <v>0</v>
      </c>
      <c r="BF38" s="131">
        <f>38</f>
        <v>38</v>
      </c>
      <c r="BH38" s="131">
        <f t="shared" si="43"/>
        <v>0</v>
      </c>
      <c r="BI38" s="131">
        <f t="shared" si="44"/>
        <v>0</v>
      </c>
      <c r="BJ38" s="131">
        <f t="shared" si="45"/>
        <v>0</v>
      </c>
      <c r="BK38" s="131"/>
      <c r="BL38" s="131"/>
      <c r="BW38" s="131">
        <v>21</v>
      </c>
      <c r="BX38" s="133" t="s">
        <v>747</v>
      </c>
    </row>
    <row r="39" spans="1:76" x14ac:dyDescent="0.25">
      <c r="A39" s="134" t="s">
        <v>119</v>
      </c>
      <c r="B39" s="135" t="s">
        <v>748</v>
      </c>
      <c r="C39" s="270" t="s">
        <v>749</v>
      </c>
      <c r="D39" s="271"/>
      <c r="E39" s="135" t="s">
        <v>164</v>
      </c>
      <c r="F39" s="131">
        <v>6</v>
      </c>
      <c r="G39" s="179">
        <v>0</v>
      </c>
      <c r="H39" s="131">
        <f t="shared" si="22"/>
        <v>0</v>
      </c>
      <c r="I39" s="131">
        <f t="shared" si="23"/>
        <v>0</v>
      </c>
      <c r="J39" s="131">
        <f t="shared" si="24"/>
        <v>0</v>
      </c>
      <c r="K39" s="136" t="s">
        <v>60</v>
      </c>
      <c r="Z39" s="131">
        <f t="shared" si="25"/>
        <v>0</v>
      </c>
      <c r="AB39" s="131">
        <f t="shared" si="26"/>
        <v>0</v>
      </c>
      <c r="AC39" s="131">
        <f t="shared" si="27"/>
        <v>0</v>
      </c>
      <c r="AD39" s="131">
        <f t="shared" si="28"/>
        <v>0</v>
      </c>
      <c r="AE39" s="131">
        <f t="shared" si="29"/>
        <v>0</v>
      </c>
      <c r="AF39" s="131">
        <f t="shared" si="30"/>
        <v>0</v>
      </c>
      <c r="AG39" s="131">
        <f t="shared" si="31"/>
        <v>0</v>
      </c>
      <c r="AH39" s="131">
        <f t="shared" si="32"/>
        <v>0</v>
      </c>
      <c r="AI39" s="115" t="s">
        <v>702</v>
      </c>
      <c r="AJ39" s="131">
        <f t="shared" si="33"/>
        <v>0</v>
      </c>
      <c r="AK39" s="131">
        <f t="shared" si="34"/>
        <v>0</v>
      </c>
      <c r="AL39" s="131">
        <f t="shared" si="35"/>
        <v>0</v>
      </c>
      <c r="AN39" s="131">
        <v>21</v>
      </c>
      <c r="AO39" s="131">
        <f t="shared" si="36"/>
        <v>0</v>
      </c>
      <c r="AP39" s="131">
        <f t="shared" si="37"/>
        <v>0</v>
      </c>
      <c r="AQ39" s="132" t="s">
        <v>343</v>
      </c>
      <c r="AV39" s="131">
        <f t="shared" si="38"/>
        <v>0</v>
      </c>
      <c r="AW39" s="131">
        <f t="shared" si="39"/>
        <v>0</v>
      </c>
      <c r="AX39" s="131">
        <f t="shared" si="40"/>
        <v>0</v>
      </c>
      <c r="AY39" s="132" t="s">
        <v>344</v>
      </c>
      <c r="AZ39" s="132" t="s">
        <v>743</v>
      </c>
      <c r="BA39" s="115" t="s">
        <v>707</v>
      </c>
      <c r="BC39" s="131">
        <f t="shared" si="41"/>
        <v>0</v>
      </c>
      <c r="BD39" s="131">
        <f t="shared" si="42"/>
        <v>0</v>
      </c>
      <c r="BE39" s="131">
        <v>0</v>
      </c>
      <c r="BF39" s="131">
        <f>39</f>
        <v>39</v>
      </c>
      <c r="BH39" s="131">
        <f t="shared" si="43"/>
        <v>0</v>
      </c>
      <c r="BI39" s="131">
        <f t="shared" si="44"/>
        <v>0</v>
      </c>
      <c r="BJ39" s="131">
        <f t="shared" si="45"/>
        <v>0</v>
      </c>
      <c r="BK39" s="131"/>
      <c r="BL39" s="131"/>
      <c r="BW39" s="131">
        <v>21</v>
      </c>
      <c r="BX39" s="133" t="s">
        <v>749</v>
      </c>
    </row>
    <row r="40" spans="1:76" x14ac:dyDescent="0.25">
      <c r="A40" s="134" t="s">
        <v>124</v>
      </c>
      <c r="B40" s="135" t="s">
        <v>750</v>
      </c>
      <c r="C40" s="270" t="s">
        <v>751</v>
      </c>
      <c r="D40" s="271"/>
      <c r="E40" s="135" t="s">
        <v>164</v>
      </c>
      <c r="F40" s="131">
        <v>3</v>
      </c>
      <c r="G40" s="179">
        <v>0</v>
      </c>
      <c r="H40" s="131">
        <f t="shared" si="22"/>
        <v>0</v>
      </c>
      <c r="I40" s="131">
        <f t="shared" si="23"/>
        <v>0</v>
      </c>
      <c r="J40" s="131">
        <f t="shared" si="24"/>
        <v>0</v>
      </c>
      <c r="K40" s="136" t="s">
        <v>60</v>
      </c>
      <c r="Z40" s="131">
        <f t="shared" si="25"/>
        <v>0</v>
      </c>
      <c r="AB40" s="131">
        <f t="shared" si="26"/>
        <v>0</v>
      </c>
      <c r="AC40" s="131">
        <f t="shared" si="27"/>
        <v>0</v>
      </c>
      <c r="AD40" s="131">
        <f t="shared" si="28"/>
        <v>0</v>
      </c>
      <c r="AE40" s="131">
        <f t="shared" si="29"/>
        <v>0</v>
      </c>
      <c r="AF40" s="131">
        <f t="shared" si="30"/>
        <v>0</v>
      </c>
      <c r="AG40" s="131">
        <f t="shared" si="31"/>
        <v>0</v>
      </c>
      <c r="AH40" s="131">
        <f t="shared" si="32"/>
        <v>0</v>
      </c>
      <c r="AI40" s="115" t="s">
        <v>702</v>
      </c>
      <c r="AJ40" s="131">
        <f t="shared" si="33"/>
        <v>0</v>
      </c>
      <c r="AK40" s="131">
        <f t="shared" si="34"/>
        <v>0</v>
      </c>
      <c r="AL40" s="131">
        <f t="shared" si="35"/>
        <v>0</v>
      </c>
      <c r="AN40" s="131">
        <v>21</v>
      </c>
      <c r="AO40" s="131">
        <f t="shared" si="36"/>
        <v>0</v>
      </c>
      <c r="AP40" s="131">
        <f t="shared" si="37"/>
        <v>0</v>
      </c>
      <c r="AQ40" s="132" t="s">
        <v>343</v>
      </c>
      <c r="AV40" s="131">
        <f t="shared" si="38"/>
        <v>0</v>
      </c>
      <c r="AW40" s="131">
        <f t="shared" si="39"/>
        <v>0</v>
      </c>
      <c r="AX40" s="131">
        <f t="shared" si="40"/>
        <v>0</v>
      </c>
      <c r="AY40" s="132" t="s">
        <v>344</v>
      </c>
      <c r="AZ40" s="132" t="s">
        <v>743</v>
      </c>
      <c r="BA40" s="115" t="s">
        <v>707</v>
      </c>
      <c r="BC40" s="131">
        <f t="shared" si="41"/>
        <v>0</v>
      </c>
      <c r="BD40" s="131">
        <f t="shared" si="42"/>
        <v>0</v>
      </c>
      <c r="BE40" s="131">
        <v>0</v>
      </c>
      <c r="BF40" s="131">
        <f>40</f>
        <v>40</v>
      </c>
      <c r="BH40" s="131">
        <f t="shared" si="43"/>
        <v>0</v>
      </c>
      <c r="BI40" s="131">
        <f t="shared" si="44"/>
        <v>0</v>
      </c>
      <c r="BJ40" s="131">
        <f t="shared" si="45"/>
        <v>0</v>
      </c>
      <c r="BK40" s="131"/>
      <c r="BL40" s="131"/>
      <c r="BW40" s="131">
        <v>21</v>
      </c>
      <c r="BX40" s="133" t="s">
        <v>751</v>
      </c>
    </row>
    <row r="41" spans="1:76" x14ac:dyDescent="0.25">
      <c r="A41" s="134" t="s">
        <v>128</v>
      </c>
      <c r="B41" s="135" t="s">
        <v>752</v>
      </c>
      <c r="C41" s="270" t="s">
        <v>753</v>
      </c>
      <c r="D41" s="271"/>
      <c r="E41" s="135" t="s">
        <v>164</v>
      </c>
      <c r="F41" s="131">
        <v>3</v>
      </c>
      <c r="G41" s="179">
        <v>0</v>
      </c>
      <c r="H41" s="131">
        <f t="shared" si="22"/>
        <v>0</v>
      </c>
      <c r="I41" s="131">
        <f t="shared" si="23"/>
        <v>0</v>
      </c>
      <c r="J41" s="131">
        <f t="shared" si="24"/>
        <v>0</v>
      </c>
      <c r="K41" s="136" t="s">
        <v>60</v>
      </c>
      <c r="Z41" s="131">
        <f t="shared" si="25"/>
        <v>0</v>
      </c>
      <c r="AB41" s="131">
        <f t="shared" si="26"/>
        <v>0</v>
      </c>
      <c r="AC41" s="131">
        <f t="shared" si="27"/>
        <v>0</v>
      </c>
      <c r="AD41" s="131">
        <f t="shared" si="28"/>
        <v>0</v>
      </c>
      <c r="AE41" s="131">
        <f t="shared" si="29"/>
        <v>0</v>
      </c>
      <c r="AF41" s="131">
        <f t="shared" si="30"/>
        <v>0</v>
      </c>
      <c r="AG41" s="131">
        <f t="shared" si="31"/>
        <v>0</v>
      </c>
      <c r="AH41" s="131">
        <f t="shared" si="32"/>
        <v>0</v>
      </c>
      <c r="AI41" s="115" t="s">
        <v>702</v>
      </c>
      <c r="AJ41" s="131">
        <f t="shared" si="33"/>
        <v>0</v>
      </c>
      <c r="AK41" s="131">
        <f t="shared" si="34"/>
        <v>0</v>
      </c>
      <c r="AL41" s="131">
        <f t="shared" si="35"/>
        <v>0</v>
      </c>
      <c r="AN41" s="131">
        <v>21</v>
      </c>
      <c r="AO41" s="131">
        <f t="shared" si="36"/>
        <v>0</v>
      </c>
      <c r="AP41" s="131">
        <f t="shared" si="37"/>
        <v>0</v>
      </c>
      <c r="AQ41" s="132" t="s">
        <v>343</v>
      </c>
      <c r="AV41" s="131">
        <f t="shared" si="38"/>
        <v>0</v>
      </c>
      <c r="AW41" s="131">
        <f t="shared" si="39"/>
        <v>0</v>
      </c>
      <c r="AX41" s="131">
        <f t="shared" si="40"/>
        <v>0</v>
      </c>
      <c r="AY41" s="132" t="s">
        <v>344</v>
      </c>
      <c r="AZ41" s="132" t="s">
        <v>743</v>
      </c>
      <c r="BA41" s="115" t="s">
        <v>707</v>
      </c>
      <c r="BC41" s="131">
        <f t="shared" si="41"/>
        <v>0</v>
      </c>
      <c r="BD41" s="131">
        <f t="shared" si="42"/>
        <v>0</v>
      </c>
      <c r="BE41" s="131">
        <v>0</v>
      </c>
      <c r="BF41" s="131">
        <f>41</f>
        <v>41</v>
      </c>
      <c r="BH41" s="131">
        <f t="shared" si="43"/>
        <v>0</v>
      </c>
      <c r="BI41" s="131">
        <f t="shared" si="44"/>
        <v>0</v>
      </c>
      <c r="BJ41" s="131">
        <f t="shared" si="45"/>
        <v>0</v>
      </c>
      <c r="BK41" s="131"/>
      <c r="BL41" s="131"/>
      <c r="BW41" s="131">
        <v>21</v>
      </c>
      <c r="BX41" s="133" t="s">
        <v>753</v>
      </c>
    </row>
    <row r="42" spans="1:76" x14ac:dyDescent="0.25">
      <c r="A42" s="123" t="s">
        <v>53</v>
      </c>
      <c r="B42" s="124" t="s">
        <v>409</v>
      </c>
      <c r="C42" s="272" t="s">
        <v>410</v>
      </c>
      <c r="D42" s="273"/>
      <c r="E42" s="125" t="s">
        <v>9</v>
      </c>
      <c r="F42" s="125" t="s">
        <v>9</v>
      </c>
      <c r="G42" s="125" t="s">
        <v>9</v>
      </c>
      <c r="H42" s="110">
        <f>H43+H45+H47</f>
        <v>0</v>
      </c>
      <c r="I42" s="110">
        <f>I43+I45+I47</f>
        <v>0</v>
      </c>
      <c r="J42" s="110">
        <f>J43+J45+J47</f>
        <v>0</v>
      </c>
      <c r="K42" s="126" t="s">
        <v>53</v>
      </c>
      <c r="AI42" s="115" t="s">
        <v>702</v>
      </c>
    </row>
    <row r="43" spans="1:76" x14ac:dyDescent="0.25">
      <c r="A43" s="123" t="s">
        <v>53</v>
      </c>
      <c r="B43" s="124" t="s">
        <v>411</v>
      </c>
      <c r="C43" s="272" t="s">
        <v>412</v>
      </c>
      <c r="D43" s="273"/>
      <c r="E43" s="125" t="s">
        <v>9</v>
      </c>
      <c r="F43" s="125" t="s">
        <v>9</v>
      </c>
      <c r="G43" s="125" t="s">
        <v>9</v>
      </c>
      <c r="H43" s="110">
        <f>SUM(H44:H44)</f>
        <v>0</v>
      </c>
      <c r="I43" s="110">
        <f>SUM(I44:I44)</f>
        <v>0</v>
      </c>
      <c r="J43" s="110">
        <f>SUM(J44:J44)</f>
        <v>0</v>
      </c>
      <c r="K43" s="126" t="s">
        <v>53</v>
      </c>
      <c r="AI43" s="115" t="s">
        <v>702</v>
      </c>
      <c r="AS43" s="110">
        <f>SUM(AJ44:AJ44)</f>
        <v>0</v>
      </c>
      <c r="AT43" s="110">
        <f>SUM(AK44:AK44)</f>
        <v>0</v>
      </c>
      <c r="AU43" s="110">
        <f>SUM(AL44:AL44)</f>
        <v>0</v>
      </c>
    </row>
    <row r="44" spans="1:76" x14ac:dyDescent="0.25">
      <c r="A44" s="134" t="s">
        <v>131</v>
      </c>
      <c r="B44" s="135" t="s">
        <v>414</v>
      </c>
      <c r="C44" s="270" t="s">
        <v>415</v>
      </c>
      <c r="D44" s="271"/>
      <c r="E44" s="135" t="s">
        <v>416</v>
      </c>
      <c r="F44" s="131">
        <v>1</v>
      </c>
      <c r="G44" s="179">
        <v>0</v>
      </c>
      <c r="H44" s="131">
        <f>F44*AO44</f>
        <v>0</v>
      </c>
      <c r="I44" s="131">
        <f>F44*AP44</f>
        <v>0</v>
      </c>
      <c r="J44" s="131">
        <f>F44*G44</f>
        <v>0</v>
      </c>
      <c r="K44" s="136" t="s">
        <v>53</v>
      </c>
      <c r="Z44" s="131">
        <f>IF(AQ44="5",BJ44,0)</f>
        <v>0</v>
      </c>
      <c r="AB44" s="131">
        <f>IF(AQ44="1",BH44,0)</f>
        <v>0</v>
      </c>
      <c r="AC44" s="131">
        <f>IF(AQ44="1",BI44,0)</f>
        <v>0</v>
      </c>
      <c r="AD44" s="131">
        <f>IF(AQ44="7",BH44,0)</f>
        <v>0</v>
      </c>
      <c r="AE44" s="131">
        <f>IF(AQ44="7",BI44,0)</f>
        <v>0</v>
      </c>
      <c r="AF44" s="131">
        <f>IF(AQ44="2",BH44,0)</f>
        <v>0</v>
      </c>
      <c r="AG44" s="131">
        <f>IF(AQ44="2",BI44,0)</f>
        <v>0</v>
      </c>
      <c r="AH44" s="131">
        <f>IF(AQ44="0",BJ44,0)</f>
        <v>0</v>
      </c>
      <c r="AI44" s="115" t="s">
        <v>702</v>
      </c>
      <c r="AJ44" s="131">
        <f>IF(AN44=0,J44,0)</f>
        <v>0</v>
      </c>
      <c r="AK44" s="131">
        <f>IF(AN44=12,J44,0)</f>
        <v>0</v>
      </c>
      <c r="AL44" s="131">
        <f>IF(AN44=21,J44,0)</f>
        <v>0</v>
      </c>
      <c r="AN44" s="131">
        <v>21</v>
      </c>
      <c r="AO44" s="131">
        <f>G44*0</f>
        <v>0</v>
      </c>
      <c r="AP44" s="131">
        <f>G44*(1-0)</f>
        <v>0</v>
      </c>
      <c r="AQ44" s="132" t="s">
        <v>405</v>
      </c>
      <c r="AV44" s="131">
        <f>AW44+AX44</f>
        <v>0</v>
      </c>
      <c r="AW44" s="131">
        <f>F44*AO44</f>
        <v>0</v>
      </c>
      <c r="AX44" s="131">
        <f>F44*AP44</f>
        <v>0</v>
      </c>
      <c r="AY44" s="132" t="s">
        <v>417</v>
      </c>
      <c r="AZ44" s="132" t="s">
        <v>754</v>
      </c>
      <c r="BA44" s="115" t="s">
        <v>707</v>
      </c>
      <c r="BC44" s="131">
        <f>AW44+AX44</f>
        <v>0</v>
      </c>
      <c r="BD44" s="131">
        <f>G44/(100-BE44)*100</f>
        <v>0</v>
      </c>
      <c r="BE44" s="131">
        <v>0</v>
      </c>
      <c r="BF44" s="131">
        <f>44</f>
        <v>44</v>
      </c>
      <c r="BH44" s="131">
        <f>F44*AO44</f>
        <v>0</v>
      </c>
      <c r="BI44" s="131">
        <f>F44*AP44</f>
        <v>0</v>
      </c>
      <c r="BJ44" s="131">
        <f>F44*G44</f>
        <v>0</v>
      </c>
      <c r="BK44" s="131"/>
      <c r="BL44" s="131"/>
      <c r="BM44" s="131">
        <f>F44*G44</f>
        <v>0</v>
      </c>
      <c r="BW44" s="131">
        <v>21</v>
      </c>
      <c r="BX44" s="133" t="s">
        <v>415</v>
      </c>
    </row>
    <row r="45" spans="1:76" x14ac:dyDescent="0.25">
      <c r="A45" s="123" t="s">
        <v>53</v>
      </c>
      <c r="B45" s="124" t="s">
        <v>419</v>
      </c>
      <c r="C45" s="272" t="s">
        <v>420</v>
      </c>
      <c r="D45" s="273"/>
      <c r="E45" s="125" t="s">
        <v>9</v>
      </c>
      <c r="F45" s="125" t="s">
        <v>9</v>
      </c>
      <c r="G45" s="125" t="s">
        <v>9</v>
      </c>
      <c r="H45" s="110">
        <f>SUM(H46:H46)</f>
        <v>0</v>
      </c>
      <c r="I45" s="110">
        <f>SUM(I46:I46)</f>
        <v>0</v>
      </c>
      <c r="J45" s="110">
        <f>SUM(J46:J46)</f>
        <v>0</v>
      </c>
      <c r="K45" s="126" t="s">
        <v>53</v>
      </c>
      <c r="AI45" s="115" t="s">
        <v>702</v>
      </c>
      <c r="AS45" s="110">
        <f>SUM(AJ46:AJ46)</f>
        <v>0</v>
      </c>
      <c r="AT45" s="110">
        <f>SUM(AK46:AK46)</f>
        <v>0</v>
      </c>
      <c r="AU45" s="110">
        <f>SUM(AL46:AL46)</f>
        <v>0</v>
      </c>
    </row>
    <row r="46" spans="1:76" x14ac:dyDescent="0.25">
      <c r="A46" s="134" t="s">
        <v>135</v>
      </c>
      <c r="B46" s="135" t="s">
        <v>422</v>
      </c>
      <c r="C46" s="270" t="s">
        <v>420</v>
      </c>
      <c r="D46" s="271"/>
      <c r="E46" s="135" t="s">
        <v>416</v>
      </c>
      <c r="F46" s="131">
        <v>1</v>
      </c>
      <c r="G46" s="179">
        <v>0</v>
      </c>
      <c r="H46" s="131">
        <f>F46*AO46</f>
        <v>0</v>
      </c>
      <c r="I46" s="131">
        <f>F46*AP46</f>
        <v>0</v>
      </c>
      <c r="J46" s="131">
        <f>F46*G46</f>
        <v>0</v>
      </c>
      <c r="K46" s="136" t="s">
        <v>53</v>
      </c>
      <c r="Z46" s="131">
        <f>IF(AQ46="5",BJ46,0)</f>
        <v>0</v>
      </c>
      <c r="AB46" s="131">
        <f>IF(AQ46="1",BH46,0)</f>
        <v>0</v>
      </c>
      <c r="AC46" s="131">
        <f>IF(AQ46="1",BI46,0)</f>
        <v>0</v>
      </c>
      <c r="AD46" s="131">
        <f>IF(AQ46="7",BH46,0)</f>
        <v>0</v>
      </c>
      <c r="AE46" s="131">
        <f>IF(AQ46="7",BI46,0)</f>
        <v>0</v>
      </c>
      <c r="AF46" s="131">
        <f>IF(AQ46="2",BH46,0)</f>
        <v>0</v>
      </c>
      <c r="AG46" s="131">
        <f>IF(AQ46="2",BI46,0)</f>
        <v>0</v>
      </c>
      <c r="AH46" s="131">
        <f>IF(AQ46="0",BJ46,0)</f>
        <v>0</v>
      </c>
      <c r="AI46" s="115" t="s">
        <v>702</v>
      </c>
      <c r="AJ46" s="131">
        <f>IF(AN46=0,J46,0)</f>
        <v>0</v>
      </c>
      <c r="AK46" s="131">
        <f>IF(AN46=12,J46,0)</f>
        <v>0</v>
      </c>
      <c r="AL46" s="131">
        <f>IF(AN46=21,J46,0)</f>
        <v>0</v>
      </c>
      <c r="AN46" s="131">
        <v>21</v>
      </c>
      <c r="AO46" s="131">
        <f>G46*0</f>
        <v>0</v>
      </c>
      <c r="AP46" s="131">
        <f>G46*(1-0)</f>
        <v>0</v>
      </c>
      <c r="AQ46" s="132" t="s">
        <v>405</v>
      </c>
      <c r="AV46" s="131">
        <f>AW46+AX46</f>
        <v>0</v>
      </c>
      <c r="AW46" s="131">
        <f>F46*AO46</f>
        <v>0</v>
      </c>
      <c r="AX46" s="131">
        <f>F46*AP46</f>
        <v>0</v>
      </c>
      <c r="AY46" s="132" t="s">
        <v>423</v>
      </c>
      <c r="AZ46" s="132" t="s">
        <v>754</v>
      </c>
      <c r="BA46" s="115" t="s">
        <v>707</v>
      </c>
      <c r="BC46" s="131">
        <f>AW46+AX46</f>
        <v>0</v>
      </c>
      <c r="BD46" s="131">
        <f>G46/(100-BE46)*100</f>
        <v>0</v>
      </c>
      <c r="BE46" s="131">
        <v>0</v>
      </c>
      <c r="BF46" s="131">
        <f>46</f>
        <v>46</v>
      </c>
      <c r="BH46" s="131">
        <f>F46*AO46</f>
        <v>0</v>
      </c>
      <c r="BI46" s="131">
        <f>F46*AP46</f>
        <v>0</v>
      </c>
      <c r="BJ46" s="131">
        <f>F46*G46</f>
        <v>0</v>
      </c>
      <c r="BK46" s="131"/>
      <c r="BL46" s="131"/>
      <c r="BO46" s="131">
        <f>F46*G46</f>
        <v>0</v>
      </c>
      <c r="BW46" s="131">
        <v>21</v>
      </c>
      <c r="BX46" s="133" t="s">
        <v>420</v>
      </c>
    </row>
    <row r="47" spans="1:76" x14ac:dyDescent="0.25">
      <c r="A47" s="123" t="s">
        <v>53</v>
      </c>
      <c r="B47" s="124" t="s">
        <v>424</v>
      </c>
      <c r="C47" s="272" t="s">
        <v>425</v>
      </c>
      <c r="D47" s="273"/>
      <c r="E47" s="125" t="s">
        <v>9</v>
      </c>
      <c r="F47" s="125" t="s">
        <v>9</v>
      </c>
      <c r="G47" s="125" t="s">
        <v>9</v>
      </c>
      <c r="H47" s="110">
        <f>SUM(H48:H48)</f>
        <v>0</v>
      </c>
      <c r="I47" s="110">
        <f>SUM(I48:I48)</f>
        <v>0</v>
      </c>
      <c r="J47" s="110">
        <f>SUM(J48:J48)</f>
        <v>0</v>
      </c>
      <c r="K47" s="126" t="s">
        <v>53</v>
      </c>
      <c r="AI47" s="115" t="s">
        <v>702</v>
      </c>
      <c r="AS47" s="110">
        <f>SUM(AJ48:AJ48)</f>
        <v>0</v>
      </c>
      <c r="AT47" s="110">
        <f>SUM(AK48:AK48)</f>
        <v>0</v>
      </c>
      <c r="AU47" s="110">
        <f>SUM(AL48:AL48)</f>
        <v>0</v>
      </c>
    </row>
    <row r="48" spans="1:76" x14ac:dyDescent="0.25">
      <c r="A48" s="134" t="s">
        <v>139</v>
      </c>
      <c r="B48" s="135" t="s">
        <v>427</v>
      </c>
      <c r="C48" s="270" t="s">
        <v>428</v>
      </c>
      <c r="D48" s="271"/>
      <c r="E48" s="135" t="s">
        <v>416</v>
      </c>
      <c r="F48" s="131">
        <v>1</v>
      </c>
      <c r="G48" s="179">
        <v>0</v>
      </c>
      <c r="H48" s="131">
        <f>F48*AO48</f>
        <v>0</v>
      </c>
      <c r="I48" s="131">
        <f>F48*AP48</f>
        <v>0</v>
      </c>
      <c r="J48" s="131">
        <f>F48*G48</f>
        <v>0</v>
      </c>
      <c r="K48" s="136" t="s">
        <v>53</v>
      </c>
      <c r="Z48" s="131">
        <f>IF(AQ48="5",BJ48,0)</f>
        <v>0</v>
      </c>
      <c r="AB48" s="131">
        <f>IF(AQ48="1",BH48,0)</f>
        <v>0</v>
      </c>
      <c r="AC48" s="131">
        <f>IF(AQ48="1",BI48,0)</f>
        <v>0</v>
      </c>
      <c r="AD48" s="131">
        <f>IF(AQ48="7",BH48,0)</f>
        <v>0</v>
      </c>
      <c r="AE48" s="131">
        <f>IF(AQ48="7",BI48,0)</f>
        <v>0</v>
      </c>
      <c r="AF48" s="131">
        <f>IF(AQ48="2",BH48,0)</f>
        <v>0</v>
      </c>
      <c r="AG48" s="131">
        <f>IF(AQ48="2",BI48,0)</f>
        <v>0</v>
      </c>
      <c r="AH48" s="131">
        <f>IF(AQ48="0",BJ48,0)</f>
        <v>0</v>
      </c>
      <c r="AI48" s="115" t="s">
        <v>702</v>
      </c>
      <c r="AJ48" s="131">
        <f>IF(AN48=0,J48,0)</f>
        <v>0</v>
      </c>
      <c r="AK48" s="131">
        <f>IF(AN48=12,J48,0)</f>
        <v>0</v>
      </c>
      <c r="AL48" s="131">
        <f>IF(AN48=21,J48,0)</f>
        <v>0</v>
      </c>
      <c r="AN48" s="131">
        <v>21</v>
      </c>
      <c r="AO48" s="131">
        <f>G48*0</f>
        <v>0</v>
      </c>
      <c r="AP48" s="131">
        <f>G48*(1-0)</f>
        <v>0</v>
      </c>
      <c r="AQ48" s="132" t="s">
        <v>405</v>
      </c>
      <c r="AV48" s="131">
        <f>AW48+AX48</f>
        <v>0</v>
      </c>
      <c r="AW48" s="131">
        <f>F48*AO48</f>
        <v>0</v>
      </c>
      <c r="AX48" s="131">
        <f>F48*AP48</f>
        <v>0</v>
      </c>
      <c r="AY48" s="132" t="s">
        <v>429</v>
      </c>
      <c r="AZ48" s="132" t="s">
        <v>754</v>
      </c>
      <c r="BA48" s="115" t="s">
        <v>707</v>
      </c>
      <c r="BC48" s="131">
        <f>AW48+AX48</f>
        <v>0</v>
      </c>
      <c r="BD48" s="131">
        <f>G48/(100-BE48)*100</f>
        <v>0</v>
      </c>
      <c r="BE48" s="131">
        <v>0</v>
      </c>
      <c r="BF48" s="131">
        <f>48</f>
        <v>48</v>
      </c>
      <c r="BH48" s="131">
        <f>F48*AO48</f>
        <v>0</v>
      </c>
      <c r="BI48" s="131">
        <f>F48*AP48</f>
        <v>0</v>
      </c>
      <c r="BJ48" s="131">
        <f>F48*G48</f>
        <v>0</v>
      </c>
      <c r="BK48" s="131"/>
      <c r="BL48" s="131"/>
      <c r="BR48" s="131">
        <f>F48*G48</f>
        <v>0</v>
      </c>
      <c r="BW48" s="131">
        <v>21</v>
      </c>
      <c r="BX48" s="133" t="s">
        <v>428</v>
      </c>
    </row>
    <row r="49" spans="1:76" x14ac:dyDescent="0.25">
      <c r="A49" s="123" t="s">
        <v>53</v>
      </c>
      <c r="B49" s="124" t="s">
        <v>53</v>
      </c>
      <c r="C49" s="272" t="s">
        <v>755</v>
      </c>
      <c r="D49" s="273"/>
      <c r="E49" s="125" t="s">
        <v>9</v>
      </c>
      <c r="F49" s="125" t="s">
        <v>9</v>
      </c>
      <c r="G49" s="125" t="s">
        <v>9</v>
      </c>
      <c r="H49" s="110">
        <f>H50+H52+H54+H57+H59+H66+H68+H70+H72+H79+H81+H83</f>
        <v>0</v>
      </c>
      <c r="I49" s="110">
        <f>I50+I52+I54+I57+I59+I66+I68+I70+I72+I79+I81+I83</f>
        <v>0</v>
      </c>
      <c r="J49" s="110">
        <f>J50+J52+J54+J57+J59+J66+J68+J70+J72+J79+J81+J83</f>
        <v>0</v>
      </c>
      <c r="K49" s="126" t="s">
        <v>53</v>
      </c>
    </row>
    <row r="50" spans="1:76" x14ac:dyDescent="0.25">
      <c r="A50" s="123" t="s">
        <v>53</v>
      </c>
      <c r="B50" s="124" t="s">
        <v>54</v>
      </c>
      <c r="C50" s="272" t="s">
        <v>55</v>
      </c>
      <c r="D50" s="273"/>
      <c r="E50" s="125" t="s">
        <v>9</v>
      </c>
      <c r="F50" s="125" t="s">
        <v>9</v>
      </c>
      <c r="G50" s="125" t="s">
        <v>9</v>
      </c>
      <c r="H50" s="110">
        <f>SUM(H51:H51)</f>
        <v>0</v>
      </c>
      <c r="I50" s="110">
        <f>SUM(I51:I51)</f>
        <v>0</v>
      </c>
      <c r="J50" s="110">
        <f>SUM(J51:J51)</f>
        <v>0</v>
      </c>
      <c r="K50" s="126" t="s">
        <v>53</v>
      </c>
      <c r="AI50" s="115" t="s">
        <v>756</v>
      </c>
      <c r="AS50" s="110">
        <f>SUM(AJ51:AJ51)</f>
        <v>0</v>
      </c>
      <c r="AT50" s="110">
        <f>SUM(AK51:AK51)</f>
        <v>0</v>
      </c>
      <c r="AU50" s="110">
        <f>SUM(AL51:AL51)</f>
        <v>0</v>
      </c>
    </row>
    <row r="51" spans="1:76" x14ac:dyDescent="0.25">
      <c r="A51" s="134" t="s">
        <v>142</v>
      </c>
      <c r="B51" s="135" t="s">
        <v>703</v>
      </c>
      <c r="C51" s="270" t="s">
        <v>704</v>
      </c>
      <c r="D51" s="271"/>
      <c r="E51" s="135" t="s">
        <v>705</v>
      </c>
      <c r="F51" s="131">
        <v>8</v>
      </c>
      <c r="G51" s="179">
        <v>0</v>
      </c>
      <c r="H51" s="131">
        <f>F51*AO51</f>
        <v>0</v>
      </c>
      <c r="I51" s="131">
        <f>F51*AP51</f>
        <v>0</v>
      </c>
      <c r="J51" s="131">
        <f>F51*G51</f>
        <v>0</v>
      </c>
      <c r="K51" s="136" t="s">
        <v>60</v>
      </c>
      <c r="Z51" s="131">
        <f>IF(AQ51="5",BJ51,0)</f>
        <v>0</v>
      </c>
      <c r="AB51" s="131">
        <f>IF(AQ51="1",BH51,0)</f>
        <v>0</v>
      </c>
      <c r="AC51" s="131">
        <f>IF(AQ51="1",BI51,0)</f>
        <v>0</v>
      </c>
      <c r="AD51" s="131">
        <f>IF(AQ51="7",BH51,0)</f>
        <v>0</v>
      </c>
      <c r="AE51" s="131">
        <f>IF(AQ51="7",BI51,0)</f>
        <v>0</v>
      </c>
      <c r="AF51" s="131">
        <f>IF(AQ51="2",BH51,0)</f>
        <v>0</v>
      </c>
      <c r="AG51" s="131">
        <f>IF(AQ51="2",BI51,0)</f>
        <v>0</v>
      </c>
      <c r="AH51" s="131">
        <f>IF(AQ51="0",BJ51,0)</f>
        <v>0</v>
      </c>
      <c r="AI51" s="115" t="s">
        <v>756</v>
      </c>
      <c r="AJ51" s="131">
        <f>IF(AN51=0,J51,0)</f>
        <v>0</v>
      </c>
      <c r="AK51" s="131">
        <f>IF(AN51=12,J51,0)</f>
        <v>0</v>
      </c>
      <c r="AL51" s="131">
        <f>IF(AN51=21,J51,0)</f>
        <v>0</v>
      </c>
      <c r="AN51" s="131">
        <v>21</v>
      </c>
      <c r="AO51" s="131">
        <f>G51*0</f>
        <v>0</v>
      </c>
      <c r="AP51" s="131">
        <f>G51*(1-0)</f>
        <v>0</v>
      </c>
      <c r="AQ51" s="132" t="s">
        <v>56</v>
      </c>
      <c r="AV51" s="131">
        <f>AW51+AX51</f>
        <v>0</v>
      </c>
      <c r="AW51" s="131">
        <f>F51*AO51</f>
        <v>0</v>
      </c>
      <c r="AX51" s="131">
        <f>F51*AP51</f>
        <v>0</v>
      </c>
      <c r="AY51" s="132" t="s">
        <v>61</v>
      </c>
      <c r="AZ51" s="132" t="s">
        <v>757</v>
      </c>
      <c r="BA51" s="115" t="s">
        <v>758</v>
      </c>
      <c r="BC51" s="131">
        <f>AW51+AX51</f>
        <v>0</v>
      </c>
      <c r="BD51" s="131">
        <f>G51/(100-BE51)*100</f>
        <v>0</v>
      </c>
      <c r="BE51" s="131">
        <v>0</v>
      </c>
      <c r="BF51" s="131">
        <f>51</f>
        <v>51</v>
      </c>
      <c r="BH51" s="131">
        <f>F51*AO51</f>
        <v>0</v>
      </c>
      <c r="BI51" s="131">
        <f>F51*AP51</f>
        <v>0</v>
      </c>
      <c r="BJ51" s="131">
        <f>F51*G51</f>
        <v>0</v>
      </c>
      <c r="BK51" s="131"/>
      <c r="BL51" s="131">
        <v>11</v>
      </c>
      <c r="BW51" s="131">
        <v>21</v>
      </c>
      <c r="BX51" s="133" t="s">
        <v>704</v>
      </c>
    </row>
    <row r="52" spans="1:76" x14ac:dyDescent="0.25">
      <c r="A52" s="123" t="s">
        <v>53</v>
      </c>
      <c r="B52" s="124" t="s">
        <v>96</v>
      </c>
      <c r="C52" s="272" t="s">
        <v>97</v>
      </c>
      <c r="D52" s="273"/>
      <c r="E52" s="125" t="s">
        <v>9</v>
      </c>
      <c r="F52" s="125" t="s">
        <v>9</v>
      </c>
      <c r="G52" s="125" t="s">
        <v>9</v>
      </c>
      <c r="H52" s="110">
        <f>SUM(H53:H53)</f>
        <v>0</v>
      </c>
      <c r="I52" s="110">
        <f>SUM(I53:I53)</f>
        <v>0</v>
      </c>
      <c r="J52" s="110">
        <f>SUM(J53:J53)</f>
        <v>0</v>
      </c>
      <c r="K52" s="126" t="s">
        <v>53</v>
      </c>
      <c r="AI52" s="115" t="s">
        <v>756</v>
      </c>
      <c r="AS52" s="110">
        <f>SUM(AJ53:AJ53)</f>
        <v>0</v>
      </c>
      <c r="AT52" s="110">
        <f>SUM(AK53:AK53)</f>
        <v>0</v>
      </c>
      <c r="AU52" s="110">
        <f>SUM(AL53:AL53)</f>
        <v>0</v>
      </c>
    </row>
    <row r="53" spans="1:76" x14ac:dyDescent="0.25">
      <c r="A53" s="134" t="s">
        <v>145</v>
      </c>
      <c r="B53" s="135" t="s">
        <v>708</v>
      </c>
      <c r="C53" s="270" t="s">
        <v>709</v>
      </c>
      <c r="D53" s="271"/>
      <c r="E53" s="135" t="s">
        <v>79</v>
      </c>
      <c r="F53" s="131">
        <v>24</v>
      </c>
      <c r="G53" s="179">
        <v>0</v>
      </c>
      <c r="H53" s="131">
        <f>F53*AO53</f>
        <v>0</v>
      </c>
      <c r="I53" s="131">
        <f>F53*AP53</f>
        <v>0</v>
      </c>
      <c r="J53" s="131">
        <f>F53*G53</f>
        <v>0</v>
      </c>
      <c r="K53" s="136" t="s">
        <v>60</v>
      </c>
      <c r="Z53" s="131">
        <f>IF(AQ53="5",BJ53,0)</f>
        <v>0</v>
      </c>
      <c r="AB53" s="131">
        <f>IF(AQ53="1",BH53,0)</f>
        <v>0</v>
      </c>
      <c r="AC53" s="131">
        <f>IF(AQ53="1",BI53,0)</f>
        <v>0</v>
      </c>
      <c r="AD53" s="131">
        <f>IF(AQ53="7",BH53,0)</f>
        <v>0</v>
      </c>
      <c r="AE53" s="131">
        <f>IF(AQ53="7",BI53,0)</f>
        <v>0</v>
      </c>
      <c r="AF53" s="131">
        <f>IF(AQ53="2",BH53,0)</f>
        <v>0</v>
      </c>
      <c r="AG53" s="131">
        <f>IF(AQ53="2",BI53,0)</f>
        <v>0</v>
      </c>
      <c r="AH53" s="131">
        <f>IF(AQ53="0",BJ53,0)</f>
        <v>0</v>
      </c>
      <c r="AI53" s="115" t="s">
        <v>756</v>
      </c>
      <c r="AJ53" s="131">
        <f>IF(AN53=0,J53,0)</f>
        <v>0</v>
      </c>
      <c r="AK53" s="131">
        <f>IF(AN53=12,J53,0)</f>
        <v>0</v>
      </c>
      <c r="AL53" s="131">
        <f>IF(AN53=21,J53,0)</f>
        <v>0</v>
      </c>
      <c r="AN53" s="131">
        <v>21</v>
      </c>
      <c r="AO53" s="131">
        <f>G53*0</f>
        <v>0</v>
      </c>
      <c r="AP53" s="131">
        <f>G53*(1-0)</f>
        <v>0</v>
      </c>
      <c r="AQ53" s="132" t="s">
        <v>56</v>
      </c>
      <c r="AV53" s="131">
        <f>AW53+AX53</f>
        <v>0</v>
      </c>
      <c r="AW53" s="131">
        <f>F53*AO53</f>
        <v>0</v>
      </c>
      <c r="AX53" s="131">
        <f>F53*AP53</f>
        <v>0</v>
      </c>
      <c r="AY53" s="132" t="s">
        <v>100</v>
      </c>
      <c r="AZ53" s="132" t="s">
        <v>757</v>
      </c>
      <c r="BA53" s="115" t="s">
        <v>758</v>
      </c>
      <c r="BC53" s="131">
        <f>AW53+AX53</f>
        <v>0</v>
      </c>
      <c r="BD53" s="131">
        <f>G53/(100-BE53)*100</f>
        <v>0</v>
      </c>
      <c r="BE53" s="131">
        <v>0</v>
      </c>
      <c r="BF53" s="131">
        <f>53</f>
        <v>53</v>
      </c>
      <c r="BH53" s="131">
        <f>F53*AO53</f>
        <v>0</v>
      </c>
      <c r="BI53" s="131">
        <f>F53*AP53</f>
        <v>0</v>
      </c>
      <c r="BJ53" s="131">
        <f>F53*G53</f>
        <v>0</v>
      </c>
      <c r="BK53" s="131"/>
      <c r="BL53" s="131">
        <v>13</v>
      </c>
      <c r="BW53" s="131">
        <v>21</v>
      </c>
      <c r="BX53" s="133" t="s">
        <v>709</v>
      </c>
    </row>
    <row r="54" spans="1:76" x14ac:dyDescent="0.25">
      <c r="A54" s="123" t="s">
        <v>53</v>
      </c>
      <c r="B54" s="124" t="s">
        <v>101</v>
      </c>
      <c r="C54" s="272" t="s">
        <v>102</v>
      </c>
      <c r="D54" s="273"/>
      <c r="E54" s="125" t="s">
        <v>9</v>
      </c>
      <c r="F54" s="125" t="s">
        <v>9</v>
      </c>
      <c r="G54" s="125" t="s">
        <v>9</v>
      </c>
      <c r="H54" s="110">
        <f>SUM(H55:H56)</f>
        <v>0</v>
      </c>
      <c r="I54" s="110">
        <f>SUM(I55:I56)</f>
        <v>0</v>
      </c>
      <c r="J54" s="110">
        <f>SUM(J55:J56)</f>
        <v>0</v>
      </c>
      <c r="K54" s="126" t="s">
        <v>53</v>
      </c>
      <c r="AI54" s="115" t="s">
        <v>756</v>
      </c>
      <c r="AS54" s="110">
        <f>SUM(AJ55:AJ56)</f>
        <v>0</v>
      </c>
      <c r="AT54" s="110">
        <f>SUM(AK55:AK56)</f>
        <v>0</v>
      </c>
      <c r="AU54" s="110">
        <f>SUM(AL55:AL56)</f>
        <v>0</v>
      </c>
    </row>
    <row r="55" spans="1:76" x14ac:dyDescent="0.25">
      <c r="A55" s="134" t="s">
        <v>150</v>
      </c>
      <c r="B55" s="135" t="s">
        <v>114</v>
      </c>
      <c r="C55" s="270" t="s">
        <v>710</v>
      </c>
      <c r="D55" s="271"/>
      <c r="E55" s="135" t="s">
        <v>79</v>
      </c>
      <c r="F55" s="131">
        <v>6</v>
      </c>
      <c r="G55" s="179">
        <v>0</v>
      </c>
      <c r="H55" s="131">
        <f>F55*AO55</f>
        <v>0</v>
      </c>
      <c r="I55" s="131">
        <f>F55*AP55</f>
        <v>0</v>
      </c>
      <c r="J55" s="131">
        <f>F55*G55</f>
        <v>0</v>
      </c>
      <c r="K55" s="136" t="s">
        <v>711</v>
      </c>
      <c r="Z55" s="131">
        <f>IF(AQ55="5",BJ55,0)</f>
        <v>0</v>
      </c>
      <c r="AB55" s="131">
        <f>IF(AQ55="1",BH55,0)</f>
        <v>0</v>
      </c>
      <c r="AC55" s="131">
        <f>IF(AQ55="1",BI55,0)</f>
        <v>0</v>
      </c>
      <c r="AD55" s="131">
        <f>IF(AQ55="7",BH55,0)</f>
        <v>0</v>
      </c>
      <c r="AE55" s="131">
        <f>IF(AQ55="7",BI55,0)</f>
        <v>0</v>
      </c>
      <c r="AF55" s="131">
        <f>IF(AQ55="2",BH55,0)</f>
        <v>0</v>
      </c>
      <c r="AG55" s="131">
        <f>IF(AQ55="2",BI55,0)</f>
        <v>0</v>
      </c>
      <c r="AH55" s="131">
        <f>IF(AQ55="0",BJ55,0)</f>
        <v>0</v>
      </c>
      <c r="AI55" s="115" t="s">
        <v>756</v>
      </c>
      <c r="AJ55" s="131">
        <f>IF(AN55=0,J55,0)</f>
        <v>0</v>
      </c>
      <c r="AK55" s="131">
        <f>IF(AN55=12,J55,0)</f>
        <v>0</v>
      </c>
      <c r="AL55" s="131">
        <f>IF(AN55=21,J55,0)</f>
        <v>0</v>
      </c>
      <c r="AN55" s="131">
        <v>21</v>
      </c>
      <c r="AO55" s="131">
        <f>G55*0</f>
        <v>0</v>
      </c>
      <c r="AP55" s="131">
        <f>G55*(1-0)</f>
        <v>0</v>
      </c>
      <c r="AQ55" s="132" t="s">
        <v>56</v>
      </c>
      <c r="AV55" s="131">
        <f>AW55+AX55</f>
        <v>0</v>
      </c>
      <c r="AW55" s="131">
        <f>F55*AO55</f>
        <v>0</v>
      </c>
      <c r="AX55" s="131">
        <f>F55*AP55</f>
        <v>0</v>
      </c>
      <c r="AY55" s="132" t="s">
        <v>105</v>
      </c>
      <c r="AZ55" s="132" t="s">
        <v>757</v>
      </c>
      <c r="BA55" s="115" t="s">
        <v>758</v>
      </c>
      <c r="BC55" s="131">
        <f>AW55+AX55</f>
        <v>0</v>
      </c>
      <c r="BD55" s="131">
        <f>G55/(100-BE55)*100</f>
        <v>0</v>
      </c>
      <c r="BE55" s="131">
        <v>0</v>
      </c>
      <c r="BF55" s="131">
        <f>55</f>
        <v>55</v>
      </c>
      <c r="BH55" s="131">
        <f>F55*AO55</f>
        <v>0</v>
      </c>
      <c r="BI55" s="131">
        <f>F55*AP55</f>
        <v>0</v>
      </c>
      <c r="BJ55" s="131">
        <f>F55*G55</f>
        <v>0</v>
      </c>
      <c r="BK55" s="131"/>
      <c r="BL55" s="131">
        <v>16</v>
      </c>
      <c r="BW55" s="131">
        <v>21</v>
      </c>
      <c r="BX55" s="133" t="s">
        <v>710</v>
      </c>
    </row>
    <row r="56" spans="1:76" x14ac:dyDescent="0.25">
      <c r="A56" s="134" t="s">
        <v>155</v>
      </c>
      <c r="B56" s="135" t="s">
        <v>712</v>
      </c>
      <c r="C56" s="270" t="s">
        <v>713</v>
      </c>
      <c r="D56" s="271"/>
      <c r="E56" s="135" t="s">
        <v>122</v>
      </c>
      <c r="F56" s="131">
        <v>15</v>
      </c>
      <c r="G56" s="179">
        <v>0</v>
      </c>
      <c r="H56" s="131">
        <f>F56*AO56</f>
        <v>0</v>
      </c>
      <c r="I56" s="131">
        <f>F56*AP56</f>
        <v>0</v>
      </c>
      <c r="J56" s="131">
        <f>F56*G56</f>
        <v>0</v>
      </c>
      <c r="K56" s="136" t="s">
        <v>711</v>
      </c>
      <c r="Z56" s="131">
        <f>IF(AQ56="5",BJ56,0)</f>
        <v>0</v>
      </c>
      <c r="AB56" s="131">
        <f>IF(AQ56="1",BH56,0)</f>
        <v>0</v>
      </c>
      <c r="AC56" s="131">
        <f>IF(AQ56="1",BI56,0)</f>
        <v>0</v>
      </c>
      <c r="AD56" s="131">
        <f>IF(AQ56="7",BH56,0)</f>
        <v>0</v>
      </c>
      <c r="AE56" s="131">
        <f>IF(AQ56="7",BI56,0)</f>
        <v>0</v>
      </c>
      <c r="AF56" s="131">
        <f>IF(AQ56="2",BH56,0)</f>
        <v>0</v>
      </c>
      <c r="AG56" s="131">
        <f>IF(AQ56="2",BI56,0)</f>
        <v>0</v>
      </c>
      <c r="AH56" s="131">
        <f>IF(AQ56="0",BJ56,0)</f>
        <v>0</v>
      </c>
      <c r="AI56" s="115" t="s">
        <v>756</v>
      </c>
      <c r="AJ56" s="131">
        <f>IF(AN56=0,J56,0)</f>
        <v>0</v>
      </c>
      <c r="AK56" s="131">
        <f>IF(AN56=12,J56,0)</f>
        <v>0</v>
      </c>
      <c r="AL56" s="131">
        <f>IF(AN56=21,J56,0)</f>
        <v>0</v>
      </c>
      <c r="AN56" s="131">
        <v>21</v>
      </c>
      <c r="AO56" s="131">
        <f>G56*0</f>
        <v>0</v>
      </c>
      <c r="AP56" s="131">
        <f>G56*(1-0)</f>
        <v>0</v>
      </c>
      <c r="AQ56" s="132" t="s">
        <v>56</v>
      </c>
      <c r="AV56" s="131">
        <f>AW56+AX56</f>
        <v>0</v>
      </c>
      <c r="AW56" s="131">
        <f>F56*AO56</f>
        <v>0</v>
      </c>
      <c r="AX56" s="131">
        <f>F56*AP56</f>
        <v>0</v>
      </c>
      <c r="AY56" s="132" t="s">
        <v>105</v>
      </c>
      <c r="AZ56" s="132" t="s">
        <v>757</v>
      </c>
      <c r="BA56" s="115" t="s">
        <v>758</v>
      </c>
      <c r="BC56" s="131">
        <f>AW56+AX56</f>
        <v>0</v>
      </c>
      <c r="BD56" s="131">
        <f>G56/(100-BE56)*100</f>
        <v>0</v>
      </c>
      <c r="BE56" s="131">
        <v>0</v>
      </c>
      <c r="BF56" s="131">
        <f>56</f>
        <v>56</v>
      </c>
      <c r="BH56" s="131">
        <f>F56*AO56</f>
        <v>0</v>
      </c>
      <c r="BI56" s="131">
        <f>F56*AP56</f>
        <v>0</v>
      </c>
      <c r="BJ56" s="131">
        <f>F56*G56</f>
        <v>0</v>
      </c>
      <c r="BK56" s="131"/>
      <c r="BL56" s="131">
        <v>16</v>
      </c>
      <c r="BW56" s="131">
        <v>21</v>
      </c>
      <c r="BX56" s="133" t="s">
        <v>713</v>
      </c>
    </row>
    <row r="57" spans="1:76" x14ac:dyDescent="0.25">
      <c r="A57" s="123" t="s">
        <v>53</v>
      </c>
      <c r="B57" s="124" t="s">
        <v>116</v>
      </c>
      <c r="C57" s="272" t="s">
        <v>123</v>
      </c>
      <c r="D57" s="273"/>
      <c r="E57" s="125" t="s">
        <v>9</v>
      </c>
      <c r="F57" s="125" t="s">
        <v>9</v>
      </c>
      <c r="G57" s="125" t="s">
        <v>9</v>
      </c>
      <c r="H57" s="110">
        <f>SUM(H58:H58)</f>
        <v>0</v>
      </c>
      <c r="I57" s="110">
        <f>SUM(I58:I58)</f>
        <v>0</v>
      </c>
      <c r="J57" s="110">
        <f>SUM(J58:J58)</f>
        <v>0</v>
      </c>
      <c r="K57" s="126" t="s">
        <v>53</v>
      </c>
      <c r="AI57" s="115" t="s">
        <v>756</v>
      </c>
      <c r="AS57" s="110">
        <f>SUM(AJ58:AJ58)</f>
        <v>0</v>
      </c>
      <c r="AT57" s="110">
        <f>SUM(AK58:AK58)</f>
        <v>0</v>
      </c>
      <c r="AU57" s="110">
        <f>SUM(AL58:AL58)</f>
        <v>0</v>
      </c>
    </row>
    <row r="58" spans="1:76" x14ac:dyDescent="0.25">
      <c r="A58" s="134" t="s">
        <v>158</v>
      </c>
      <c r="B58" s="135" t="s">
        <v>129</v>
      </c>
      <c r="C58" s="270" t="s">
        <v>714</v>
      </c>
      <c r="D58" s="271"/>
      <c r="E58" s="135" t="s">
        <v>79</v>
      </c>
      <c r="F58" s="131">
        <v>24</v>
      </c>
      <c r="G58" s="179">
        <v>0</v>
      </c>
      <c r="H58" s="131">
        <f>F58*AO58</f>
        <v>0</v>
      </c>
      <c r="I58" s="131">
        <f>F58*AP58</f>
        <v>0</v>
      </c>
      <c r="J58" s="131">
        <f>F58*G58</f>
        <v>0</v>
      </c>
      <c r="K58" s="136" t="s">
        <v>60</v>
      </c>
      <c r="Z58" s="131">
        <f>IF(AQ58="5",BJ58,0)</f>
        <v>0</v>
      </c>
      <c r="AB58" s="131">
        <f>IF(AQ58="1",BH58,0)</f>
        <v>0</v>
      </c>
      <c r="AC58" s="131">
        <f>IF(AQ58="1",BI58,0)</f>
        <v>0</v>
      </c>
      <c r="AD58" s="131">
        <f>IF(AQ58="7",BH58,0)</f>
        <v>0</v>
      </c>
      <c r="AE58" s="131">
        <f>IF(AQ58="7",BI58,0)</f>
        <v>0</v>
      </c>
      <c r="AF58" s="131">
        <f>IF(AQ58="2",BH58,0)</f>
        <v>0</v>
      </c>
      <c r="AG58" s="131">
        <f>IF(AQ58="2",BI58,0)</f>
        <v>0</v>
      </c>
      <c r="AH58" s="131">
        <f>IF(AQ58="0",BJ58,0)</f>
        <v>0</v>
      </c>
      <c r="AI58" s="115" t="s">
        <v>756</v>
      </c>
      <c r="AJ58" s="131">
        <f>IF(AN58=0,J58,0)</f>
        <v>0</v>
      </c>
      <c r="AK58" s="131">
        <f>IF(AN58=12,J58,0)</f>
        <v>0</v>
      </c>
      <c r="AL58" s="131">
        <f>IF(AN58=21,J58,0)</f>
        <v>0</v>
      </c>
      <c r="AN58" s="131">
        <v>21</v>
      </c>
      <c r="AO58" s="131">
        <f>G58*0</f>
        <v>0</v>
      </c>
      <c r="AP58" s="131">
        <f>G58*(1-0)</f>
        <v>0</v>
      </c>
      <c r="AQ58" s="132" t="s">
        <v>56</v>
      </c>
      <c r="AV58" s="131">
        <f>AW58+AX58</f>
        <v>0</v>
      </c>
      <c r="AW58" s="131">
        <f>F58*AO58</f>
        <v>0</v>
      </c>
      <c r="AX58" s="131">
        <f>F58*AP58</f>
        <v>0</v>
      </c>
      <c r="AY58" s="132" t="s">
        <v>127</v>
      </c>
      <c r="AZ58" s="132" t="s">
        <v>757</v>
      </c>
      <c r="BA58" s="115" t="s">
        <v>758</v>
      </c>
      <c r="BC58" s="131">
        <f>AW58+AX58</f>
        <v>0</v>
      </c>
      <c r="BD58" s="131">
        <f>G58/(100-BE58)*100</f>
        <v>0</v>
      </c>
      <c r="BE58" s="131">
        <v>0</v>
      </c>
      <c r="BF58" s="131">
        <f>58</f>
        <v>58</v>
      </c>
      <c r="BH58" s="131">
        <f>F58*AO58</f>
        <v>0</v>
      </c>
      <c r="BI58" s="131">
        <f>F58*AP58</f>
        <v>0</v>
      </c>
      <c r="BJ58" s="131">
        <f>F58*G58</f>
        <v>0</v>
      </c>
      <c r="BK58" s="131"/>
      <c r="BL58" s="131">
        <v>17</v>
      </c>
      <c r="BW58" s="131">
        <v>21</v>
      </c>
      <c r="BX58" s="133" t="s">
        <v>714</v>
      </c>
    </row>
    <row r="59" spans="1:76" x14ac:dyDescent="0.25">
      <c r="A59" s="123" t="s">
        <v>53</v>
      </c>
      <c r="B59" s="124" t="s">
        <v>255</v>
      </c>
      <c r="C59" s="272" t="s">
        <v>715</v>
      </c>
      <c r="D59" s="273"/>
      <c r="E59" s="125" t="s">
        <v>9</v>
      </c>
      <c r="F59" s="125" t="s">
        <v>9</v>
      </c>
      <c r="G59" s="125" t="s">
        <v>9</v>
      </c>
      <c r="H59" s="110">
        <f>SUM(H60:H65)</f>
        <v>0</v>
      </c>
      <c r="I59" s="110">
        <f>SUM(I60:I65)</f>
        <v>0</v>
      </c>
      <c r="J59" s="110">
        <f>SUM(J60:J65)</f>
        <v>0</v>
      </c>
      <c r="K59" s="126" t="s">
        <v>53</v>
      </c>
      <c r="AI59" s="115" t="s">
        <v>756</v>
      </c>
      <c r="AS59" s="110">
        <f>SUM(AJ60:AJ65)</f>
        <v>0</v>
      </c>
      <c r="AT59" s="110">
        <f>SUM(AK60:AK65)</f>
        <v>0</v>
      </c>
      <c r="AU59" s="110">
        <f>SUM(AL60:AL65)</f>
        <v>0</v>
      </c>
    </row>
    <row r="60" spans="1:76" x14ac:dyDescent="0.25">
      <c r="A60" s="134" t="s">
        <v>161</v>
      </c>
      <c r="B60" s="135" t="s">
        <v>716</v>
      </c>
      <c r="C60" s="270" t="s">
        <v>717</v>
      </c>
      <c r="D60" s="271"/>
      <c r="E60" s="135" t="s">
        <v>79</v>
      </c>
      <c r="F60" s="131">
        <v>6</v>
      </c>
      <c r="G60" s="179">
        <v>0</v>
      </c>
      <c r="H60" s="131">
        <f t="shared" ref="H60:H65" si="46">F60*AO60</f>
        <v>0</v>
      </c>
      <c r="I60" s="131">
        <f t="shared" ref="I60:I65" si="47">F60*AP60</f>
        <v>0</v>
      </c>
      <c r="J60" s="131">
        <f t="shared" ref="J60:J65" si="48">F60*G60</f>
        <v>0</v>
      </c>
      <c r="K60" s="136" t="s">
        <v>60</v>
      </c>
      <c r="Z60" s="131">
        <f t="shared" ref="Z60:Z65" si="49">IF(AQ60="5",BJ60,0)</f>
        <v>0</v>
      </c>
      <c r="AB60" s="131">
        <f t="shared" ref="AB60:AB65" si="50">IF(AQ60="1",BH60,0)</f>
        <v>0</v>
      </c>
      <c r="AC60" s="131">
        <f t="shared" ref="AC60:AC65" si="51">IF(AQ60="1",BI60,0)</f>
        <v>0</v>
      </c>
      <c r="AD60" s="131">
        <f t="shared" ref="AD60:AD65" si="52">IF(AQ60="7",BH60,0)</f>
        <v>0</v>
      </c>
      <c r="AE60" s="131">
        <f t="shared" ref="AE60:AE65" si="53">IF(AQ60="7",BI60,0)</f>
        <v>0</v>
      </c>
      <c r="AF60" s="131">
        <f t="shared" ref="AF60:AF65" si="54">IF(AQ60="2",BH60,0)</f>
        <v>0</v>
      </c>
      <c r="AG60" s="131">
        <f t="shared" ref="AG60:AG65" si="55">IF(AQ60="2",BI60,0)</f>
        <v>0</v>
      </c>
      <c r="AH60" s="131">
        <f t="shared" ref="AH60:AH65" si="56">IF(AQ60="0",BJ60,0)</f>
        <v>0</v>
      </c>
      <c r="AI60" s="115" t="s">
        <v>756</v>
      </c>
      <c r="AJ60" s="131">
        <f t="shared" ref="AJ60:AJ65" si="57">IF(AN60=0,J60,0)</f>
        <v>0</v>
      </c>
      <c r="AK60" s="131">
        <f t="shared" ref="AK60:AK65" si="58">IF(AN60=12,J60,0)</f>
        <v>0</v>
      </c>
      <c r="AL60" s="131">
        <f t="shared" ref="AL60:AL65" si="59">IF(AN60=21,J60,0)</f>
        <v>0</v>
      </c>
      <c r="AN60" s="131">
        <v>21</v>
      </c>
      <c r="AO60" s="131">
        <f>G60*0.735830657</f>
        <v>0</v>
      </c>
      <c r="AP60" s="131">
        <f>G60*(1-0.735830657)</f>
        <v>0</v>
      </c>
      <c r="AQ60" s="132" t="s">
        <v>56</v>
      </c>
      <c r="AV60" s="131">
        <f t="shared" ref="AV60:AV65" si="60">AW60+AX60</f>
        <v>0</v>
      </c>
      <c r="AW60" s="131">
        <f t="shared" ref="AW60:AW65" si="61">F60*AO60</f>
        <v>0</v>
      </c>
      <c r="AX60" s="131">
        <f t="shared" ref="AX60:AX65" si="62">F60*AP60</f>
        <v>0</v>
      </c>
      <c r="AY60" s="132" t="s">
        <v>260</v>
      </c>
      <c r="AZ60" s="132" t="s">
        <v>759</v>
      </c>
      <c r="BA60" s="115" t="s">
        <v>758</v>
      </c>
      <c r="BC60" s="131">
        <f t="shared" ref="BC60:BC65" si="63">AW60+AX60</f>
        <v>0</v>
      </c>
      <c r="BD60" s="131">
        <f t="shared" ref="BD60:BD65" si="64">G60/(100-BE60)*100</f>
        <v>0</v>
      </c>
      <c r="BE60" s="131">
        <v>0</v>
      </c>
      <c r="BF60" s="131">
        <f>60</f>
        <v>60</v>
      </c>
      <c r="BH60" s="131">
        <f t="shared" ref="BH60:BH65" si="65">F60*AO60</f>
        <v>0</v>
      </c>
      <c r="BI60" s="131">
        <f t="shared" ref="BI60:BI65" si="66">F60*AP60</f>
        <v>0</v>
      </c>
      <c r="BJ60" s="131">
        <f t="shared" ref="BJ60:BJ65" si="67">F60*G60</f>
        <v>0</v>
      </c>
      <c r="BK60" s="131"/>
      <c r="BL60" s="131">
        <v>89</v>
      </c>
      <c r="BW60" s="131">
        <v>21</v>
      </c>
      <c r="BX60" s="133" t="s">
        <v>717</v>
      </c>
    </row>
    <row r="61" spans="1:76" x14ac:dyDescent="0.25">
      <c r="A61" s="134" t="s">
        <v>165</v>
      </c>
      <c r="B61" s="135" t="s">
        <v>719</v>
      </c>
      <c r="C61" s="270" t="s">
        <v>720</v>
      </c>
      <c r="D61" s="271"/>
      <c r="E61" s="135" t="s">
        <v>59</v>
      </c>
      <c r="F61" s="131">
        <v>6</v>
      </c>
      <c r="G61" s="179">
        <v>0</v>
      </c>
      <c r="H61" s="131">
        <f t="shared" si="46"/>
        <v>0</v>
      </c>
      <c r="I61" s="131">
        <f t="shared" si="47"/>
        <v>0</v>
      </c>
      <c r="J61" s="131">
        <f t="shared" si="48"/>
        <v>0</v>
      </c>
      <c r="K61" s="136" t="s">
        <v>60</v>
      </c>
      <c r="Z61" s="131">
        <f t="shared" si="49"/>
        <v>0</v>
      </c>
      <c r="AB61" s="131">
        <f t="shared" si="50"/>
        <v>0</v>
      </c>
      <c r="AC61" s="131">
        <f t="shared" si="51"/>
        <v>0</v>
      </c>
      <c r="AD61" s="131">
        <f t="shared" si="52"/>
        <v>0</v>
      </c>
      <c r="AE61" s="131">
        <f t="shared" si="53"/>
        <v>0</v>
      </c>
      <c r="AF61" s="131">
        <f t="shared" si="54"/>
        <v>0</v>
      </c>
      <c r="AG61" s="131">
        <f t="shared" si="55"/>
        <v>0</v>
      </c>
      <c r="AH61" s="131">
        <f t="shared" si="56"/>
        <v>0</v>
      </c>
      <c r="AI61" s="115" t="s">
        <v>756</v>
      </c>
      <c r="AJ61" s="131">
        <f t="shared" si="57"/>
        <v>0</v>
      </c>
      <c r="AK61" s="131">
        <f t="shared" si="58"/>
        <v>0</v>
      </c>
      <c r="AL61" s="131">
        <f t="shared" si="59"/>
        <v>0</v>
      </c>
      <c r="AN61" s="131">
        <v>21</v>
      </c>
      <c r="AO61" s="131">
        <f>G61*0.252878168</f>
        <v>0</v>
      </c>
      <c r="AP61" s="131">
        <f>G61*(1-0.252878168)</f>
        <v>0</v>
      </c>
      <c r="AQ61" s="132" t="s">
        <v>56</v>
      </c>
      <c r="AV61" s="131">
        <f t="shared" si="60"/>
        <v>0</v>
      </c>
      <c r="AW61" s="131">
        <f t="shared" si="61"/>
        <v>0</v>
      </c>
      <c r="AX61" s="131">
        <f t="shared" si="62"/>
        <v>0</v>
      </c>
      <c r="AY61" s="132" t="s">
        <v>260</v>
      </c>
      <c r="AZ61" s="132" t="s">
        <v>759</v>
      </c>
      <c r="BA61" s="115" t="s">
        <v>758</v>
      </c>
      <c r="BC61" s="131">
        <f t="shared" si="63"/>
        <v>0</v>
      </c>
      <c r="BD61" s="131">
        <f t="shared" si="64"/>
        <v>0</v>
      </c>
      <c r="BE61" s="131">
        <v>0</v>
      </c>
      <c r="BF61" s="131">
        <f>61</f>
        <v>61</v>
      </c>
      <c r="BH61" s="131">
        <f t="shared" si="65"/>
        <v>0</v>
      </c>
      <c r="BI61" s="131">
        <f t="shared" si="66"/>
        <v>0</v>
      </c>
      <c r="BJ61" s="131">
        <f t="shared" si="67"/>
        <v>0</v>
      </c>
      <c r="BK61" s="131"/>
      <c r="BL61" s="131">
        <v>89</v>
      </c>
      <c r="BW61" s="131">
        <v>21</v>
      </c>
      <c r="BX61" s="133" t="s">
        <v>720</v>
      </c>
    </row>
    <row r="62" spans="1:76" x14ac:dyDescent="0.25">
      <c r="A62" s="134" t="s">
        <v>169</v>
      </c>
      <c r="B62" s="135" t="s">
        <v>721</v>
      </c>
      <c r="C62" s="270" t="s">
        <v>722</v>
      </c>
      <c r="D62" s="271"/>
      <c r="E62" s="135" t="s">
        <v>164</v>
      </c>
      <c r="F62" s="131">
        <v>6</v>
      </c>
      <c r="G62" s="179">
        <v>0</v>
      </c>
      <c r="H62" s="131">
        <f t="shared" si="46"/>
        <v>0</v>
      </c>
      <c r="I62" s="131">
        <f t="shared" si="47"/>
        <v>0</v>
      </c>
      <c r="J62" s="131">
        <f t="shared" si="48"/>
        <v>0</v>
      </c>
      <c r="K62" s="136" t="s">
        <v>60</v>
      </c>
      <c r="Z62" s="131">
        <f t="shared" si="49"/>
        <v>0</v>
      </c>
      <c r="AB62" s="131">
        <f t="shared" si="50"/>
        <v>0</v>
      </c>
      <c r="AC62" s="131">
        <f t="shared" si="51"/>
        <v>0</v>
      </c>
      <c r="AD62" s="131">
        <f t="shared" si="52"/>
        <v>0</v>
      </c>
      <c r="AE62" s="131">
        <f t="shared" si="53"/>
        <v>0</v>
      </c>
      <c r="AF62" s="131">
        <f t="shared" si="54"/>
        <v>0</v>
      </c>
      <c r="AG62" s="131">
        <f t="shared" si="55"/>
        <v>0</v>
      </c>
      <c r="AH62" s="131">
        <f t="shared" si="56"/>
        <v>0</v>
      </c>
      <c r="AI62" s="115" t="s">
        <v>756</v>
      </c>
      <c r="AJ62" s="131">
        <f t="shared" si="57"/>
        <v>0</v>
      </c>
      <c r="AK62" s="131">
        <f t="shared" si="58"/>
        <v>0</v>
      </c>
      <c r="AL62" s="131">
        <f t="shared" si="59"/>
        <v>0</v>
      </c>
      <c r="AN62" s="131">
        <v>21</v>
      </c>
      <c r="AO62" s="131">
        <f>G62*0</f>
        <v>0</v>
      </c>
      <c r="AP62" s="131">
        <f>G62*(1-0)</f>
        <v>0</v>
      </c>
      <c r="AQ62" s="132" t="s">
        <v>56</v>
      </c>
      <c r="AV62" s="131">
        <f t="shared" si="60"/>
        <v>0</v>
      </c>
      <c r="AW62" s="131">
        <f t="shared" si="61"/>
        <v>0</v>
      </c>
      <c r="AX62" s="131">
        <f t="shared" si="62"/>
        <v>0</v>
      </c>
      <c r="AY62" s="132" t="s">
        <v>260</v>
      </c>
      <c r="AZ62" s="132" t="s">
        <v>759</v>
      </c>
      <c r="BA62" s="115" t="s">
        <v>758</v>
      </c>
      <c r="BC62" s="131">
        <f t="shared" si="63"/>
        <v>0</v>
      </c>
      <c r="BD62" s="131">
        <f t="shared" si="64"/>
        <v>0</v>
      </c>
      <c r="BE62" s="131">
        <v>0</v>
      </c>
      <c r="BF62" s="131">
        <f>62</f>
        <v>62</v>
      </c>
      <c r="BH62" s="131">
        <f t="shared" si="65"/>
        <v>0</v>
      </c>
      <c r="BI62" s="131">
        <f t="shared" si="66"/>
        <v>0</v>
      </c>
      <c r="BJ62" s="131">
        <f t="shared" si="67"/>
        <v>0</v>
      </c>
      <c r="BK62" s="131"/>
      <c r="BL62" s="131">
        <v>89</v>
      </c>
      <c r="BW62" s="131">
        <v>21</v>
      </c>
      <c r="BX62" s="133" t="s">
        <v>722</v>
      </c>
    </row>
    <row r="63" spans="1:76" x14ac:dyDescent="0.25">
      <c r="A63" s="134" t="s">
        <v>174</v>
      </c>
      <c r="B63" s="135" t="s">
        <v>723</v>
      </c>
      <c r="C63" s="270" t="s">
        <v>724</v>
      </c>
      <c r="D63" s="271"/>
      <c r="E63" s="135" t="s">
        <v>164</v>
      </c>
      <c r="F63" s="131">
        <v>12</v>
      </c>
      <c r="G63" s="179">
        <v>0</v>
      </c>
      <c r="H63" s="131">
        <f t="shared" si="46"/>
        <v>0</v>
      </c>
      <c r="I63" s="131">
        <f t="shared" si="47"/>
        <v>0</v>
      </c>
      <c r="J63" s="131">
        <f t="shared" si="48"/>
        <v>0</v>
      </c>
      <c r="K63" s="136" t="s">
        <v>60</v>
      </c>
      <c r="Z63" s="131">
        <f t="shared" si="49"/>
        <v>0</v>
      </c>
      <c r="AB63" s="131">
        <f t="shared" si="50"/>
        <v>0</v>
      </c>
      <c r="AC63" s="131">
        <f t="shared" si="51"/>
        <v>0</v>
      </c>
      <c r="AD63" s="131">
        <f t="shared" si="52"/>
        <v>0</v>
      </c>
      <c r="AE63" s="131">
        <f t="shared" si="53"/>
        <v>0</v>
      </c>
      <c r="AF63" s="131">
        <f t="shared" si="54"/>
        <v>0</v>
      </c>
      <c r="AG63" s="131">
        <f t="shared" si="55"/>
        <v>0</v>
      </c>
      <c r="AH63" s="131">
        <f t="shared" si="56"/>
        <v>0</v>
      </c>
      <c r="AI63" s="115" t="s">
        <v>756</v>
      </c>
      <c r="AJ63" s="131">
        <f t="shared" si="57"/>
        <v>0</v>
      </c>
      <c r="AK63" s="131">
        <f t="shared" si="58"/>
        <v>0</v>
      </c>
      <c r="AL63" s="131">
        <f t="shared" si="59"/>
        <v>0</v>
      </c>
      <c r="AN63" s="131">
        <v>21</v>
      </c>
      <c r="AO63" s="131">
        <f>G63*0</f>
        <v>0</v>
      </c>
      <c r="AP63" s="131">
        <f>G63*(1-0)</f>
        <v>0</v>
      </c>
      <c r="AQ63" s="132" t="s">
        <v>56</v>
      </c>
      <c r="AV63" s="131">
        <f t="shared" si="60"/>
        <v>0</v>
      </c>
      <c r="AW63" s="131">
        <f t="shared" si="61"/>
        <v>0</v>
      </c>
      <c r="AX63" s="131">
        <f t="shared" si="62"/>
        <v>0</v>
      </c>
      <c r="AY63" s="132" t="s">
        <v>260</v>
      </c>
      <c r="AZ63" s="132" t="s">
        <v>759</v>
      </c>
      <c r="BA63" s="115" t="s">
        <v>758</v>
      </c>
      <c r="BC63" s="131">
        <f t="shared" si="63"/>
        <v>0</v>
      </c>
      <c r="BD63" s="131">
        <f t="shared" si="64"/>
        <v>0</v>
      </c>
      <c r="BE63" s="131">
        <v>0</v>
      </c>
      <c r="BF63" s="131">
        <f>63</f>
        <v>63</v>
      </c>
      <c r="BH63" s="131">
        <f t="shared" si="65"/>
        <v>0</v>
      </c>
      <c r="BI63" s="131">
        <f t="shared" si="66"/>
        <v>0</v>
      </c>
      <c r="BJ63" s="131">
        <f t="shared" si="67"/>
        <v>0</v>
      </c>
      <c r="BK63" s="131"/>
      <c r="BL63" s="131">
        <v>89</v>
      </c>
      <c r="BW63" s="131">
        <v>21</v>
      </c>
      <c r="BX63" s="133" t="s">
        <v>724</v>
      </c>
    </row>
    <row r="64" spans="1:76" x14ac:dyDescent="0.25">
      <c r="A64" s="134" t="s">
        <v>148</v>
      </c>
      <c r="B64" s="135" t="s">
        <v>725</v>
      </c>
      <c r="C64" s="270" t="s">
        <v>726</v>
      </c>
      <c r="D64" s="271"/>
      <c r="E64" s="135" t="s">
        <v>164</v>
      </c>
      <c r="F64" s="131">
        <v>4</v>
      </c>
      <c r="G64" s="179">
        <v>0</v>
      </c>
      <c r="H64" s="131">
        <f t="shared" si="46"/>
        <v>0</v>
      </c>
      <c r="I64" s="131">
        <f t="shared" si="47"/>
        <v>0</v>
      </c>
      <c r="J64" s="131">
        <f t="shared" si="48"/>
        <v>0</v>
      </c>
      <c r="K64" s="136" t="s">
        <v>60</v>
      </c>
      <c r="Z64" s="131">
        <f t="shared" si="49"/>
        <v>0</v>
      </c>
      <c r="AB64" s="131">
        <f t="shared" si="50"/>
        <v>0</v>
      </c>
      <c r="AC64" s="131">
        <f t="shared" si="51"/>
        <v>0</v>
      </c>
      <c r="AD64" s="131">
        <f t="shared" si="52"/>
        <v>0</v>
      </c>
      <c r="AE64" s="131">
        <f t="shared" si="53"/>
        <v>0</v>
      </c>
      <c r="AF64" s="131">
        <f t="shared" si="54"/>
        <v>0</v>
      </c>
      <c r="AG64" s="131">
        <f t="shared" si="55"/>
        <v>0</v>
      </c>
      <c r="AH64" s="131">
        <f t="shared" si="56"/>
        <v>0</v>
      </c>
      <c r="AI64" s="115" t="s">
        <v>756</v>
      </c>
      <c r="AJ64" s="131">
        <f t="shared" si="57"/>
        <v>0</v>
      </c>
      <c r="AK64" s="131">
        <f t="shared" si="58"/>
        <v>0</v>
      </c>
      <c r="AL64" s="131">
        <f t="shared" si="59"/>
        <v>0</v>
      </c>
      <c r="AN64" s="131">
        <v>21</v>
      </c>
      <c r="AO64" s="131">
        <f>G64*0.00977221</f>
        <v>0</v>
      </c>
      <c r="AP64" s="131">
        <f>G64*(1-0.00977221)</f>
        <v>0</v>
      </c>
      <c r="AQ64" s="132" t="s">
        <v>56</v>
      </c>
      <c r="AV64" s="131">
        <f t="shared" si="60"/>
        <v>0</v>
      </c>
      <c r="AW64" s="131">
        <f t="shared" si="61"/>
        <v>0</v>
      </c>
      <c r="AX64" s="131">
        <f t="shared" si="62"/>
        <v>0</v>
      </c>
      <c r="AY64" s="132" t="s">
        <v>260</v>
      </c>
      <c r="AZ64" s="132" t="s">
        <v>759</v>
      </c>
      <c r="BA64" s="115" t="s">
        <v>758</v>
      </c>
      <c r="BC64" s="131">
        <f t="shared" si="63"/>
        <v>0</v>
      </c>
      <c r="BD64" s="131">
        <f t="shared" si="64"/>
        <v>0</v>
      </c>
      <c r="BE64" s="131">
        <v>0</v>
      </c>
      <c r="BF64" s="131">
        <f>64</f>
        <v>64</v>
      </c>
      <c r="BH64" s="131">
        <f t="shared" si="65"/>
        <v>0</v>
      </c>
      <c r="BI64" s="131">
        <f t="shared" si="66"/>
        <v>0</v>
      </c>
      <c r="BJ64" s="131">
        <f t="shared" si="67"/>
        <v>0</v>
      </c>
      <c r="BK64" s="131"/>
      <c r="BL64" s="131">
        <v>89</v>
      </c>
      <c r="BW64" s="131">
        <v>21</v>
      </c>
      <c r="BX64" s="133" t="s">
        <v>726</v>
      </c>
    </row>
    <row r="65" spans="1:76" x14ac:dyDescent="0.25">
      <c r="A65" s="134" t="s">
        <v>183</v>
      </c>
      <c r="B65" s="135" t="s">
        <v>727</v>
      </c>
      <c r="C65" s="270" t="s">
        <v>728</v>
      </c>
      <c r="D65" s="271"/>
      <c r="E65" s="135" t="s">
        <v>164</v>
      </c>
      <c r="F65" s="131">
        <v>2</v>
      </c>
      <c r="G65" s="179">
        <v>0</v>
      </c>
      <c r="H65" s="131">
        <f t="shared" si="46"/>
        <v>0</v>
      </c>
      <c r="I65" s="131">
        <f t="shared" si="47"/>
        <v>0</v>
      </c>
      <c r="J65" s="131">
        <f t="shared" si="48"/>
        <v>0</v>
      </c>
      <c r="K65" s="136" t="s">
        <v>60</v>
      </c>
      <c r="Z65" s="131">
        <f t="shared" si="49"/>
        <v>0</v>
      </c>
      <c r="AB65" s="131">
        <f t="shared" si="50"/>
        <v>0</v>
      </c>
      <c r="AC65" s="131">
        <f t="shared" si="51"/>
        <v>0</v>
      </c>
      <c r="AD65" s="131">
        <f t="shared" si="52"/>
        <v>0</v>
      </c>
      <c r="AE65" s="131">
        <f t="shared" si="53"/>
        <v>0</v>
      </c>
      <c r="AF65" s="131">
        <f t="shared" si="54"/>
        <v>0</v>
      </c>
      <c r="AG65" s="131">
        <f t="shared" si="55"/>
        <v>0</v>
      </c>
      <c r="AH65" s="131">
        <f t="shared" si="56"/>
        <v>0</v>
      </c>
      <c r="AI65" s="115" t="s">
        <v>756</v>
      </c>
      <c r="AJ65" s="131">
        <f t="shared" si="57"/>
        <v>0</v>
      </c>
      <c r="AK65" s="131">
        <f t="shared" si="58"/>
        <v>0</v>
      </c>
      <c r="AL65" s="131">
        <f t="shared" si="59"/>
        <v>0</v>
      </c>
      <c r="AN65" s="131">
        <v>21</v>
      </c>
      <c r="AO65" s="131">
        <f>G65*0.00867543</f>
        <v>0</v>
      </c>
      <c r="AP65" s="131">
        <f>G65*(1-0.00867543)</f>
        <v>0</v>
      </c>
      <c r="AQ65" s="132" t="s">
        <v>56</v>
      </c>
      <c r="AV65" s="131">
        <f t="shared" si="60"/>
        <v>0</v>
      </c>
      <c r="AW65" s="131">
        <f t="shared" si="61"/>
        <v>0</v>
      </c>
      <c r="AX65" s="131">
        <f t="shared" si="62"/>
        <v>0</v>
      </c>
      <c r="AY65" s="132" t="s">
        <v>260</v>
      </c>
      <c r="AZ65" s="132" t="s">
        <v>759</v>
      </c>
      <c r="BA65" s="115" t="s">
        <v>758</v>
      </c>
      <c r="BC65" s="131">
        <f t="shared" si="63"/>
        <v>0</v>
      </c>
      <c r="BD65" s="131">
        <f t="shared" si="64"/>
        <v>0</v>
      </c>
      <c r="BE65" s="131">
        <v>0</v>
      </c>
      <c r="BF65" s="131">
        <f>65</f>
        <v>65</v>
      </c>
      <c r="BH65" s="131">
        <f t="shared" si="65"/>
        <v>0</v>
      </c>
      <c r="BI65" s="131">
        <f t="shared" si="66"/>
        <v>0</v>
      </c>
      <c r="BJ65" s="131">
        <f t="shared" si="67"/>
        <v>0</v>
      </c>
      <c r="BK65" s="131"/>
      <c r="BL65" s="131">
        <v>89</v>
      </c>
      <c r="BW65" s="131">
        <v>21</v>
      </c>
      <c r="BX65" s="133" t="s">
        <v>728</v>
      </c>
    </row>
    <row r="66" spans="1:76" x14ac:dyDescent="0.25">
      <c r="A66" s="123" t="s">
        <v>53</v>
      </c>
      <c r="B66" s="124" t="s">
        <v>305</v>
      </c>
      <c r="C66" s="272" t="s">
        <v>306</v>
      </c>
      <c r="D66" s="273"/>
      <c r="E66" s="125" t="s">
        <v>9</v>
      </c>
      <c r="F66" s="125" t="s">
        <v>9</v>
      </c>
      <c r="G66" s="125" t="s">
        <v>9</v>
      </c>
      <c r="H66" s="110">
        <f>SUM(H67:H67)</f>
        <v>0</v>
      </c>
      <c r="I66" s="110">
        <f>SUM(I67:I67)</f>
        <v>0</v>
      </c>
      <c r="J66" s="110">
        <f>SUM(J67:J67)</f>
        <v>0</v>
      </c>
      <c r="K66" s="126" t="s">
        <v>53</v>
      </c>
      <c r="AI66" s="115" t="s">
        <v>756</v>
      </c>
      <c r="AS66" s="110">
        <f>SUM(AJ67:AJ67)</f>
        <v>0</v>
      </c>
      <c r="AT66" s="110">
        <f>SUM(AK67:AK67)</f>
        <v>0</v>
      </c>
      <c r="AU66" s="110">
        <f>SUM(AL67:AL67)</f>
        <v>0</v>
      </c>
    </row>
    <row r="67" spans="1:76" ht="25.5" x14ac:dyDescent="0.25">
      <c r="A67" s="134" t="s">
        <v>186</v>
      </c>
      <c r="B67" s="135" t="s">
        <v>729</v>
      </c>
      <c r="C67" s="270" t="s">
        <v>730</v>
      </c>
      <c r="D67" s="271"/>
      <c r="E67" s="135" t="s">
        <v>79</v>
      </c>
      <c r="F67" s="131">
        <v>6</v>
      </c>
      <c r="G67" s="179">
        <v>0</v>
      </c>
      <c r="H67" s="131">
        <f>F67*AO67</f>
        <v>0</v>
      </c>
      <c r="I67" s="131">
        <f>F67*AP67</f>
        <v>0</v>
      </c>
      <c r="J67" s="131">
        <f>F67*G67</f>
        <v>0</v>
      </c>
      <c r="K67" s="136" t="s">
        <v>60</v>
      </c>
      <c r="Z67" s="131">
        <f>IF(AQ67="5",BJ67,0)</f>
        <v>0</v>
      </c>
      <c r="AB67" s="131">
        <f>IF(AQ67="1",BH67,0)</f>
        <v>0</v>
      </c>
      <c r="AC67" s="131">
        <f>IF(AQ67="1",BI67,0)</f>
        <v>0</v>
      </c>
      <c r="AD67" s="131">
        <f>IF(AQ67="7",BH67,0)</f>
        <v>0</v>
      </c>
      <c r="AE67" s="131">
        <f>IF(AQ67="7",BI67,0)</f>
        <v>0</v>
      </c>
      <c r="AF67" s="131">
        <f>IF(AQ67="2",BH67,0)</f>
        <v>0</v>
      </c>
      <c r="AG67" s="131">
        <f>IF(AQ67="2",BI67,0)</f>
        <v>0</v>
      </c>
      <c r="AH67" s="131">
        <f>IF(AQ67="0",BJ67,0)</f>
        <v>0</v>
      </c>
      <c r="AI67" s="115" t="s">
        <v>756</v>
      </c>
      <c r="AJ67" s="131">
        <f>IF(AN67=0,J67,0)</f>
        <v>0</v>
      </c>
      <c r="AK67" s="131">
        <f>IF(AN67=12,J67,0)</f>
        <v>0</v>
      </c>
      <c r="AL67" s="131">
        <f>IF(AN67=21,J67,0)</f>
        <v>0</v>
      </c>
      <c r="AN67" s="131">
        <v>21</v>
      </c>
      <c r="AO67" s="131">
        <f>G67*0</f>
        <v>0</v>
      </c>
      <c r="AP67" s="131">
        <f>G67*(1-0)</f>
        <v>0</v>
      </c>
      <c r="AQ67" s="132" t="s">
        <v>56</v>
      </c>
      <c r="AV67" s="131">
        <f>AW67+AX67</f>
        <v>0</v>
      </c>
      <c r="AW67" s="131">
        <f>F67*AO67</f>
        <v>0</v>
      </c>
      <c r="AX67" s="131">
        <f>F67*AP67</f>
        <v>0</v>
      </c>
      <c r="AY67" s="132" t="s">
        <v>310</v>
      </c>
      <c r="AZ67" s="132" t="s">
        <v>760</v>
      </c>
      <c r="BA67" s="115" t="s">
        <v>758</v>
      </c>
      <c r="BC67" s="131">
        <f>AW67+AX67</f>
        <v>0</v>
      </c>
      <c r="BD67" s="131">
        <f>G67/(100-BE67)*100</f>
        <v>0</v>
      </c>
      <c r="BE67" s="131">
        <v>0</v>
      </c>
      <c r="BF67" s="131">
        <f>67</f>
        <v>67</v>
      </c>
      <c r="BH67" s="131">
        <f>F67*AO67</f>
        <v>0</v>
      </c>
      <c r="BI67" s="131">
        <f>F67*AP67</f>
        <v>0</v>
      </c>
      <c r="BJ67" s="131">
        <f>F67*G67</f>
        <v>0</v>
      </c>
      <c r="BK67" s="131"/>
      <c r="BL67" s="131">
        <v>96</v>
      </c>
      <c r="BW67" s="131">
        <v>21</v>
      </c>
      <c r="BX67" s="133" t="s">
        <v>730</v>
      </c>
    </row>
    <row r="68" spans="1:76" x14ac:dyDescent="0.25">
      <c r="A68" s="123" t="s">
        <v>53</v>
      </c>
      <c r="B68" s="124" t="s">
        <v>399</v>
      </c>
      <c r="C68" s="272" t="s">
        <v>732</v>
      </c>
      <c r="D68" s="273"/>
      <c r="E68" s="125" t="s">
        <v>9</v>
      </c>
      <c r="F68" s="125" t="s">
        <v>9</v>
      </c>
      <c r="G68" s="125" t="s">
        <v>9</v>
      </c>
      <c r="H68" s="110">
        <f>SUM(H69:H69)</f>
        <v>0</v>
      </c>
      <c r="I68" s="110">
        <f>SUM(I69:I69)</f>
        <v>0</v>
      </c>
      <c r="J68" s="110">
        <f>SUM(J69:J69)</f>
        <v>0</v>
      </c>
      <c r="K68" s="126" t="s">
        <v>53</v>
      </c>
      <c r="AI68" s="115" t="s">
        <v>756</v>
      </c>
      <c r="AS68" s="110">
        <f>SUM(AJ69:AJ69)</f>
        <v>0</v>
      </c>
      <c r="AT68" s="110">
        <f>SUM(AK69:AK69)</f>
        <v>0</v>
      </c>
      <c r="AU68" s="110">
        <f>SUM(AL69:AL69)</f>
        <v>0</v>
      </c>
    </row>
    <row r="69" spans="1:76" x14ac:dyDescent="0.25">
      <c r="A69" s="134" t="s">
        <v>189</v>
      </c>
      <c r="B69" s="135" t="s">
        <v>733</v>
      </c>
      <c r="C69" s="270" t="s">
        <v>734</v>
      </c>
      <c r="D69" s="271"/>
      <c r="E69" s="135" t="s">
        <v>164</v>
      </c>
      <c r="F69" s="131">
        <v>6</v>
      </c>
      <c r="G69" s="179">
        <v>0</v>
      </c>
      <c r="H69" s="131">
        <f>F69*AO69</f>
        <v>0</v>
      </c>
      <c r="I69" s="131">
        <f>F69*AP69</f>
        <v>0</v>
      </c>
      <c r="J69" s="131">
        <f>F69*G69</f>
        <v>0</v>
      </c>
      <c r="K69" s="136" t="s">
        <v>60</v>
      </c>
      <c r="Z69" s="131">
        <f>IF(AQ69="5",BJ69,0)</f>
        <v>0</v>
      </c>
      <c r="AB69" s="131">
        <f>IF(AQ69="1",BH69,0)</f>
        <v>0</v>
      </c>
      <c r="AC69" s="131">
        <f>IF(AQ69="1",BI69,0)</f>
        <v>0</v>
      </c>
      <c r="AD69" s="131">
        <f>IF(AQ69="7",BH69,0)</f>
        <v>0</v>
      </c>
      <c r="AE69" s="131">
        <f>IF(AQ69="7",BI69,0)</f>
        <v>0</v>
      </c>
      <c r="AF69" s="131">
        <f>IF(AQ69="2",BH69,0)</f>
        <v>0</v>
      </c>
      <c r="AG69" s="131">
        <f>IF(AQ69="2",BI69,0)</f>
        <v>0</v>
      </c>
      <c r="AH69" s="131">
        <f>IF(AQ69="0",BJ69,0)</f>
        <v>0</v>
      </c>
      <c r="AI69" s="115" t="s">
        <v>756</v>
      </c>
      <c r="AJ69" s="131">
        <f>IF(AN69=0,J69,0)</f>
        <v>0</v>
      </c>
      <c r="AK69" s="131">
        <f>IF(AN69=12,J69,0)</f>
        <v>0</v>
      </c>
      <c r="AL69" s="131">
        <f>IF(AN69=21,J69,0)</f>
        <v>0</v>
      </c>
      <c r="AN69" s="131">
        <v>21</v>
      </c>
      <c r="AO69" s="131">
        <f>G69*0</f>
        <v>0</v>
      </c>
      <c r="AP69" s="131">
        <f>G69*(1-0)</f>
        <v>0</v>
      </c>
      <c r="AQ69" s="132" t="s">
        <v>56</v>
      </c>
      <c r="AV69" s="131">
        <f>AW69+AX69</f>
        <v>0</v>
      </c>
      <c r="AW69" s="131">
        <f>F69*AO69</f>
        <v>0</v>
      </c>
      <c r="AX69" s="131">
        <f>F69*AP69</f>
        <v>0</v>
      </c>
      <c r="AY69" s="132" t="s">
        <v>735</v>
      </c>
      <c r="AZ69" s="132" t="s">
        <v>760</v>
      </c>
      <c r="BA69" s="115" t="s">
        <v>758</v>
      </c>
      <c r="BC69" s="131">
        <f>AW69+AX69</f>
        <v>0</v>
      </c>
      <c r="BD69" s="131">
        <f>G69/(100-BE69)*100</f>
        <v>0</v>
      </c>
      <c r="BE69" s="131">
        <v>0</v>
      </c>
      <c r="BF69" s="131">
        <f>69</f>
        <v>69</v>
      </c>
      <c r="BH69" s="131">
        <f>F69*AO69</f>
        <v>0</v>
      </c>
      <c r="BI69" s="131">
        <f>F69*AP69</f>
        <v>0</v>
      </c>
      <c r="BJ69" s="131">
        <f>F69*G69</f>
        <v>0</v>
      </c>
      <c r="BK69" s="131"/>
      <c r="BL69" s="131">
        <v>97</v>
      </c>
      <c r="BW69" s="131">
        <v>21</v>
      </c>
      <c r="BX69" s="133" t="s">
        <v>734</v>
      </c>
    </row>
    <row r="70" spans="1:76" x14ac:dyDescent="0.25">
      <c r="A70" s="123" t="s">
        <v>53</v>
      </c>
      <c r="B70" s="124" t="s">
        <v>736</v>
      </c>
      <c r="C70" s="272" t="s">
        <v>737</v>
      </c>
      <c r="D70" s="273"/>
      <c r="E70" s="125" t="s">
        <v>9</v>
      </c>
      <c r="F70" s="125" t="s">
        <v>9</v>
      </c>
      <c r="G70" s="125" t="s">
        <v>9</v>
      </c>
      <c r="H70" s="110">
        <f>SUM(H71:H71)</f>
        <v>0</v>
      </c>
      <c r="I70" s="110">
        <f>SUM(I71:I71)</f>
        <v>0</v>
      </c>
      <c r="J70" s="110">
        <f>SUM(J71:J71)</f>
        <v>0</v>
      </c>
      <c r="K70" s="126" t="s">
        <v>53</v>
      </c>
      <c r="AI70" s="115" t="s">
        <v>756</v>
      </c>
      <c r="AS70" s="110">
        <f>SUM(AJ71:AJ71)</f>
        <v>0</v>
      </c>
      <c r="AT70" s="110">
        <f>SUM(AK71:AK71)</f>
        <v>0</v>
      </c>
      <c r="AU70" s="110">
        <f>SUM(AL71:AL71)</f>
        <v>0</v>
      </c>
    </row>
    <row r="71" spans="1:76" x14ac:dyDescent="0.25">
      <c r="A71" s="134" t="s">
        <v>191</v>
      </c>
      <c r="B71" s="135" t="s">
        <v>738</v>
      </c>
      <c r="C71" s="270" t="s">
        <v>739</v>
      </c>
      <c r="D71" s="271"/>
      <c r="E71" s="135" t="s">
        <v>122</v>
      </c>
      <c r="F71" s="131">
        <v>35.33</v>
      </c>
      <c r="G71" s="179">
        <v>0</v>
      </c>
      <c r="H71" s="131">
        <f>F71*AO71</f>
        <v>0</v>
      </c>
      <c r="I71" s="131">
        <f>F71*AP71</f>
        <v>0</v>
      </c>
      <c r="J71" s="131">
        <f>F71*G71</f>
        <v>0</v>
      </c>
      <c r="K71" s="136" t="s">
        <v>711</v>
      </c>
      <c r="Z71" s="131">
        <f>IF(AQ71="5",BJ71,0)</f>
        <v>0</v>
      </c>
      <c r="AB71" s="131">
        <f>IF(AQ71="1",BH71,0)</f>
        <v>0</v>
      </c>
      <c r="AC71" s="131">
        <f>IF(AQ71="1",BI71,0)</f>
        <v>0</v>
      </c>
      <c r="AD71" s="131">
        <f>IF(AQ71="7",BH71,0)</f>
        <v>0</v>
      </c>
      <c r="AE71" s="131">
        <f>IF(AQ71="7",BI71,0)</f>
        <v>0</v>
      </c>
      <c r="AF71" s="131">
        <f>IF(AQ71="2",BH71,0)</f>
        <v>0</v>
      </c>
      <c r="AG71" s="131">
        <f>IF(AQ71="2",BI71,0)</f>
        <v>0</v>
      </c>
      <c r="AH71" s="131">
        <f>IF(AQ71="0",BJ71,0)</f>
        <v>0</v>
      </c>
      <c r="AI71" s="115" t="s">
        <v>756</v>
      </c>
      <c r="AJ71" s="131">
        <f>IF(AN71=0,J71,0)</f>
        <v>0</v>
      </c>
      <c r="AK71" s="131">
        <f>IF(AN71=12,J71,0)</f>
        <v>0</v>
      </c>
      <c r="AL71" s="131">
        <f>IF(AN71=21,J71,0)</f>
        <v>0</v>
      </c>
      <c r="AN71" s="131">
        <v>21</v>
      </c>
      <c r="AO71" s="131">
        <f>G71*0</f>
        <v>0</v>
      </c>
      <c r="AP71" s="131">
        <f>G71*(1-0)</f>
        <v>0</v>
      </c>
      <c r="AQ71" s="132" t="s">
        <v>76</v>
      </c>
      <c r="AV71" s="131">
        <f>AW71+AX71</f>
        <v>0</v>
      </c>
      <c r="AW71" s="131">
        <f>F71*AO71</f>
        <v>0</v>
      </c>
      <c r="AX71" s="131">
        <f>F71*AP71</f>
        <v>0</v>
      </c>
      <c r="AY71" s="132" t="s">
        <v>740</v>
      </c>
      <c r="AZ71" s="132" t="s">
        <v>760</v>
      </c>
      <c r="BA71" s="115" t="s">
        <v>758</v>
      </c>
      <c r="BC71" s="131">
        <f>AW71+AX71</f>
        <v>0</v>
      </c>
      <c r="BD71" s="131">
        <f>G71/(100-BE71)*100</f>
        <v>0</v>
      </c>
      <c r="BE71" s="131">
        <v>0</v>
      </c>
      <c r="BF71" s="131">
        <f>71</f>
        <v>71</v>
      </c>
      <c r="BH71" s="131">
        <f>F71*AO71</f>
        <v>0</v>
      </c>
      <c r="BI71" s="131">
        <f>F71*AP71</f>
        <v>0</v>
      </c>
      <c r="BJ71" s="131">
        <f>F71*G71</f>
        <v>0</v>
      </c>
      <c r="BK71" s="131"/>
      <c r="BL71" s="131"/>
      <c r="BW71" s="131">
        <v>21</v>
      </c>
      <c r="BX71" s="133" t="s">
        <v>739</v>
      </c>
    </row>
    <row r="72" spans="1:76" x14ac:dyDescent="0.25">
      <c r="A72" s="123" t="s">
        <v>53</v>
      </c>
      <c r="B72" s="124" t="s">
        <v>338</v>
      </c>
      <c r="C72" s="272" t="s">
        <v>339</v>
      </c>
      <c r="D72" s="273"/>
      <c r="E72" s="125" t="s">
        <v>9</v>
      </c>
      <c r="F72" s="125" t="s">
        <v>9</v>
      </c>
      <c r="G72" s="125" t="s">
        <v>9</v>
      </c>
      <c r="H72" s="110">
        <f>SUM(H73:H77)</f>
        <v>0</v>
      </c>
      <c r="I72" s="110">
        <f>SUM(I73:I77)</f>
        <v>0</v>
      </c>
      <c r="J72" s="110">
        <f>SUM(J73:J77)</f>
        <v>0</v>
      </c>
      <c r="K72" s="126" t="s">
        <v>53</v>
      </c>
      <c r="AI72" s="115" t="s">
        <v>756</v>
      </c>
      <c r="AS72" s="110">
        <f>SUM(AJ73:AJ77)</f>
        <v>0</v>
      </c>
      <c r="AT72" s="110">
        <f>SUM(AK73:AK77)</f>
        <v>0</v>
      </c>
      <c r="AU72" s="110">
        <f>SUM(AL73:AL77)</f>
        <v>0</v>
      </c>
    </row>
    <row r="73" spans="1:76" x14ac:dyDescent="0.25">
      <c r="A73" s="134" t="s">
        <v>194</v>
      </c>
      <c r="B73" s="135" t="s">
        <v>741</v>
      </c>
      <c r="C73" s="270" t="s">
        <v>742</v>
      </c>
      <c r="D73" s="271"/>
      <c r="E73" s="135" t="s">
        <v>164</v>
      </c>
      <c r="F73" s="131">
        <v>6</v>
      </c>
      <c r="G73" s="179">
        <v>0</v>
      </c>
      <c r="H73" s="131">
        <f>F73*AO73</f>
        <v>0</v>
      </c>
      <c r="I73" s="131">
        <f>F73*AP73</f>
        <v>0</v>
      </c>
      <c r="J73" s="131">
        <f>F73*G73</f>
        <v>0</v>
      </c>
      <c r="K73" s="136" t="s">
        <v>60</v>
      </c>
      <c r="Z73" s="131">
        <f>IF(AQ73="5",BJ73,0)</f>
        <v>0</v>
      </c>
      <c r="AB73" s="131">
        <f>IF(AQ73="1",BH73,0)</f>
        <v>0</v>
      </c>
      <c r="AC73" s="131">
        <f>IF(AQ73="1",BI73,0)</f>
        <v>0</v>
      </c>
      <c r="AD73" s="131">
        <f>IF(AQ73="7",BH73,0)</f>
        <v>0</v>
      </c>
      <c r="AE73" s="131">
        <f>IF(AQ73="7",BI73,0)</f>
        <v>0</v>
      </c>
      <c r="AF73" s="131">
        <f>IF(AQ73="2",BH73,0)</f>
        <v>0</v>
      </c>
      <c r="AG73" s="131">
        <f>IF(AQ73="2",BI73,0)</f>
        <v>0</v>
      </c>
      <c r="AH73" s="131">
        <f>IF(AQ73="0",BJ73,0)</f>
        <v>0</v>
      </c>
      <c r="AI73" s="115" t="s">
        <v>756</v>
      </c>
      <c r="AJ73" s="131">
        <f>IF(AN73=0,J73,0)</f>
        <v>0</v>
      </c>
      <c r="AK73" s="131">
        <f>IF(AN73=12,J73,0)</f>
        <v>0</v>
      </c>
      <c r="AL73" s="131">
        <f>IF(AN73=21,J73,0)</f>
        <v>0</v>
      </c>
      <c r="AN73" s="131">
        <v>21</v>
      </c>
      <c r="AO73" s="131">
        <f>G73*1</f>
        <v>0</v>
      </c>
      <c r="AP73" s="131">
        <f>G73*(1-1)</f>
        <v>0</v>
      </c>
      <c r="AQ73" s="132" t="s">
        <v>343</v>
      </c>
      <c r="AV73" s="131">
        <f>AW73+AX73</f>
        <v>0</v>
      </c>
      <c r="AW73" s="131">
        <f>F73*AO73</f>
        <v>0</v>
      </c>
      <c r="AX73" s="131">
        <f>F73*AP73</f>
        <v>0</v>
      </c>
      <c r="AY73" s="132" t="s">
        <v>344</v>
      </c>
      <c r="AZ73" s="132" t="s">
        <v>761</v>
      </c>
      <c r="BA73" s="115" t="s">
        <v>758</v>
      </c>
      <c r="BC73" s="131">
        <f>AW73+AX73</f>
        <v>0</v>
      </c>
      <c r="BD73" s="131">
        <f>G73/(100-BE73)*100</f>
        <v>0</v>
      </c>
      <c r="BE73" s="131">
        <v>0</v>
      </c>
      <c r="BF73" s="131">
        <f>73</f>
        <v>73</v>
      </c>
      <c r="BH73" s="131">
        <f>F73*AO73</f>
        <v>0</v>
      </c>
      <c r="BI73" s="131">
        <f>F73*AP73</f>
        <v>0</v>
      </c>
      <c r="BJ73" s="131">
        <f>F73*G73</f>
        <v>0</v>
      </c>
      <c r="BK73" s="131"/>
      <c r="BL73" s="131"/>
      <c r="BW73" s="131">
        <v>21</v>
      </c>
      <c r="BX73" s="133" t="s">
        <v>742</v>
      </c>
    </row>
    <row r="74" spans="1:76" x14ac:dyDescent="0.25">
      <c r="A74" s="134" t="s">
        <v>197</v>
      </c>
      <c r="B74" s="135" t="s">
        <v>746</v>
      </c>
      <c r="C74" s="270" t="s">
        <v>747</v>
      </c>
      <c r="D74" s="271"/>
      <c r="E74" s="135" t="s">
        <v>164</v>
      </c>
      <c r="F74" s="131">
        <v>6</v>
      </c>
      <c r="G74" s="179">
        <v>0</v>
      </c>
      <c r="H74" s="131">
        <f>F74*AO74</f>
        <v>0</v>
      </c>
      <c r="I74" s="131">
        <f>F74*AP74</f>
        <v>0</v>
      </c>
      <c r="J74" s="131">
        <f>F74*G74</f>
        <v>0</v>
      </c>
      <c r="K74" s="136" t="s">
        <v>60</v>
      </c>
      <c r="Z74" s="131">
        <f>IF(AQ74="5",BJ74,0)</f>
        <v>0</v>
      </c>
      <c r="AB74" s="131">
        <f>IF(AQ74="1",BH74,0)</f>
        <v>0</v>
      </c>
      <c r="AC74" s="131">
        <f>IF(AQ74="1",BI74,0)</f>
        <v>0</v>
      </c>
      <c r="AD74" s="131">
        <f>IF(AQ74="7",BH74,0)</f>
        <v>0</v>
      </c>
      <c r="AE74" s="131">
        <f>IF(AQ74="7",BI74,0)</f>
        <v>0</v>
      </c>
      <c r="AF74" s="131">
        <f>IF(AQ74="2",BH74,0)</f>
        <v>0</v>
      </c>
      <c r="AG74" s="131">
        <f>IF(AQ74="2",BI74,0)</f>
        <v>0</v>
      </c>
      <c r="AH74" s="131">
        <f>IF(AQ74="0",BJ74,0)</f>
        <v>0</v>
      </c>
      <c r="AI74" s="115" t="s">
        <v>756</v>
      </c>
      <c r="AJ74" s="131">
        <f>IF(AN74=0,J74,0)</f>
        <v>0</v>
      </c>
      <c r="AK74" s="131">
        <f>IF(AN74=12,J74,0)</f>
        <v>0</v>
      </c>
      <c r="AL74" s="131">
        <f>IF(AN74=21,J74,0)</f>
        <v>0</v>
      </c>
      <c r="AN74" s="131">
        <v>21</v>
      </c>
      <c r="AO74" s="131">
        <f>G74*1</f>
        <v>0</v>
      </c>
      <c r="AP74" s="131">
        <f>G74*(1-1)</f>
        <v>0</v>
      </c>
      <c r="AQ74" s="132" t="s">
        <v>343</v>
      </c>
      <c r="AV74" s="131">
        <f>AW74+AX74</f>
        <v>0</v>
      </c>
      <c r="AW74" s="131">
        <f>F74*AO74</f>
        <v>0</v>
      </c>
      <c r="AX74" s="131">
        <f>F74*AP74</f>
        <v>0</v>
      </c>
      <c r="AY74" s="132" t="s">
        <v>344</v>
      </c>
      <c r="AZ74" s="132" t="s">
        <v>761</v>
      </c>
      <c r="BA74" s="115" t="s">
        <v>758</v>
      </c>
      <c r="BC74" s="131">
        <f>AW74+AX74</f>
        <v>0</v>
      </c>
      <c r="BD74" s="131">
        <f>G74/(100-BE74)*100</f>
        <v>0</v>
      </c>
      <c r="BE74" s="131">
        <v>0</v>
      </c>
      <c r="BF74" s="131">
        <f>74</f>
        <v>74</v>
      </c>
      <c r="BH74" s="131">
        <f>F74*AO74</f>
        <v>0</v>
      </c>
      <c r="BI74" s="131">
        <f>F74*AP74</f>
        <v>0</v>
      </c>
      <c r="BJ74" s="131">
        <f>F74*G74</f>
        <v>0</v>
      </c>
      <c r="BK74" s="131"/>
      <c r="BL74" s="131"/>
      <c r="BW74" s="131">
        <v>21</v>
      </c>
      <c r="BX74" s="133" t="s">
        <v>747</v>
      </c>
    </row>
    <row r="75" spans="1:76" x14ac:dyDescent="0.25">
      <c r="A75" s="134" t="s">
        <v>199</v>
      </c>
      <c r="B75" s="135" t="s">
        <v>748</v>
      </c>
      <c r="C75" s="270" t="s">
        <v>749</v>
      </c>
      <c r="D75" s="271"/>
      <c r="E75" s="135" t="s">
        <v>164</v>
      </c>
      <c r="F75" s="131">
        <v>6</v>
      </c>
      <c r="G75" s="179">
        <v>0</v>
      </c>
      <c r="H75" s="131">
        <f>F75*AO75</f>
        <v>0</v>
      </c>
      <c r="I75" s="131">
        <f>F75*AP75</f>
        <v>0</v>
      </c>
      <c r="J75" s="131">
        <f>F75*G75</f>
        <v>0</v>
      </c>
      <c r="K75" s="136" t="s">
        <v>60</v>
      </c>
      <c r="Z75" s="131">
        <f>IF(AQ75="5",BJ75,0)</f>
        <v>0</v>
      </c>
      <c r="AB75" s="131">
        <f>IF(AQ75="1",BH75,0)</f>
        <v>0</v>
      </c>
      <c r="AC75" s="131">
        <f>IF(AQ75="1",BI75,0)</f>
        <v>0</v>
      </c>
      <c r="AD75" s="131">
        <f>IF(AQ75="7",BH75,0)</f>
        <v>0</v>
      </c>
      <c r="AE75" s="131">
        <f>IF(AQ75="7",BI75,0)</f>
        <v>0</v>
      </c>
      <c r="AF75" s="131">
        <f>IF(AQ75="2",BH75,0)</f>
        <v>0</v>
      </c>
      <c r="AG75" s="131">
        <f>IF(AQ75="2",BI75,0)</f>
        <v>0</v>
      </c>
      <c r="AH75" s="131">
        <f>IF(AQ75="0",BJ75,0)</f>
        <v>0</v>
      </c>
      <c r="AI75" s="115" t="s">
        <v>756</v>
      </c>
      <c r="AJ75" s="131">
        <f>IF(AN75=0,J75,0)</f>
        <v>0</v>
      </c>
      <c r="AK75" s="131">
        <f>IF(AN75=12,J75,0)</f>
        <v>0</v>
      </c>
      <c r="AL75" s="131">
        <f>IF(AN75=21,J75,0)</f>
        <v>0</v>
      </c>
      <c r="AN75" s="131">
        <v>21</v>
      </c>
      <c r="AO75" s="131">
        <f>G75*1</f>
        <v>0</v>
      </c>
      <c r="AP75" s="131">
        <f>G75*(1-1)</f>
        <v>0</v>
      </c>
      <c r="AQ75" s="132" t="s">
        <v>343</v>
      </c>
      <c r="AV75" s="131">
        <f>AW75+AX75</f>
        <v>0</v>
      </c>
      <c r="AW75" s="131">
        <f>F75*AO75</f>
        <v>0</v>
      </c>
      <c r="AX75" s="131">
        <f>F75*AP75</f>
        <v>0</v>
      </c>
      <c r="AY75" s="132" t="s">
        <v>344</v>
      </c>
      <c r="AZ75" s="132" t="s">
        <v>761</v>
      </c>
      <c r="BA75" s="115" t="s">
        <v>758</v>
      </c>
      <c r="BC75" s="131">
        <f>AW75+AX75</f>
        <v>0</v>
      </c>
      <c r="BD75" s="131">
        <f>G75/(100-BE75)*100</f>
        <v>0</v>
      </c>
      <c r="BE75" s="131">
        <v>0</v>
      </c>
      <c r="BF75" s="131">
        <f>75</f>
        <v>75</v>
      </c>
      <c r="BH75" s="131">
        <f>F75*AO75</f>
        <v>0</v>
      </c>
      <c r="BI75" s="131">
        <f>F75*AP75</f>
        <v>0</v>
      </c>
      <c r="BJ75" s="131">
        <f>F75*G75</f>
        <v>0</v>
      </c>
      <c r="BK75" s="131"/>
      <c r="BL75" s="131"/>
      <c r="BW75" s="131">
        <v>21</v>
      </c>
      <c r="BX75" s="133" t="s">
        <v>749</v>
      </c>
    </row>
    <row r="76" spans="1:76" x14ac:dyDescent="0.25">
      <c r="A76" s="134" t="s">
        <v>201</v>
      </c>
      <c r="B76" s="135" t="s">
        <v>750</v>
      </c>
      <c r="C76" s="270" t="s">
        <v>751</v>
      </c>
      <c r="D76" s="271"/>
      <c r="E76" s="135" t="s">
        <v>164</v>
      </c>
      <c r="F76" s="131">
        <v>4</v>
      </c>
      <c r="G76" s="179">
        <v>0</v>
      </c>
      <c r="H76" s="131">
        <f>F76*AO76</f>
        <v>0</v>
      </c>
      <c r="I76" s="131">
        <f>F76*AP76</f>
        <v>0</v>
      </c>
      <c r="J76" s="131">
        <f>F76*G76</f>
        <v>0</v>
      </c>
      <c r="K76" s="136" t="s">
        <v>60</v>
      </c>
      <c r="Z76" s="131">
        <f>IF(AQ76="5",BJ76,0)</f>
        <v>0</v>
      </c>
      <c r="AB76" s="131">
        <f>IF(AQ76="1",BH76,0)</f>
        <v>0</v>
      </c>
      <c r="AC76" s="131">
        <f>IF(AQ76="1",BI76,0)</f>
        <v>0</v>
      </c>
      <c r="AD76" s="131">
        <f>IF(AQ76="7",BH76,0)</f>
        <v>0</v>
      </c>
      <c r="AE76" s="131">
        <f>IF(AQ76="7",BI76,0)</f>
        <v>0</v>
      </c>
      <c r="AF76" s="131">
        <f>IF(AQ76="2",BH76,0)</f>
        <v>0</v>
      </c>
      <c r="AG76" s="131">
        <f>IF(AQ76="2",BI76,0)</f>
        <v>0</v>
      </c>
      <c r="AH76" s="131">
        <f>IF(AQ76="0",BJ76,0)</f>
        <v>0</v>
      </c>
      <c r="AI76" s="115" t="s">
        <v>756</v>
      </c>
      <c r="AJ76" s="131">
        <f>IF(AN76=0,J76,0)</f>
        <v>0</v>
      </c>
      <c r="AK76" s="131">
        <f>IF(AN76=12,J76,0)</f>
        <v>0</v>
      </c>
      <c r="AL76" s="131">
        <f>IF(AN76=21,J76,0)</f>
        <v>0</v>
      </c>
      <c r="AN76" s="131">
        <v>21</v>
      </c>
      <c r="AO76" s="131">
        <f>G76*1</f>
        <v>0</v>
      </c>
      <c r="AP76" s="131">
        <f>G76*(1-1)</f>
        <v>0</v>
      </c>
      <c r="AQ76" s="132" t="s">
        <v>343</v>
      </c>
      <c r="AV76" s="131">
        <f>AW76+AX76</f>
        <v>0</v>
      </c>
      <c r="AW76" s="131">
        <f>F76*AO76</f>
        <v>0</v>
      </c>
      <c r="AX76" s="131">
        <f>F76*AP76</f>
        <v>0</v>
      </c>
      <c r="AY76" s="132" t="s">
        <v>344</v>
      </c>
      <c r="AZ76" s="132" t="s">
        <v>761</v>
      </c>
      <c r="BA76" s="115" t="s">
        <v>758</v>
      </c>
      <c r="BC76" s="131">
        <f>AW76+AX76</f>
        <v>0</v>
      </c>
      <c r="BD76" s="131">
        <f>G76/(100-BE76)*100</f>
        <v>0</v>
      </c>
      <c r="BE76" s="131">
        <v>0</v>
      </c>
      <c r="BF76" s="131">
        <f>76</f>
        <v>76</v>
      </c>
      <c r="BH76" s="131">
        <f>F76*AO76</f>
        <v>0</v>
      </c>
      <c r="BI76" s="131">
        <f>F76*AP76</f>
        <v>0</v>
      </c>
      <c r="BJ76" s="131">
        <f>F76*G76</f>
        <v>0</v>
      </c>
      <c r="BK76" s="131"/>
      <c r="BL76" s="131"/>
      <c r="BW76" s="131">
        <v>21</v>
      </c>
      <c r="BX76" s="133" t="s">
        <v>751</v>
      </c>
    </row>
    <row r="77" spans="1:76" x14ac:dyDescent="0.25">
      <c r="A77" s="134" t="s">
        <v>203</v>
      </c>
      <c r="B77" s="135" t="s">
        <v>752</v>
      </c>
      <c r="C77" s="270" t="s">
        <v>753</v>
      </c>
      <c r="D77" s="271"/>
      <c r="E77" s="135" t="s">
        <v>164</v>
      </c>
      <c r="F77" s="131">
        <v>2</v>
      </c>
      <c r="G77" s="179">
        <v>0</v>
      </c>
      <c r="H77" s="131">
        <f>F77*AO77</f>
        <v>0</v>
      </c>
      <c r="I77" s="131">
        <f>F77*AP77</f>
        <v>0</v>
      </c>
      <c r="J77" s="131">
        <f>F77*G77</f>
        <v>0</v>
      </c>
      <c r="K77" s="136" t="s">
        <v>60</v>
      </c>
      <c r="Z77" s="131">
        <f>IF(AQ77="5",BJ77,0)</f>
        <v>0</v>
      </c>
      <c r="AB77" s="131">
        <f>IF(AQ77="1",BH77,0)</f>
        <v>0</v>
      </c>
      <c r="AC77" s="131">
        <f>IF(AQ77="1",BI77,0)</f>
        <v>0</v>
      </c>
      <c r="AD77" s="131">
        <f>IF(AQ77="7",BH77,0)</f>
        <v>0</v>
      </c>
      <c r="AE77" s="131">
        <f>IF(AQ77="7",BI77,0)</f>
        <v>0</v>
      </c>
      <c r="AF77" s="131">
        <f>IF(AQ77="2",BH77,0)</f>
        <v>0</v>
      </c>
      <c r="AG77" s="131">
        <f>IF(AQ77="2",BI77,0)</f>
        <v>0</v>
      </c>
      <c r="AH77" s="131">
        <f>IF(AQ77="0",BJ77,0)</f>
        <v>0</v>
      </c>
      <c r="AI77" s="115" t="s">
        <v>756</v>
      </c>
      <c r="AJ77" s="131">
        <f>IF(AN77=0,J77,0)</f>
        <v>0</v>
      </c>
      <c r="AK77" s="131">
        <f>IF(AN77=12,J77,0)</f>
        <v>0</v>
      </c>
      <c r="AL77" s="131">
        <f>IF(AN77=21,J77,0)</f>
        <v>0</v>
      </c>
      <c r="AN77" s="131">
        <v>21</v>
      </c>
      <c r="AO77" s="131">
        <f>G77*1</f>
        <v>0</v>
      </c>
      <c r="AP77" s="131">
        <f>G77*(1-1)</f>
        <v>0</v>
      </c>
      <c r="AQ77" s="132" t="s">
        <v>343</v>
      </c>
      <c r="AV77" s="131">
        <f>AW77+AX77</f>
        <v>0</v>
      </c>
      <c r="AW77" s="131">
        <f>F77*AO77</f>
        <v>0</v>
      </c>
      <c r="AX77" s="131">
        <f>F77*AP77</f>
        <v>0</v>
      </c>
      <c r="AY77" s="132" t="s">
        <v>344</v>
      </c>
      <c r="AZ77" s="132" t="s">
        <v>761</v>
      </c>
      <c r="BA77" s="115" t="s">
        <v>758</v>
      </c>
      <c r="BC77" s="131">
        <f>AW77+AX77</f>
        <v>0</v>
      </c>
      <c r="BD77" s="131">
        <f>G77/(100-BE77)*100</f>
        <v>0</v>
      </c>
      <c r="BE77" s="131">
        <v>0</v>
      </c>
      <c r="BF77" s="131">
        <f>77</f>
        <v>77</v>
      </c>
      <c r="BH77" s="131">
        <f>F77*AO77</f>
        <v>0</v>
      </c>
      <c r="BI77" s="131">
        <f>F77*AP77</f>
        <v>0</v>
      </c>
      <c r="BJ77" s="131">
        <f>F77*G77</f>
        <v>0</v>
      </c>
      <c r="BK77" s="131"/>
      <c r="BL77" s="131"/>
      <c r="BW77" s="131">
        <v>21</v>
      </c>
      <c r="BX77" s="133" t="s">
        <v>753</v>
      </c>
    </row>
    <row r="78" spans="1:76" x14ac:dyDescent="0.25">
      <c r="A78" s="123" t="s">
        <v>53</v>
      </c>
      <c r="B78" s="124" t="s">
        <v>409</v>
      </c>
      <c r="C78" s="272" t="s">
        <v>410</v>
      </c>
      <c r="D78" s="273"/>
      <c r="E78" s="125" t="s">
        <v>9</v>
      </c>
      <c r="F78" s="125" t="s">
        <v>9</v>
      </c>
      <c r="G78" s="125" t="s">
        <v>9</v>
      </c>
      <c r="H78" s="110">
        <f>H79+H81+H83</f>
        <v>0</v>
      </c>
      <c r="I78" s="110">
        <f>I79+I81+I83</f>
        <v>0</v>
      </c>
      <c r="J78" s="110">
        <f>J79+J81+J83</f>
        <v>0</v>
      </c>
      <c r="K78" s="126" t="s">
        <v>53</v>
      </c>
      <c r="AI78" s="115" t="s">
        <v>756</v>
      </c>
    </row>
    <row r="79" spans="1:76" x14ac:dyDescent="0.25">
      <c r="A79" s="123" t="s">
        <v>53</v>
      </c>
      <c r="B79" s="124" t="s">
        <v>411</v>
      </c>
      <c r="C79" s="272" t="s">
        <v>412</v>
      </c>
      <c r="D79" s="273"/>
      <c r="E79" s="125" t="s">
        <v>9</v>
      </c>
      <c r="F79" s="125" t="s">
        <v>9</v>
      </c>
      <c r="G79" s="125" t="s">
        <v>9</v>
      </c>
      <c r="H79" s="110">
        <f>SUM(H80:H80)</f>
        <v>0</v>
      </c>
      <c r="I79" s="110">
        <f>SUM(I80:I80)</f>
        <v>0</v>
      </c>
      <c r="J79" s="110">
        <f>SUM(J80:J80)</f>
        <v>0</v>
      </c>
      <c r="K79" s="126" t="s">
        <v>53</v>
      </c>
      <c r="AI79" s="115" t="s">
        <v>756</v>
      </c>
      <c r="AS79" s="110">
        <f>SUM(AJ80:AJ80)</f>
        <v>0</v>
      </c>
      <c r="AT79" s="110">
        <f>SUM(AK80:AK80)</f>
        <v>0</v>
      </c>
      <c r="AU79" s="110">
        <f>SUM(AL80:AL80)</f>
        <v>0</v>
      </c>
    </row>
    <row r="80" spans="1:76" x14ac:dyDescent="0.25">
      <c r="A80" s="134" t="s">
        <v>208</v>
      </c>
      <c r="B80" s="135" t="s">
        <v>414</v>
      </c>
      <c r="C80" s="270" t="s">
        <v>415</v>
      </c>
      <c r="D80" s="271"/>
      <c r="E80" s="135" t="s">
        <v>416</v>
      </c>
      <c r="F80" s="131">
        <v>1</v>
      </c>
      <c r="G80" s="179">
        <v>0</v>
      </c>
      <c r="H80" s="131">
        <f>F80*AO80</f>
        <v>0</v>
      </c>
      <c r="I80" s="131">
        <f>F80*AP80</f>
        <v>0</v>
      </c>
      <c r="J80" s="131">
        <f>F80*G80</f>
        <v>0</v>
      </c>
      <c r="K80" s="136" t="s">
        <v>53</v>
      </c>
      <c r="Z80" s="131">
        <f>IF(AQ80="5",BJ80,0)</f>
        <v>0</v>
      </c>
      <c r="AB80" s="131">
        <f>IF(AQ80="1",BH80,0)</f>
        <v>0</v>
      </c>
      <c r="AC80" s="131">
        <f>IF(AQ80="1",BI80,0)</f>
        <v>0</v>
      </c>
      <c r="AD80" s="131">
        <f>IF(AQ80="7",BH80,0)</f>
        <v>0</v>
      </c>
      <c r="AE80" s="131">
        <f>IF(AQ80="7",BI80,0)</f>
        <v>0</v>
      </c>
      <c r="AF80" s="131">
        <f>IF(AQ80="2",BH80,0)</f>
        <v>0</v>
      </c>
      <c r="AG80" s="131">
        <f>IF(AQ80="2",BI80,0)</f>
        <v>0</v>
      </c>
      <c r="AH80" s="131">
        <f>IF(AQ80="0",BJ80,0)</f>
        <v>0</v>
      </c>
      <c r="AI80" s="115" t="s">
        <v>756</v>
      </c>
      <c r="AJ80" s="131">
        <f>IF(AN80=0,J80,0)</f>
        <v>0</v>
      </c>
      <c r="AK80" s="131">
        <f>IF(AN80=12,J80,0)</f>
        <v>0</v>
      </c>
      <c r="AL80" s="131">
        <f>IF(AN80=21,J80,0)</f>
        <v>0</v>
      </c>
      <c r="AN80" s="131">
        <v>21</v>
      </c>
      <c r="AO80" s="131">
        <f>G80*0</f>
        <v>0</v>
      </c>
      <c r="AP80" s="131">
        <f>G80*(1-0)</f>
        <v>0</v>
      </c>
      <c r="AQ80" s="132" t="s">
        <v>405</v>
      </c>
      <c r="AV80" s="131">
        <f>AW80+AX80</f>
        <v>0</v>
      </c>
      <c r="AW80" s="131">
        <f>F80*AO80</f>
        <v>0</v>
      </c>
      <c r="AX80" s="131">
        <f>F80*AP80</f>
        <v>0</v>
      </c>
      <c r="AY80" s="132" t="s">
        <v>417</v>
      </c>
      <c r="AZ80" s="132" t="s">
        <v>762</v>
      </c>
      <c r="BA80" s="115" t="s">
        <v>758</v>
      </c>
      <c r="BC80" s="131">
        <f>AW80+AX80</f>
        <v>0</v>
      </c>
      <c r="BD80" s="131">
        <f>G80/(100-BE80)*100</f>
        <v>0</v>
      </c>
      <c r="BE80" s="131">
        <v>0</v>
      </c>
      <c r="BF80" s="131">
        <f>80</f>
        <v>80</v>
      </c>
      <c r="BH80" s="131">
        <f>F80*AO80</f>
        <v>0</v>
      </c>
      <c r="BI80" s="131">
        <f>F80*AP80</f>
        <v>0</v>
      </c>
      <c r="BJ80" s="131">
        <f>F80*G80</f>
        <v>0</v>
      </c>
      <c r="BK80" s="131"/>
      <c r="BL80" s="131"/>
      <c r="BM80" s="131">
        <f>F80*G80</f>
        <v>0</v>
      </c>
      <c r="BW80" s="131">
        <v>21</v>
      </c>
      <c r="BX80" s="133" t="s">
        <v>415</v>
      </c>
    </row>
    <row r="81" spans="1:76" x14ac:dyDescent="0.25">
      <c r="A81" s="123" t="s">
        <v>53</v>
      </c>
      <c r="B81" s="124" t="s">
        <v>419</v>
      </c>
      <c r="C81" s="272" t="s">
        <v>420</v>
      </c>
      <c r="D81" s="273"/>
      <c r="E81" s="125" t="s">
        <v>9</v>
      </c>
      <c r="F81" s="125" t="s">
        <v>9</v>
      </c>
      <c r="G81" s="125" t="s">
        <v>9</v>
      </c>
      <c r="H81" s="110">
        <f>SUM(H82:H82)</f>
        <v>0</v>
      </c>
      <c r="I81" s="110">
        <f>SUM(I82:I82)</f>
        <v>0</v>
      </c>
      <c r="J81" s="110">
        <f>SUM(J82:J82)</f>
        <v>0</v>
      </c>
      <c r="K81" s="126" t="s">
        <v>53</v>
      </c>
      <c r="AI81" s="115" t="s">
        <v>756</v>
      </c>
      <c r="AS81" s="110">
        <f>SUM(AJ82:AJ82)</f>
        <v>0</v>
      </c>
      <c r="AT81" s="110">
        <f>SUM(AK82:AK82)</f>
        <v>0</v>
      </c>
      <c r="AU81" s="110">
        <f>SUM(AL82:AL82)</f>
        <v>0</v>
      </c>
    </row>
    <row r="82" spans="1:76" x14ac:dyDescent="0.25">
      <c r="A82" s="134" t="s">
        <v>212</v>
      </c>
      <c r="B82" s="135" t="s">
        <v>422</v>
      </c>
      <c r="C82" s="270" t="s">
        <v>420</v>
      </c>
      <c r="D82" s="271"/>
      <c r="E82" s="135" t="s">
        <v>416</v>
      </c>
      <c r="F82" s="131">
        <v>1</v>
      </c>
      <c r="G82" s="179">
        <v>0</v>
      </c>
      <c r="H82" s="131">
        <f>F82*AO82</f>
        <v>0</v>
      </c>
      <c r="I82" s="131">
        <f>F82*AP82</f>
        <v>0</v>
      </c>
      <c r="J82" s="131">
        <f>F82*G82</f>
        <v>0</v>
      </c>
      <c r="K82" s="136" t="s">
        <v>53</v>
      </c>
      <c r="Z82" s="131">
        <f>IF(AQ82="5",BJ82,0)</f>
        <v>0</v>
      </c>
      <c r="AB82" s="131">
        <f>IF(AQ82="1",BH82,0)</f>
        <v>0</v>
      </c>
      <c r="AC82" s="131">
        <f>IF(AQ82="1",BI82,0)</f>
        <v>0</v>
      </c>
      <c r="AD82" s="131">
        <f>IF(AQ82="7",BH82,0)</f>
        <v>0</v>
      </c>
      <c r="AE82" s="131">
        <f>IF(AQ82="7",BI82,0)</f>
        <v>0</v>
      </c>
      <c r="AF82" s="131">
        <f>IF(AQ82="2",BH82,0)</f>
        <v>0</v>
      </c>
      <c r="AG82" s="131">
        <f>IF(AQ82="2",BI82,0)</f>
        <v>0</v>
      </c>
      <c r="AH82" s="131">
        <f>IF(AQ82="0",BJ82,0)</f>
        <v>0</v>
      </c>
      <c r="AI82" s="115" t="s">
        <v>756</v>
      </c>
      <c r="AJ82" s="131">
        <f>IF(AN82=0,J82,0)</f>
        <v>0</v>
      </c>
      <c r="AK82" s="131">
        <f>IF(AN82=12,J82,0)</f>
        <v>0</v>
      </c>
      <c r="AL82" s="131">
        <f>IF(AN82=21,J82,0)</f>
        <v>0</v>
      </c>
      <c r="AN82" s="131">
        <v>21</v>
      </c>
      <c r="AO82" s="131">
        <f>G82*0</f>
        <v>0</v>
      </c>
      <c r="AP82" s="131">
        <f>G82*(1-0)</f>
        <v>0</v>
      </c>
      <c r="AQ82" s="132" t="s">
        <v>405</v>
      </c>
      <c r="AV82" s="131">
        <f>AW82+AX82</f>
        <v>0</v>
      </c>
      <c r="AW82" s="131">
        <f>F82*AO82</f>
        <v>0</v>
      </c>
      <c r="AX82" s="131">
        <f>F82*AP82</f>
        <v>0</v>
      </c>
      <c r="AY82" s="132" t="s">
        <v>423</v>
      </c>
      <c r="AZ82" s="132" t="s">
        <v>762</v>
      </c>
      <c r="BA82" s="115" t="s">
        <v>758</v>
      </c>
      <c r="BC82" s="131">
        <f>AW82+AX82</f>
        <v>0</v>
      </c>
      <c r="BD82" s="131">
        <f>G82/(100-BE82)*100</f>
        <v>0</v>
      </c>
      <c r="BE82" s="131">
        <v>0</v>
      </c>
      <c r="BF82" s="131">
        <f>82</f>
        <v>82</v>
      </c>
      <c r="BH82" s="131">
        <f>F82*AO82</f>
        <v>0</v>
      </c>
      <c r="BI82" s="131">
        <f>F82*AP82</f>
        <v>0</v>
      </c>
      <c r="BJ82" s="131">
        <f>F82*G82</f>
        <v>0</v>
      </c>
      <c r="BK82" s="131"/>
      <c r="BL82" s="131"/>
      <c r="BO82" s="131">
        <f>F82*G82</f>
        <v>0</v>
      </c>
      <c r="BW82" s="131">
        <v>21</v>
      </c>
      <c r="BX82" s="133" t="s">
        <v>420</v>
      </c>
    </row>
    <row r="83" spans="1:76" x14ac:dyDescent="0.25">
      <c r="A83" s="123" t="s">
        <v>53</v>
      </c>
      <c r="B83" s="124" t="s">
        <v>424</v>
      </c>
      <c r="C83" s="272" t="s">
        <v>425</v>
      </c>
      <c r="D83" s="273"/>
      <c r="E83" s="125" t="s">
        <v>9</v>
      </c>
      <c r="F83" s="125" t="s">
        <v>9</v>
      </c>
      <c r="G83" s="125" t="s">
        <v>9</v>
      </c>
      <c r="H83" s="110">
        <f>SUM(H84:H84)</f>
        <v>0</v>
      </c>
      <c r="I83" s="110">
        <f>SUM(I84:I84)</f>
        <v>0</v>
      </c>
      <c r="J83" s="110">
        <f>SUM(J84:J84)</f>
        <v>0</v>
      </c>
      <c r="K83" s="126" t="s">
        <v>53</v>
      </c>
      <c r="AI83" s="115" t="s">
        <v>756</v>
      </c>
      <c r="AS83" s="110">
        <f>SUM(AJ84:AJ84)</f>
        <v>0</v>
      </c>
      <c r="AT83" s="110">
        <f>SUM(AK84:AK84)</f>
        <v>0</v>
      </c>
      <c r="AU83" s="110">
        <f>SUM(AL84:AL84)</f>
        <v>0</v>
      </c>
    </row>
    <row r="84" spans="1:76" x14ac:dyDescent="0.25">
      <c r="A84" s="134" t="s">
        <v>167</v>
      </c>
      <c r="B84" s="135" t="s">
        <v>427</v>
      </c>
      <c r="C84" s="270" t="s">
        <v>428</v>
      </c>
      <c r="D84" s="271"/>
      <c r="E84" s="135" t="s">
        <v>416</v>
      </c>
      <c r="F84" s="131">
        <v>1</v>
      </c>
      <c r="G84" s="179">
        <v>0</v>
      </c>
      <c r="H84" s="131">
        <f>F84*AO84</f>
        <v>0</v>
      </c>
      <c r="I84" s="131">
        <f>F84*AP84</f>
        <v>0</v>
      </c>
      <c r="J84" s="131">
        <f>F84*G84</f>
        <v>0</v>
      </c>
      <c r="K84" s="136" t="s">
        <v>53</v>
      </c>
      <c r="Z84" s="131">
        <f>IF(AQ84="5",BJ84,0)</f>
        <v>0</v>
      </c>
      <c r="AB84" s="131">
        <f>IF(AQ84="1",BH84,0)</f>
        <v>0</v>
      </c>
      <c r="AC84" s="131">
        <f>IF(AQ84="1",BI84,0)</f>
        <v>0</v>
      </c>
      <c r="AD84" s="131">
        <f>IF(AQ84="7",BH84,0)</f>
        <v>0</v>
      </c>
      <c r="AE84" s="131">
        <f>IF(AQ84="7",BI84,0)</f>
        <v>0</v>
      </c>
      <c r="AF84" s="131">
        <f>IF(AQ84="2",BH84,0)</f>
        <v>0</v>
      </c>
      <c r="AG84" s="131">
        <f>IF(AQ84="2",BI84,0)</f>
        <v>0</v>
      </c>
      <c r="AH84" s="131">
        <f>IF(AQ84="0",BJ84,0)</f>
        <v>0</v>
      </c>
      <c r="AI84" s="115" t="s">
        <v>756</v>
      </c>
      <c r="AJ84" s="131">
        <f>IF(AN84=0,J84,0)</f>
        <v>0</v>
      </c>
      <c r="AK84" s="131">
        <f>IF(AN84=12,J84,0)</f>
        <v>0</v>
      </c>
      <c r="AL84" s="131">
        <f>IF(AN84=21,J84,0)</f>
        <v>0</v>
      </c>
      <c r="AN84" s="131">
        <v>21</v>
      </c>
      <c r="AO84" s="131">
        <f>G84*0</f>
        <v>0</v>
      </c>
      <c r="AP84" s="131">
        <f>G84*(1-0)</f>
        <v>0</v>
      </c>
      <c r="AQ84" s="132" t="s">
        <v>405</v>
      </c>
      <c r="AV84" s="131">
        <f>AW84+AX84</f>
        <v>0</v>
      </c>
      <c r="AW84" s="131">
        <f>F84*AO84</f>
        <v>0</v>
      </c>
      <c r="AX84" s="131">
        <f>F84*AP84</f>
        <v>0</v>
      </c>
      <c r="AY84" s="132" t="s">
        <v>429</v>
      </c>
      <c r="AZ84" s="132" t="s">
        <v>762</v>
      </c>
      <c r="BA84" s="115" t="s">
        <v>758</v>
      </c>
      <c r="BC84" s="131">
        <f>AW84+AX84</f>
        <v>0</v>
      </c>
      <c r="BD84" s="131">
        <f>G84/(100-BE84)*100</f>
        <v>0</v>
      </c>
      <c r="BE84" s="131">
        <v>0</v>
      </c>
      <c r="BF84" s="131">
        <f>84</f>
        <v>84</v>
      </c>
      <c r="BH84" s="131">
        <f>F84*AO84</f>
        <v>0</v>
      </c>
      <c r="BI84" s="131">
        <f>F84*AP84</f>
        <v>0</v>
      </c>
      <c r="BJ84" s="131">
        <f>F84*G84</f>
        <v>0</v>
      </c>
      <c r="BK84" s="131"/>
      <c r="BL84" s="131"/>
      <c r="BR84" s="131">
        <f>F84*G84</f>
        <v>0</v>
      </c>
      <c r="BW84" s="131">
        <v>21</v>
      </c>
      <c r="BX84" s="133" t="s">
        <v>428</v>
      </c>
    </row>
    <row r="85" spans="1:76" x14ac:dyDescent="0.25">
      <c r="A85" s="123" t="s">
        <v>53</v>
      </c>
      <c r="B85" s="124" t="s">
        <v>53</v>
      </c>
      <c r="C85" s="272" t="s">
        <v>763</v>
      </c>
      <c r="D85" s="273"/>
      <c r="E85" s="125" t="s">
        <v>9</v>
      </c>
      <c r="F85" s="125" t="s">
        <v>9</v>
      </c>
      <c r="G85" s="125" t="s">
        <v>9</v>
      </c>
      <c r="H85" s="110">
        <f>H86+H88+H90+H93+H95+H102+H104+H106+H108+H115+H117+H119</f>
        <v>0</v>
      </c>
      <c r="I85" s="110">
        <f>I86+I88+I90+I93+I95+I102+I104+I106+I108+I115+I117+I119</f>
        <v>0</v>
      </c>
      <c r="J85" s="110">
        <f>J86+J88+J90+J93+J95+J102+J104+J106+J108+J115+J117+J119</f>
        <v>0</v>
      </c>
      <c r="K85" s="126" t="s">
        <v>53</v>
      </c>
    </row>
    <row r="86" spans="1:76" x14ac:dyDescent="0.25">
      <c r="A86" s="123" t="s">
        <v>53</v>
      </c>
      <c r="B86" s="124" t="s">
        <v>54</v>
      </c>
      <c r="C86" s="272" t="s">
        <v>55</v>
      </c>
      <c r="D86" s="273"/>
      <c r="E86" s="125" t="s">
        <v>9</v>
      </c>
      <c r="F86" s="125" t="s">
        <v>9</v>
      </c>
      <c r="G86" s="125" t="s">
        <v>9</v>
      </c>
      <c r="H86" s="110">
        <f>SUM(H87:H87)</f>
        <v>0</v>
      </c>
      <c r="I86" s="110">
        <f>SUM(I87:I87)</f>
        <v>0</v>
      </c>
      <c r="J86" s="110">
        <f>SUM(J87:J87)</f>
        <v>0</v>
      </c>
      <c r="K86" s="126" t="s">
        <v>53</v>
      </c>
      <c r="AI86" s="115" t="s">
        <v>764</v>
      </c>
      <c r="AS86" s="110">
        <f>SUM(AJ87:AJ87)</f>
        <v>0</v>
      </c>
      <c r="AT86" s="110">
        <f>SUM(AK87:AK87)</f>
        <v>0</v>
      </c>
      <c r="AU86" s="110">
        <f>SUM(AL87:AL87)</f>
        <v>0</v>
      </c>
    </row>
    <row r="87" spans="1:76" x14ac:dyDescent="0.25">
      <c r="A87" s="134" t="s">
        <v>220</v>
      </c>
      <c r="B87" s="135" t="s">
        <v>703</v>
      </c>
      <c r="C87" s="270" t="s">
        <v>704</v>
      </c>
      <c r="D87" s="271"/>
      <c r="E87" s="135" t="s">
        <v>705</v>
      </c>
      <c r="F87" s="131">
        <v>8</v>
      </c>
      <c r="G87" s="179">
        <v>0</v>
      </c>
      <c r="H87" s="131">
        <f>F87*AO87</f>
        <v>0</v>
      </c>
      <c r="I87" s="131">
        <f>F87*AP87</f>
        <v>0</v>
      </c>
      <c r="J87" s="131">
        <f>F87*G87</f>
        <v>0</v>
      </c>
      <c r="K87" s="136" t="s">
        <v>60</v>
      </c>
      <c r="Z87" s="131">
        <f>IF(AQ87="5",BJ87,0)</f>
        <v>0</v>
      </c>
      <c r="AB87" s="131">
        <f>IF(AQ87="1",BH87,0)</f>
        <v>0</v>
      </c>
      <c r="AC87" s="131">
        <f>IF(AQ87="1",BI87,0)</f>
        <v>0</v>
      </c>
      <c r="AD87" s="131">
        <f>IF(AQ87="7",BH87,0)</f>
        <v>0</v>
      </c>
      <c r="AE87" s="131">
        <f>IF(AQ87="7",BI87,0)</f>
        <v>0</v>
      </c>
      <c r="AF87" s="131">
        <f>IF(AQ87="2",BH87,0)</f>
        <v>0</v>
      </c>
      <c r="AG87" s="131">
        <f>IF(AQ87="2",BI87,0)</f>
        <v>0</v>
      </c>
      <c r="AH87" s="131">
        <f>IF(AQ87="0",BJ87,0)</f>
        <v>0</v>
      </c>
      <c r="AI87" s="115" t="s">
        <v>764</v>
      </c>
      <c r="AJ87" s="131">
        <f>IF(AN87=0,J87,0)</f>
        <v>0</v>
      </c>
      <c r="AK87" s="131">
        <f>IF(AN87=12,J87,0)</f>
        <v>0</v>
      </c>
      <c r="AL87" s="131">
        <f>IF(AN87=21,J87,0)</f>
        <v>0</v>
      </c>
      <c r="AN87" s="131">
        <v>21</v>
      </c>
      <c r="AO87" s="131">
        <f>G87*0</f>
        <v>0</v>
      </c>
      <c r="AP87" s="131">
        <f>G87*(1-0)</f>
        <v>0</v>
      </c>
      <c r="AQ87" s="132" t="s">
        <v>56</v>
      </c>
      <c r="AV87" s="131">
        <f>AW87+AX87</f>
        <v>0</v>
      </c>
      <c r="AW87" s="131">
        <f>F87*AO87</f>
        <v>0</v>
      </c>
      <c r="AX87" s="131">
        <f>F87*AP87</f>
        <v>0</v>
      </c>
      <c r="AY87" s="132" t="s">
        <v>61</v>
      </c>
      <c r="AZ87" s="132" t="s">
        <v>765</v>
      </c>
      <c r="BA87" s="115" t="s">
        <v>766</v>
      </c>
      <c r="BC87" s="131">
        <f>AW87+AX87</f>
        <v>0</v>
      </c>
      <c r="BD87" s="131">
        <f>G87/(100-BE87)*100</f>
        <v>0</v>
      </c>
      <c r="BE87" s="131">
        <v>0</v>
      </c>
      <c r="BF87" s="131">
        <f>87</f>
        <v>87</v>
      </c>
      <c r="BH87" s="131">
        <f>F87*AO87</f>
        <v>0</v>
      </c>
      <c r="BI87" s="131">
        <f>F87*AP87</f>
        <v>0</v>
      </c>
      <c r="BJ87" s="131">
        <f>F87*G87</f>
        <v>0</v>
      </c>
      <c r="BK87" s="131"/>
      <c r="BL87" s="131">
        <v>11</v>
      </c>
      <c r="BW87" s="131">
        <v>21</v>
      </c>
      <c r="BX87" s="133" t="s">
        <v>704</v>
      </c>
    </row>
    <row r="88" spans="1:76" x14ac:dyDescent="0.25">
      <c r="A88" s="123" t="s">
        <v>53</v>
      </c>
      <c r="B88" s="124" t="s">
        <v>96</v>
      </c>
      <c r="C88" s="272" t="s">
        <v>97</v>
      </c>
      <c r="D88" s="273"/>
      <c r="E88" s="125" t="s">
        <v>9</v>
      </c>
      <c r="F88" s="125" t="s">
        <v>9</v>
      </c>
      <c r="G88" s="125" t="s">
        <v>9</v>
      </c>
      <c r="H88" s="110">
        <f>SUM(H89:H89)</f>
        <v>0</v>
      </c>
      <c r="I88" s="110">
        <f>SUM(I89:I89)</f>
        <v>0</v>
      </c>
      <c r="J88" s="110">
        <f>SUM(J89:J89)</f>
        <v>0</v>
      </c>
      <c r="K88" s="126" t="s">
        <v>53</v>
      </c>
      <c r="AI88" s="115" t="s">
        <v>764</v>
      </c>
      <c r="AS88" s="110">
        <f>SUM(AJ89:AJ89)</f>
        <v>0</v>
      </c>
      <c r="AT88" s="110">
        <f>SUM(AK89:AK89)</f>
        <v>0</v>
      </c>
      <c r="AU88" s="110">
        <f>SUM(AL89:AL89)</f>
        <v>0</v>
      </c>
    </row>
    <row r="89" spans="1:76" x14ac:dyDescent="0.25">
      <c r="A89" s="134" t="s">
        <v>223</v>
      </c>
      <c r="B89" s="135" t="s">
        <v>708</v>
      </c>
      <c r="C89" s="270" t="s">
        <v>709</v>
      </c>
      <c r="D89" s="271"/>
      <c r="E89" s="135" t="s">
        <v>79</v>
      </c>
      <c r="F89" s="131">
        <v>16</v>
      </c>
      <c r="G89" s="179">
        <v>0</v>
      </c>
      <c r="H89" s="131">
        <f>F89*AO89</f>
        <v>0</v>
      </c>
      <c r="I89" s="131">
        <f>F89*AP89</f>
        <v>0</v>
      </c>
      <c r="J89" s="131">
        <f>F89*G89</f>
        <v>0</v>
      </c>
      <c r="K89" s="136" t="s">
        <v>60</v>
      </c>
      <c r="Z89" s="131">
        <f>IF(AQ89="5",BJ89,0)</f>
        <v>0</v>
      </c>
      <c r="AB89" s="131">
        <f>IF(AQ89="1",BH89,0)</f>
        <v>0</v>
      </c>
      <c r="AC89" s="131">
        <f>IF(AQ89="1",BI89,0)</f>
        <v>0</v>
      </c>
      <c r="AD89" s="131">
        <f>IF(AQ89="7",BH89,0)</f>
        <v>0</v>
      </c>
      <c r="AE89" s="131">
        <f>IF(AQ89="7",BI89,0)</f>
        <v>0</v>
      </c>
      <c r="AF89" s="131">
        <f>IF(AQ89="2",BH89,0)</f>
        <v>0</v>
      </c>
      <c r="AG89" s="131">
        <f>IF(AQ89="2",BI89,0)</f>
        <v>0</v>
      </c>
      <c r="AH89" s="131">
        <f>IF(AQ89="0",BJ89,0)</f>
        <v>0</v>
      </c>
      <c r="AI89" s="115" t="s">
        <v>764</v>
      </c>
      <c r="AJ89" s="131">
        <f>IF(AN89=0,J89,0)</f>
        <v>0</v>
      </c>
      <c r="AK89" s="131">
        <f>IF(AN89=12,J89,0)</f>
        <v>0</v>
      </c>
      <c r="AL89" s="131">
        <f>IF(AN89=21,J89,0)</f>
        <v>0</v>
      </c>
      <c r="AN89" s="131">
        <v>21</v>
      </c>
      <c r="AO89" s="131">
        <f>G89*0</f>
        <v>0</v>
      </c>
      <c r="AP89" s="131">
        <f>G89*(1-0)</f>
        <v>0</v>
      </c>
      <c r="AQ89" s="132" t="s">
        <v>56</v>
      </c>
      <c r="AV89" s="131">
        <f>AW89+AX89</f>
        <v>0</v>
      </c>
      <c r="AW89" s="131">
        <f>F89*AO89</f>
        <v>0</v>
      </c>
      <c r="AX89" s="131">
        <f>F89*AP89</f>
        <v>0</v>
      </c>
      <c r="AY89" s="132" t="s">
        <v>100</v>
      </c>
      <c r="AZ89" s="132" t="s">
        <v>765</v>
      </c>
      <c r="BA89" s="115" t="s">
        <v>766</v>
      </c>
      <c r="BC89" s="131">
        <f>AW89+AX89</f>
        <v>0</v>
      </c>
      <c r="BD89" s="131">
        <f>G89/(100-BE89)*100</f>
        <v>0</v>
      </c>
      <c r="BE89" s="131">
        <v>0</v>
      </c>
      <c r="BF89" s="131">
        <f>89</f>
        <v>89</v>
      </c>
      <c r="BH89" s="131">
        <f>F89*AO89</f>
        <v>0</v>
      </c>
      <c r="BI89" s="131">
        <f>F89*AP89</f>
        <v>0</v>
      </c>
      <c r="BJ89" s="131">
        <f>F89*G89</f>
        <v>0</v>
      </c>
      <c r="BK89" s="131"/>
      <c r="BL89" s="131">
        <v>13</v>
      </c>
      <c r="BW89" s="131">
        <v>21</v>
      </c>
      <c r="BX89" s="133" t="s">
        <v>709</v>
      </c>
    </row>
    <row r="90" spans="1:76" x14ac:dyDescent="0.25">
      <c r="A90" s="123" t="s">
        <v>53</v>
      </c>
      <c r="B90" s="124" t="s">
        <v>101</v>
      </c>
      <c r="C90" s="272" t="s">
        <v>102</v>
      </c>
      <c r="D90" s="273"/>
      <c r="E90" s="125" t="s">
        <v>9</v>
      </c>
      <c r="F90" s="125" t="s">
        <v>9</v>
      </c>
      <c r="G90" s="125" t="s">
        <v>9</v>
      </c>
      <c r="H90" s="110">
        <f>SUM(H91:H92)</f>
        <v>0</v>
      </c>
      <c r="I90" s="110">
        <f>SUM(I91:I92)</f>
        <v>0</v>
      </c>
      <c r="J90" s="110">
        <f>SUM(J91:J92)</f>
        <v>0</v>
      </c>
      <c r="K90" s="126" t="s">
        <v>53</v>
      </c>
      <c r="AI90" s="115" t="s">
        <v>764</v>
      </c>
      <c r="AS90" s="110">
        <f>SUM(AJ91:AJ92)</f>
        <v>0</v>
      </c>
      <c r="AT90" s="110">
        <f>SUM(AK91:AK92)</f>
        <v>0</v>
      </c>
      <c r="AU90" s="110">
        <f>SUM(AL91:AL92)</f>
        <v>0</v>
      </c>
    </row>
    <row r="91" spans="1:76" x14ac:dyDescent="0.25">
      <c r="A91" s="134" t="s">
        <v>226</v>
      </c>
      <c r="B91" s="135" t="s">
        <v>114</v>
      </c>
      <c r="C91" s="270" t="s">
        <v>710</v>
      </c>
      <c r="D91" s="271"/>
      <c r="E91" s="135" t="s">
        <v>79</v>
      </c>
      <c r="F91" s="131">
        <v>4</v>
      </c>
      <c r="G91" s="179">
        <v>0</v>
      </c>
      <c r="H91" s="131">
        <f>F91*AO91</f>
        <v>0</v>
      </c>
      <c r="I91" s="131">
        <f>F91*AP91</f>
        <v>0</v>
      </c>
      <c r="J91" s="131">
        <f>F91*G91</f>
        <v>0</v>
      </c>
      <c r="K91" s="136" t="s">
        <v>711</v>
      </c>
      <c r="Z91" s="131">
        <f>IF(AQ91="5",BJ91,0)</f>
        <v>0</v>
      </c>
      <c r="AB91" s="131">
        <f>IF(AQ91="1",BH91,0)</f>
        <v>0</v>
      </c>
      <c r="AC91" s="131">
        <f>IF(AQ91="1",BI91,0)</f>
        <v>0</v>
      </c>
      <c r="AD91" s="131">
        <f>IF(AQ91="7",BH91,0)</f>
        <v>0</v>
      </c>
      <c r="AE91" s="131">
        <f>IF(AQ91="7",BI91,0)</f>
        <v>0</v>
      </c>
      <c r="AF91" s="131">
        <f>IF(AQ91="2",BH91,0)</f>
        <v>0</v>
      </c>
      <c r="AG91" s="131">
        <f>IF(AQ91="2",BI91,0)</f>
        <v>0</v>
      </c>
      <c r="AH91" s="131">
        <f>IF(AQ91="0",BJ91,0)</f>
        <v>0</v>
      </c>
      <c r="AI91" s="115" t="s">
        <v>764</v>
      </c>
      <c r="AJ91" s="131">
        <f>IF(AN91=0,J91,0)</f>
        <v>0</v>
      </c>
      <c r="AK91" s="131">
        <f>IF(AN91=12,J91,0)</f>
        <v>0</v>
      </c>
      <c r="AL91" s="131">
        <f>IF(AN91=21,J91,0)</f>
        <v>0</v>
      </c>
      <c r="AN91" s="131">
        <v>21</v>
      </c>
      <c r="AO91" s="131">
        <f>G91*0</f>
        <v>0</v>
      </c>
      <c r="AP91" s="131">
        <f>G91*(1-0)</f>
        <v>0</v>
      </c>
      <c r="AQ91" s="132" t="s">
        <v>56</v>
      </c>
      <c r="AV91" s="131">
        <f>AW91+AX91</f>
        <v>0</v>
      </c>
      <c r="AW91" s="131">
        <f>F91*AO91</f>
        <v>0</v>
      </c>
      <c r="AX91" s="131">
        <f>F91*AP91</f>
        <v>0</v>
      </c>
      <c r="AY91" s="132" t="s">
        <v>105</v>
      </c>
      <c r="AZ91" s="132" t="s">
        <v>765</v>
      </c>
      <c r="BA91" s="115" t="s">
        <v>766</v>
      </c>
      <c r="BC91" s="131">
        <f>AW91+AX91</f>
        <v>0</v>
      </c>
      <c r="BD91" s="131">
        <f>G91/(100-BE91)*100</f>
        <v>0</v>
      </c>
      <c r="BE91" s="131">
        <v>0</v>
      </c>
      <c r="BF91" s="131">
        <f>91</f>
        <v>91</v>
      </c>
      <c r="BH91" s="131">
        <f>F91*AO91</f>
        <v>0</v>
      </c>
      <c r="BI91" s="131">
        <f>F91*AP91</f>
        <v>0</v>
      </c>
      <c r="BJ91" s="131">
        <f>F91*G91</f>
        <v>0</v>
      </c>
      <c r="BK91" s="131"/>
      <c r="BL91" s="131">
        <v>16</v>
      </c>
      <c r="BW91" s="131">
        <v>21</v>
      </c>
      <c r="BX91" s="133" t="s">
        <v>710</v>
      </c>
    </row>
    <row r="92" spans="1:76" x14ac:dyDescent="0.25">
      <c r="A92" s="134" t="s">
        <v>229</v>
      </c>
      <c r="B92" s="135" t="s">
        <v>712</v>
      </c>
      <c r="C92" s="270" t="s">
        <v>713</v>
      </c>
      <c r="D92" s="271"/>
      <c r="E92" s="135" t="s">
        <v>122</v>
      </c>
      <c r="F92" s="131">
        <v>10</v>
      </c>
      <c r="G92" s="179">
        <v>0</v>
      </c>
      <c r="H92" s="131">
        <f>F92*AO92</f>
        <v>0</v>
      </c>
      <c r="I92" s="131">
        <f>F92*AP92</f>
        <v>0</v>
      </c>
      <c r="J92" s="131">
        <f>F92*G92</f>
        <v>0</v>
      </c>
      <c r="K92" s="136" t="s">
        <v>711</v>
      </c>
      <c r="Z92" s="131">
        <f>IF(AQ92="5",BJ92,0)</f>
        <v>0</v>
      </c>
      <c r="AB92" s="131">
        <f>IF(AQ92="1",BH92,0)</f>
        <v>0</v>
      </c>
      <c r="AC92" s="131">
        <f>IF(AQ92="1",BI92,0)</f>
        <v>0</v>
      </c>
      <c r="AD92" s="131">
        <f>IF(AQ92="7",BH92,0)</f>
        <v>0</v>
      </c>
      <c r="AE92" s="131">
        <f>IF(AQ92="7",BI92,0)</f>
        <v>0</v>
      </c>
      <c r="AF92" s="131">
        <f>IF(AQ92="2",BH92,0)</f>
        <v>0</v>
      </c>
      <c r="AG92" s="131">
        <f>IF(AQ92="2",BI92,0)</f>
        <v>0</v>
      </c>
      <c r="AH92" s="131">
        <f>IF(AQ92="0",BJ92,0)</f>
        <v>0</v>
      </c>
      <c r="AI92" s="115" t="s">
        <v>764</v>
      </c>
      <c r="AJ92" s="131">
        <f>IF(AN92=0,J92,0)</f>
        <v>0</v>
      </c>
      <c r="AK92" s="131">
        <f>IF(AN92=12,J92,0)</f>
        <v>0</v>
      </c>
      <c r="AL92" s="131">
        <f>IF(AN92=21,J92,0)</f>
        <v>0</v>
      </c>
      <c r="AN92" s="131">
        <v>21</v>
      </c>
      <c r="AO92" s="131">
        <f>G92*0</f>
        <v>0</v>
      </c>
      <c r="AP92" s="131">
        <f>G92*(1-0)</f>
        <v>0</v>
      </c>
      <c r="AQ92" s="132" t="s">
        <v>56</v>
      </c>
      <c r="AV92" s="131">
        <f>AW92+AX92</f>
        <v>0</v>
      </c>
      <c r="AW92" s="131">
        <f>F92*AO92</f>
        <v>0</v>
      </c>
      <c r="AX92" s="131">
        <f>F92*AP92</f>
        <v>0</v>
      </c>
      <c r="AY92" s="132" t="s">
        <v>105</v>
      </c>
      <c r="AZ92" s="132" t="s">
        <v>765</v>
      </c>
      <c r="BA92" s="115" t="s">
        <v>766</v>
      </c>
      <c r="BC92" s="131">
        <f>AW92+AX92</f>
        <v>0</v>
      </c>
      <c r="BD92" s="131">
        <f>G92/(100-BE92)*100</f>
        <v>0</v>
      </c>
      <c r="BE92" s="131">
        <v>0</v>
      </c>
      <c r="BF92" s="131">
        <f>92</f>
        <v>92</v>
      </c>
      <c r="BH92" s="131">
        <f>F92*AO92</f>
        <v>0</v>
      </c>
      <c r="BI92" s="131">
        <f>F92*AP92</f>
        <v>0</v>
      </c>
      <c r="BJ92" s="131">
        <f>F92*G92</f>
        <v>0</v>
      </c>
      <c r="BK92" s="131"/>
      <c r="BL92" s="131">
        <v>16</v>
      </c>
      <c r="BW92" s="131">
        <v>21</v>
      </c>
      <c r="BX92" s="133" t="s">
        <v>713</v>
      </c>
    </row>
    <row r="93" spans="1:76" x14ac:dyDescent="0.25">
      <c r="A93" s="123" t="s">
        <v>53</v>
      </c>
      <c r="B93" s="124" t="s">
        <v>116</v>
      </c>
      <c r="C93" s="272" t="s">
        <v>123</v>
      </c>
      <c r="D93" s="273"/>
      <c r="E93" s="125" t="s">
        <v>9</v>
      </c>
      <c r="F93" s="125" t="s">
        <v>9</v>
      </c>
      <c r="G93" s="125" t="s">
        <v>9</v>
      </c>
      <c r="H93" s="110">
        <f>SUM(H94:H94)</f>
        <v>0</v>
      </c>
      <c r="I93" s="110">
        <f>SUM(I94:I94)</f>
        <v>0</v>
      </c>
      <c r="J93" s="110">
        <f>SUM(J94:J94)</f>
        <v>0</v>
      </c>
      <c r="K93" s="126" t="s">
        <v>53</v>
      </c>
      <c r="AI93" s="115" t="s">
        <v>764</v>
      </c>
      <c r="AS93" s="110">
        <f>SUM(AJ94:AJ94)</f>
        <v>0</v>
      </c>
      <c r="AT93" s="110">
        <f>SUM(AK94:AK94)</f>
        <v>0</v>
      </c>
      <c r="AU93" s="110">
        <f>SUM(AL94:AL94)</f>
        <v>0</v>
      </c>
    </row>
    <row r="94" spans="1:76" x14ac:dyDescent="0.25">
      <c r="A94" s="134" t="s">
        <v>234</v>
      </c>
      <c r="B94" s="135" t="s">
        <v>129</v>
      </c>
      <c r="C94" s="270" t="s">
        <v>714</v>
      </c>
      <c r="D94" s="271"/>
      <c r="E94" s="135" t="s">
        <v>79</v>
      </c>
      <c r="F94" s="131">
        <v>16</v>
      </c>
      <c r="G94" s="179">
        <v>0</v>
      </c>
      <c r="H94" s="131">
        <f>F94*AO94</f>
        <v>0</v>
      </c>
      <c r="I94" s="131">
        <f>F94*AP94</f>
        <v>0</v>
      </c>
      <c r="J94" s="131">
        <f>F94*G94</f>
        <v>0</v>
      </c>
      <c r="K94" s="136" t="s">
        <v>60</v>
      </c>
      <c r="Z94" s="131">
        <f>IF(AQ94="5",BJ94,0)</f>
        <v>0</v>
      </c>
      <c r="AB94" s="131">
        <f>IF(AQ94="1",BH94,0)</f>
        <v>0</v>
      </c>
      <c r="AC94" s="131">
        <f>IF(AQ94="1",BI94,0)</f>
        <v>0</v>
      </c>
      <c r="AD94" s="131">
        <f>IF(AQ94="7",BH94,0)</f>
        <v>0</v>
      </c>
      <c r="AE94" s="131">
        <f>IF(AQ94="7",BI94,0)</f>
        <v>0</v>
      </c>
      <c r="AF94" s="131">
        <f>IF(AQ94="2",BH94,0)</f>
        <v>0</v>
      </c>
      <c r="AG94" s="131">
        <f>IF(AQ94="2",BI94,0)</f>
        <v>0</v>
      </c>
      <c r="AH94" s="131">
        <f>IF(AQ94="0",BJ94,0)</f>
        <v>0</v>
      </c>
      <c r="AI94" s="115" t="s">
        <v>764</v>
      </c>
      <c r="AJ94" s="131">
        <f>IF(AN94=0,J94,0)</f>
        <v>0</v>
      </c>
      <c r="AK94" s="131">
        <f>IF(AN94=12,J94,0)</f>
        <v>0</v>
      </c>
      <c r="AL94" s="131">
        <f>IF(AN94=21,J94,0)</f>
        <v>0</v>
      </c>
      <c r="AN94" s="131">
        <v>21</v>
      </c>
      <c r="AO94" s="131">
        <f>G94*0</f>
        <v>0</v>
      </c>
      <c r="AP94" s="131">
        <f>G94*(1-0)</f>
        <v>0</v>
      </c>
      <c r="AQ94" s="132" t="s">
        <v>56</v>
      </c>
      <c r="AV94" s="131">
        <f>AW94+AX94</f>
        <v>0</v>
      </c>
      <c r="AW94" s="131">
        <f>F94*AO94</f>
        <v>0</v>
      </c>
      <c r="AX94" s="131">
        <f>F94*AP94</f>
        <v>0</v>
      </c>
      <c r="AY94" s="132" t="s">
        <v>127</v>
      </c>
      <c r="AZ94" s="132" t="s">
        <v>765</v>
      </c>
      <c r="BA94" s="115" t="s">
        <v>766</v>
      </c>
      <c r="BC94" s="131">
        <f>AW94+AX94</f>
        <v>0</v>
      </c>
      <c r="BD94" s="131">
        <f>G94/(100-BE94)*100</f>
        <v>0</v>
      </c>
      <c r="BE94" s="131">
        <v>0</v>
      </c>
      <c r="BF94" s="131">
        <f>94</f>
        <v>94</v>
      </c>
      <c r="BH94" s="131">
        <f>F94*AO94</f>
        <v>0</v>
      </c>
      <c r="BI94" s="131">
        <f>F94*AP94</f>
        <v>0</v>
      </c>
      <c r="BJ94" s="131">
        <f>F94*G94</f>
        <v>0</v>
      </c>
      <c r="BK94" s="131"/>
      <c r="BL94" s="131">
        <v>17</v>
      </c>
      <c r="BW94" s="131">
        <v>21</v>
      </c>
      <c r="BX94" s="133" t="s">
        <v>714</v>
      </c>
    </row>
    <row r="95" spans="1:76" x14ac:dyDescent="0.25">
      <c r="A95" s="123" t="s">
        <v>53</v>
      </c>
      <c r="B95" s="124" t="s">
        <v>255</v>
      </c>
      <c r="C95" s="272" t="s">
        <v>715</v>
      </c>
      <c r="D95" s="273"/>
      <c r="E95" s="125" t="s">
        <v>9</v>
      </c>
      <c r="F95" s="125" t="s">
        <v>9</v>
      </c>
      <c r="G95" s="125" t="s">
        <v>9</v>
      </c>
      <c r="H95" s="110">
        <f>SUM(H96:H101)</f>
        <v>0</v>
      </c>
      <c r="I95" s="110">
        <f>SUM(I96:I101)</f>
        <v>0</v>
      </c>
      <c r="J95" s="110">
        <f>SUM(J96:J101)</f>
        <v>0</v>
      </c>
      <c r="K95" s="126" t="s">
        <v>53</v>
      </c>
      <c r="AI95" s="115" t="s">
        <v>764</v>
      </c>
      <c r="AS95" s="110">
        <f>SUM(AJ96:AJ101)</f>
        <v>0</v>
      </c>
      <c r="AT95" s="110">
        <f>SUM(AK96:AK101)</f>
        <v>0</v>
      </c>
      <c r="AU95" s="110">
        <f>SUM(AL96:AL101)</f>
        <v>0</v>
      </c>
    </row>
    <row r="96" spans="1:76" x14ac:dyDescent="0.25">
      <c r="A96" s="134" t="s">
        <v>239</v>
      </c>
      <c r="B96" s="135" t="s">
        <v>716</v>
      </c>
      <c r="C96" s="270" t="s">
        <v>717</v>
      </c>
      <c r="D96" s="271"/>
      <c r="E96" s="135" t="s">
        <v>79</v>
      </c>
      <c r="F96" s="131">
        <v>4</v>
      </c>
      <c r="G96" s="179">
        <v>0</v>
      </c>
      <c r="H96" s="131">
        <f t="shared" ref="H96:H101" si="68">F96*AO96</f>
        <v>0</v>
      </c>
      <c r="I96" s="131">
        <f t="shared" ref="I96:I101" si="69">F96*AP96</f>
        <v>0</v>
      </c>
      <c r="J96" s="131">
        <f t="shared" ref="J96:J101" si="70">F96*G96</f>
        <v>0</v>
      </c>
      <c r="K96" s="136" t="s">
        <v>60</v>
      </c>
      <c r="Z96" s="131">
        <f t="shared" ref="Z96:Z101" si="71">IF(AQ96="5",BJ96,0)</f>
        <v>0</v>
      </c>
      <c r="AB96" s="131">
        <f t="shared" ref="AB96:AB101" si="72">IF(AQ96="1",BH96,0)</f>
        <v>0</v>
      </c>
      <c r="AC96" s="131">
        <f t="shared" ref="AC96:AC101" si="73">IF(AQ96="1",BI96,0)</f>
        <v>0</v>
      </c>
      <c r="AD96" s="131">
        <f t="shared" ref="AD96:AD101" si="74">IF(AQ96="7",BH96,0)</f>
        <v>0</v>
      </c>
      <c r="AE96" s="131">
        <f t="shared" ref="AE96:AE101" si="75">IF(AQ96="7",BI96,0)</f>
        <v>0</v>
      </c>
      <c r="AF96" s="131">
        <f t="shared" ref="AF96:AF101" si="76">IF(AQ96="2",BH96,0)</f>
        <v>0</v>
      </c>
      <c r="AG96" s="131">
        <f t="shared" ref="AG96:AG101" si="77">IF(AQ96="2",BI96,0)</f>
        <v>0</v>
      </c>
      <c r="AH96" s="131">
        <f t="shared" ref="AH96:AH101" si="78">IF(AQ96="0",BJ96,0)</f>
        <v>0</v>
      </c>
      <c r="AI96" s="115" t="s">
        <v>764</v>
      </c>
      <c r="AJ96" s="131">
        <f t="shared" ref="AJ96:AJ101" si="79">IF(AN96=0,J96,0)</f>
        <v>0</v>
      </c>
      <c r="AK96" s="131">
        <f t="shared" ref="AK96:AK101" si="80">IF(AN96=12,J96,0)</f>
        <v>0</v>
      </c>
      <c r="AL96" s="131">
        <f t="shared" ref="AL96:AL101" si="81">IF(AN96=21,J96,0)</f>
        <v>0</v>
      </c>
      <c r="AN96" s="131">
        <v>21</v>
      </c>
      <c r="AO96" s="131">
        <f>G96*0.735830657</f>
        <v>0</v>
      </c>
      <c r="AP96" s="131">
        <f>G96*(1-0.735830657)</f>
        <v>0</v>
      </c>
      <c r="AQ96" s="132" t="s">
        <v>56</v>
      </c>
      <c r="AV96" s="131">
        <f t="shared" ref="AV96:AV101" si="82">AW96+AX96</f>
        <v>0</v>
      </c>
      <c r="AW96" s="131">
        <f t="shared" ref="AW96:AW101" si="83">F96*AO96</f>
        <v>0</v>
      </c>
      <c r="AX96" s="131">
        <f t="shared" ref="AX96:AX101" si="84">F96*AP96</f>
        <v>0</v>
      </c>
      <c r="AY96" s="132" t="s">
        <v>260</v>
      </c>
      <c r="AZ96" s="132" t="s">
        <v>767</v>
      </c>
      <c r="BA96" s="115" t="s">
        <v>766</v>
      </c>
      <c r="BC96" s="131">
        <f t="shared" ref="BC96:BC101" si="85">AW96+AX96</f>
        <v>0</v>
      </c>
      <c r="BD96" s="131">
        <f t="shared" ref="BD96:BD101" si="86">G96/(100-BE96)*100</f>
        <v>0</v>
      </c>
      <c r="BE96" s="131">
        <v>0</v>
      </c>
      <c r="BF96" s="131">
        <f>96</f>
        <v>96</v>
      </c>
      <c r="BH96" s="131">
        <f t="shared" ref="BH96:BH101" si="87">F96*AO96</f>
        <v>0</v>
      </c>
      <c r="BI96" s="131">
        <f t="shared" ref="BI96:BI101" si="88">F96*AP96</f>
        <v>0</v>
      </c>
      <c r="BJ96" s="131">
        <f t="shared" ref="BJ96:BJ101" si="89">F96*G96</f>
        <v>0</v>
      </c>
      <c r="BK96" s="131"/>
      <c r="BL96" s="131">
        <v>89</v>
      </c>
      <c r="BW96" s="131">
        <v>21</v>
      </c>
      <c r="BX96" s="133" t="s">
        <v>717</v>
      </c>
    </row>
    <row r="97" spans="1:76" x14ac:dyDescent="0.25">
      <c r="A97" s="134" t="s">
        <v>244</v>
      </c>
      <c r="B97" s="135" t="s">
        <v>719</v>
      </c>
      <c r="C97" s="270" t="s">
        <v>720</v>
      </c>
      <c r="D97" s="271"/>
      <c r="E97" s="135" t="s">
        <v>59</v>
      </c>
      <c r="F97" s="131">
        <v>4</v>
      </c>
      <c r="G97" s="179">
        <v>0</v>
      </c>
      <c r="H97" s="131">
        <f t="shared" si="68"/>
        <v>0</v>
      </c>
      <c r="I97" s="131">
        <f t="shared" si="69"/>
        <v>0</v>
      </c>
      <c r="J97" s="131">
        <f t="shared" si="70"/>
        <v>0</v>
      </c>
      <c r="K97" s="136" t="s">
        <v>60</v>
      </c>
      <c r="Z97" s="131">
        <f t="shared" si="71"/>
        <v>0</v>
      </c>
      <c r="AB97" s="131">
        <f t="shared" si="72"/>
        <v>0</v>
      </c>
      <c r="AC97" s="131">
        <f t="shared" si="73"/>
        <v>0</v>
      </c>
      <c r="AD97" s="131">
        <f t="shared" si="74"/>
        <v>0</v>
      </c>
      <c r="AE97" s="131">
        <f t="shared" si="75"/>
        <v>0</v>
      </c>
      <c r="AF97" s="131">
        <f t="shared" si="76"/>
        <v>0</v>
      </c>
      <c r="AG97" s="131">
        <f t="shared" si="77"/>
        <v>0</v>
      </c>
      <c r="AH97" s="131">
        <f t="shared" si="78"/>
        <v>0</v>
      </c>
      <c r="AI97" s="115" t="s">
        <v>764</v>
      </c>
      <c r="AJ97" s="131">
        <f t="shared" si="79"/>
        <v>0</v>
      </c>
      <c r="AK97" s="131">
        <f t="shared" si="80"/>
        <v>0</v>
      </c>
      <c r="AL97" s="131">
        <f t="shared" si="81"/>
        <v>0</v>
      </c>
      <c r="AN97" s="131">
        <v>21</v>
      </c>
      <c r="AO97" s="131">
        <f>G97*0.252878168</f>
        <v>0</v>
      </c>
      <c r="AP97" s="131">
        <f>G97*(1-0.252878168)</f>
        <v>0</v>
      </c>
      <c r="AQ97" s="132" t="s">
        <v>56</v>
      </c>
      <c r="AV97" s="131">
        <f t="shared" si="82"/>
        <v>0</v>
      </c>
      <c r="AW97" s="131">
        <f t="shared" si="83"/>
        <v>0</v>
      </c>
      <c r="AX97" s="131">
        <f t="shared" si="84"/>
        <v>0</v>
      </c>
      <c r="AY97" s="132" t="s">
        <v>260</v>
      </c>
      <c r="AZ97" s="132" t="s">
        <v>767</v>
      </c>
      <c r="BA97" s="115" t="s">
        <v>766</v>
      </c>
      <c r="BC97" s="131">
        <f t="shared" si="85"/>
        <v>0</v>
      </c>
      <c r="BD97" s="131">
        <f t="shared" si="86"/>
        <v>0</v>
      </c>
      <c r="BE97" s="131">
        <v>0</v>
      </c>
      <c r="BF97" s="131">
        <f>97</f>
        <v>97</v>
      </c>
      <c r="BH97" s="131">
        <f t="shared" si="87"/>
        <v>0</v>
      </c>
      <c r="BI97" s="131">
        <f t="shared" si="88"/>
        <v>0</v>
      </c>
      <c r="BJ97" s="131">
        <f t="shared" si="89"/>
        <v>0</v>
      </c>
      <c r="BK97" s="131"/>
      <c r="BL97" s="131">
        <v>89</v>
      </c>
      <c r="BW97" s="131">
        <v>21</v>
      </c>
      <c r="BX97" s="133" t="s">
        <v>720</v>
      </c>
    </row>
    <row r="98" spans="1:76" x14ac:dyDescent="0.25">
      <c r="A98" s="134" t="s">
        <v>251</v>
      </c>
      <c r="B98" s="135" t="s">
        <v>721</v>
      </c>
      <c r="C98" s="270" t="s">
        <v>722</v>
      </c>
      <c r="D98" s="271"/>
      <c r="E98" s="135" t="s">
        <v>164</v>
      </c>
      <c r="F98" s="131">
        <v>4</v>
      </c>
      <c r="G98" s="179">
        <v>0</v>
      </c>
      <c r="H98" s="131">
        <f t="shared" si="68"/>
        <v>0</v>
      </c>
      <c r="I98" s="131">
        <f t="shared" si="69"/>
        <v>0</v>
      </c>
      <c r="J98" s="131">
        <f t="shared" si="70"/>
        <v>0</v>
      </c>
      <c r="K98" s="136" t="s">
        <v>60</v>
      </c>
      <c r="Z98" s="131">
        <f t="shared" si="71"/>
        <v>0</v>
      </c>
      <c r="AB98" s="131">
        <f t="shared" si="72"/>
        <v>0</v>
      </c>
      <c r="AC98" s="131">
        <f t="shared" si="73"/>
        <v>0</v>
      </c>
      <c r="AD98" s="131">
        <f t="shared" si="74"/>
        <v>0</v>
      </c>
      <c r="AE98" s="131">
        <f t="shared" si="75"/>
        <v>0</v>
      </c>
      <c r="AF98" s="131">
        <f t="shared" si="76"/>
        <v>0</v>
      </c>
      <c r="AG98" s="131">
        <f t="shared" si="77"/>
        <v>0</v>
      </c>
      <c r="AH98" s="131">
        <f t="shared" si="78"/>
        <v>0</v>
      </c>
      <c r="AI98" s="115" t="s">
        <v>764</v>
      </c>
      <c r="AJ98" s="131">
        <f t="shared" si="79"/>
        <v>0</v>
      </c>
      <c r="AK98" s="131">
        <f t="shared" si="80"/>
        <v>0</v>
      </c>
      <c r="AL98" s="131">
        <f t="shared" si="81"/>
        <v>0</v>
      </c>
      <c r="AN98" s="131">
        <v>21</v>
      </c>
      <c r="AO98" s="131">
        <f>G98*0</f>
        <v>0</v>
      </c>
      <c r="AP98" s="131">
        <f>G98*(1-0)</f>
        <v>0</v>
      </c>
      <c r="AQ98" s="132" t="s">
        <v>56</v>
      </c>
      <c r="AV98" s="131">
        <f t="shared" si="82"/>
        <v>0</v>
      </c>
      <c r="AW98" s="131">
        <f t="shared" si="83"/>
        <v>0</v>
      </c>
      <c r="AX98" s="131">
        <f t="shared" si="84"/>
        <v>0</v>
      </c>
      <c r="AY98" s="132" t="s">
        <v>260</v>
      </c>
      <c r="AZ98" s="132" t="s">
        <v>767</v>
      </c>
      <c r="BA98" s="115" t="s">
        <v>766</v>
      </c>
      <c r="BC98" s="131">
        <f t="shared" si="85"/>
        <v>0</v>
      </c>
      <c r="BD98" s="131">
        <f t="shared" si="86"/>
        <v>0</v>
      </c>
      <c r="BE98" s="131">
        <v>0</v>
      </c>
      <c r="BF98" s="131">
        <f>98</f>
        <v>98</v>
      </c>
      <c r="BH98" s="131">
        <f t="shared" si="87"/>
        <v>0</v>
      </c>
      <c r="BI98" s="131">
        <f t="shared" si="88"/>
        <v>0</v>
      </c>
      <c r="BJ98" s="131">
        <f t="shared" si="89"/>
        <v>0</v>
      </c>
      <c r="BK98" s="131"/>
      <c r="BL98" s="131">
        <v>89</v>
      </c>
      <c r="BW98" s="131">
        <v>21</v>
      </c>
      <c r="BX98" s="133" t="s">
        <v>722</v>
      </c>
    </row>
    <row r="99" spans="1:76" x14ac:dyDescent="0.25">
      <c r="A99" s="134" t="s">
        <v>257</v>
      </c>
      <c r="B99" s="135" t="s">
        <v>723</v>
      </c>
      <c r="C99" s="270" t="s">
        <v>724</v>
      </c>
      <c r="D99" s="271"/>
      <c r="E99" s="135" t="s">
        <v>164</v>
      </c>
      <c r="F99" s="131">
        <v>8</v>
      </c>
      <c r="G99" s="179">
        <v>0</v>
      </c>
      <c r="H99" s="131">
        <f t="shared" si="68"/>
        <v>0</v>
      </c>
      <c r="I99" s="131">
        <f t="shared" si="69"/>
        <v>0</v>
      </c>
      <c r="J99" s="131">
        <f t="shared" si="70"/>
        <v>0</v>
      </c>
      <c r="K99" s="136" t="s">
        <v>60</v>
      </c>
      <c r="Z99" s="131">
        <f t="shared" si="71"/>
        <v>0</v>
      </c>
      <c r="AB99" s="131">
        <f t="shared" si="72"/>
        <v>0</v>
      </c>
      <c r="AC99" s="131">
        <f t="shared" si="73"/>
        <v>0</v>
      </c>
      <c r="AD99" s="131">
        <f t="shared" si="74"/>
        <v>0</v>
      </c>
      <c r="AE99" s="131">
        <f t="shared" si="75"/>
        <v>0</v>
      </c>
      <c r="AF99" s="131">
        <f t="shared" si="76"/>
        <v>0</v>
      </c>
      <c r="AG99" s="131">
        <f t="shared" si="77"/>
        <v>0</v>
      </c>
      <c r="AH99" s="131">
        <f t="shared" si="78"/>
        <v>0</v>
      </c>
      <c r="AI99" s="115" t="s">
        <v>764</v>
      </c>
      <c r="AJ99" s="131">
        <f t="shared" si="79"/>
        <v>0</v>
      </c>
      <c r="AK99" s="131">
        <f t="shared" si="80"/>
        <v>0</v>
      </c>
      <c r="AL99" s="131">
        <f t="shared" si="81"/>
        <v>0</v>
      </c>
      <c r="AN99" s="131">
        <v>21</v>
      </c>
      <c r="AO99" s="131">
        <f>G99*0</f>
        <v>0</v>
      </c>
      <c r="AP99" s="131">
        <f>G99*(1-0)</f>
        <v>0</v>
      </c>
      <c r="AQ99" s="132" t="s">
        <v>56</v>
      </c>
      <c r="AV99" s="131">
        <f t="shared" si="82"/>
        <v>0</v>
      </c>
      <c r="AW99" s="131">
        <f t="shared" si="83"/>
        <v>0</v>
      </c>
      <c r="AX99" s="131">
        <f t="shared" si="84"/>
        <v>0</v>
      </c>
      <c r="AY99" s="132" t="s">
        <v>260</v>
      </c>
      <c r="AZ99" s="132" t="s">
        <v>767</v>
      </c>
      <c r="BA99" s="115" t="s">
        <v>766</v>
      </c>
      <c r="BC99" s="131">
        <f t="shared" si="85"/>
        <v>0</v>
      </c>
      <c r="BD99" s="131">
        <f t="shared" si="86"/>
        <v>0</v>
      </c>
      <c r="BE99" s="131">
        <v>0</v>
      </c>
      <c r="BF99" s="131">
        <f>99</f>
        <v>99</v>
      </c>
      <c r="BH99" s="131">
        <f t="shared" si="87"/>
        <v>0</v>
      </c>
      <c r="BI99" s="131">
        <f t="shared" si="88"/>
        <v>0</v>
      </c>
      <c r="BJ99" s="131">
        <f t="shared" si="89"/>
        <v>0</v>
      </c>
      <c r="BK99" s="131"/>
      <c r="BL99" s="131">
        <v>89</v>
      </c>
      <c r="BW99" s="131">
        <v>21</v>
      </c>
      <c r="BX99" s="133" t="s">
        <v>724</v>
      </c>
    </row>
    <row r="100" spans="1:76" x14ac:dyDescent="0.25">
      <c r="A100" s="134" t="s">
        <v>262</v>
      </c>
      <c r="B100" s="135" t="s">
        <v>725</v>
      </c>
      <c r="C100" s="270" t="s">
        <v>726</v>
      </c>
      <c r="D100" s="271"/>
      <c r="E100" s="135" t="s">
        <v>164</v>
      </c>
      <c r="F100" s="131">
        <v>1</v>
      </c>
      <c r="G100" s="179">
        <v>0</v>
      </c>
      <c r="H100" s="131">
        <f t="shared" si="68"/>
        <v>0</v>
      </c>
      <c r="I100" s="131">
        <f t="shared" si="69"/>
        <v>0</v>
      </c>
      <c r="J100" s="131">
        <f t="shared" si="70"/>
        <v>0</v>
      </c>
      <c r="K100" s="136" t="s">
        <v>60</v>
      </c>
      <c r="Z100" s="131">
        <f t="shared" si="71"/>
        <v>0</v>
      </c>
      <c r="AB100" s="131">
        <f t="shared" si="72"/>
        <v>0</v>
      </c>
      <c r="AC100" s="131">
        <f t="shared" si="73"/>
        <v>0</v>
      </c>
      <c r="AD100" s="131">
        <f t="shared" si="74"/>
        <v>0</v>
      </c>
      <c r="AE100" s="131">
        <f t="shared" si="75"/>
        <v>0</v>
      </c>
      <c r="AF100" s="131">
        <f t="shared" si="76"/>
        <v>0</v>
      </c>
      <c r="AG100" s="131">
        <f t="shared" si="77"/>
        <v>0</v>
      </c>
      <c r="AH100" s="131">
        <f t="shared" si="78"/>
        <v>0</v>
      </c>
      <c r="AI100" s="115" t="s">
        <v>764</v>
      </c>
      <c r="AJ100" s="131">
        <f t="shared" si="79"/>
        <v>0</v>
      </c>
      <c r="AK100" s="131">
        <f t="shared" si="80"/>
        <v>0</v>
      </c>
      <c r="AL100" s="131">
        <f t="shared" si="81"/>
        <v>0</v>
      </c>
      <c r="AN100" s="131">
        <v>21</v>
      </c>
      <c r="AO100" s="131">
        <f>G100*0.00977221</f>
        <v>0</v>
      </c>
      <c r="AP100" s="131">
        <f>G100*(1-0.00977221)</f>
        <v>0</v>
      </c>
      <c r="AQ100" s="132" t="s">
        <v>56</v>
      </c>
      <c r="AV100" s="131">
        <f t="shared" si="82"/>
        <v>0</v>
      </c>
      <c r="AW100" s="131">
        <f t="shared" si="83"/>
        <v>0</v>
      </c>
      <c r="AX100" s="131">
        <f t="shared" si="84"/>
        <v>0</v>
      </c>
      <c r="AY100" s="132" t="s">
        <v>260</v>
      </c>
      <c r="AZ100" s="132" t="s">
        <v>767</v>
      </c>
      <c r="BA100" s="115" t="s">
        <v>766</v>
      </c>
      <c r="BC100" s="131">
        <f t="shared" si="85"/>
        <v>0</v>
      </c>
      <c r="BD100" s="131">
        <f t="shared" si="86"/>
        <v>0</v>
      </c>
      <c r="BE100" s="131">
        <v>0</v>
      </c>
      <c r="BF100" s="131">
        <f>100</f>
        <v>100</v>
      </c>
      <c r="BH100" s="131">
        <f t="shared" si="87"/>
        <v>0</v>
      </c>
      <c r="BI100" s="131">
        <f t="shared" si="88"/>
        <v>0</v>
      </c>
      <c r="BJ100" s="131">
        <f t="shared" si="89"/>
        <v>0</v>
      </c>
      <c r="BK100" s="131"/>
      <c r="BL100" s="131">
        <v>89</v>
      </c>
      <c r="BW100" s="131">
        <v>21</v>
      </c>
      <c r="BX100" s="133" t="s">
        <v>726</v>
      </c>
    </row>
    <row r="101" spans="1:76" x14ac:dyDescent="0.25">
      <c r="A101" s="134" t="s">
        <v>177</v>
      </c>
      <c r="B101" s="135" t="s">
        <v>727</v>
      </c>
      <c r="C101" s="270" t="s">
        <v>728</v>
      </c>
      <c r="D101" s="271"/>
      <c r="E101" s="135" t="s">
        <v>164</v>
      </c>
      <c r="F101" s="131">
        <v>3</v>
      </c>
      <c r="G101" s="179">
        <v>0</v>
      </c>
      <c r="H101" s="131">
        <f t="shared" si="68"/>
        <v>0</v>
      </c>
      <c r="I101" s="131">
        <f t="shared" si="69"/>
        <v>0</v>
      </c>
      <c r="J101" s="131">
        <f t="shared" si="70"/>
        <v>0</v>
      </c>
      <c r="K101" s="136" t="s">
        <v>60</v>
      </c>
      <c r="Z101" s="131">
        <f t="shared" si="71"/>
        <v>0</v>
      </c>
      <c r="AB101" s="131">
        <f t="shared" si="72"/>
        <v>0</v>
      </c>
      <c r="AC101" s="131">
        <f t="shared" si="73"/>
        <v>0</v>
      </c>
      <c r="AD101" s="131">
        <f t="shared" si="74"/>
        <v>0</v>
      </c>
      <c r="AE101" s="131">
        <f t="shared" si="75"/>
        <v>0</v>
      </c>
      <c r="AF101" s="131">
        <f t="shared" si="76"/>
        <v>0</v>
      </c>
      <c r="AG101" s="131">
        <f t="shared" si="77"/>
        <v>0</v>
      </c>
      <c r="AH101" s="131">
        <f t="shared" si="78"/>
        <v>0</v>
      </c>
      <c r="AI101" s="115" t="s">
        <v>764</v>
      </c>
      <c r="AJ101" s="131">
        <f t="shared" si="79"/>
        <v>0</v>
      </c>
      <c r="AK101" s="131">
        <f t="shared" si="80"/>
        <v>0</v>
      </c>
      <c r="AL101" s="131">
        <f t="shared" si="81"/>
        <v>0</v>
      </c>
      <c r="AN101" s="131">
        <v>21</v>
      </c>
      <c r="AO101" s="131">
        <f>G101*0.00867543</f>
        <v>0</v>
      </c>
      <c r="AP101" s="131">
        <f>G101*(1-0.00867543)</f>
        <v>0</v>
      </c>
      <c r="AQ101" s="132" t="s">
        <v>56</v>
      </c>
      <c r="AV101" s="131">
        <f t="shared" si="82"/>
        <v>0</v>
      </c>
      <c r="AW101" s="131">
        <f t="shared" si="83"/>
        <v>0</v>
      </c>
      <c r="AX101" s="131">
        <f t="shared" si="84"/>
        <v>0</v>
      </c>
      <c r="AY101" s="132" t="s">
        <v>260</v>
      </c>
      <c r="AZ101" s="132" t="s">
        <v>767</v>
      </c>
      <c r="BA101" s="115" t="s">
        <v>766</v>
      </c>
      <c r="BC101" s="131">
        <f t="shared" si="85"/>
        <v>0</v>
      </c>
      <c r="BD101" s="131">
        <f t="shared" si="86"/>
        <v>0</v>
      </c>
      <c r="BE101" s="131">
        <v>0</v>
      </c>
      <c r="BF101" s="131">
        <f>101</f>
        <v>101</v>
      </c>
      <c r="BH101" s="131">
        <f t="shared" si="87"/>
        <v>0</v>
      </c>
      <c r="BI101" s="131">
        <f t="shared" si="88"/>
        <v>0</v>
      </c>
      <c r="BJ101" s="131">
        <f t="shared" si="89"/>
        <v>0</v>
      </c>
      <c r="BK101" s="131"/>
      <c r="BL101" s="131">
        <v>89</v>
      </c>
      <c r="BW101" s="131">
        <v>21</v>
      </c>
      <c r="BX101" s="133" t="s">
        <v>728</v>
      </c>
    </row>
    <row r="102" spans="1:76" x14ac:dyDescent="0.25">
      <c r="A102" s="123" t="s">
        <v>53</v>
      </c>
      <c r="B102" s="124" t="s">
        <v>305</v>
      </c>
      <c r="C102" s="272" t="s">
        <v>306</v>
      </c>
      <c r="D102" s="273"/>
      <c r="E102" s="125" t="s">
        <v>9</v>
      </c>
      <c r="F102" s="125" t="s">
        <v>9</v>
      </c>
      <c r="G102" s="125" t="s">
        <v>9</v>
      </c>
      <c r="H102" s="110">
        <f>SUM(H103:H103)</f>
        <v>0</v>
      </c>
      <c r="I102" s="110">
        <f>SUM(I103:I103)</f>
        <v>0</v>
      </c>
      <c r="J102" s="110">
        <f>SUM(J103:J103)</f>
        <v>0</v>
      </c>
      <c r="K102" s="126" t="s">
        <v>53</v>
      </c>
      <c r="AI102" s="115" t="s">
        <v>764</v>
      </c>
      <c r="AS102" s="110">
        <f>SUM(AJ103:AJ103)</f>
        <v>0</v>
      </c>
      <c r="AT102" s="110">
        <f>SUM(AK103:AK103)</f>
        <v>0</v>
      </c>
      <c r="AU102" s="110">
        <f>SUM(AL103:AL103)</f>
        <v>0</v>
      </c>
    </row>
    <row r="103" spans="1:76" ht="25.5" x14ac:dyDescent="0.25">
      <c r="A103" s="134" t="s">
        <v>206</v>
      </c>
      <c r="B103" s="135" t="s">
        <v>729</v>
      </c>
      <c r="C103" s="270" t="s">
        <v>730</v>
      </c>
      <c r="D103" s="271"/>
      <c r="E103" s="135" t="s">
        <v>79</v>
      </c>
      <c r="F103" s="131">
        <v>4</v>
      </c>
      <c r="G103" s="179">
        <v>0</v>
      </c>
      <c r="H103" s="131">
        <f>F103*AO103</f>
        <v>0</v>
      </c>
      <c r="I103" s="131">
        <f>F103*AP103</f>
        <v>0</v>
      </c>
      <c r="J103" s="131">
        <f>F103*G103</f>
        <v>0</v>
      </c>
      <c r="K103" s="136" t="s">
        <v>60</v>
      </c>
      <c r="Z103" s="131">
        <f>IF(AQ103="5",BJ103,0)</f>
        <v>0</v>
      </c>
      <c r="AB103" s="131">
        <f>IF(AQ103="1",BH103,0)</f>
        <v>0</v>
      </c>
      <c r="AC103" s="131">
        <f>IF(AQ103="1",BI103,0)</f>
        <v>0</v>
      </c>
      <c r="AD103" s="131">
        <f>IF(AQ103="7",BH103,0)</f>
        <v>0</v>
      </c>
      <c r="AE103" s="131">
        <f>IF(AQ103="7",BI103,0)</f>
        <v>0</v>
      </c>
      <c r="AF103" s="131">
        <f>IF(AQ103="2",BH103,0)</f>
        <v>0</v>
      </c>
      <c r="AG103" s="131">
        <f>IF(AQ103="2",BI103,0)</f>
        <v>0</v>
      </c>
      <c r="AH103" s="131">
        <f>IF(AQ103="0",BJ103,0)</f>
        <v>0</v>
      </c>
      <c r="AI103" s="115" t="s">
        <v>764</v>
      </c>
      <c r="AJ103" s="131">
        <f>IF(AN103=0,J103,0)</f>
        <v>0</v>
      </c>
      <c r="AK103" s="131">
        <f>IF(AN103=12,J103,0)</f>
        <v>0</v>
      </c>
      <c r="AL103" s="131">
        <f>IF(AN103=21,J103,0)</f>
        <v>0</v>
      </c>
      <c r="AN103" s="131">
        <v>21</v>
      </c>
      <c r="AO103" s="131">
        <f>G103*0</f>
        <v>0</v>
      </c>
      <c r="AP103" s="131">
        <f>G103*(1-0)</f>
        <v>0</v>
      </c>
      <c r="AQ103" s="132" t="s">
        <v>56</v>
      </c>
      <c r="AV103" s="131">
        <f>AW103+AX103</f>
        <v>0</v>
      </c>
      <c r="AW103" s="131">
        <f>F103*AO103</f>
        <v>0</v>
      </c>
      <c r="AX103" s="131">
        <f>F103*AP103</f>
        <v>0</v>
      </c>
      <c r="AY103" s="132" t="s">
        <v>310</v>
      </c>
      <c r="AZ103" s="132" t="s">
        <v>768</v>
      </c>
      <c r="BA103" s="115" t="s">
        <v>766</v>
      </c>
      <c r="BC103" s="131">
        <f>AW103+AX103</f>
        <v>0</v>
      </c>
      <c r="BD103" s="131">
        <f>G103/(100-BE103)*100</f>
        <v>0</v>
      </c>
      <c r="BE103" s="131">
        <v>0</v>
      </c>
      <c r="BF103" s="131">
        <f>103</f>
        <v>103</v>
      </c>
      <c r="BH103" s="131">
        <f>F103*AO103</f>
        <v>0</v>
      </c>
      <c r="BI103" s="131">
        <f>F103*AP103</f>
        <v>0</v>
      </c>
      <c r="BJ103" s="131">
        <f>F103*G103</f>
        <v>0</v>
      </c>
      <c r="BK103" s="131"/>
      <c r="BL103" s="131">
        <v>96</v>
      </c>
      <c r="BW103" s="131">
        <v>21</v>
      </c>
      <c r="BX103" s="133" t="s">
        <v>730</v>
      </c>
    </row>
    <row r="104" spans="1:76" x14ac:dyDescent="0.25">
      <c r="A104" s="123" t="s">
        <v>53</v>
      </c>
      <c r="B104" s="124" t="s">
        <v>399</v>
      </c>
      <c r="C104" s="272" t="s">
        <v>732</v>
      </c>
      <c r="D104" s="273"/>
      <c r="E104" s="125" t="s">
        <v>9</v>
      </c>
      <c r="F104" s="125" t="s">
        <v>9</v>
      </c>
      <c r="G104" s="125" t="s">
        <v>9</v>
      </c>
      <c r="H104" s="110">
        <f>SUM(H105:H105)</f>
        <v>0</v>
      </c>
      <c r="I104" s="110">
        <f>SUM(I105:I105)</f>
        <v>0</v>
      </c>
      <c r="J104" s="110">
        <f>SUM(J105:J105)</f>
        <v>0</v>
      </c>
      <c r="K104" s="126" t="s">
        <v>53</v>
      </c>
      <c r="AI104" s="115" t="s">
        <v>764</v>
      </c>
      <c r="AS104" s="110">
        <f>SUM(AJ105:AJ105)</f>
        <v>0</v>
      </c>
      <c r="AT104" s="110">
        <f>SUM(AK105:AK105)</f>
        <v>0</v>
      </c>
      <c r="AU104" s="110">
        <f>SUM(AL105:AL105)</f>
        <v>0</v>
      </c>
    </row>
    <row r="105" spans="1:76" x14ac:dyDescent="0.25">
      <c r="A105" s="134" t="s">
        <v>271</v>
      </c>
      <c r="B105" s="135" t="s">
        <v>733</v>
      </c>
      <c r="C105" s="270" t="s">
        <v>734</v>
      </c>
      <c r="D105" s="271"/>
      <c r="E105" s="135" t="s">
        <v>164</v>
      </c>
      <c r="F105" s="131">
        <v>4</v>
      </c>
      <c r="G105" s="179">
        <v>0</v>
      </c>
      <c r="H105" s="131">
        <f>F105*AO105</f>
        <v>0</v>
      </c>
      <c r="I105" s="131">
        <f>F105*AP105</f>
        <v>0</v>
      </c>
      <c r="J105" s="131">
        <f>F105*G105</f>
        <v>0</v>
      </c>
      <c r="K105" s="136" t="s">
        <v>60</v>
      </c>
      <c r="Z105" s="131">
        <f>IF(AQ105="5",BJ105,0)</f>
        <v>0</v>
      </c>
      <c r="AB105" s="131">
        <f>IF(AQ105="1",BH105,0)</f>
        <v>0</v>
      </c>
      <c r="AC105" s="131">
        <f>IF(AQ105="1",BI105,0)</f>
        <v>0</v>
      </c>
      <c r="AD105" s="131">
        <f>IF(AQ105="7",BH105,0)</f>
        <v>0</v>
      </c>
      <c r="AE105" s="131">
        <f>IF(AQ105="7",BI105,0)</f>
        <v>0</v>
      </c>
      <c r="AF105" s="131">
        <f>IF(AQ105="2",BH105,0)</f>
        <v>0</v>
      </c>
      <c r="AG105" s="131">
        <f>IF(AQ105="2",BI105,0)</f>
        <v>0</v>
      </c>
      <c r="AH105" s="131">
        <f>IF(AQ105="0",BJ105,0)</f>
        <v>0</v>
      </c>
      <c r="AI105" s="115" t="s">
        <v>764</v>
      </c>
      <c r="AJ105" s="131">
        <f>IF(AN105=0,J105,0)</f>
        <v>0</v>
      </c>
      <c r="AK105" s="131">
        <f>IF(AN105=12,J105,0)</f>
        <v>0</v>
      </c>
      <c r="AL105" s="131">
        <f>IF(AN105=21,J105,0)</f>
        <v>0</v>
      </c>
      <c r="AN105" s="131">
        <v>21</v>
      </c>
      <c r="AO105" s="131">
        <f>G105*0</f>
        <v>0</v>
      </c>
      <c r="AP105" s="131">
        <f>G105*(1-0)</f>
        <v>0</v>
      </c>
      <c r="AQ105" s="132" t="s">
        <v>56</v>
      </c>
      <c r="AV105" s="131">
        <f>AW105+AX105</f>
        <v>0</v>
      </c>
      <c r="AW105" s="131">
        <f>F105*AO105</f>
        <v>0</v>
      </c>
      <c r="AX105" s="131">
        <f>F105*AP105</f>
        <v>0</v>
      </c>
      <c r="AY105" s="132" t="s">
        <v>735</v>
      </c>
      <c r="AZ105" s="132" t="s">
        <v>768</v>
      </c>
      <c r="BA105" s="115" t="s">
        <v>766</v>
      </c>
      <c r="BC105" s="131">
        <f>AW105+AX105</f>
        <v>0</v>
      </c>
      <c r="BD105" s="131">
        <f>G105/(100-BE105)*100</f>
        <v>0</v>
      </c>
      <c r="BE105" s="131">
        <v>0</v>
      </c>
      <c r="BF105" s="131">
        <f>105</f>
        <v>105</v>
      </c>
      <c r="BH105" s="131">
        <f>F105*AO105</f>
        <v>0</v>
      </c>
      <c r="BI105" s="131">
        <f>F105*AP105</f>
        <v>0</v>
      </c>
      <c r="BJ105" s="131">
        <f>F105*G105</f>
        <v>0</v>
      </c>
      <c r="BK105" s="131"/>
      <c r="BL105" s="131">
        <v>97</v>
      </c>
      <c r="BW105" s="131">
        <v>21</v>
      </c>
      <c r="BX105" s="133" t="s">
        <v>734</v>
      </c>
    </row>
    <row r="106" spans="1:76" x14ac:dyDescent="0.25">
      <c r="A106" s="123" t="s">
        <v>53</v>
      </c>
      <c r="B106" s="124" t="s">
        <v>736</v>
      </c>
      <c r="C106" s="272" t="s">
        <v>737</v>
      </c>
      <c r="D106" s="273"/>
      <c r="E106" s="125" t="s">
        <v>9</v>
      </c>
      <c r="F106" s="125" t="s">
        <v>9</v>
      </c>
      <c r="G106" s="125" t="s">
        <v>9</v>
      </c>
      <c r="H106" s="110">
        <f>SUM(H107:H107)</f>
        <v>0</v>
      </c>
      <c r="I106" s="110">
        <f>SUM(I107:I107)</f>
        <v>0</v>
      </c>
      <c r="J106" s="110">
        <f>SUM(J107:J107)</f>
        <v>0</v>
      </c>
      <c r="K106" s="126" t="s">
        <v>53</v>
      </c>
      <c r="AI106" s="115" t="s">
        <v>764</v>
      </c>
      <c r="AS106" s="110">
        <f>SUM(AJ107:AJ107)</f>
        <v>0</v>
      </c>
      <c r="AT106" s="110">
        <f>SUM(AK107:AK107)</f>
        <v>0</v>
      </c>
      <c r="AU106" s="110">
        <f>SUM(AL107:AL107)</f>
        <v>0</v>
      </c>
    </row>
    <row r="107" spans="1:76" x14ac:dyDescent="0.25">
      <c r="A107" s="134" t="s">
        <v>215</v>
      </c>
      <c r="B107" s="135" t="s">
        <v>738</v>
      </c>
      <c r="C107" s="270" t="s">
        <v>739</v>
      </c>
      <c r="D107" s="271"/>
      <c r="E107" s="135" t="s">
        <v>122</v>
      </c>
      <c r="F107" s="131">
        <v>23.66</v>
      </c>
      <c r="G107" s="179">
        <v>0</v>
      </c>
      <c r="H107" s="131">
        <f>F107*AO107</f>
        <v>0</v>
      </c>
      <c r="I107" s="131">
        <f>F107*AP107</f>
        <v>0</v>
      </c>
      <c r="J107" s="131">
        <f>F107*G107</f>
        <v>0</v>
      </c>
      <c r="K107" s="136" t="s">
        <v>711</v>
      </c>
      <c r="Z107" s="131">
        <f>IF(AQ107="5",BJ107,0)</f>
        <v>0</v>
      </c>
      <c r="AB107" s="131">
        <f>IF(AQ107="1",BH107,0)</f>
        <v>0</v>
      </c>
      <c r="AC107" s="131">
        <f>IF(AQ107="1",BI107,0)</f>
        <v>0</v>
      </c>
      <c r="AD107" s="131">
        <f>IF(AQ107="7",BH107,0)</f>
        <v>0</v>
      </c>
      <c r="AE107" s="131">
        <f>IF(AQ107="7",BI107,0)</f>
        <v>0</v>
      </c>
      <c r="AF107" s="131">
        <f>IF(AQ107="2",BH107,0)</f>
        <v>0</v>
      </c>
      <c r="AG107" s="131">
        <f>IF(AQ107="2",BI107,0)</f>
        <v>0</v>
      </c>
      <c r="AH107" s="131">
        <f>IF(AQ107="0",BJ107,0)</f>
        <v>0</v>
      </c>
      <c r="AI107" s="115" t="s">
        <v>764</v>
      </c>
      <c r="AJ107" s="131">
        <f>IF(AN107=0,J107,0)</f>
        <v>0</v>
      </c>
      <c r="AK107" s="131">
        <f>IF(AN107=12,J107,0)</f>
        <v>0</v>
      </c>
      <c r="AL107" s="131">
        <f>IF(AN107=21,J107,0)</f>
        <v>0</v>
      </c>
      <c r="AN107" s="131">
        <v>21</v>
      </c>
      <c r="AO107" s="131">
        <f>G107*0</f>
        <v>0</v>
      </c>
      <c r="AP107" s="131">
        <f>G107*(1-0)</f>
        <v>0</v>
      </c>
      <c r="AQ107" s="132" t="s">
        <v>76</v>
      </c>
      <c r="AV107" s="131">
        <f>AW107+AX107</f>
        <v>0</v>
      </c>
      <c r="AW107" s="131">
        <f>F107*AO107</f>
        <v>0</v>
      </c>
      <c r="AX107" s="131">
        <f>F107*AP107</f>
        <v>0</v>
      </c>
      <c r="AY107" s="132" t="s">
        <v>740</v>
      </c>
      <c r="AZ107" s="132" t="s">
        <v>768</v>
      </c>
      <c r="BA107" s="115" t="s">
        <v>766</v>
      </c>
      <c r="BC107" s="131">
        <f>AW107+AX107</f>
        <v>0</v>
      </c>
      <c r="BD107" s="131">
        <f>G107/(100-BE107)*100</f>
        <v>0</v>
      </c>
      <c r="BE107" s="131">
        <v>0</v>
      </c>
      <c r="BF107" s="131">
        <f>107</f>
        <v>107</v>
      </c>
      <c r="BH107" s="131">
        <f>F107*AO107</f>
        <v>0</v>
      </c>
      <c r="BI107" s="131">
        <f>F107*AP107</f>
        <v>0</v>
      </c>
      <c r="BJ107" s="131">
        <f>F107*G107</f>
        <v>0</v>
      </c>
      <c r="BK107" s="131"/>
      <c r="BL107" s="131"/>
      <c r="BW107" s="131">
        <v>21</v>
      </c>
      <c r="BX107" s="133" t="s">
        <v>739</v>
      </c>
    </row>
    <row r="108" spans="1:76" x14ac:dyDescent="0.25">
      <c r="A108" s="123" t="s">
        <v>53</v>
      </c>
      <c r="B108" s="124" t="s">
        <v>338</v>
      </c>
      <c r="C108" s="272" t="s">
        <v>339</v>
      </c>
      <c r="D108" s="273"/>
      <c r="E108" s="125" t="s">
        <v>9</v>
      </c>
      <c r="F108" s="125" t="s">
        <v>9</v>
      </c>
      <c r="G108" s="125" t="s">
        <v>9</v>
      </c>
      <c r="H108" s="110">
        <f>SUM(H109:H113)</f>
        <v>0</v>
      </c>
      <c r="I108" s="110">
        <f>SUM(I109:I113)</f>
        <v>0</v>
      </c>
      <c r="J108" s="110">
        <f>SUM(J109:J113)</f>
        <v>0</v>
      </c>
      <c r="K108" s="126" t="s">
        <v>53</v>
      </c>
      <c r="AI108" s="115" t="s">
        <v>764</v>
      </c>
      <c r="AS108" s="110">
        <f>SUM(AJ109:AJ113)</f>
        <v>0</v>
      </c>
      <c r="AT108" s="110">
        <f>SUM(AK109:AK113)</f>
        <v>0</v>
      </c>
      <c r="AU108" s="110">
        <f>SUM(AL109:AL113)</f>
        <v>0</v>
      </c>
    </row>
    <row r="109" spans="1:76" x14ac:dyDescent="0.25">
      <c r="A109" s="134" t="s">
        <v>277</v>
      </c>
      <c r="B109" s="135" t="s">
        <v>741</v>
      </c>
      <c r="C109" s="270" t="s">
        <v>742</v>
      </c>
      <c r="D109" s="271"/>
      <c r="E109" s="135" t="s">
        <v>164</v>
      </c>
      <c r="F109" s="131">
        <v>4</v>
      </c>
      <c r="G109" s="179">
        <v>0</v>
      </c>
      <c r="H109" s="131">
        <f>F109*AO109</f>
        <v>0</v>
      </c>
      <c r="I109" s="131">
        <f>F109*AP109</f>
        <v>0</v>
      </c>
      <c r="J109" s="131">
        <f>F109*G109</f>
        <v>0</v>
      </c>
      <c r="K109" s="136" t="s">
        <v>60</v>
      </c>
      <c r="Z109" s="131">
        <f>IF(AQ109="5",BJ109,0)</f>
        <v>0</v>
      </c>
      <c r="AB109" s="131">
        <f>IF(AQ109="1",BH109,0)</f>
        <v>0</v>
      </c>
      <c r="AC109" s="131">
        <f>IF(AQ109="1",BI109,0)</f>
        <v>0</v>
      </c>
      <c r="AD109" s="131">
        <f>IF(AQ109="7",BH109,0)</f>
        <v>0</v>
      </c>
      <c r="AE109" s="131">
        <f>IF(AQ109="7",BI109,0)</f>
        <v>0</v>
      </c>
      <c r="AF109" s="131">
        <f>IF(AQ109="2",BH109,0)</f>
        <v>0</v>
      </c>
      <c r="AG109" s="131">
        <f>IF(AQ109="2",BI109,0)</f>
        <v>0</v>
      </c>
      <c r="AH109" s="131">
        <f>IF(AQ109="0",BJ109,0)</f>
        <v>0</v>
      </c>
      <c r="AI109" s="115" t="s">
        <v>764</v>
      </c>
      <c r="AJ109" s="131">
        <f>IF(AN109=0,J109,0)</f>
        <v>0</v>
      </c>
      <c r="AK109" s="131">
        <f>IF(AN109=12,J109,0)</f>
        <v>0</v>
      </c>
      <c r="AL109" s="131">
        <f>IF(AN109=21,J109,0)</f>
        <v>0</v>
      </c>
      <c r="AN109" s="131">
        <v>21</v>
      </c>
      <c r="AO109" s="131">
        <f>G109*1</f>
        <v>0</v>
      </c>
      <c r="AP109" s="131">
        <f>G109*(1-1)</f>
        <v>0</v>
      </c>
      <c r="AQ109" s="132" t="s">
        <v>343</v>
      </c>
      <c r="AV109" s="131">
        <f>AW109+AX109</f>
        <v>0</v>
      </c>
      <c r="AW109" s="131">
        <f>F109*AO109</f>
        <v>0</v>
      </c>
      <c r="AX109" s="131">
        <f>F109*AP109</f>
        <v>0</v>
      </c>
      <c r="AY109" s="132" t="s">
        <v>344</v>
      </c>
      <c r="AZ109" s="132" t="s">
        <v>769</v>
      </c>
      <c r="BA109" s="115" t="s">
        <v>766</v>
      </c>
      <c r="BC109" s="131">
        <f>AW109+AX109</f>
        <v>0</v>
      </c>
      <c r="BD109" s="131">
        <f>G109/(100-BE109)*100</f>
        <v>0</v>
      </c>
      <c r="BE109" s="131">
        <v>0</v>
      </c>
      <c r="BF109" s="131">
        <f>109</f>
        <v>109</v>
      </c>
      <c r="BH109" s="131">
        <f>F109*AO109</f>
        <v>0</v>
      </c>
      <c r="BI109" s="131">
        <f>F109*AP109</f>
        <v>0</v>
      </c>
      <c r="BJ109" s="131">
        <f>F109*G109</f>
        <v>0</v>
      </c>
      <c r="BK109" s="131"/>
      <c r="BL109" s="131"/>
      <c r="BW109" s="131">
        <v>21</v>
      </c>
      <c r="BX109" s="133" t="s">
        <v>742</v>
      </c>
    </row>
    <row r="110" spans="1:76" x14ac:dyDescent="0.25">
      <c r="A110" s="134" t="s">
        <v>280</v>
      </c>
      <c r="B110" s="135" t="s">
        <v>746</v>
      </c>
      <c r="C110" s="270" t="s">
        <v>747</v>
      </c>
      <c r="D110" s="271"/>
      <c r="E110" s="135" t="s">
        <v>164</v>
      </c>
      <c r="F110" s="131">
        <v>4</v>
      </c>
      <c r="G110" s="179">
        <v>0</v>
      </c>
      <c r="H110" s="131">
        <f>F110*AO110</f>
        <v>0</v>
      </c>
      <c r="I110" s="131">
        <f>F110*AP110</f>
        <v>0</v>
      </c>
      <c r="J110" s="131">
        <f>F110*G110</f>
        <v>0</v>
      </c>
      <c r="K110" s="136" t="s">
        <v>60</v>
      </c>
      <c r="Z110" s="131">
        <f>IF(AQ110="5",BJ110,0)</f>
        <v>0</v>
      </c>
      <c r="AB110" s="131">
        <f>IF(AQ110="1",BH110,0)</f>
        <v>0</v>
      </c>
      <c r="AC110" s="131">
        <f>IF(AQ110="1",BI110,0)</f>
        <v>0</v>
      </c>
      <c r="AD110" s="131">
        <f>IF(AQ110="7",BH110,0)</f>
        <v>0</v>
      </c>
      <c r="AE110" s="131">
        <f>IF(AQ110="7",BI110,0)</f>
        <v>0</v>
      </c>
      <c r="AF110" s="131">
        <f>IF(AQ110="2",BH110,0)</f>
        <v>0</v>
      </c>
      <c r="AG110" s="131">
        <f>IF(AQ110="2",BI110,0)</f>
        <v>0</v>
      </c>
      <c r="AH110" s="131">
        <f>IF(AQ110="0",BJ110,0)</f>
        <v>0</v>
      </c>
      <c r="AI110" s="115" t="s">
        <v>764</v>
      </c>
      <c r="AJ110" s="131">
        <f>IF(AN110=0,J110,0)</f>
        <v>0</v>
      </c>
      <c r="AK110" s="131">
        <f>IF(AN110=12,J110,0)</f>
        <v>0</v>
      </c>
      <c r="AL110" s="131">
        <f>IF(AN110=21,J110,0)</f>
        <v>0</v>
      </c>
      <c r="AN110" s="131">
        <v>21</v>
      </c>
      <c r="AO110" s="131">
        <f>G110*1</f>
        <v>0</v>
      </c>
      <c r="AP110" s="131">
        <f>G110*(1-1)</f>
        <v>0</v>
      </c>
      <c r="AQ110" s="132" t="s">
        <v>343</v>
      </c>
      <c r="AV110" s="131">
        <f>AW110+AX110</f>
        <v>0</v>
      </c>
      <c r="AW110" s="131">
        <f>F110*AO110</f>
        <v>0</v>
      </c>
      <c r="AX110" s="131">
        <f>F110*AP110</f>
        <v>0</v>
      </c>
      <c r="AY110" s="132" t="s">
        <v>344</v>
      </c>
      <c r="AZ110" s="132" t="s">
        <v>769</v>
      </c>
      <c r="BA110" s="115" t="s">
        <v>766</v>
      </c>
      <c r="BC110" s="131">
        <f>AW110+AX110</f>
        <v>0</v>
      </c>
      <c r="BD110" s="131">
        <f>G110/(100-BE110)*100</f>
        <v>0</v>
      </c>
      <c r="BE110" s="131">
        <v>0</v>
      </c>
      <c r="BF110" s="131">
        <f>110</f>
        <v>110</v>
      </c>
      <c r="BH110" s="131">
        <f>F110*AO110</f>
        <v>0</v>
      </c>
      <c r="BI110" s="131">
        <f>F110*AP110</f>
        <v>0</v>
      </c>
      <c r="BJ110" s="131">
        <f>F110*G110</f>
        <v>0</v>
      </c>
      <c r="BK110" s="131"/>
      <c r="BL110" s="131"/>
      <c r="BW110" s="131">
        <v>21</v>
      </c>
      <c r="BX110" s="133" t="s">
        <v>747</v>
      </c>
    </row>
    <row r="111" spans="1:76" x14ac:dyDescent="0.25">
      <c r="A111" s="134" t="s">
        <v>283</v>
      </c>
      <c r="B111" s="135" t="s">
        <v>748</v>
      </c>
      <c r="C111" s="270" t="s">
        <v>749</v>
      </c>
      <c r="D111" s="271"/>
      <c r="E111" s="135" t="s">
        <v>164</v>
      </c>
      <c r="F111" s="131">
        <v>4</v>
      </c>
      <c r="G111" s="179">
        <v>0</v>
      </c>
      <c r="H111" s="131">
        <f>F111*AO111</f>
        <v>0</v>
      </c>
      <c r="I111" s="131">
        <f>F111*AP111</f>
        <v>0</v>
      </c>
      <c r="J111" s="131">
        <f>F111*G111</f>
        <v>0</v>
      </c>
      <c r="K111" s="136" t="s">
        <v>60</v>
      </c>
      <c r="Z111" s="131">
        <f>IF(AQ111="5",BJ111,0)</f>
        <v>0</v>
      </c>
      <c r="AB111" s="131">
        <f>IF(AQ111="1",BH111,0)</f>
        <v>0</v>
      </c>
      <c r="AC111" s="131">
        <f>IF(AQ111="1",BI111,0)</f>
        <v>0</v>
      </c>
      <c r="AD111" s="131">
        <f>IF(AQ111="7",BH111,0)</f>
        <v>0</v>
      </c>
      <c r="AE111" s="131">
        <f>IF(AQ111="7",BI111,0)</f>
        <v>0</v>
      </c>
      <c r="AF111" s="131">
        <f>IF(AQ111="2",BH111,0)</f>
        <v>0</v>
      </c>
      <c r="AG111" s="131">
        <f>IF(AQ111="2",BI111,0)</f>
        <v>0</v>
      </c>
      <c r="AH111" s="131">
        <f>IF(AQ111="0",BJ111,0)</f>
        <v>0</v>
      </c>
      <c r="AI111" s="115" t="s">
        <v>764</v>
      </c>
      <c r="AJ111" s="131">
        <f>IF(AN111=0,J111,0)</f>
        <v>0</v>
      </c>
      <c r="AK111" s="131">
        <f>IF(AN111=12,J111,0)</f>
        <v>0</v>
      </c>
      <c r="AL111" s="131">
        <f>IF(AN111=21,J111,0)</f>
        <v>0</v>
      </c>
      <c r="AN111" s="131">
        <v>21</v>
      </c>
      <c r="AO111" s="131">
        <f>G111*1</f>
        <v>0</v>
      </c>
      <c r="AP111" s="131">
        <f>G111*(1-1)</f>
        <v>0</v>
      </c>
      <c r="AQ111" s="132" t="s">
        <v>343</v>
      </c>
      <c r="AV111" s="131">
        <f>AW111+AX111</f>
        <v>0</v>
      </c>
      <c r="AW111" s="131">
        <f>F111*AO111</f>
        <v>0</v>
      </c>
      <c r="AX111" s="131">
        <f>F111*AP111</f>
        <v>0</v>
      </c>
      <c r="AY111" s="132" t="s">
        <v>344</v>
      </c>
      <c r="AZ111" s="132" t="s">
        <v>769</v>
      </c>
      <c r="BA111" s="115" t="s">
        <v>766</v>
      </c>
      <c r="BC111" s="131">
        <f>AW111+AX111</f>
        <v>0</v>
      </c>
      <c r="BD111" s="131">
        <f>G111/(100-BE111)*100</f>
        <v>0</v>
      </c>
      <c r="BE111" s="131">
        <v>0</v>
      </c>
      <c r="BF111" s="131">
        <f>111</f>
        <v>111</v>
      </c>
      <c r="BH111" s="131">
        <f>F111*AO111</f>
        <v>0</v>
      </c>
      <c r="BI111" s="131">
        <f>F111*AP111</f>
        <v>0</v>
      </c>
      <c r="BJ111" s="131">
        <f>F111*G111</f>
        <v>0</v>
      </c>
      <c r="BK111" s="131"/>
      <c r="BL111" s="131"/>
      <c r="BW111" s="131">
        <v>21</v>
      </c>
      <c r="BX111" s="133" t="s">
        <v>749</v>
      </c>
    </row>
    <row r="112" spans="1:76" x14ac:dyDescent="0.25">
      <c r="A112" s="134" t="s">
        <v>232</v>
      </c>
      <c r="B112" s="135" t="s">
        <v>750</v>
      </c>
      <c r="C112" s="270" t="s">
        <v>751</v>
      </c>
      <c r="D112" s="271"/>
      <c r="E112" s="135" t="s">
        <v>164</v>
      </c>
      <c r="F112" s="131">
        <v>1</v>
      </c>
      <c r="G112" s="179">
        <v>0</v>
      </c>
      <c r="H112" s="131">
        <f>F112*AO112</f>
        <v>0</v>
      </c>
      <c r="I112" s="131">
        <f>F112*AP112</f>
        <v>0</v>
      </c>
      <c r="J112" s="131">
        <f>F112*G112</f>
        <v>0</v>
      </c>
      <c r="K112" s="136" t="s">
        <v>60</v>
      </c>
      <c r="Z112" s="131">
        <f>IF(AQ112="5",BJ112,0)</f>
        <v>0</v>
      </c>
      <c r="AB112" s="131">
        <f>IF(AQ112="1",BH112,0)</f>
        <v>0</v>
      </c>
      <c r="AC112" s="131">
        <f>IF(AQ112="1",BI112,0)</f>
        <v>0</v>
      </c>
      <c r="AD112" s="131">
        <f>IF(AQ112="7",BH112,0)</f>
        <v>0</v>
      </c>
      <c r="AE112" s="131">
        <f>IF(AQ112="7",BI112,0)</f>
        <v>0</v>
      </c>
      <c r="AF112" s="131">
        <f>IF(AQ112="2",BH112,0)</f>
        <v>0</v>
      </c>
      <c r="AG112" s="131">
        <f>IF(AQ112="2",BI112,0)</f>
        <v>0</v>
      </c>
      <c r="AH112" s="131">
        <f>IF(AQ112="0",BJ112,0)</f>
        <v>0</v>
      </c>
      <c r="AI112" s="115" t="s">
        <v>764</v>
      </c>
      <c r="AJ112" s="131">
        <f>IF(AN112=0,J112,0)</f>
        <v>0</v>
      </c>
      <c r="AK112" s="131">
        <f>IF(AN112=12,J112,0)</f>
        <v>0</v>
      </c>
      <c r="AL112" s="131">
        <f>IF(AN112=21,J112,0)</f>
        <v>0</v>
      </c>
      <c r="AN112" s="131">
        <v>21</v>
      </c>
      <c r="AO112" s="131">
        <f>G112*1</f>
        <v>0</v>
      </c>
      <c r="AP112" s="131">
        <f>G112*(1-1)</f>
        <v>0</v>
      </c>
      <c r="AQ112" s="132" t="s">
        <v>343</v>
      </c>
      <c r="AV112" s="131">
        <f>AW112+AX112</f>
        <v>0</v>
      </c>
      <c r="AW112" s="131">
        <f>F112*AO112</f>
        <v>0</v>
      </c>
      <c r="AX112" s="131">
        <f>F112*AP112</f>
        <v>0</v>
      </c>
      <c r="AY112" s="132" t="s">
        <v>344</v>
      </c>
      <c r="AZ112" s="132" t="s">
        <v>769</v>
      </c>
      <c r="BA112" s="115" t="s">
        <v>766</v>
      </c>
      <c r="BC112" s="131">
        <f>AW112+AX112</f>
        <v>0</v>
      </c>
      <c r="BD112" s="131">
        <f>G112/(100-BE112)*100</f>
        <v>0</v>
      </c>
      <c r="BE112" s="131">
        <v>0</v>
      </c>
      <c r="BF112" s="131">
        <f>112</f>
        <v>112</v>
      </c>
      <c r="BH112" s="131">
        <f>F112*AO112</f>
        <v>0</v>
      </c>
      <c r="BI112" s="131">
        <f>F112*AP112</f>
        <v>0</v>
      </c>
      <c r="BJ112" s="131">
        <f>F112*G112</f>
        <v>0</v>
      </c>
      <c r="BK112" s="131"/>
      <c r="BL112" s="131"/>
      <c r="BW112" s="131">
        <v>21</v>
      </c>
      <c r="BX112" s="133" t="s">
        <v>751</v>
      </c>
    </row>
    <row r="113" spans="1:76" x14ac:dyDescent="0.25">
      <c r="A113" s="134" t="s">
        <v>287</v>
      </c>
      <c r="B113" s="135" t="s">
        <v>752</v>
      </c>
      <c r="C113" s="270" t="s">
        <v>753</v>
      </c>
      <c r="D113" s="271"/>
      <c r="E113" s="135" t="s">
        <v>164</v>
      </c>
      <c r="F113" s="131">
        <v>3</v>
      </c>
      <c r="G113" s="179">
        <v>0</v>
      </c>
      <c r="H113" s="131">
        <f>F113*AO113</f>
        <v>0</v>
      </c>
      <c r="I113" s="131">
        <f>F113*AP113</f>
        <v>0</v>
      </c>
      <c r="J113" s="131">
        <f>F113*G113</f>
        <v>0</v>
      </c>
      <c r="K113" s="136" t="s">
        <v>60</v>
      </c>
      <c r="Z113" s="131">
        <f>IF(AQ113="5",BJ113,0)</f>
        <v>0</v>
      </c>
      <c r="AB113" s="131">
        <f>IF(AQ113="1",BH113,0)</f>
        <v>0</v>
      </c>
      <c r="AC113" s="131">
        <f>IF(AQ113="1",BI113,0)</f>
        <v>0</v>
      </c>
      <c r="AD113" s="131">
        <f>IF(AQ113="7",BH113,0)</f>
        <v>0</v>
      </c>
      <c r="AE113" s="131">
        <f>IF(AQ113="7",BI113,0)</f>
        <v>0</v>
      </c>
      <c r="AF113" s="131">
        <f>IF(AQ113="2",BH113,0)</f>
        <v>0</v>
      </c>
      <c r="AG113" s="131">
        <f>IF(AQ113="2",BI113,0)</f>
        <v>0</v>
      </c>
      <c r="AH113" s="131">
        <f>IF(AQ113="0",BJ113,0)</f>
        <v>0</v>
      </c>
      <c r="AI113" s="115" t="s">
        <v>764</v>
      </c>
      <c r="AJ113" s="131">
        <f>IF(AN113=0,J113,0)</f>
        <v>0</v>
      </c>
      <c r="AK113" s="131">
        <f>IF(AN113=12,J113,0)</f>
        <v>0</v>
      </c>
      <c r="AL113" s="131">
        <f>IF(AN113=21,J113,0)</f>
        <v>0</v>
      </c>
      <c r="AN113" s="131">
        <v>21</v>
      </c>
      <c r="AO113" s="131">
        <f>G113*1</f>
        <v>0</v>
      </c>
      <c r="AP113" s="131">
        <f>G113*(1-1)</f>
        <v>0</v>
      </c>
      <c r="AQ113" s="132" t="s">
        <v>343</v>
      </c>
      <c r="AV113" s="131">
        <f>AW113+AX113</f>
        <v>0</v>
      </c>
      <c r="AW113" s="131">
        <f>F113*AO113</f>
        <v>0</v>
      </c>
      <c r="AX113" s="131">
        <f>F113*AP113</f>
        <v>0</v>
      </c>
      <c r="AY113" s="132" t="s">
        <v>344</v>
      </c>
      <c r="AZ113" s="132" t="s">
        <v>769</v>
      </c>
      <c r="BA113" s="115" t="s">
        <v>766</v>
      </c>
      <c r="BC113" s="131">
        <f>AW113+AX113</f>
        <v>0</v>
      </c>
      <c r="BD113" s="131">
        <f>G113/(100-BE113)*100</f>
        <v>0</v>
      </c>
      <c r="BE113" s="131">
        <v>0</v>
      </c>
      <c r="BF113" s="131">
        <f>113</f>
        <v>113</v>
      </c>
      <c r="BH113" s="131">
        <f>F113*AO113</f>
        <v>0</v>
      </c>
      <c r="BI113" s="131">
        <f>F113*AP113</f>
        <v>0</v>
      </c>
      <c r="BJ113" s="131">
        <f>F113*G113</f>
        <v>0</v>
      </c>
      <c r="BK113" s="131"/>
      <c r="BL113" s="131"/>
      <c r="BW113" s="131">
        <v>21</v>
      </c>
      <c r="BX113" s="133" t="s">
        <v>753</v>
      </c>
    </row>
    <row r="114" spans="1:76" x14ac:dyDescent="0.25">
      <c r="A114" s="123" t="s">
        <v>53</v>
      </c>
      <c r="B114" s="124" t="s">
        <v>409</v>
      </c>
      <c r="C114" s="272" t="s">
        <v>410</v>
      </c>
      <c r="D114" s="273"/>
      <c r="E114" s="125" t="s">
        <v>9</v>
      </c>
      <c r="F114" s="125" t="s">
        <v>9</v>
      </c>
      <c r="G114" s="125" t="s">
        <v>9</v>
      </c>
      <c r="H114" s="110">
        <f>H115+H117+H119</f>
        <v>0</v>
      </c>
      <c r="I114" s="110">
        <f>I115+I117+I119</f>
        <v>0</v>
      </c>
      <c r="J114" s="110">
        <f>J115+J117+J119</f>
        <v>0</v>
      </c>
      <c r="K114" s="126" t="s">
        <v>53</v>
      </c>
      <c r="AI114" s="115" t="s">
        <v>764</v>
      </c>
    </row>
    <row r="115" spans="1:76" x14ac:dyDescent="0.25">
      <c r="A115" s="123" t="s">
        <v>53</v>
      </c>
      <c r="B115" s="124" t="s">
        <v>411</v>
      </c>
      <c r="C115" s="272" t="s">
        <v>412</v>
      </c>
      <c r="D115" s="273"/>
      <c r="E115" s="125" t="s">
        <v>9</v>
      </c>
      <c r="F115" s="125" t="s">
        <v>9</v>
      </c>
      <c r="G115" s="125" t="s">
        <v>9</v>
      </c>
      <c r="H115" s="110">
        <f>SUM(H116:H116)</f>
        <v>0</v>
      </c>
      <c r="I115" s="110">
        <f>SUM(I116:I116)</f>
        <v>0</v>
      </c>
      <c r="J115" s="110">
        <f>SUM(J116:J116)</f>
        <v>0</v>
      </c>
      <c r="K115" s="126" t="s">
        <v>53</v>
      </c>
      <c r="AI115" s="115" t="s">
        <v>764</v>
      </c>
      <c r="AS115" s="110">
        <f>SUM(AJ116:AJ116)</f>
        <v>0</v>
      </c>
      <c r="AT115" s="110">
        <f>SUM(AK116:AK116)</f>
        <v>0</v>
      </c>
      <c r="AU115" s="110">
        <f>SUM(AL116:AL116)</f>
        <v>0</v>
      </c>
    </row>
    <row r="116" spans="1:76" x14ac:dyDescent="0.25">
      <c r="A116" s="134" t="s">
        <v>290</v>
      </c>
      <c r="B116" s="135" t="s">
        <v>414</v>
      </c>
      <c r="C116" s="270" t="s">
        <v>415</v>
      </c>
      <c r="D116" s="271"/>
      <c r="E116" s="135" t="s">
        <v>416</v>
      </c>
      <c r="F116" s="131">
        <v>1</v>
      </c>
      <c r="G116" s="179">
        <v>0</v>
      </c>
      <c r="H116" s="131">
        <f>F116*AO116</f>
        <v>0</v>
      </c>
      <c r="I116" s="131">
        <f>F116*AP116</f>
        <v>0</v>
      </c>
      <c r="J116" s="131">
        <f>F116*G116</f>
        <v>0</v>
      </c>
      <c r="K116" s="136" t="s">
        <v>53</v>
      </c>
      <c r="Z116" s="131">
        <f>IF(AQ116="5",BJ116,0)</f>
        <v>0</v>
      </c>
      <c r="AB116" s="131">
        <f>IF(AQ116="1",BH116,0)</f>
        <v>0</v>
      </c>
      <c r="AC116" s="131">
        <f>IF(AQ116="1",BI116,0)</f>
        <v>0</v>
      </c>
      <c r="AD116" s="131">
        <f>IF(AQ116="7",BH116,0)</f>
        <v>0</v>
      </c>
      <c r="AE116" s="131">
        <f>IF(AQ116="7",BI116,0)</f>
        <v>0</v>
      </c>
      <c r="AF116" s="131">
        <f>IF(AQ116="2",BH116,0)</f>
        <v>0</v>
      </c>
      <c r="AG116" s="131">
        <f>IF(AQ116="2",BI116,0)</f>
        <v>0</v>
      </c>
      <c r="AH116" s="131">
        <f>IF(AQ116="0",BJ116,0)</f>
        <v>0</v>
      </c>
      <c r="AI116" s="115" t="s">
        <v>764</v>
      </c>
      <c r="AJ116" s="131">
        <f>IF(AN116=0,J116,0)</f>
        <v>0</v>
      </c>
      <c r="AK116" s="131">
        <f>IF(AN116=12,J116,0)</f>
        <v>0</v>
      </c>
      <c r="AL116" s="131">
        <f>IF(AN116=21,J116,0)</f>
        <v>0</v>
      </c>
      <c r="AN116" s="131">
        <v>21</v>
      </c>
      <c r="AO116" s="131">
        <f>G116*0</f>
        <v>0</v>
      </c>
      <c r="AP116" s="131">
        <f>G116*(1-0)</f>
        <v>0</v>
      </c>
      <c r="AQ116" s="132" t="s">
        <v>405</v>
      </c>
      <c r="AV116" s="131">
        <f>AW116+AX116</f>
        <v>0</v>
      </c>
      <c r="AW116" s="131">
        <f>F116*AO116</f>
        <v>0</v>
      </c>
      <c r="AX116" s="131">
        <f>F116*AP116</f>
        <v>0</v>
      </c>
      <c r="AY116" s="132" t="s">
        <v>417</v>
      </c>
      <c r="AZ116" s="132" t="s">
        <v>770</v>
      </c>
      <c r="BA116" s="115" t="s">
        <v>766</v>
      </c>
      <c r="BC116" s="131">
        <f>AW116+AX116</f>
        <v>0</v>
      </c>
      <c r="BD116" s="131">
        <f>G116/(100-BE116)*100</f>
        <v>0</v>
      </c>
      <c r="BE116" s="131">
        <v>0</v>
      </c>
      <c r="BF116" s="131">
        <f>116</f>
        <v>116</v>
      </c>
      <c r="BH116" s="131">
        <f>F116*AO116</f>
        <v>0</v>
      </c>
      <c r="BI116" s="131">
        <f>F116*AP116</f>
        <v>0</v>
      </c>
      <c r="BJ116" s="131">
        <f>F116*G116</f>
        <v>0</v>
      </c>
      <c r="BK116" s="131"/>
      <c r="BL116" s="131"/>
      <c r="BM116" s="131">
        <f>F116*G116</f>
        <v>0</v>
      </c>
      <c r="BW116" s="131">
        <v>21</v>
      </c>
      <c r="BX116" s="133" t="s">
        <v>415</v>
      </c>
    </row>
    <row r="117" spans="1:76" x14ac:dyDescent="0.25">
      <c r="A117" s="123" t="s">
        <v>53</v>
      </c>
      <c r="B117" s="124" t="s">
        <v>419</v>
      </c>
      <c r="C117" s="272" t="s">
        <v>420</v>
      </c>
      <c r="D117" s="273"/>
      <c r="E117" s="125" t="s">
        <v>9</v>
      </c>
      <c r="F117" s="125" t="s">
        <v>9</v>
      </c>
      <c r="G117" s="125" t="s">
        <v>9</v>
      </c>
      <c r="H117" s="110">
        <f>SUM(H118:H118)</f>
        <v>0</v>
      </c>
      <c r="I117" s="110">
        <f>SUM(I118:I118)</f>
        <v>0</v>
      </c>
      <c r="J117" s="110">
        <f>SUM(J118:J118)</f>
        <v>0</v>
      </c>
      <c r="K117" s="126" t="s">
        <v>53</v>
      </c>
      <c r="AI117" s="115" t="s">
        <v>764</v>
      </c>
      <c r="AS117" s="110">
        <f>SUM(AJ118:AJ118)</f>
        <v>0</v>
      </c>
      <c r="AT117" s="110">
        <f>SUM(AK118:AK118)</f>
        <v>0</v>
      </c>
      <c r="AU117" s="110">
        <f>SUM(AL118:AL118)</f>
        <v>0</v>
      </c>
    </row>
    <row r="118" spans="1:76" x14ac:dyDescent="0.25">
      <c r="A118" s="134" t="s">
        <v>293</v>
      </c>
      <c r="B118" s="135" t="s">
        <v>422</v>
      </c>
      <c r="C118" s="270" t="s">
        <v>420</v>
      </c>
      <c r="D118" s="271"/>
      <c r="E118" s="135" t="s">
        <v>416</v>
      </c>
      <c r="F118" s="131">
        <v>1</v>
      </c>
      <c r="G118" s="179">
        <v>0</v>
      </c>
      <c r="H118" s="131">
        <f>F118*AO118</f>
        <v>0</v>
      </c>
      <c r="I118" s="131">
        <f>F118*AP118</f>
        <v>0</v>
      </c>
      <c r="J118" s="131">
        <f>F118*G118</f>
        <v>0</v>
      </c>
      <c r="K118" s="136" t="s">
        <v>53</v>
      </c>
      <c r="Z118" s="131">
        <f>IF(AQ118="5",BJ118,0)</f>
        <v>0</v>
      </c>
      <c r="AB118" s="131">
        <f>IF(AQ118="1",BH118,0)</f>
        <v>0</v>
      </c>
      <c r="AC118" s="131">
        <f>IF(AQ118="1",BI118,0)</f>
        <v>0</v>
      </c>
      <c r="AD118" s="131">
        <f>IF(AQ118="7",BH118,0)</f>
        <v>0</v>
      </c>
      <c r="AE118" s="131">
        <f>IF(AQ118="7",BI118,0)</f>
        <v>0</v>
      </c>
      <c r="AF118" s="131">
        <f>IF(AQ118="2",BH118,0)</f>
        <v>0</v>
      </c>
      <c r="AG118" s="131">
        <f>IF(AQ118="2",BI118,0)</f>
        <v>0</v>
      </c>
      <c r="AH118" s="131">
        <f>IF(AQ118="0",BJ118,0)</f>
        <v>0</v>
      </c>
      <c r="AI118" s="115" t="s">
        <v>764</v>
      </c>
      <c r="AJ118" s="131">
        <f>IF(AN118=0,J118,0)</f>
        <v>0</v>
      </c>
      <c r="AK118" s="131">
        <f>IF(AN118=12,J118,0)</f>
        <v>0</v>
      </c>
      <c r="AL118" s="131">
        <f>IF(AN118=21,J118,0)</f>
        <v>0</v>
      </c>
      <c r="AN118" s="131">
        <v>21</v>
      </c>
      <c r="AO118" s="131">
        <f>G118*0</f>
        <v>0</v>
      </c>
      <c r="AP118" s="131">
        <f>G118*(1-0)</f>
        <v>0</v>
      </c>
      <c r="AQ118" s="132" t="s">
        <v>405</v>
      </c>
      <c r="AV118" s="131">
        <f>AW118+AX118</f>
        <v>0</v>
      </c>
      <c r="AW118" s="131">
        <f>F118*AO118</f>
        <v>0</v>
      </c>
      <c r="AX118" s="131">
        <f>F118*AP118</f>
        <v>0</v>
      </c>
      <c r="AY118" s="132" t="s">
        <v>423</v>
      </c>
      <c r="AZ118" s="132" t="s">
        <v>770</v>
      </c>
      <c r="BA118" s="115" t="s">
        <v>766</v>
      </c>
      <c r="BC118" s="131">
        <f>AW118+AX118</f>
        <v>0</v>
      </c>
      <c r="BD118" s="131">
        <f>G118/(100-BE118)*100</f>
        <v>0</v>
      </c>
      <c r="BE118" s="131">
        <v>0</v>
      </c>
      <c r="BF118" s="131">
        <f>118</f>
        <v>118</v>
      </c>
      <c r="BH118" s="131">
        <f>F118*AO118</f>
        <v>0</v>
      </c>
      <c r="BI118" s="131">
        <f>F118*AP118</f>
        <v>0</v>
      </c>
      <c r="BJ118" s="131">
        <f>F118*G118</f>
        <v>0</v>
      </c>
      <c r="BK118" s="131"/>
      <c r="BL118" s="131"/>
      <c r="BO118" s="131">
        <f>F118*G118</f>
        <v>0</v>
      </c>
      <c r="BW118" s="131">
        <v>21</v>
      </c>
      <c r="BX118" s="133" t="s">
        <v>420</v>
      </c>
    </row>
    <row r="119" spans="1:76" x14ac:dyDescent="0.25">
      <c r="A119" s="123" t="s">
        <v>53</v>
      </c>
      <c r="B119" s="124" t="s">
        <v>424</v>
      </c>
      <c r="C119" s="272" t="s">
        <v>425</v>
      </c>
      <c r="D119" s="273"/>
      <c r="E119" s="125" t="s">
        <v>9</v>
      </c>
      <c r="F119" s="125" t="s">
        <v>9</v>
      </c>
      <c r="G119" s="125" t="s">
        <v>9</v>
      </c>
      <c r="H119" s="110">
        <f>SUM(H120:H120)</f>
        <v>0</v>
      </c>
      <c r="I119" s="110">
        <f>SUM(I120:I120)</f>
        <v>0</v>
      </c>
      <c r="J119" s="110">
        <f>SUM(J120:J120)</f>
        <v>0</v>
      </c>
      <c r="K119" s="126" t="s">
        <v>53</v>
      </c>
      <c r="AI119" s="115" t="s">
        <v>764</v>
      </c>
      <c r="AS119" s="110">
        <f>SUM(AJ120:AJ120)</f>
        <v>0</v>
      </c>
      <c r="AT119" s="110">
        <f>SUM(AK120:AK120)</f>
        <v>0</v>
      </c>
      <c r="AU119" s="110">
        <f>SUM(AL120:AL120)</f>
        <v>0</v>
      </c>
    </row>
    <row r="120" spans="1:76" x14ac:dyDescent="0.25">
      <c r="A120" s="134" t="s">
        <v>296</v>
      </c>
      <c r="B120" s="135" t="s">
        <v>427</v>
      </c>
      <c r="C120" s="270" t="s">
        <v>428</v>
      </c>
      <c r="D120" s="271"/>
      <c r="E120" s="135" t="s">
        <v>416</v>
      </c>
      <c r="F120" s="131">
        <v>1</v>
      </c>
      <c r="G120" s="179">
        <v>0</v>
      </c>
      <c r="H120" s="131">
        <f>F120*AO120</f>
        <v>0</v>
      </c>
      <c r="I120" s="131">
        <f>F120*AP120</f>
        <v>0</v>
      </c>
      <c r="J120" s="131">
        <f>F120*G120</f>
        <v>0</v>
      </c>
      <c r="K120" s="136" t="s">
        <v>53</v>
      </c>
      <c r="Z120" s="131">
        <f>IF(AQ120="5",BJ120,0)</f>
        <v>0</v>
      </c>
      <c r="AB120" s="131">
        <f>IF(AQ120="1",BH120,0)</f>
        <v>0</v>
      </c>
      <c r="AC120" s="131">
        <f>IF(AQ120="1",BI120,0)</f>
        <v>0</v>
      </c>
      <c r="AD120" s="131">
        <f>IF(AQ120="7",BH120,0)</f>
        <v>0</v>
      </c>
      <c r="AE120" s="131">
        <f>IF(AQ120="7",BI120,0)</f>
        <v>0</v>
      </c>
      <c r="AF120" s="131">
        <f>IF(AQ120="2",BH120,0)</f>
        <v>0</v>
      </c>
      <c r="AG120" s="131">
        <f>IF(AQ120="2",BI120,0)</f>
        <v>0</v>
      </c>
      <c r="AH120" s="131">
        <f>IF(AQ120="0",BJ120,0)</f>
        <v>0</v>
      </c>
      <c r="AI120" s="115" t="s">
        <v>764</v>
      </c>
      <c r="AJ120" s="131">
        <f>IF(AN120=0,J120,0)</f>
        <v>0</v>
      </c>
      <c r="AK120" s="131">
        <f>IF(AN120=12,J120,0)</f>
        <v>0</v>
      </c>
      <c r="AL120" s="131">
        <f>IF(AN120=21,J120,0)</f>
        <v>0</v>
      </c>
      <c r="AN120" s="131">
        <v>21</v>
      </c>
      <c r="AO120" s="131">
        <f>G120*0</f>
        <v>0</v>
      </c>
      <c r="AP120" s="131">
        <f>G120*(1-0)</f>
        <v>0</v>
      </c>
      <c r="AQ120" s="132" t="s">
        <v>405</v>
      </c>
      <c r="AV120" s="131">
        <f>AW120+AX120</f>
        <v>0</v>
      </c>
      <c r="AW120" s="131">
        <f>F120*AO120</f>
        <v>0</v>
      </c>
      <c r="AX120" s="131">
        <f>F120*AP120</f>
        <v>0</v>
      </c>
      <c r="AY120" s="132" t="s">
        <v>429</v>
      </c>
      <c r="AZ120" s="132" t="s">
        <v>770</v>
      </c>
      <c r="BA120" s="115" t="s">
        <v>766</v>
      </c>
      <c r="BC120" s="131">
        <f>AW120+AX120</f>
        <v>0</v>
      </c>
      <c r="BD120" s="131">
        <f>G120/(100-BE120)*100</f>
        <v>0</v>
      </c>
      <c r="BE120" s="131">
        <v>0</v>
      </c>
      <c r="BF120" s="131">
        <f>120</f>
        <v>120</v>
      </c>
      <c r="BH120" s="131">
        <f>F120*AO120</f>
        <v>0</v>
      </c>
      <c r="BI120" s="131">
        <f>F120*AP120</f>
        <v>0</v>
      </c>
      <c r="BJ120" s="131">
        <f>F120*G120</f>
        <v>0</v>
      </c>
      <c r="BK120" s="131"/>
      <c r="BL120" s="131"/>
      <c r="BR120" s="131">
        <f>F120*G120</f>
        <v>0</v>
      </c>
      <c r="BW120" s="131">
        <v>21</v>
      </c>
      <c r="BX120" s="133" t="s">
        <v>428</v>
      </c>
    </row>
    <row r="121" spans="1:76" x14ac:dyDescent="0.25">
      <c r="A121" s="123" t="s">
        <v>53</v>
      </c>
      <c r="B121" s="124" t="s">
        <v>53</v>
      </c>
      <c r="C121" s="272" t="s">
        <v>771</v>
      </c>
      <c r="D121" s="273"/>
      <c r="E121" s="125" t="s">
        <v>9</v>
      </c>
      <c r="F121" s="125" t="s">
        <v>9</v>
      </c>
      <c r="G121" s="125" t="s">
        <v>9</v>
      </c>
      <c r="H121" s="110">
        <f>H122+H124+H126+H129+H132+H136+H140+H143+H145+H148+H156+H158+H170+H172+H174</f>
        <v>0</v>
      </c>
      <c r="I121" s="110">
        <f>I122+I124+I126+I129+I132+I136+I140+I143+I145+I148+I156+I158+I170+I172+I174</f>
        <v>0</v>
      </c>
      <c r="J121" s="110">
        <f>J122+J124+J126+J129+J132+J136+J140+J143+J145+J148+J156+J158+J170+J172+J174</f>
        <v>0</v>
      </c>
      <c r="K121" s="126" t="s">
        <v>53</v>
      </c>
    </row>
    <row r="122" spans="1:76" x14ac:dyDescent="0.25">
      <c r="A122" s="123" t="s">
        <v>53</v>
      </c>
      <c r="B122" s="124" t="s">
        <v>54</v>
      </c>
      <c r="C122" s="272" t="s">
        <v>55</v>
      </c>
      <c r="D122" s="273"/>
      <c r="E122" s="125" t="s">
        <v>9</v>
      </c>
      <c r="F122" s="125" t="s">
        <v>9</v>
      </c>
      <c r="G122" s="125" t="s">
        <v>9</v>
      </c>
      <c r="H122" s="110">
        <f>SUM(H123:H123)</f>
        <v>0</v>
      </c>
      <c r="I122" s="110">
        <f>SUM(I123:I123)</f>
        <v>0</v>
      </c>
      <c r="J122" s="110">
        <f>SUM(J123:J123)</f>
        <v>0</v>
      </c>
      <c r="K122" s="126" t="s">
        <v>53</v>
      </c>
      <c r="AI122" s="115" t="s">
        <v>772</v>
      </c>
      <c r="AS122" s="110">
        <f>SUM(AJ123:AJ123)</f>
        <v>0</v>
      </c>
      <c r="AT122" s="110">
        <f>SUM(AK123:AK123)</f>
        <v>0</v>
      </c>
      <c r="AU122" s="110">
        <f>SUM(AL123:AL123)</f>
        <v>0</v>
      </c>
    </row>
    <row r="123" spans="1:76" x14ac:dyDescent="0.25">
      <c r="A123" s="134" t="s">
        <v>301</v>
      </c>
      <c r="B123" s="135" t="s">
        <v>703</v>
      </c>
      <c r="C123" s="270" t="s">
        <v>704</v>
      </c>
      <c r="D123" s="271"/>
      <c r="E123" s="135" t="s">
        <v>705</v>
      </c>
      <c r="F123" s="131">
        <v>1</v>
      </c>
      <c r="G123" s="179">
        <v>0</v>
      </c>
      <c r="H123" s="131">
        <f>F123*AO123</f>
        <v>0</v>
      </c>
      <c r="I123" s="131">
        <f>F123*AP123</f>
        <v>0</v>
      </c>
      <c r="J123" s="131">
        <f>F123*G123</f>
        <v>0</v>
      </c>
      <c r="K123" s="136" t="s">
        <v>60</v>
      </c>
      <c r="Z123" s="131">
        <f>IF(AQ123="5",BJ123,0)</f>
        <v>0</v>
      </c>
      <c r="AB123" s="131">
        <f>IF(AQ123="1",BH123,0)</f>
        <v>0</v>
      </c>
      <c r="AC123" s="131">
        <f>IF(AQ123="1",BI123,0)</f>
        <v>0</v>
      </c>
      <c r="AD123" s="131">
        <f>IF(AQ123="7",BH123,0)</f>
        <v>0</v>
      </c>
      <c r="AE123" s="131">
        <f>IF(AQ123="7",BI123,0)</f>
        <v>0</v>
      </c>
      <c r="AF123" s="131">
        <f>IF(AQ123="2",BH123,0)</f>
        <v>0</v>
      </c>
      <c r="AG123" s="131">
        <f>IF(AQ123="2",BI123,0)</f>
        <v>0</v>
      </c>
      <c r="AH123" s="131">
        <f>IF(AQ123="0",BJ123,0)</f>
        <v>0</v>
      </c>
      <c r="AI123" s="115" t="s">
        <v>772</v>
      </c>
      <c r="AJ123" s="131">
        <f>IF(AN123=0,J123,0)</f>
        <v>0</v>
      </c>
      <c r="AK123" s="131">
        <f>IF(AN123=12,J123,0)</f>
        <v>0</v>
      </c>
      <c r="AL123" s="131">
        <f>IF(AN123=21,J123,0)</f>
        <v>0</v>
      </c>
      <c r="AN123" s="131">
        <v>21</v>
      </c>
      <c r="AO123" s="131">
        <f>G123*0</f>
        <v>0</v>
      </c>
      <c r="AP123" s="131">
        <f>G123*(1-0)</f>
        <v>0</v>
      </c>
      <c r="AQ123" s="132" t="s">
        <v>56</v>
      </c>
      <c r="AV123" s="131">
        <f>AW123+AX123</f>
        <v>0</v>
      </c>
      <c r="AW123" s="131">
        <f>F123*AO123</f>
        <v>0</v>
      </c>
      <c r="AX123" s="131">
        <f>F123*AP123</f>
        <v>0</v>
      </c>
      <c r="AY123" s="132" t="s">
        <v>61</v>
      </c>
      <c r="AZ123" s="132" t="s">
        <v>773</v>
      </c>
      <c r="BA123" s="115" t="s">
        <v>774</v>
      </c>
      <c r="BC123" s="131">
        <f>AW123+AX123</f>
        <v>0</v>
      </c>
      <c r="BD123" s="131">
        <f>G123/(100-BE123)*100</f>
        <v>0</v>
      </c>
      <c r="BE123" s="131">
        <v>0</v>
      </c>
      <c r="BF123" s="131">
        <f>123</f>
        <v>123</v>
      </c>
      <c r="BH123" s="131">
        <f>F123*AO123</f>
        <v>0</v>
      </c>
      <c r="BI123" s="131">
        <f>F123*AP123</f>
        <v>0</v>
      </c>
      <c r="BJ123" s="131">
        <f>F123*G123</f>
        <v>0</v>
      </c>
      <c r="BK123" s="131"/>
      <c r="BL123" s="131">
        <v>11</v>
      </c>
      <c r="BW123" s="131">
        <v>21</v>
      </c>
      <c r="BX123" s="133" t="s">
        <v>704</v>
      </c>
    </row>
    <row r="124" spans="1:76" x14ac:dyDescent="0.25">
      <c r="A124" s="123" t="s">
        <v>53</v>
      </c>
      <c r="B124" s="124" t="s">
        <v>74</v>
      </c>
      <c r="C124" s="272" t="s">
        <v>75</v>
      </c>
      <c r="D124" s="273"/>
      <c r="E124" s="125" t="s">
        <v>9</v>
      </c>
      <c r="F124" s="125" t="s">
        <v>9</v>
      </c>
      <c r="G124" s="125" t="s">
        <v>9</v>
      </c>
      <c r="H124" s="110">
        <f>SUM(H125:H125)</f>
        <v>0</v>
      </c>
      <c r="I124" s="110">
        <f>SUM(I125:I125)</f>
        <v>0</v>
      </c>
      <c r="J124" s="110">
        <f>SUM(J125:J125)</f>
        <v>0</v>
      </c>
      <c r="K124" s="126" t="s">
        <v>53</v>
      </c>
      <c r="AI124" s="115" t="s">
        <v>772</v>
      </c>
      <c r="AS124" s="110">
        <f>SUM(AJ125:AJ125)</f>
        <v>0</v>
      </c>
      <c r="AT124" s="110">
        <f>SUM(AK125:AK125)</f>
        <v>0</v>
      </c>
      <c r="AU124" s="110">
        <f>SUM(AL125:AL125)</f>
        <v>0</v>
      </c>
    </row>
    <row r="125" spans="1:76" x14ac:dyDescent="0.25">
      <c r="A125" s="134" t="s">
        <v>307</v>
      </c>
      <c r="B125" s="135" t="s">
        <v>77</v>
      </c>
      <c r="C125" s="270" t="s">
        <v>78</v>
      </c>
      <c r="D125" s="271"/>
      <c r="E125" s="135" t="s">
        <v>79</v>
      </c>
      <c r="F125" s="131">
        <v>12</v>
      </c>
      <c r="G125" s="179">
        <v>0</v>
      </c>
      <c r="H125" s="131">
        <f>F125*AO125</f>
        <v>0</v>
      </c>
      <c r="I125" s="131">
        <f>F125*AP125</f>
        <v>0</v>
      </c>
      <c r="J125" s="131">
        <f>F125*G125</f>
        <v>0</v>
      </c>
      <c r="K125" s="136" t="s">
        <v>60</v>
      </c>
      <c r="Z125" s="131">
        <f>IF(AQ125="5",BJ125,0)</f>
        <v>0</v>
      </c>
      <c r="AB125" s="131">
        <f>IF(AQ125="1",BH125,0)</f>
        <v>0</v>
      </c>
      <c r="AC125" s="131">
        <f>IF(AQ125="1",BI125,0)</f>
        <v>0</v>
      </c>
      <c r="AD125" s="131">
        <f>IF(AQ125="7",BH125,0)</f>
        <v>0</v>
      </c>
      <c r="AE125" s="131">
        <f>IF(AQ125="7",BI125,0)</f>
        <v>0</v>
      </c>
      <c r="AF125" s="131">
        <f>IF(AQ125="2",BH125,0)</f>
        <v>0</v>
      </c>
      <c r="AG125" s="131">
        <f>IF(AQ125="2",BI125,0)</f>
        <v>0</v>
      </c>
      <c r="AH125" s="131">
        <f>IF(AQ125="0",BJ125,0)</f>
        <v>0</v>
      </c>
      <c r="AI125" s="115" t="s">
        <v>772</v>
      </c>
      <c r="AJ125" s="131">
        <f>IF(AN125=0,J125,0)</f>
        <v>0</v>
      </c>
      <c r="AK125" s="131">
        <f>IF(AN125=12,J125,0)</f>
        <v>0</v>
      </c>
      <c r="AL125" s="131">
        <f>IF(AN125=21,J125,0)</f>
        <v>0</v>
      </c>
      <c r="AN125" s="131">
        <v>21</v>
      </c>
      <c r="AO125" s="131">
        <f>G125*0</f>
        <v>0</v>
      </c>
      <c r="AP125" s="131">
        <f>G125*(1-0)</f>
        <v>0</v>
      </c>
      <c r="AQ125" s="132" t="s">
        <v>56</v>
      </c>
      <c r="AV125" s="131">
        <f>AW125+AX125</f>
        <v>0</v>
      </c>
      <c r="AW125" s="131">
        <f>F125*AO125</f>
        <v>0</v>
      </c>
      <c r="AX125" s="131">
        <f>F125*AP125</f>
        <v>0</v>
      </c>
      <c r="AY125" s="132" t="s">
        <v>80</v>
      </c>
      <c r="AZ125" s="132" t="s">
        <v>773</v>
      </c>
      <c r="BA125" s="115" t="s">
        <v>774</v>
      </c>
      <c r="BC125" s="131">
        <f>AW125+AX125</f>
        <v>0</v>
      </c>
      <c r="BD125" s="131">
        <f>G125/(100-BE125)*100</f>
        <v>0</v>
      </c>
      <c r="BE125" s="131">
        <v>0</v>
      </c>
      <c r="BF125" s="131">
        <f>125</f>
        <v>125</v>
      </c>
      <c r="BH125" s="131">
        <f>F125*AO125</f>
        <v>0</v>
      </c>
      <c r="BI125" s="131">
        <f>F125*AP125</f>
        <v>0</v>
      </c>
      <c r="BJ125" s="131">
        <f>F125*G125</f>
        <v>0</v>
      </c>
      <c r="BK125" s="131"/>
      <c r="BL125" s="131">
        <v>12</v>
      </c>
      <c r="BW125" s="131">
        <v>21</v>
      </c>
      <c r="BX125" s="133" t="s">
        <v>78</v>
      </c>
    </row>
    <row r="126" spans="1:76" x14ac:dyDescent="0.25">
      <c r="A126" s="123" t="s">
        <v>53</v>
      </c>
      <c r="B126" s="124" t="s">
        <v>96</v>
      </c>
      <c r="C126" s="272" t="s">
        <v>97</v>
      </c>
      <c r="D126" s="273"/>
      <c r="E126" s="125" t="s">
        <v>9</v>
      </c>
      <c r="F126" s="125" t="s">
        <v>9</v>
      </c>
      <c r="G126" s="125" t="s">
        <v>9</v>
      </c>
      <c r="H126" s="110">
        <f>SUM(H127:H128)</f>
        <v>0</v>
      </c>
      <c r="I126" s="110">
        <f>SUM(I127:I128)</f>
        <v>0</v>
      </c>
      <c r="J126" s="110">
        <f>SUM(J127:J128)</f>
        <v>0</v>
      </c>
      <c r="K126" s="126" t="s">
        <v>53</v>
      </c>
      <c r="AI126" s="115" t="s">
        <v>772</v>
      </c>
      <c r="AS126" s="110">
        <f>SUM(AJ127:AJ128)</f>
        <v>0</v>
      </c>
      <c r="AT126" s="110">
        <f>SUM(AK127:AK128)</f>
        <v>0</v>
      </c>
      <c r="AU126" s="110">
        <f>SUM(AL127:AL128)</f>
        <v>0</v>
      </c>
    </row>
    <row r="127" spans="1:76" x14ac:dyDescent="0.25">
      <c r="A127" s="134" t="s">
        <v>311</v>
      </c>
      <c r="B127" s="135" t="s">
        <v>775</v>
      </c>
      <c r="C127" s="270" t="s">
        <v>776</v>
      </c>
      <c r="D127" s="271"/>
      <c r="E127" s="135" t="s">
        <v>79</v>
      </c>
      <c r="F127" s="131">
        <v>22.67</v>
      </c>
      <c r="G127" s="179">
        <v>0</v>
      </c>
      <c r="H127" s="131">
        <f>F127*AO127</f>
        <v>0</v>
      </c>
      <c r="I127" s="131">
        <f>F127*AP127</f>
        <v>0</v>
      </c>
      <c r="J127" s="131">
        <f>F127*G127</f>
        <v>0</v>
      </c>
      <c r="K127" s="136" t="s">
        <v>60</v>
      </c>
      <c r="Z127" s="131">
        <f>IF(AQ127="5",BJ127,0)</f>
        <v>0</v>
      </c>
      <c r="AB127" s="131">
        <f>IF(AQ127="1",BH127,0)</f>
        <v>0</v>
      </c>
      <c r="AC127" s="131">
        <f>IF(AQ127="1",BI127,0)</f>
        <v>0</v>
      </c>
      <c r="AD127" s="131">
        <f>IF(AQ127="7",BH127,0)</f>
        <v>0</v>
      </c>
      <c r="AE127" s="131">
        <f>IF(AQ127="7",BI127,0)</f>
        <v>0</v>
      </c>
      <c r="AF127" s="131">
        <f>IF(AQ127="2",BH127,0)</f>
        <v>0</v>
      </c>
      <c r="AG127" s="131">
        <f>IF(AQ127="2",BI127,0)</f>
        <v>0</v>
      </c>
      <c r="AH127" s="131">
        <f>IF(AQ127="0",BJ127,0)</f>
        <v>0</v>
      </c>
      <c r="AI127" s="115" t="s">
        <v>772</v>
      </c>
      <c r="AJ127" s="131">
        <f>IF(AN127=0,J127,0)</f>
        <v>0</v>
      </c>
      <c r="AK127" s="131">
        <f>IF(AN127=12,J127,0)</f>
        <v>0</v>
      </c>
      <c r="AL127" s="131">
        <f>IF(AN127=21,J127,0)</f>
        <v>0</v>
      </c>
      <c r="AN127" s="131">
        <v>21</v>
      </c>
      <c r="AO127" s="131">
        <f>G127*0</f>
        <v>0</v>
      </c>
      <c r="AP127" s="131">
        <f>G127*(1-0)</f>
        <v>0</v>
      </c>
      <c r="AQ127" s="132" t="s">
        <v>56</v>
      </c>
      <c r="AV127" s="131">
        <f>AW127+AX127</f>
        <v>0</v>
      </c>
      <c r="AW127" s="131">
        <f>F127*AO127</f>
        <v>0</v>
      </c>
      <c r="AX127" s="131">
        <f>F127*AP127</f>
        <v>0</v>
      </c>
      <c r="AY127" s="132" t="s">
        <v>100</v>
      </c>
      <c r="AZ127" s="132" t="s">
        <v>773</v>
      </c>
      <c r="BA127" s="115" t="s">
        <v>774</v>
      </c>
      <c r="BC127" s="131">
        <f>AW127+AX127</f>
        <v>0</v>
      </c>
      <c r="BD127" s="131">
        <f>G127/(100-BE127)*100</f>
        <v>0</v>
      </c>
      <c r="BE127" s="131">
        <v>0</v>
      </c>
      <c r="BF127" s="131">
        <f>127</f>
        <v>127</v>
      </c>
      <c r="BH127" s="131">
        <f>F127*AO127</f>
        <v>0</v>
      </c>
      <c r="BI127" s="131">
        <f>F127*AP127</f>
        <v>0</v>
      </c>
      <c r="BJ127" s="131">
        <f>F127*G127</f>
        <v>0</v>
      </c>
      <c r="BK127" s="131"/>
      <c r="BL127" s="131">
        <v>13</v>
      </c>
      <c r="BW127" s="131">
        <v>21</v>
      </c>
      <c r="BX127" s="133" t="s">
        <v>776</v>
      </c>
    </row>
    <row r="128" spans="1:76" x14ac:dyDescent="0.25">
      <c r="A128" s="134" t="s">
        <v>314</v>
      </c>
      <c r="B128" s="135" t="s">
        <v>777</v>
      </c>
      <c r="C128" s="270" t="s">
        <v>778</v>
      </c>
      <c r="D128" s="271"/>
      <c r="E128" s="135" t="s">
        <v>79</v>
      </c>
      <c r="F128" s="131">
        <v>34.01</v>
      </c>
      <c r="G128" s="179">
        <v>0</v>
      </c>
      <c r="H128" s="131">
        <f>F128*AO128</f>
        <v>0</v>
      </c>
      <c r="I128" s="131">
        <f>F128*AP128</f>
        <v>0</v>
      </c>
      <c r="J128" s="131">
        <f>F128*G128</f>
        <v>0</v>
      </c>
      <c r="K128" s="136" t="s">
        <v>60</v>
      </c>
      <c r="Z128" s="131">
        <f>IF(AQ128="5",BJ128,0)</f>
        <v>0</v>
      </c>
      <c r="AB128" s="131">
        <f>IF(AQ128="1",BH128,0)</f>
        <v>0</v>
      </c>
      <c r="AC128" s="131">
        <f>IF(AQ128="1",BI128,0)</f>
        <v>0</v>
      </c>
      <c r="AD128" s="131">
        <f>IF(AQ128="7",BH128,0)</f>
        <v>0</v>
      </c>
      <c r="AE128" s="131">
        <f>IF(AQ128="7",BI128,0)</f>
        <v>0</v>
      </c>
      <c r="AF128" s="131">
        <f>IF(AQ128="2",BH128,0)</f>
        <v>0</v>
      </c>
      <c r="AG128" s="131">
        <f>IF(AQ128="2",BI128,0)</f>
        <v>0</v>
      </c>
      <c r="AH128" s="131">
        <f>IF(AQ128="0",BJ128,0)</f>
        <v>0</v>
      </c>
      <c r="AI128" s="115" t="s">
        <v>772</v>
      </c>
      <c r="AJ128" s="131">
        <f>IF(AN128=0,J128,0)</f>
        <v>0</v>
      </c>
      <c r="AK128" s="131">
        <f>IF(AN128=12,J128,0)</f>
        <v>0</v>
      </c>
      <c r="AL128" s="131">
        <f>IF(AN128=21,J128,0)</f>
        <v>0</v>
      </c>
      <c r="AN128" s="131">
        <v>21</v>
      </c>
      <c r="AO128" s="131">
        <f>G128*0</f>
        <v>0</v>
      </c>
      <c r="AP128" s="131">
        <f>G128*(1-0)</f>
        <v>0</v>
      </c>
      <c r="AQ128" s="132" t="s">
        <v>56</v>
      </c>
      <c r="AV128" s="131">
        <f>AW128+AX128</f>
        <v>0</v>
      </c>
      <c r="AW128" s="131">
        <f>F128*AO128</f>
        <v>0</v>
      </c>
      <c r="AX128" s="131">
        <f>F128*AP128</f>
        <v>0</v>
      </c>
      <c r="AY128" s="132" t="s">
        <v>100</v>
      </c>
      <c r="AZ128" s="132" t="s">
        <v>773</v>
      </c>
      <c r="BA128" s="115" t="s">
        <v>774</v>
      </c>
      <c r="BC128" s="131">
        <f>AW128+AX128</f>
        <v>0</v>
      </c>
      <c r="BD128" s="131">
        <f>G128/(100-BE128)*100</f>
        <v>0</v>
      </c>
      <c r="BE128" s="131">
        <v>0</v>
      </c>
      <c r="BF128" s="131">
        <f>128</f>
        <v>128</v>
      </c>
      <c r="BH128" s="131">
        <f>F128*AO128</f>
        <v>0</v>
      </c>
      <c r="BI128" s="131">
        <f>F128*AP128</f>
        <v>0</v>
      </c>
      <c r="BJ128" s="131">
        <f>F128*G128</f>
        <v>0</v>
      </c>
      <c r="BK128" s="131"/>
      <c r="BL128" s="131">
        <v>13</v>
      </c>
      <c r="BW128" s="131">
        <v>21</v>
      </c>
      <c r="BX128" s="133" t="s">
        <v>778</v>
      </c>
    </row>
    <row r="129" spans="1:76" x14ac:dyDescent="0.25">
      <c r="A129" s="123" t="s">
        <v>53</v>
      </c>
      <c r="B129" s="124" t="s">
        <v>111</v>
      </c>
      <c r="C129" s="272" t="s">
        <v>779</v>
      </c>
      <c r="D129" s="273"/>
      <c r="E129" s="125" t="s">
        <v>9</v>
      </c>
      <c r="F129" s="125" t="s">
        <v>9</v>
      </c>
      <c r="G129" s="125" t="s">
        <v>9</v>
      </c>
      <c r="H129" s="110">
        <f>SUM(H130:H131)</f>
        <v>0</v>
      </c>
      <c r="I129" s="110">
        <f>SUM(I130:I131)</f>
        <v>0</v>
      </c>
      <c r="J129" s="110">
        <f>SUM(J130:J131)</f>
        <v>0</v>
      </c>
      <c r="K129" s="126" t="s">
        <v>53</v>
      </c>
      <c r="AI129" s="115" t="s">
        <v>772</v>
      </c>
      <c r="AS129" s="110">
        <f>SUM(AJ130:AJ131)</f>
        <v>0</v>
      </c>
      <c r="AT129" s="110">
        <f>SUM(AK130:AK131)</f>
        <v>0</v>
      </c>
      <c r="AU129" s="110">
        <f>SUM(AL130:AL131)</f>
        <v>0</v>
      </c>
    </row>
    <row r="130" spans="1:76" x14ac:dyDescent="0.25">
      <c r="A130" s="134" t="s">
        <v>317</v>
      </c>
      <c r="B130" s="135" t="s">
        <v>780</v>
      </c>
      <c r="C130" s="270" t="s">
        <v>781</v>
      </c>
      <c r="D130" s="271"/>
      <c r="E130" s="135" t="s">
        <v>59</v>
      </c>
      <c r="F130" s="131">
        <v>38</v>
      </c>
      <c r="G130" s="179">
        <v>0</v>
      </c>
      <c r="H130" s="131">
        <f>F130*AO130</f>
        <v>0</v>
      </c>
      <c r="I130" s="131">
        <f>F130*AP130</f>
        <v>0</v>
      </c>
      <c r="J130" s="131">
        <f>F130*G130</f>
        <v>0</v>
      </c>
      <c r="K130" s="136" t="s">
        <v>60</v>
      </c>
      <c r="Z130" s="131">
        <f>IF(AQ130="5",BJ130,0)</f>
        <v>0</v>
      </c>
      <c r="AB130" s="131">
        <f>IF(AQ130="1",BH130,0)</f>
        <v>0</v>
      </c>
      <c r="AC130" s="131">
        <f>IF(AQ130="1",BI130,0)</f>
        <v>0</v>
      </c>
      <c r="AD130" s="131">
        <f>IF(AQ130="7",BH130,0)</f>
        <v>0</v>
      </c>
      <c r="AE130" s="131">
        <f>IF(AQ130="7",BI130,0)</f>
        <v>0</v>
      </c>
      <c r="AF130" s="131">
        <f>IF(AQ130="2",BH130,0)</f>
        <v>0</v>
      </c>
      <c r="AG130" s="131">
        <f>IF(AQ130="2",BI130,0)</f>
        <v>0</v>
      </c>
      <c r="AH130" s="131">
        <f>IF(AQ130="0",BJ130,0)</f>
        <v>0</v>
      </c>
      <c r="AI130" s="115" t="s">
        <v>772</v>
      </c>
      <c r="AJ130" s="131">
        <f>IF(AN130=0,J130,0)</f>
        <v>0</v>
      </c>
      <c r="AK130" s="131">
        <f>IF(AN130=12,J130,0)</f>
        <v>0</v>
      </c>
      <c r="AL130" s="131">
        <f>IF(AN130=21,J130,0)</f>
        <v>0</v>
      </c>
      <c r="AN130" s="131">
        <v>21</v>
      </c>
      <c r="AO130" s="131">
        <f>G130*0.091290323</f>
        <v>0</v>
      </c>
      <c r="AP130" s="131">
        <f>G130*(1-0.091290323)</f>
        <v>0</v>
      </c>
      <c r="AQ130" s="132" t="s">
        <v>56</v>
      </c>
      <c r="AV130" s="131">
        <f>AW130+AX130</f>
        <v>0</v>
      </c>
      <c r="AW130" s="131">
        <f>F130*AO130</f>
        <v>0</v>
      </c>
      <c r="AX130" s="131">
        <f>F130*AP130</f>
        <v>0</v>
      </c>
      <c r="AY130" s="132" t="s">
        <v>782</v>
      </c>
      <c r="AZ130" s="132" t="s">
        <v>773</v>
      </c>
      <c r="BA130" s="115" t="s">
        <v>774</v>
      </c>
      <c r="BC130" s="131">
        <f>AW130+AX130</f>
        <v>0</v>
      </c>
      <c r="BD130" s="131">
        <f>G130/(100-BE130)*100</f>
        <v>0</v>
      </c>
      <c r="BE130" s="131">
        <v>0</v>
      </c>
      <c r="BF130" s="131">
        <f>130</f>
        <v>130</v>
      </c>
      <c r="BH130" s="131">
        <f>F130*AO130</f>
        <v>0</v>
      </c>
      <c r="BI130" s="131">
        <f>F130*AP130</f>
        <v>0</v>
      </c>
      <c r="BJ130" s="131">
        <f>F130*G130</f>
        <v>0</v>
      </c>
      <c r="BK130" s="131"/>
      <c r="BL130" s="131">
        <v>15</v>
      </c>
      <c r="BW130" s="131">
        <v>21</v>
      </c>
      <c r="BX130" s="133" t="s">
        <v>781</v>
      </c>
    </row>
    <row r="131" spans="1:76" x14ac:dyDescent="0.25">
      <c r="A131" s="134" t="s">
        <v>322</v>
      </c>
      <c r="B131" s="135" t="s">
        <v>783</v>
      </c>
      <c r="C131" s="270" t="s">
        <v>784</v>
      </c>
      <c r="D131" s="271"/>
      <c r="E131" s="135" t="s">
        <v>59</v>
      </c>
      <c r="F131" s="131">
        <v>38</v>
      </c>
      <c r="G131" s="179">
        <v>0</v>
      </c>
      <c r="H131" s="131">
        <f>F131*AO131</f>
        <v>0</v>
      </c>
      <c r="I131" s="131">
        <f>F131*AP131</f>
        <v>0</v>
      </c>
      <c r="J131" s="131">
        <f>F131*G131</f>
        <v>0</v>
      </c>
      <c r="K131" s="136" t="s">
        <v>60</v>
      </c>
      <c r="Z131" s="131">
        <f>IF(AQ131="5",BJ131,0)</f>
        <v>0</v>
      </c>
      <c r="AB131" s="131">
        <f>IF(AQ131="1",BH131,0)</f>
        <v>0</v>
      </c>
      <c r="AC131" s="131">
        <f>IF(AQ131="1",BI131,0)</f>
        <v>0</v>
      </c>
      <c r="AD131" s="131">
        <f>IF(AQ131="7",BH131,0)</f>
        <v>0</v>
      </c>
      <c r="AE131" s="131">
        <f>IF(AQ131="7",BI131,0)</f>
        <v>0</v>
      </c>
      <c r="AF131" s="131">
        <f>IF(AQ131="2",BH131,0)</f>
        <v>0</v>
      </c>
      <c r="AG131" s="131">
        <f>IF(AQ131="2",BI131,0)</f>
        <v>0</v>
      </c>
      <c r="AH131" s="131">
        <f>IF(AQ131="0",BJ131,0)</f>
        <v>0</v>
      </c>
      <c r="AI131" s="115" t="s">
        <v>772</v>
      </c>
      <c r="AJ131" s="131">
        <f>IF(AN131=0,J131,0)</f>
        <v>0</v>
      </c>
      <c r="AK131" s="131">
        <f>IF(AN131=12,J131,0)</f>
        <v>0</v>
      </c>
      <c r="AL131" s="131">
        <f>IF(AN131=21,J131,0)</f>
        <v>0</v>
      </c>
      <c r="AN131" s="131">
        <v>21</v>
      </c>
      <c r="AO131" s="131">
        <f>G131*0</f>
        <v>0</v>
      </c>
      <c r="AP131" s="131">
        <f>G131*(1-0)</f>
        <v>0</v>
      </c>
      <c r="AQ131" s="132" t="s">
        <v>56</v>
      </c>
      <c r="AV131" s="131">
        <f>AW131+AX131</f>
        <v>0</v>
      </c>
      <c r="AW131" s="131">
        <f>F131*AO131</f>
        <v>0</v>
      </c>
      <c r="AX131" s="131">
        <f>F131*AP131</f>
        <v>0</v>
      </c>
      <c r="AY131" s="132" t="s">
        <v>782</v>
      </c>
      <c r="AZ131" s="132" t="s">
        <v>773</v>
      </c>
      <c r="BA131" s="115" t="s">
        <v>774</v>
      </c>
      <c r="BC131" s="131">
        <f>AW131+AX131</f>
        <v>0</v>
      </c>
      <c r="BD131" s="131">
        <f>G131/(100-BE131)*100</f>
        <v>0</v>
      </c>
      <c r="BE131" s="131">
        <v>0</v>
      </c>
      <c r="BF131" s="131">
        <f>131</f>
        <v>131</v>
      </c>
      <c r="BH131" s="131">
        <f>F131*AO131</f>
        <v>0</v>
      </c>
      <c r="BI131" s="131">
        <f>F131*AP131</f>
        <v>0</v>
      </c>
      <c r="BJ131" s="131">
        <f>F131*G131</f>
        <v>0</v>
      </c>
      <c r="BK131" s="131"/>
      <c r="BL131" s="131">
        <v>15</v>
      </c>
      <c r="BW131" s="131">
        <v>21</v>
      </c>
      <c r="BX131" s="133" t="s">
        <v>784</v>
      </c>
    </row>
    <row r="132" spans="1:76" x14ac:dyDescent="0.25">
      <c r="A132" s="123" t="s">
        <v>53</v>
      </c>
      <c r="B132" s="124" t="s">
        <v>101</v>
      </c>
      <c r="C132" s="272" t="s">
        <v>102</v>
      </c>
      <c r="D132" s="273"/>
      <c r="E132" s="125" t="s">
        <v>9</v>
      </c>
      <c r="F132" s="125" t="s">
        <v>9</v>
      </c>
      <c r="G132" s="125" t="s">
        <v>9</v>
      </c>
      <c r="H132" s="110">
        <f>SUM(H133:H135)</f>
        <v>0</v>
      </c>
      <c r="I132" s="110">
        <f>SUM(I133:I135)</f>
        <v>0</v>
      </c>
      <c r="J132" s="110">
        <f>SUM(J133:J135)</f>
        <v>0</v>
      </c>
      <c r="K132" s="126" t="s">
        <v>53</v>
      </c>
      <c r="AI132" s="115" t="s">
        <v>772</v>
      </c>
      <c r="AS132" s="110">
        <f>SUM(AJ133:AJ135)</f>
        <v>0</v>
      </c>
      <c r="AT132" s="110">
        <f>SUM(AK133:AK135)</f>
        <v>0</v>
      </c>
      <c r="AU132" s="110">
        <f>SUM(AL133:AL135)</f>
        <v>0</v>
      </c>
    </row>
    <row r="133" spans="1:76" x14ac:dyDescent="0.25">
      <c r="A133" s="134" t="s">
        <v>328</v>
      </c>
      <c r="B133" s="135" t="s">
        <v>114</v>
      </c>
      <c r="C133" s="270" t="s">
        <v>785</v>
      </c>
      <c r="D133" s="271"/>
      <c r="E133" s="135" t="s">
        <v>79</v>
      </c>
      <c r="F133" s="131">
        <v>27.02</v>
      </c>
      <c r="G133" s="179">
        <v>0</v>
      </c>
      <c r="H133" s="131">
        <f>F133*AO133</f>
        <v>0</v>
      </c>
      <c r="I133" s="131">
        <f>F133*AP133</f>
        <v>0</v>
      </c>
      <c r="J133" s="131">
        <f>F133*G133</f>
        <v>0</v>
      </c>
      <c r="K133" s="136" t="s">
        <v>60</v>
      </c>
      <c r="Z133" s="131">
        <f>IF(AQ133="5",BJ133,0)</f>
        <v>0</v>
      </c>
      <c r="AB133" s="131">
        <f>IF(AQ133="1",BH133,0)</f>
        <v>0</v>
      </c>
      <c r="AC133" s="131">
        <f>IF(AQ133="1",BI133,0)</f>
        <v>0</v>
      </c>
      <c r="AD133" s="131">
        <f>IF(AQ133="7",BH133,0)</f>
        <v>0</v>
      </c>
      <c r="AE133" s="131">
        <f>IF(AQ133="7",BI133,0)</f>
        <v>0</v>
      </c>
      <c r="AF133" s="131">
        <f>IF(AQ133="2",BH133,0)</f>
        <v>0</v>
      </c>
      <c r="AG133" s="131">
        <f>IF(AQ133="2",BI133,0)</f>
        <v>0</v>
      </c>
      <c r="AH133" s="131">
        <f>IF(AQ133="0",BJ133,0)</f>
        <v>0</v>
      </c>
      <c r="AI133" s="115" t="s">
        <v>772</v>
      </c>
      <c r="AJ133" s="131">
        <f>IF(AN133=0,J133,0)</f>
        <v>0</v>
      </c>
      <c r="AK133" s="131">
        <f>IF(AN133=12,J133,0)</f>
        <v>0</v>
      </c>
      <c r="AL133" s="131">
        <f>IF(AN133=21,J133,0)</f>
        <v>0</v>
      </c>
      <c r="AN133" s="131">
        <v>21</v>
      </c>
      <c r="AO133" s="131">
        <f>G133*0</f>
        <v>0</v>
      </c>
      <c r="AP133" s="131">
        <f>G133*(1-0)</f>
        <v>0</v>
      </c>
      <c r="AQ133" s="132" t="s">
        <v>56</v>
      </c>
      <c r="AV133" s="131">
        <f>AW133+AX133</f>
        <v>0</v>
      </c>
      <c r="AW133" s="131">
        <f>F133*AO133</f>
        <v>0</v>
      </c>
      <c r="AX133" s="131">
        <f>F133*AP133</f>
        <v>0</v>
      </c>
      <c r="AY133" s="132" t="s">
        <v>105</v>
      </c>
      <c r="AZ133" s="132" t="s">
        <v>773</v>
      </c>
      <c r="BA133" s="115" t="s">
        <v>774</v>
      </c>
      <c r="BC133" s="131">
        <f>AW133+AX133</f>
        <v>0</v>
      </c>
      <c r="BD133" s="131">
        <f>G133/(100-BE133)*100</f>
        <v>0</v>
      </c>
      <c r="BE133" s="131">
        <v>0</v>
      </c>
      <c r="BF133" s="131">
        <f>133</f>
        <v>133</v>
      </c>
      <c r="BH133" s="131">
        <f>F133*AO133</f>
        <v>0</v>
      </c>
      <c r="BI133" s="131">
        <f>F133*AP133</f>
        <v>0</v>
      </c>
      <c r="BJ133" s="131">
        <f>F133*G133</f>
        <v>0</v>
      </c>
      <c r="BK133" s="131"/>
      <c r="BL133" s="131">
        <v>16</v>
      </c>
      <c r="BW133" s="131">
        <v>21</v>
      </c>
      <c r="BX133" s="133" t="s">
        <v>785</v>
      </c>
    </row>
    <row r="134" spans="1:76" x14ac:dyDescent="0.25">
      <c r="A134" s="134" t="s">
        <v>332</v>
      </c>
      <c r="B134" s="135" t="s">
        <v>117</v>
      </c>
      <c r="C134" s="270" t="s">
        <v>118</v>
      </c>
      <c r="D134" s="271"/>
      <c r="E134" s="135" t="s">
        <v>79</v>
      </c>
      <c r="F134" s="131">
        <v>270.2</v>
      </c>
      <c r="G134" s="179">
        <v>0</v>
      </c>
      <c r="H134" s="131">
        <f>F134*AO134</f>
        <v>0</v>
      </c>
      <c r="I134" s="131">
        <f>F134*AP134</f>
        <v>0</v>
      </c>
      <c r="J134" s="131">
        <f>F134*G134</f>
        <v>0</v>
      </c>
      <c r="K134" s="136" t="s">
        <v>60</v>
      </c>
      <c r="Z134" s="131">
        <f>IF(AQ134="5",BJ134,0)</f>
        <v>0</v>
      </c>
      <c r="AB134" s="131">
        <f>IF(AQ134="1",BH134,0)</f>
        <v>0</v>
      </c>
      <c r="AC134" s="131">
        <f>IF(AQ134="1",BI134,0)</f>
        <v>0</v>
      </c>
      <c r="AD134" s="131">
        <f>IF(AQ134="7",BH134,0)</f>
        <v>0</v>
      </c>
      <c r="AE134" s="131">
        <f>IF(AQ134="7",BI134,0)</f>
        <v>0</v>
      </c>
      <c r="AF134" s="131">
        <f>IF(AQ134="2",BH134,0)</f>
        <v>0</v>
      </c>
      <c r="AG134" s="131">
        <f>IF(AQ134="2",BI134,0)</f>
        <v>0</v>
      </c>
      <c r="AH134" s="131">
        <f>IF(AQ134="0",BJ134,0)</f>
        <v>0</v>
      </c>
      <c r="AI134" s="115" t="s">
        <v>772</v>
      </c>
      <c r="AJ134" s="131">
        <f>IF(AN134=0,J134,0)</f>
        <v>0</v>
      </c>
      <c r="AK134" s="131">
        <f>IF(AN134=12,J134,0)</f>
        <v>0</v>
      </c>
      <c r="AL134" s="131">
        <f>IF(AN134=21,J134,0)</f>
        <v>0</v>
      </c>
      <c r="AN134" s="131">
        <v>21</v>
      </c>
      <c r="AO134" s="131">
        <f>G134*0</f>
        <v>0</v>
      </c>
      <c r="AP134" s="131">
        <f>G134*(1-0)</f>
        <v>0</v>
      </c>
      <c r="AQ134" s="132" t="s">
        <v>56</v>
      </c>
      <c r="AV134" s="131">
        <f>AW134+AX134</f>
        <v>0</v>
      </c>
      <c r="AW134" s="131">
        <f>F134*AO134</f>
        <v>0</v>
      </c>
      <c r="AX134" s="131">
        <f>F134*AP134</f>
        <v>0</v>
      </c>
      <c r="AY134" s="132" t="s">
        <v>105</v>
      </c>
      <c r="AZ134" s="132" t="s">
        <v>773</v>
      </c>
      <c r="BA134" s="115" t="s">
        <v>774</v>
      </c>
      <c r="BC134" s="131">
        <f>AW134+AX134</f>
        <v>0</v>
      </c>
      <c r="BD134" s="131">
        <f>G134/(100-BE134)*100</f>
        <v>0</v>
      </c>
      <c r="BE134" s="131">
        <v>0</v>
      </c>
      <c r="BF134" s="131">
        <f>134</f>
        <v>134</v>
      </c>
      <c r="BH134" s="131">
        <f>F134*AO134</f>
        <v>0</v>
      </c>
      <c r="BI134" s="131">
        <f>F134*AP134</f>
        <v>0</v>
      </c>
      <c r="BJ134" s="131">
        <f>F134*G134</f>
        <v>0</v>
      </c>
      <c r="BK134" s="131"/>
      <c r="BL134" s="131">
        <v>16</v>
      </c>
      <c r="BW134" s="131">
        <v>21</v>
      </c>
      <c r="BX134" s="133" t="s">
        <v>118</v>
      </c>
    </row>
    <row r="135" spans="1:76" x14ac:dyDescent="0.25">
      <c r="A135" s="134" t="s">
        <v>335</v>
      </c>
      <c r="B135" s="135" t="s">
        <v>120</v>
      </c>
      <c r="C135" s="270" t="s">
        <v>121</v>
      </c>
      <c r="D135" s="271"/>
      <c r="E135" s="135" t="s">
        <v>122</v>
      </c>
      <c r="F135" s="131">
        <v>48.64</v>
      </c>
      <c r="G135" s="179">
        <v>0</v>
      </c>
      <c r="H135" s="131">
        <f>F135*AO135</f>
        <v>0</v>
      </c>
      <c r="I135" s="131">
        <f>F135*AP135</f>
        <v>0</v>
      </c>
      <c r="J135" s="131">
        <f>F135*G135</f>
        <v>0</v>
      </c>
      <c r="K135" s="136" t="s">
        <v>60</v>
      </c>
      <c r="Z135" s="131">
        <f>IF(AQ135="5",BJ135,0)</f>
        <v>0</v>
      </c>
      <c r="AB135" s="131">
        <f>IF(AQ135="1",BH135,0)</f>
        <v>0</v>
      </c>
      <c r="AC135" s="131">
        <f>IF(AQ135="1",BI135,0)</f>
        <v>0</v>
      </c>
      <c r="AD135" s="131">
        <f>IF(AQ135="7",BH135,0)</f>
        <v>0</v>
      </c>
      <c r="AE135" s="131">
        <f>IF(AQ135="7",BI135,0)</f>
        <v>0</v>
      </c>
      <c r="AF135" s="131">
        <f>IF(AQ135="2",BH135,0)</f>
        <v>0</v>
      </c>
      <c r="AG135" s="131">
        <f>IF(AQ135="2",BI135,0)</f>
        <v>0</v>
      </c>
      <c r="AH135" s="131">
        <f>IF(AQ135="0",BJ135,0)</f>
        <v>0</v>
      </c>
      <c r="AI135" s="115" t="s">
        <v>772</v>
      </c>
      <c r="AJ135" s="131">
        <f>IF(AN135=0,J135,0)</f>
        <v>0</v>
      </c>
      <c r="AK135" s="131">
        <f>IF(AN135=12,J135,0)</f>
        <v>0</v>
      </c>
      <c r="AL135" s="131">
        <f>IF(AN135=21,J135,0)</f>
        <v>0</v>
      </c>
      <c r="AN135" s="131">
        <v>21</v>
      </c>
      <c r="AO135" s="131">
        <f>G135*0</f>
        <v>0</v>
      </c>
      <c r="AP135" s="131">
        <f>G135*(1-0)</f>
        <v>0</v>
      </c>
      <c r="AQ135" s="132" t="s">
        <v>56</v>
      </c>
      <c r="AV135" s="131">
        <f>AW135+AX135</f>
        <v>0</v>
      </c>
      <c r="AW135" s="131">
        <f>F135*AO135</f>
        <v>0</v>
      </c>
      <c r="AX135" s="131">
        <f>F135*AP135</f>
        <v>0</v>
      </c>
      <c r="AY135" s="132" t="s">
        <v>105</v>
      </c>
      <c r="AZ135" s="132" t="s">
        <v>773</v>
      </c>
      <c r="BA135" s="115" t="s">
        <v>774</v>
      </c>
      <c r="BC135" s="131">
        <f>AW135+AX135</f>
        <v>0</v>
      </c>
      <c r="BD135" s="131">
        <f>G135/(100-BE135)*100</f>
        <v>0</v>
      </c>
      <c r="BE135" s="131">
        <v>0</v>
      </c>
      <c r="BF135" s="131">
        <f>135</f>
        <v>135</v>
      </c>
      <c r="BH135" s="131">
        <f>F135*AO135</f>
        <v>0</v>
      </c>
      <c r="BI135" s="131">
        <f>F135*AP135</f>
        <v>0</v>
      </c>
      <c r="BJ135" s="131">
        <f>F135*G135</f>
        <v>0</v>
      </c>
      <c r="BK135" s="131"/>
      <c r="BL135" s="131">
        <v>16</v>
      </c>
      <c r="BW135" s="131">
        <v>21</v>
      </c>
      <c r="BX135" s="133" t="s">
        <v>121</v>
      </c>
    </row>
    <row r="136" spans="1:76" x14ac:dyDescent="0.25">
      <c r="A136" s="123" t="s">
        <v>53</v>
      </c>
      <c r="B136" s="124" t="s">
        <v>116</v>
      </c>
      <c r="C136" s="272" t="s">
        <v>123</v>
      </c>
      <c r="D136" s="273"/>
      <c r="E136" s="125" t="s">
        <v>9</v>
      </c>
      <c r="F136" s="125" t="s">
        <v>9</v>
      </c>
      <c r="G136" s="125" t="s">
        <v>9</v>
      </c>
      <c r="H136" s="110">
        <f>SUM(H137:H139)</f>
        <v>0</v>
      </c>
      <c r="I136" s="110">
        <f>SUM(I137:I139)</f>
        <v>0</v>
      </c>
      <c r="J136" s="110">
        <f>SUM(J137:J139)</f>
        <v>0</v>
      </c>
      <c r="K136" s="126" t="s">
        <v>53</v>
      </c>
      <c r="AI136" s="115" t="s">
        <v>772</v>
      </c>
      <c r="AS136" s="110">
        <f>SUM(AJ137:AJ139)</f>
        <v>0</v>
      </c>
      <c r="AT136" s="110">
        <f>SUM(AK137:AK139)</f>
        <v>0</v>
      </c>
      <c r="AU136" s="110">
        <f>SUM(AL137:AL139)</f>
        <v>0</v>
      </c>
    </row>
    <row r="137" spans="1:76" x14ac:dyDescent="0.25">
      <c r="A137" s="134" t="s">
        <v>340</v>
      </c>
      <c r="B137" s="135" t="s">
        <v>129</v>
      </c>
      <c r="C137" s="270" t="s">
        <v>130</v>
      </c>
      <c r="D137" s="271"/>
      <c r="E137" s="135" t="s">
        <v>79</v>
      </c>
      <c r="F137" s="131">
        <v>29.66</v>
      </c>
      <c r="G137" s="179">
        <v>0</v>
      </c>
      <c r="H137" s="131">
        <f>F137*AO137</f>
        <v>0</v>
      </c>
      <c r="I137" s="131">
        <f>F137*AP137</f>
        <v>0</v>
      </c>
      <c r="J137" s="131">
        <f>F137*G137</f>
        <v>0</v>
      </c>
      <c r="K137" s="136" t="s">
        <v>60</v>
      </c>
      <c r="Z137" s="131">
        <f>IF(AQ137="5",BJ137,0)</f>
        <v>0</v>
      </c>
      <c r="AB137" s="131">
        <f>IF(AQ137="1",BH137,0)</f>
        <v>0</v>
      </c>
      <c r="AC137" s="131">
        <f>IF(AQ137="1",BI137,0)</f>
        <v>0</v>
      </c>
      <c r="AD137" s="131">
        <f>IF(AQ137="7",BH137,0)</f>
        <v>0</v>
      </c>
      <c r="AE137" s="131">
        <f>IF(AQ137="7",BI137,0)</f>
        <v>0</v>
      </c>
      <c r="AF137" s="131">
        <f>IF(AQ137="2",BH137,0)</f>
        <v>0</v>
      </c>
      <c r="AG137" s="131">
        <f>IF(AQ137="2",BI137,0)</f>
        <v>0</v>
      </c>
      <c r="AH137" s="131">
        <f>IF(AQ137="0",BJ137,0)</f>
        <v>0</v>
      </c>
      <c r="AI137" s="115" t="s">
        <v>772</v>
      </c>
      <c r="AJ137" s="131">
        <f>IF(AN137=0,J137,0)</f>
        <v>0</v>
      </c>
      <c r="AK137" s="131">
        <f>IF(AN137=12,J137,0)</f>
        <v>0</v>
      </c>
      <c r="AL137" s="131">
        <f>IF(AN137=21,J137,0)</f>
        <v>0</v>
      </c>
      <c r="AN137" s="131">
        <v>21</v>
      </c>
      <c r="AO137" s="131">
        <f>G137*0</f>
        <v>0</v>
      </c>
      <c r="AP137" s="131">
        <f>G137*(1-0)</f>
        <v>0</v>
      </c>
      <c r="AQ137" s="132" t="s">
        <v>56</v>
      </c>
      <c r="AV137" s="131">
        <f>AW137+AX137</f>
        <v>0</v>
      </c>
      <c r="AW137" s="131">
        <f>F137*AO137</f>
        <v>0</v>
      </c>
      <c r="AX137" s="131">
        <f>F137*AP137</f>
        <v>0</v>
      </c>
      <c r="AY137" s="132" t="s">
        <v>127</v>
      </c>
      <c r="AZ137" s="132" t="s">
        <v>773</v>
      </c>
      <c r="BA137" s="115" t="s">
        <v>774</v>
      </c>
      <c r="BC137" s="131">
        <f>AW137+AX137</f>
        <v>0</v>
      </c>
      <c r="BD137" s="131">
        <f>G137/(100-BE137)*100</f>
        <v>0</v>
      </c>
      <c r="BE137" s="131">
        <v>0</v>
      </c>
      <c r="BF137" s="131">
        <f>137</f>
        <v>137</v>
      </c>
      <c r="BH137" s="131">
        <f>F137*AO137</f>
        <v>0</v>
      </c>
      <c r="BI137" s="131">
        <f>F137*AP137</f>
        <v>0</v>
      </c>
      <c r="BJ137" s="131">
        <f>F137*G137</f>
        <v>0</v>
      </c>
      <c r="BK137" s="131"/>
      <c r="BL137" s="131">
        <v>17</v>
      </c>
      <c r="BW137" s="131">
        <v>21</v>
      </c>
      <c r="BX137" s="133" t="s">
        <v>130</v>
      </c>
    </row>
    <row r="138" spans="1:76" x14ac:dyDescent="0.25">
      <c r="A138" s="134" t="s">
        <v>346</v>
      </c>
      <c r="B138" s="135" t="s">
        <v>786</v>
      </c>
      <c r="C138" s="270" t="s">
        <v>787</v>
      </c>
      <c r="D138" s="271"/>
      <c r="E138" s="135" t="s">
        <v>79</v>
      </c>
      <c r="F138" s="131">
        <v>15.48</v>
      </c>
      <c r="G138" s="179">
        <v>0</v>
      </c>
      <c r="H138" s="131">
        <f>F138*AO138</f>
        <v>0</v>
      </c>
      <c r="I138" s="131">
        <f>F138*AP138</f>
        <v>0</v>
      </c>
      <c r="J138" s="131">
        <f>F138*G138</f>
        <v>0</v>
      </c>
      <c r="K138" s="136" t="s">
        <v>60</v>
      </c>
      <c r="Z138" s="131">
        <f>IF(AQ138="5",BJ138,0)</f>
        <v>0</v>
      </c>
      <c r="AB138" s="131">
        <f>IF(AQ138="1",BH138,0)</f>
        <v>0</v>
      </c>
      <c r="AC138" s="131">
        <f>IF(AQ138="1",BI138,0)</f>
        <v>0</v>
      </c>
      <c r="AD138" s="131">
        <f>IF(AQ138="7",BH138,0)</f>
        <v>0</v>
      </c>
      <c r="AE138" s="131">
        <f>IF(AQ138="7",BI138,0)</f>
        <v>0</v>
      </c>
      <c r="AF138" s="131">
        <f>IF(AQ138="2",BH138,0)</f>
        <v>0</v>
      </c>
      <c r="AG138" s="131">
        <f>IF(AQ138="2",BI138,0)</f>
        <v>0</v>
      </c>
      <c r="AH138" s="131">
        <f>IF(AQ138="0",BJ138,0)</f>
        <v>0</v>
      </c>
      <c r="AI138" s="115" t="s">
        <v>772</v>
      </c>
      <c r="AJ138" s="131">
        <f>IF(AN138=0,J138,0)</f>
        <v>0</v>
      </c>
      <c r="AK138" s="131">
        <f>IF(AN138=12,J138,0)</f>
        <v>0</v>
      </c>
      <c r="AL138" s="131">
        <f>IF(AN138=21,J138,0)</f>
        <v>0</v>
      </c>
      <c r="AN138" s="131">
        <v>21</v>
      </c>
      <c r="AO138" s="131">
        <f>G138*0</f>
        <v>0</v>
      </c>
      <c r="AP138" s="131">
        <f>G138*(1-0)</f>
        <v>0</v>
      </c>
      <c r="AQ138" s="132" t="s">
        <v>56</v>
      </c>
      <c r="AV138" s="131">
        <f>AW138+AX138</f>
        <v>0</v>
      </c>
      <c r="AW138" s="131">
        <f>F138*AO138</f>
        <v>0</v>
      </c>
      <c r="AX138" s="131">
        <f>F138*AP138</f>
        <v>0</v>
      </c>
      <c r="AY138" s="132" t="s">
        <v>127</v>
      </c>
      <c r="AZ138" s="132" t="s">
        <v>773</v>
      </c>
      <c r="BA138" s="115" t="s">
        <v>774</v>
      </c>
      <c r="BC138" s="131">
        <f>AW138+AX138</f>
        <v>0</v>
      </c>
      <c r="BD138" s="131">
        <f>G138/(100-BE138)*100</f>
        <v>0</v>
      </c>
      <c r="BE138" s="131">
        <v>0</v>
      </c>
      <c r="BF138" s="131">
        <f>138</f>
        <v>138</v>
      </c>
      <c r="BH138" s="131">
        <f>F138*AO138</f>
        <v>0</v>
      </c>
      <c r="BI138" s="131">
        <f>F138*AP138</f>
        <v>0</v>
      </c>
      <c r="BJ138" s="131">
        <f>F138*G138</f>
        <v>0</v>
      </c>
      <c r="BK138" s="131"/>
      <c r="BL138" s="131">
        <v>17</v>
      </c>
      <c r="BW138" s="131">
        <v>21</v>
      </c>
      <c r="BX138" s="133" t="s">
        <v>787</v>
      </c>
    </row>
    <row r="139" spans="1:76" x14ac:dyDescent="0.25">
      <c r="A139" s="134" t="s">
        <v>349</v>
      </c>
      <c r="B139" s="135" t="s">
        <v>788</v>
      </c>
      <c r="C139" s="270" t="s">
        <v>789</v>
      </c>
      <c r="D139" s="271"/>
      <c r="E139" s="135" t="s">
        <v>79</v>
      </c>
      <c r="F139" s="131">
        <v>27.02</v>
      </c>
      <c r="G139" s="179">
        <v>0</v>
      </c>
      <c r="H139" s="131">
        <f>F139*AO139</f>
        <v>0</v>
      </c>
      <c r="I139" s="131">
        <f>F139*AP139</f>
        <v>0</v>
      </c>
      <c r="J139" s="131">
        <f>F139*G139</f>
        <v>0</v>
      </c>
      <c r="K139" s="136" t="s">
        <v>60</v>
      </c>
      <c r="Z139" s="131">
        <f>IF(AQ139="5",BJ139,0)</f>
        <v>0</v>
      </c>
      <c r="AB139" s="131">
        <f>IF(AQ139="1",BH139,0)</f>
        <v>0</v>
      </c>
      <c r="AC139" s="131">
        <f>IF(AQ139="1",BI139,0)</f>
        <v>0</v>
      </c>
      <c r="AD139" s="131">
        <f>IF(AQ139="7",BH139,0)</f>
        <v>0</v>
      </c>
      <c r="AE139" s="131">
        <f>IF(AQ139="7",BI139,0)</f>
        <v>0</v>
      </c>
      <c r="AF139" s="131">
        <f>IF(AQ139="2",BH139,0)</f>
        <v>0</v>
      </c>
      <c r="AG139" s="131">
        <f>IF(AQ139="2",BI139,0)</f>
        <v>0</v>
      </c>
      <c r="AH139" s="131">
        <f>IF(AQ139="0",BJ139,0)</f>
        <v>0</v>
      </c>
      <c r="AI139" s="115" t="s">
        <v>772</v>
      </c>
      <c r="AJ139" s="131">
        <f>IF(AN139=0,J139,0)</f>
        <v>0</v>
      </c>
      <c r="AK139" s="131">
        <f>IF(AN139=12,J139,0)</f>
        <v>0</v>
      </c>
      <c r="AL139" s="131">
        <f>IF(AN139=21,J139,0)</f>
        <v>0</v>
      </c>
      <c r="AN139" s="131">
        <v>21</v>
      </c>
      <c r="AO139" s="131">
        <f>G139*0</f>
        <v>0</v>
      </c>
      <c r="AP139" s="131">
        <f>G139*(1-0)</f>
        <v>0</v>
      </c>
      <c r="AQ139" s="132" t="s">
        <v>56</v>
      </c>
      <c r="AV139" s="131">
        <f>AW139+AX139</f>
        <v>0</v>
      </c>
      <c r="AW139" s="131">
        <f>F139*AO139</f>
        <v>0</v>
      </c>
      <c r="AX139" s="131">
        <f>F139*AP139</f>
        <v>0</v>
      </c>
      <c r="AY139" s="132" t="s">
        <v>127</v>
      </c>
      <c r="AZ139" s="132" t="s">
        <v>773</v>
      </c>
      <c r="BA139" s="115" t="s">
        <v>774</v>
      </c>
      <c r="BC139" s="131">
        <f>AW139+AX139</f>
        <v>0</v>
      </c>
      <c r="BD139" s="131">
        <f>G139/(100-BE139)*100</f>
        <v>0</v>
      </c>
      <c r="BE139" s="131">
        <v>0</v>
      </c>
      <c r="BF139" s="131">
        <f>139</f>
        <v>139</v>
      </c>
      <c r="BH139" s="131">
        <f>F139*AO139</f>
        <v>0</v>
      </c>
      <c r="BI139" s="131">
        <f>F139*AP139</f>
        <v>0</v>
      </c>
      <c r="BJ139" s="131">
        <f>F139*G139</f>
        <v>0</v>
      </c>
      <c r="BK139" s="131"/>
      <c r="BL139" s="131">
        <v>17</v>
      </c>
      <c r="BW139" s="131">
        <v>21</v>
      </c>
      <c r="BX139" s="133" t="s">
        <v>789</v>
      </c>
    </row>
    <row r="140" spans="1:76" x14ac:dyDescent="0.25">
      <c r="A140" s="123" t="s">
        <v>53</v>
      </c>
      <c r="B140" s="124" t="s">
        <v>119</v>
      </c>
      <c r="C140" s="272" t="s">
        <v>134</v>
      </c>
      <c r="D140" s="273"/>
      <c r="E140" s="125" t="s">
        <v>9</v>
      </c>
      <c r="F140" s="125" t="s">
        <v>9</v>
      </c>
      <c r="G140" s="125" t="s">
        <v>9</v>
      </c>
      <c r="H140" s="110">
        <f>SUM(H141:H142)</f>
        <v>0</v>
      </c>
      <c r="I140" s="110">
        <f>SUM(I141:I142)</f>
        <v>0</v>
      </c>
      <c r="J140" s="110">
        <f>SUM(J141:J142)</f>
        <v>0</v>
      </c>
      <c r="K140" s="126" t="s">
        <v>53</v>
      </c>
      <c r="AI140" s="115" t="s">
        <v>772</v>
      </c>
      <c r="AS140" s="110">
        <f>SUM(AJ141:AJ142)</f>
        <v>0</v>
      </c>
      <c r="AT140" s="110">
        <f>SUM(AK141:AK142)</f>
        <v>0</v>
      </c>
      <c r="AU140" s="110">
        <f>SUM(AL141:AL142)</f>
        <v>0</v>
      </c>
    </row>
    <row r="141" spans="1:76" x14ac:dyDescent="0.25">
      <c r="A141" s="134" t="s">
        <v>352</v>
      </c>
      <c r="B141" s="135" t="s">
        <v>790</v>
      </c>
      <c r="C141" s="270" t="s">
        <v>791</v>
      </c>
      <c r="D141" s="271"/>
      <c r="E141" s="135" t="s">
        <v>59</v>
      </c>
      <c r="F141" s="131">
        <v>80</v>
      </c>
      <c r="G141" s="179">
        <v>0</v>
      </c>
      <c r="H141" s="131">
        <f>F141*AO141</f>
        <v>0</v>
      </c>
      <c r="I141" s="131">
        <f>F141*AP141</f>
        <v>0</v>
      </c>
      <c r="J141" s="131">
        <f>F141*G141</f>
        <v>0</v>
      </c>
      <c r="K141" s="136" t="s">
        <v>60</v>
      </c>
      <c r="Z141" s="131">
        <f>IF(AQ141="5",BJ141,0)</f>
        <v>0</v>
      </c>
      <c r="AB141" s="131">
        <f>IF(AQ141="1",BH141,0)</f>
        <v>0</v>
      </c>
      <c r="AC141" s="131">
        <f>IF(AQ141="1",BI141,0)</f>
        <v>0</v>
      </c>
      <c r="AD141" s="131">
        <f>IF(AQ141="7",BH141,0)</f>
        <v>0</v>
      </c>
      <c r="AE141" s="131">
        <f>IF(AQ141="7",BI141,0)</f>
        <v>0</v>
      </c>
      <c r="AF141" s="131">
        <f>IF(AQ141="2",BH141,0)</f>
        <v>0</v>
      </c>
      <c r="AG141" s="131">
        <f>IF(AQ141="2",BI141,0)</f>
        <v>0</v>
      </c>
      <c r="AH141" s="131">
        <f>IF(AQ141="0",BJ141,0)</f>
        <v>0</v>
      </c>
      <c r="AI141" s="115" t="s">
        <v>772</v>
      </c>
      <c r="AJ141" s="131">
        <f>IF(AN141=0,J141,0)</f>
        <v>0</v>
      </c>
      <c r="AK141" s="131">
        <f>IF(AN141=12,J141,0)</f>
        <v>0</v>
      </c>
      <c r="AL141" s="131">
        <f>IF(AN141=21,J141,0)</f>
        <v>0</v>
      </c>
      <c r="AN141" s="131">
        <v>21</v>
      </c>
      <c r="AO141" s="131">
        <f>G141*0</f>
        <v>0</v>
      </c>
      <c r="AP141" s="131">
        <f>G141*(1-0)</f>
        <v>0</v>
      </c>
      <c r="AQ141" s="132" t="s">
        <v>56</v>
      </c>
      <c r="AV141" s="131">
        <f>AW141+AX141</f>
        <v>0</v>
      </c>
      <c r="AW141" s="131">
        <f>F141*AO141</f>
        <v>0</v>
      </c>
      <c r="AX141" s="131">
        <f>F141*AP141</f>
        <v>0</v>
      </c>
      <c r="AY141" s="132" t="s">
        <v>138</v>
      </c>
      <c r="AZ141" s="132" t="s">
        <v>773</v>
      </c>
      <c r="BA141" s="115" t="s">
        <v>774</v>
      </c>
      <c r="BC141" s="131">
        <f>AW141+AX141</f>
        <v>0</v>
      </c>
      <c r="BD141" s="131">
        <f>G141/(100-BE141)*100</f>
        <v>0</v>
      </c>
      <c r="BE141" s="131">
        <v>0</v>
      </c>
      <c r="BF141" s="131">
        <f>141</f>
        <v>141</v>
      </c>
      <c r="BH141" s="131">
        <f>F141*AO141</f>
        <v>0</v>
      </c>
      <c r="BI141" s="131">
        <f>F141*AP141</f>
        <v>0</v>
      </c>
      <c r="BJ141" s="131">
        <f>F141*G141</f>
        <v>0</v>
      </c>
      <c r="BK141" s="131"/>
      <c r="BL141" s="131">
        <v>18</v>
      </c>
      <c r="BW141" s="131">
        <v>21</v>
      </c>
      <c r="BX141" s="133" t="s">
        <v>791</v>
      </c>
    </row>
    <row r="142" spans="1:76" x14ac:dyDescent="0.25">
      <c r="A142" s="134" t="s">
        <v>355</v>
      </c>
      <c r="B142" s="135" t="s">
        <v>792</v>
      </c>
      <c r="C142" s="270" t="s">
        <v>793</v>
      </c>
      <c r="D142" s="271"/>
      <c r="E142" s="135" t="s">
        <v>59</v>
      </c>
      <c r="F142" s="131">
        <v>80</v>
      </c>
      <c r="G142" s="179">
        <v>0</v>
      </c>
      <c r="H142" s="131">
        <f>F142*AO142</f>
        <v>0</v>
      </c>
      <c r="I142" s="131">
        <f>F142*AP142</f>
        <v>0</v>
      </c>
      <c r="J142" s="131">
        <f>F142*G142</f>
        <v>0</v>
      </c>
      <c r="K142" s="136" t="s">
        <v>60</v>
      </c>
      <c r="Z142" s="131">
        <f>IF(AQ142="5",BJ142,0)</f>
        <v>0</v>
      </c>
      <c r="AB142" s="131">
        <f>IF(AQ142="1",BH142,0)</f>
        <v>0</v>
      </c>
      <c r="AC142" s="131">
        <f>IF(AQ142="1",BI142,0)</f>
        <v>0</v>
      </c>
      <c r="AD142" s="131">
        <f>IF(AQ142="7",BH142,0)</f>
        <v>0</v>
      </c>
      <c r="AE142" s="131">
        <f>IF(AQ142="7",BI142,0)</f>
        <v>0</v>
      </c>
      <c r="AF142" s="131">
        <f>IF(AQ142="2",BH142,0)</f>
        <v>0</v>
      </c>
      <c r="AG142" s="131">
        <f>IF(AQ142="2",BI142,0)</f>
        <v>0</v>
      </c>
      <c r="AH142" s="131">
        <f>IF(AQ142="0",BJ142,0)</f>
        <v>0</v>
      </c>
      <c r="AI142" s="115" t="s">
        <v>772</v>
      </c>
      <c r="AJ142" s="131">
        <f>IF(AN142=0,J142,0)</f>
        <v>0</v>
      </c>
      <c r="AK142" s="131">
        <f>IF(AN142=12,J142,0)</f>
        <v>0</v>
      </c>
      <c r="AL142" s="131">
        <f>IF(AN142=21,J142,0)</f>
        <v>0</v>
      </c>
      <c r="AN142" s="131">
        <v>21</v>
      </c>
      <c r="AO142" s="131">
        <f>G142*0.072542373</f>
        <v>0</v>
      </c>
      <c r="AP142" s="131">
        <f>G142*(1-0.072542373)</f>
        <v>0</v>
      </c>
      <c r="AQ142" s="132" t="s">
        <v>56</v>
      </c>
      <c r="AV142" s="131">
        <f>AW142+AX142</f>
        <v>0</v>
      </c>
      <c r="AW142" s="131">
        <f>F142*AO142</f>
        <v>0</v>
      </c>
      <c r="AX142" s="131">
        <f>F142*AP142</f>
        <v>0</v>
      </c>
      <c r="AY142" s="132" t="s">
        <v>138</v>
      </c>
      <c r="AZ142" s="132" t="s">
        <v>773</v>
      </c>
      <c r="BA142" s="115" t="s">
        <v>774</v>
      </c>
      <c r="BC142" s="131">
        <f>AW142+AX142</f>
        <v>0</v>
      </c>
      <c r="BD142" s="131">
        <f>G142/(100-BE142)*100</f>
        <v>0</v>
      </c>
      <c r="BE142" s="131">
        <v>0</v>
      </c>
      <c r="BF142" s="131">
        <f>142</f>
        <v>142</v>
      </c>
      <c r="BH142" s="131">
        <f>F142*AO142</f>
        <v>0</v>
      </c>
      <c r="BI142" s="131">
        <f>F142*AP142</f>
        <v>0</v>
      </c>
      <c r="BJ142" s="131">
        <f>F142*G142</f>
        <v>0</v>
      </c>
      <c r="BK142" s="131"/>
      <c r="BL142" s="131">
        <v>18</v>
      </c>
      <c r="BW142" s="131">
        <v>21</v>
      </c>
      <c r="BX142" s="133" t="s">
        <v>793</v>
      </c>
    </row>
    <row r="143" spans="1:76" x14ac:dyDescent="0.25">
      <c r="A143" s="123" t="s">
        <v>53</v>
      </c>
      <c r="B143" s="124" t="s">
        <v>167</v>
      </c>
      <c r="C143" s="272" t="s">
        <v>794</v>
      </c>
      <c r="D143" s="273"/>
      <c r="E143" s="125" t="s">
        <v>9</v>
      </c>
      <c r="F143" s="125" t="s">
        <v>9</v>
      </c>
      <c r="G143" s="125" t="s">
        <v>9</v>
      </c>
      <c r="H143" s="110">
        <f>SUM(H144:H144)</f>
        <v>0</v>
      </c>
      <c r="I143" s="110">
        <f>SUM(I144:I144)</f>
        <v>0</v>
      </c>
      <c r="J143" s="110">
        <f>SUM(J144:J144)</f>
        <v>0</v>
      </c>
      <c r="K143" s="126" t="s">
        <v>53</v>
      </c>
      <c r="AI143" s="115" t="s">
        <v>772</v>
      </c>
      <c r="AS143" s="110">
        <f>SUM(AJ144:AJ144)</f>
        <v>0</v>
      </c>
      <c r="AT143" s="110">
        <f>SUM(AK144:AK144)</f>
        <v>0</v>
      </c>
      <c r="AU143" s="110">
        <f>SUM(AL144:AL144)</f>
        <v>0</v>
      </c>
    </row>
    <row r="144" spans="1:76" x14ac:dyDescent="0.25">
      <c r="A144" s="134" t="s">
        <v>358</v>
      </c>
      <c r="B144" s="135" t="s">
        <v>795</v>
      </c>
      <c r="C144" s="270" t="s">
        <v>796</v>
      </c>
      <c r="D144" s="271"/>
      <c r="E144" s="135" t="s">
        <v>79</v>
      </c>
      <c r="F144" s="131">
        <v>7.22</v>
      </c>
      <c r="G144" s="179">
        <v>0</v>
      </c>
      <c r="H144" s="131">
        <f>F144*AO144</f>
        <v>0</v>
      </c>
      <c r="I144" s="131">
        <f>F144*AP144</f>
        <v>0</v>
      </c>
      <c r="J144" s="131">
        <f>F144*G144</f>
        <v>0</v>
      </c>
      <c r="K144" s="136" t="s">
        <v>60</v>
      </c>
      <c r="Z144" s="131">
        <f>IF(AQ144="5",BJ144,0)</f>
        <v>0</v>
      </c>
      <c r="AB144" s="131">
        <f>IF(AQ144="1",BH144,0)</f>
        <v>0</v>
      </c>
      <c r="AC144" s="131">
        <f>IF(AQ144="1",BI144,0)</f>
        <v>0</v>
      </c>
      <c r="AD144" s="131">
        <f>IF(AQ144="7",BH144,0)</f>
        <v>0</v>
      </c>
      <c r="AE144" s="131">
        <f>IF(AQ144="7",BI144,0)</f>
        <v>0</v>
      </c>
      <c r="AF144" s="131">
        <f>IF(AQ144="2",BH144,0)</f>
        <v>0</v>
      </c>
      <c r="AG144" s="131">
        <f>IF(AQ144="2",BI144,0)</f>
        <v>0</v>
      </c>
      <c r="AH144" s="131">
        <f>IF(AQ144="0",BJ144,0)</f>
        <v>0</v>
      </c>
      <c r="AI144" s="115" t="s">
        <v>772</v>
      </c>
      <c r="AJ144" s="131">
        <f>IF(AN144=0,J144,0)</f>
        <v>0</v>
      </c>
      <c r="AK144" s="131">
        <f>IF(AN144=12,J144,0)</f>
        <v>0</v>
      </c>
      <c r="AL144" s="131">
        <f>IF(AN144=21,J144,0)</f>
        <v>0</v>
      </c>
      <c r="AN144" s="131">
        <v>21</v>
      </c>
      <c r="AO144" s="131">
        <f>G144*0.483679227</f>
        <v>0</v>
      </c>
      <c r="AP144" s="131">
        <f>G144*(1-0.483679227)</f>
        <v>0</v>
      </c>
      <c r="AQ144" s="132" t="s">
        <v>56</v>
      </c>
      <c r="AV144" s="131">
        <f>AW144+AX144</f>
        <v>0</v>
      </c>
      <c r="AW144" s="131">
        <f>F144*AO144</f>
        <v>0</v>
      </c>
      <c r="AX144" s="131">
        <f>F144*AP144</f>
        <v>0</v>
      </c>
      <c r="AY144" s="132" t="s">
        <v>172</v>
      </c>
      <c r="AZ144" s="132" t="s">
        <v>797</v>
      </c>
      <c r="BA144" s="115" t="s">
        <v>774</v>
      </c>
      <c r="BC144" s="131">
        <f>AW144+AX144</f>
        <v>0</v>
      </c>
      <c r="BD144" s="131">
        <f>G144/(100-BE144)*100</f>
        <v>0</v>
      </c>
      <c r="BE144" s="131">
        <v>0</v>
      </c>
      <c r="BF144" s="131">
        <f>144</f>
        <v>144</v>
      </c>
      <c r="BH144" s="131">
        <f>F144*AO144</f>
        <v>0</v>
      </c>
      <c r="BI144" s="131">
        <f>F144*AP144</f>
        <v>0</v>
      </c>
      <c r="BJ144" s="131">
        <f>F144*G144</f>
        <v>0</v>
      </c>
      <c r="BK144" s="131"/>
      <c r="BL144" s="131">
        <v>45</v>
      </c>
      <c r="BW144" s="131">
        <v>21</v>
      </c>
      <c r="BX144" s="133" t="s">
        <v>796</v>
      </c>
    </row>
    <row r="145" spans="1:76" x14ac:dyDescent="0.25">
      <c r="A145" s="123" t="s">
        <v>53</v>
      </c>
      <c r="B145" s="124" t="s">
        <v>373</v>
      </c>
      <c r="C145" s="272" t="s">
        <v>798</v>
      </c>
      <c r="D145" s="273"/>
      <c r="E145" s="125" t="s">
        <v>9</v>
      </c>
      <c r="F145" s="125" t="s">
        <v>9</v>
      </c>
      <c r="G145" s="125" t="s">
        <v>9</v>
      </c>
      <c r="H145" s="110">
        <f>SUM(H146:H147)</f>
        <v>0</v>
      </c>
      <c r="I145" s="110">
        <f>SUM(I146:I147)</f>
        <v>0</v>
      </c>
      <c r="J145" s="110">
        <f>SUM(J146:J147)</f>
        <v>0</v>
      </c>
      <c r="K145" s="126" t="s">
        <v>53</v>
      </c>
      <c r="AI145" s="115" t="s">
        <v>772</v>
      </c>
      <c r="AS145" s="110">
        <f>SUM(AJ146:AJ147)</f>
        <v>0</v>
      </c>
      <c r="AT145" s="110">
        <f>SUM(AK146:AK147)</f>
        <v>0</v>
      </c>
      <c r="AU145" s="110">
        <f>SUM(AL146:AL147)</f>
        <v>0</v>
      </c>
    </row>
    <row r="146" spans="1:76" x14ac:dyDescent="0.25">
      <c r="A146" s="134" t="s">
        <v>361</v>
      </c>
      <c r="B146" s="135" t="s">
        <v>799</v>
      </c>
      <c r="C146" s="270" t="s">
        <v>800</v>
      </c>
      <c r="D146" s="271"/>
      <c r="E146" s="135" t="s">
        <v>67</v>
      </c>
      <c r="F146" s="131">
        <v>40</v>
      </c>
      <c r="G146" s="179">
        <v>0</v>
      </c>
      <c r="H146" s="131">
        <f>F146*AO146</f>
        <v>0</v>
      </c>
      <c r="I146" s="131">
        <f>F146*AP146</f>
        <v>0</v>
      </c>
      <c r="J146" s="131">
        <f>F146*G146</f>
        <v>0</v>
      </c>
      <c r="K146" s="136" t="s">
        <v>60</v>
      </c>
      <c r="Z146" s="131">
        <f>IF(AQ146="5",BJ146,0)</f>
        <v>0</v>
      </c>
      <c r="AB146" s="131">
        <f>IF(AQ146="1",BH146,0)</f>
        <v>0</v>
      </c>
      <c r="AC146" s="131">
        <f>IF(AQ146="1",BI146,0)</f>
        <v>0</v>
      </c>
      <c r="AD146" s="131">
        <f>IF(AQ146="7",BH146,0)</f>
        <v>0</v>
      </c>
      <c r="AE146" s="131">
        <f>IF(AQ146="7",BI146,0)</f>
        <v>0</v>
      </c>
      <c r="AF146" s="131">
        <f>IF(AQ146="2",BH146,0)</f>
        <v>0</v>
      </c>
      <c r="AG146" s="131">
        <f>IF(AQ146="2",BI146,0)</f>
        <v>0</v>
      </c>
      <c r="AH146" s="131">
        <f>IF(AQ146="0",BJ146,0)</f>
        <v>0</v>
      </c>
      <c r="AI146" s="115" t="s">
        <v>772</v>
      </c>
      <c r="AJ146" s="131">
        <f>IF(AN146=0,J146,0)</f>
        <v>0</v>
      </c>
      <c r="AK146" s="131">
        <f>IF(AN146=12,J146,0)</f>
        <v>0</v>
      </c>
      <c r="AL146" s="131">
        <f>IF(AN146=21,J146,0)</f>
        <v>0</v>
      </c>
      <c r="AN146" s="131">
        <v>21</v>
      </c>
      <c r="AO146" s="131">
        <f>G146*0.007439446</f>
        <v>0</v>
      </c>
      <c r="AP146" s="131">
        <f>G146*(1-0.007439446)</f>
        <v>0</v>
      </c>
      <c r="AQ146" s="132" t="s">
        <v>56</v>
      </c>
      <c r="AV146" s="131">
        <f>AW146+AX146</f>
        <v>0</v>
      </c>
      <c r="AW146" s="131">
        <f>F146*AO146</f>
        <v>0</v>
      </c>
      <c r="AX146" s="131">
        <f>F146*AP146</f>
        <v>0</v>
      </c>
      <c r="AY146" s="132" t="s">
        <v>801</v>
      </c>
      <c r="AZ146" s="132" t="s">
        <v>802</v>
      </c>
      <c r="BA146" s="115" t="s">
        <v>774</v>
      </c>
      <c r="BC146" s="131">
        <f>AW146+AX146</f>
        <v>0</v>
      </c>
      <c r="BD146" s="131">
        <f>G146/(100-BE146)*100</f>
        <v>0</v>
      </c>
      <c r="BE146" s="131">
        <v>0</v>
      </c>
      <c r="BF146" s="131">
        <f>146</f>
        <v>146</v>
      </c>
      <c r="BH146" s="131">
        <f>F146*AO146</f>
        <v>0</v>
      </c>
      <c r="BI146" s="131">
        <f>F146*AP146</f>
        <v>0</v>
      </c>
      <c r="BJ146" s="131">
        <f>F146*G146</f>
        <v>0</v>
      </c>
      <c r="BK146" s="131"/>
      <c r="BL146" s="131">
        <v>87</v>
      </c>
      <c r="BW146" s="131">
        <v>21</v>
      </c>
      <c r="BX146" s="133" t="s">
        <v>800</v>
      </c>
    </row>
    <row r="147" spans="1:76" x14ac:dyDescent="0.25">
      <c r="A147" s="134" t="s">
        <v>364</v>
      </c>
      <c r="B147" s="135" t="s">
        <v>803</v>
      </c>
      <c r="C147" s="270" t="s">
        <v>804</v>
      </c>
      <c r="D147" s="271"/>
      <c r="E147" s="135" t="s">
        <v>164</v>
      </c>
      <c r="F147" s="131">
        <v>1</v>
      </c>
      <c r="G147" s="179">
        <v>0</v>
      </c>
      <c r="H147" s="131">
        <f>F147*AO147</f>
        <v>0</v>
      </c>
      <c r="I147" s="131">
        <f>F147*AP147</f>
        <v>0</v>
      </c>
      <c r="J147" s="131">
        <f>F147*G147</f>
        <v>0</v>
      </c>
      <c r="K147" s="136" t="s">
        <v>60</v>
      </c>
      <c r="Z147" s="131">
        <f>IF(AQ147="5",BJ147,0)</f>
        <v>0</v>
      </c>
      <c r="AB147" s="131">
        <f>IF(AQ147="1",BH147,0)</f>
        <v>0</v>
      </c>
      <c r="AC147" s="131">
        <f>IF(AQ147="1",BI147,0)</f>
        <v>0</v>
      </c>
      <c r="AD147" s="131">
        <f>IF(AQ147="7",BH147,0)</f>
        <v>0</v>
      </c>
      <c r="AE147" s="131">
        <f>IF(AQ147="7",BI147,0)</f>
        <v>0</v>
      </c>
      <c r="AF147" s="131">
        <f>IF(AQ147="2",BH147,0)</f>
        <v>0</v>
      </c>
      <c r="AG147" s="131">
        <f>IF(AQ147="2",BI147,0)</f>
        <v>0</v>
      </c>
      <c r="AH147" s="131">
        <f>IF(AQ147="0",BJ147,0)</f>
        <v>0</v>
      </c>
      <c r="AI147" s="115" t="s">
        <v>772</v>
      </c>
      <c r="AJ147" s="131">
        <f>IF(AN147=0,J147,0)</f>
        <v>0</v>
      </c>
      <c r="AK147" s="131">
        <f>IF(AN147=12,J147,0)</f>
        <v>0</v>
      </c>
      <c r="AL147" s="131">
        <f>IF(AN147=21,J147,0)</f>
        <v>0</v>
      </c>
      <c r="AN147" s="131">
        <v>21</v>
      </c>
      <c r="AO147" s="131">
        <f>G147*0.010466102</f>
        <v>0</v>
      </c>
      <c r="AP147" s="131">
        <f>G147*(1-0.010466102)</f>
        <v>0</v>
      </c>
      <c r="AQ147" s="132" t="s">
        <v>56</v>
      </c>
      <c r="AV147" s="131">
        <f>AW147+AX147</f>
        <v>0</v>
      </c>
      <c r="AW147" s="131">
        <f>F147*AO147</f>
        <v>0</v>
      </c>
      <c r="AX147" s="131">
        <f>F147*AP147</f>
        <v>0</v>
      </c>
      <c r="AY147" s="132" t="s">
        <v>801</v>
      </c>
      <c r="AZ147" s="132" t="s">
        <v>802</v>
      </c>
      <c r="BA147" s="115" t="s">
        <v>774</v>
      </c>
      <c r="BC147" s="131">
        <f>AW147+AX147</f>
        <v>0</v>
      </c>
      <c r="BD147" s="131">
        <f>G147/(100-BE147)*100</f>
        <v>0</v>
      </c>
      <c r="BE147" s="131">
        <v>0</v>
      </c>
      <c r="BF147" s="131">
        <f>147</f>
        <v>147</v>
      </c>
      <c r="BH147" s="131">
        <f>F147*AO147</f>
        <v>0</v>
      </c>
      <c r="BI147" s="131">
        <f>F147*AP147</f>
        <v>0</v>
      </c>
      <c r="BJ147" s="131">
        <f>F147*G147</f>
        <v>0</v>
      </c>
      <c r="BK147" s="131"/>
      <c r="BL147" s="131">
        <v>87</v>
      </c>
      <c r="BW147" s="131">
        <v>21</v>
      </c>
      <c r="BX147" s="133" t="s">
        <v>804</v>
      </c>
    </row>
    <row r="148" spans="1:76" x14ac:dyDescent="0.25">
      <c r="A148" s="123" t="s">
        <v>53</v>
      </c>
      <c r="B148" s="124" t="s">
        <v>255</v>
      </c>
      <c r="C148" s="272" t="s">
        <v>715</v>
      </c>
      <c r="D148" s="273"/>
      <c r="E148" s="125" t="s">
        <v>9</v>
      </c>
      <c r="F148" s="125" t="s">
        <v>9</v>
      </c>
      <c r="G148" s="125" t="s">
        <v>9</v>
      </c>
      <c r="H148" s="110">
        <f>SUM(H149:H155)</f>
        <v>0</v>
      </c>
      <c r="I148" s="110">
        <f>SUM(I149:I155)</f>
        <v>0</v>
      </c>
      <c r="J148" s="110">
        <f>SUM(J149:J155)</f>
        <v>0</v>
      </c>
      <c r="K148" s="126" t="s">
        <v>53</v>
      </c>
      <c r="AI148" s="115" t="s">
        <v>772</v>
      </c>
      <c r="AS148" s="110">
        <f>SUM(AJ149:AJ155)</f>
        <v>0</v>
      </c>
      <c r="AT148" s="110">
        <f>SUM(AK149:AK155)</f>
        <v>0</v>
      </c>
      <c r="AU148" s="110">
        <f>SUM(AL149:AL155)</f>
        <v>0</v>
      </c>
    </row>
    <row r="149" spans="1:76" x14ac:dyDescent="0.25">
      <c r="A149" s="134" t="s">
        <v>367</v>
      </c>
      <c r="B149" s="135" t="s">
        <v>721</v>
      </c>
      <c r="C149" s="270" t="s">
        <v>722</v>
      </c>
      <c r="D149" s="271"/>
      <c r="E149" s="135" t="s">
        <v>164</v>
      </c>
      <c r="F149" s="131">
        <v>1</v>
      </c>
      <c r="G149" s="179">
        <v>0</v>
      </c>
      <c r="H149" s="131">
        <f t="shared" ref="H149:H155" si="90">F149*AO149</f>
        <v>0</v>
      </c>
      <c r="I149" s="131">
        <f t="shared" ref="I149:I155" si="91">F149*AP149</f>
        <v>0</v>
      </c>
      <c r="J149" s="131">
        <f t="shared" ref="J149:J155" si="92">F149*G149</f>
        <v>0</v>
      </c>
      <c r="K149" s="136" t="s">
        <v>60</v>
      </c>
      <c r="Z149" s="131">
        <f t="shared" ref="Z149:Z155" si="93">IF(AQ149="5",BJ149,0)</f>
        <v>0</v>
      </c>
      <c r="AB149" s="131">
        <f t="shared" ref="AB149:AB155" si="94">IF(AQ149="1",BH149,0)</f>
        <v>0</v>
      </c>
      <c r="AC149" s="131">
        <f t="shared" ref="AC149:AC155" si="95">IF(AQ149="1",BI149,0)</f>
        <v>0</v>
      </c>
      <c r="AD149" s="131">
        <f t="shared" ref="AD149:AD155" si="96">IF(AQ149="7",BH149,0)</f>
        <v>0</v>
      </c>
      <c r="AE149" s="131">
        <f t="shared" ref="AE149:AE155" si="97">IF(AQ149="7",BI149,0)</f>
        <v>0</v>
      </c>
      <c r="AF149" s="131">
        <f t="shared" ref="AF149:AF155" si="98">IF(AQ149="2",BH149,0)</f>
        <v>0</v>
      </c>
      <c r="AG149" s="131">
        <f t="shared" ref="AG149:AG155" si="99">IF(AQ149="2",BI149,0)</f>
        <v>0</v>
      </c>
      <c r="AH149" s="131">
        <f t="shared" ref="AH149:AH155" si="100">IF(AQ149="0",BJ149,0)</f>
        <v>0</v>
      </c>
      <c r="AI149" s="115" t="s">
        <v>772</v>
      </c>
      <c r="AJ149" s="131">
        <f t="shared" ref="AJ149:AJ155" si="101">IF(AN149=0,J149,0)</f>
        <v>0</v>
      </c>
      <c r="AK149" s="131">
        <f t="shared" ref="AK149:AK155" si="102">IF(AN149=12,J149,0)</f>
        <v>0</v>
      </c>
      <c r="AL149" s="131">
        <f t="shared" ref="AL149:AL155" si="103">IF(AN149=21,J149,0)</f>
        <v>0</v>
      </c>
      <c r="AN149" s="131">
        <v>21</v>
      </c>
      <c r="AO149" s="131">
        <f>G149*0</f>
        <v>0</v>
      </c>
      <c r="AP149" s="131">
        <f>G149*(1-0)</f>
        <v>0</v>
      </c>
      <c r="AQ149" s="132" t="s">
        <v>56</v>
      </c>
      <c r="AV149" s="131">
        <f t="shared" ref="AV149:AV155" si="104">AW149+AX149</f>
        <v>0</v>
      </c>
      <c r="AW149" s="131">
        <f t="shared" ref="AW149:AW155" si="105">F149*AO149</f>
        <v>0</v>
      </c>
      <c r="AX149" s="131">
        <f t="shared" ref="AX149:AX155" si="106">F149*AP149</f>
        <v>0</v>
      </c>
      <c r="AY149" s="132" t="s">
        <v>260</v>
      </c>
      <c r="AZ149" s="132" t="s">
        <v>802</v>
      </c>
      <c r="BA149" s="115" t="s">
        <v>774</v>
      </c>
      <c r="BC149" s="131">
        <f t="shared" ref="BC149:BC155" si="107">AW149+AX149</f>
        <v>0</v>
      </c>
      <c r="BD149" s="131">
        <f t="shared" ref="BD149:BD155" si="108">G149/(100-BE149)*100</f>
        <v>0</v>
      </c>
      <c r="BE149" s="131">
        <v>0</v>
      </c>
      <c r="BF149" s="131">
        <f>149</f>
        <v>149</v>
      </c>
      <c r="BH149" s="131">
        <f t="shared" ref="BH149:BH155" si="109">F149*AO149</f>
        <v>0</v>
      </c>
      <c r="BI149" s="131">
        <f t="shared" ref="BI149:BI155" si="110">F149*AP149</f>
        <v>0</v>
      </c>
      <c r="BJ149" s="131">
        <f t="shared" ref="BJ149:BJ155" si="111">F149*G149</f>
        <v>0</v>
      </c>
      <c r="BK149" s="131"/>
      <c r="BL149" s="131">
        <v>89</v>
      </c>
      <c r="BW149" s="131">
        <v>21</v>
      </c>
      <c r="BX149" s="133" t="s">
        <v>722</v>
      </c>
    </row>
    <row r="150" spans="1:76" x14ac:dyDescent="0.25">
      <c r="A150" s="134" t="s">
        <v>370</v>
      </c>
      <c r="B150" s="135" t="s">
        <v>721</v>
      </c>
      <c r="C150" s="270" t="s">
        <v>805</v>
      </c>
      <c r="D150" s="271"/>
      <c r="E150" s="135" t="s">
        <v>164</v>
      </c>
      <c r="F150" s="131">
        <v>1</v>
      </c>
      <c r="G150" s="179">
        <v>0</v>
      </c>
      <c r="H150" s="131">
        <f t="shared" si="90"/>
        <v>0</v>
      </c>
      <c r="I150" s="131">
        <f t="shared" si="91"/>
        <v>0</v>
      </c>
      <c r="J150" s="131">
        <f t="shared" si="92"/>
        <v>0</v>
      </c>
      <c r="K150" s="136" t="s">
        <v>60</v>
      </c>
      <c r="Z150" s="131">
        <f t="shared" si="93"/>
        <v>0</v>
      </c>
      <c r="AB150" s="131">
        <f t="shared" si="94"/>
        <v>0</v>
      </c>
      <c r="AC150" s="131">
        <f t="shared" si="95"/>
        <v>0</v>
      </c>
      <c r="AD150" s="131">
        <f t="shared" si="96"/>
        <v>0</v>
      </c>
      <c r="AE150" s="131">
        <f t="shared" si="97"/>
        <v>0</v>
      </c>
      <c r="AF150" s="131">
        <f t="shared" si="98"/>
        <v>0</v>
      </c>
      <c r="AG150" s="131">
        <f t="shared" si="99"/>
        <v>0</v>
      </c>
      <c r="AH150" s="131">
        <f t="shared" si="100"/>
        <v>0</v>
      </c>
      <c r="AI150" s="115" t="s">
        <v>772</v>
      </c>
      <c r="AJ150" s="131">
        <f t="shared" si="101"/>
        <v>0</v>
      </c>
      <c r="AK150" s="131">
        <f t="shared" si="102"/>
        <v>0</v>
      </c>
      <c r="AL150" s="131">
        <f t="shared" si="103"/>
        <v>0</v>
      </c>
      <c r="AN150" s="131">
        <v>21</v>
      </c>
      <c r="AO150" s="131">
        <f>G150*0</f>
        <v>0</v>
      </c>
      <c r="AP150" s="131">
        <f>G150*(1-0)</f>
        <v>0</v>
      </c>
      <c r="AQ150" s="132" t="s">
        <v>56</v>
      </c>
      <c r="AV150" s="131">
        <f t="shared" si="104"/>
        <v>0</v>
      </c>
      <c r="AW150" s="131">
        <f t="shared" si="105"/>
        <v>0</v>
      </c>
      <c r="AX150" s="131">
        <f t="shared" si="106"/>
        <v>0</v>
      </c>
      <c r="AY150" s="132" t="s">
        <v>260</v>
      </c>
      <c r="AZ150" s="132" t="s">
        <v>802</v>
      </c>
      <c r="BA150" s="115" t="s">
        <v>774</v>
      </c>
      <c r="BC150" s="131">
        <f t="shared" si="107"/>
        <v>0</v>
      </c>
      <c r="BD150" s="131">
        <f t="shared" si="108"/>
        <v>0</v>
      </c>
      <c r="BE150" s="131">
        <v>0</v>
      </c>
      <c r="BF150" s="131">
        <f>150</f>
        <v>150</v>
      </c>
      <c r="BH150" s="131">
        <f t="shared" si="109"/>
        <v>0</v>
      </c>
      <c r="BI150" s="131">
        <f t="shared" si="110"/>
        <v>0</v>
      </c>
      <c r="BJ150" s="131">
        <f t="shared" si="111"/>
        <v>0</v>
      </c>
      <c r="BK150" s="131"/>
      <c r="BL150" s="131">
        <v>89</v>
      </c>
      <c r="BW150" s="131">
        <v>21</v>
      </c>
      <c r="BX150" s="133" t="s">
        <v>805</v>
      </c>
    </row>
    <row r="151" spans="1:76" x14ac:dyDescent="0.25">
      <c r="A151" s="134" t="s">
        <v>373</v>
      </c>
      <c r="B151" s="135" t="s">
        <v>806</v>
      </c>
      <c r="C151" s="270" t="s">
        <v>807</v>
      </c>
      <c r="D151" s="271"/>
      <c r="E151" s="135" t="s">
        <v>164</v>
      </c>
      <c r="F151" s="131">
        <v>2</v>
      </c>
      <c r="G151" s="179">
        <v>0</v>
      </c>
      <c r="H151" s="131">
        <f t="shared" si="90"/>
        <v>0</v>
      </c>
      <c r="I151" s="131">
        <f t="shared" si="91"/>
        <v>0</v>
      </c>
      <c r="J151" s="131">
        <f t="shared" si="92"/>
        <v>0</v>
      </c>
      <c r="K151" s="136" t="s">
        <v>60</v>
      </c>
      <c r="Z151" s="131">
        <f t="shared" si="93"/>
        <v>0</v>
      </c>
      <c r="AB151" s="131">
        <f t="shared" si="94"/>
        <v>0</v>
      </c>
      <c r="AC151" s="131">
        <f t="shared" si="95"/>
        <v>0</v>
      </c>
      <c r="AD151" s="131">
        <f t="shared" si="96"/>
        <v>0</v>
      </c>
      <c r="AE151" s="131">
        <f t="shared" si="97"/>
        <v>0</v>
      </c>
      <c r="AF151" s="131">
        <f t="shared" si="98"/>
        <v>0</v>
      </c>
      <c r="AG151" s="131">
        <f t="shared" si="99"/>
        <v>0</v>
      </c>
      <c r="AH151" s="131">
        <f t="shared" si="100"/>
        <v>0</v>
      </c>
      <c r="AI151" s="115" t="s">
        <v>772</v>
      </c>
      <c r="AJ151" s="131">
        <f t="shared" si="101"/>
        <v>0</v>
      </c>
      <c r="AK151" s="131">
        <f t="shared" si="102"/>
        <v>0</v>
      </c>
      <c r="AL151" s="131">
        <f t="shared" si="103"/>
        <v>0</v>
      </c>
      <c r="AN151" s="131">
        <v>21</v>
      </c>
      <c r="AO151" s="131">
        <f>G151*0</f>
        <v>0</v>
      </c>
      <c r="AP151" s="131">
        <f>G151*(1-0)</f>
        <v>0</v>
      </c>
      <c r="AQ151" s="132" t="s">
        <v>56</v>
      </c>
      <c r="AV151" s="131">
        <f t="shared" si="104"/>
        <v>0</v>
      </c>
      <c r="AW151" s="131">
        <f t="shared" si="105"/>
        <v>0</v>
      </c>
      <c r="AX151" s="131">
        <f t="shared" si="106"/>
        <v>0</v>
      </c>
      <c r="AY151" s="132" t="s">
        <v>260</v>
      </c>
      <c r="AZ151" s="132" t="s">
        <v>802</v>
      </c>
      <c r="BA151" s="115" t="s">
        <v>774</v>
      </c>
      <c r="BC151" s="131">
        <f t="shared" si="107"/>
        <v>0</v>
      </c>
      <c r="BD151" s="131">
        <f t="shared" si="108"/>
        <v>0</v>
      </c>
      <c r="BE151" s="131">
        <v>0</v>
      </c>
      <c r="BF151" s="131">
        <f>151</f>
        <v>151</v>
      </c>
      <c r="BH151" s="131">
        <f t="shared" si="109"/>
        <v>0</v>
      </c>
      <c r="BI151" s="131">
        <f t="shared" si="110"/>
        <v>0</v>
      </c>
      <c r="BJ151" s="131">
        <f t="shared" si="111"/>
        <v>0</v>
      </c>
      <c r="BK151" s="131"/>
      <c r="BL151" s="131">
        <v>89</v>
      </c>
      <c r="BW151" s="131">
        <v>21</v>
      </c>
      <c r="BX151" s="133" t="s">
        <v>807</v>
      </c>
    </row>
    <row r="152" spans="1:76" x14ac:dyDescent="0.25">
      <c r="A152" s="134" t="s">
        <v>376</v>
      </c>
      <c r="B152" s="135" t="s">
        <v>725</v>
      </c>
      <c r="C152" s="270" t="s">
        <v>726</v>
      </c>
      <c r="D152" s="271"/>
      <c r="E152" s="135" t="s">
        <v>164</v>
      </c>
      <c r="F152" s="131">
        <v>2</v>
      </c>
      <c r="G152" s="179">
        <v>0</v>
      </c>
      <c r="H152" s="131">
        <f t="shared" si="90"/>
        <v>0</v>
      </c>
      <c r="I152" s="131">
        <f t="shared" si="91"/>
        <v>0</v>
      </c>
      <c r="J152" s="131">
        <f t="shared" si="92"/>
        <v>0</v>
      </c>
      <c r="K152" s="136" t="s">
        <v>60</v>
      </c>
      <c r="Z152" s="131">
        <f t="shared" si="93"/>
        <v>0</v>
      </c>
      <c r="AB152" s="131">
        <f t="shared" si="94"/>
        <v>0</v>
      </c>
      <c r="AC152" s="131">
        <f t="shared" si="95"/>
        <v>0</v>
      </c>
      <c r="AD152" s="131">
        <f t="shared" si="96"/>
        <v>0</v>
      </c>
      <c r="AE152" s="131">
        <f t="shared" si="97"/>
        <v>0</v>
      </c>
      <c r="AF152" s="131">
        <f t="shared" si="98"/>
        <v>0</v>
      </c>
      <c r="AG152" s="131">
        <f t="shared" si="99"/>
        <v>0</v>
      </c>
      <c r="AH152" s="131">
        <f t="shared" si="100"/>
        <v>0</v>
      </c>
      <c r="AI152" s="115" t="s">
        <v>772</v>
      </c>
      <c r="AJ152" s="131">
        <f t="shared" si="101"/>
        <v>0</v>
      </c>
      <c r="AK152" s="131">
        <f t="shared" si="102"/>
        <v>0</v>
      </c>
      <c r="AL152" s="131">
        <f t="shared" si="103"/>
        <v>0</v>
      </c>
      <c r="AN152" s="131">
        <v>21</v>
      </c>
      <c r="AO152" s="131">
        <f>G152*0.00977221</f>
        <v>0</v>
      </c>
      <c r="AP152" s="131">
        <f>G152*(1-0.00977221)</f>
        <v>0</v>
      </c>
      <c r="AQ152" s="132" t="s">
        <v>56</v>
      </c>
      <c r="AV152" s="131">
        <f t="shared" si="104"/>
        <v>0</v>
      </c>
      <c r="AW152" s="131">
        <f t="shared" si="105"/>
        <v>0</v>
      </c>
      <c r="AX152" s="131">
        <f t="shared" si="106"/>
        <v>0</v>
      </c>
      <c r="AY152" s="132" t="s">
        <v>260</v>
      </c>
      <c r="AZ152" s="132" t="s">
        <v>802</v>
      </c>
      <c r="BA152" s="115" t="s">
        <v>774</v>
      </c>
      <c r="BC152" s="131">
        <f t="shared" si="107"/>
        <v>0</v>
      </c>
      <c r="BD152" s="131">
        <f t="shared" si="108"/>
        <v>0</v>
      </c>
      <c r="BE152" s="131">
        <v>0</v>
      </c>
      <c r="BF152" s="131">
        <f>152</f>
        <v>152</v>
      </c>
      <c r="BH152" s="131">
        <f t="shared" si="109"/>
        <v>0</v>
      </c>
      <c r="BI152" s="131">
        <f t="shared" si="110"/>
        <v>0</v>
      </c>
      <c r="BJ152" s="131">
        <f t="shared" si="111"/>
        <v>0</v>
      </c>
      <c r="BK152" s="131"/>
      <c r="BL152" s="131">
        <v>89</v>
      </c>
      <c r="BW152" s="131">
        <v>21</v>
      </c>
      <c r="BX152" s="133" t="s">
        <v>726</v>
      </c>
    </row>
    <row r="153" spans="1:76" x14ac:dyDescent="0.25">
      <c r="A153" s="134" t="s">
        <v>255</v>
      </c>
      <c r="B153" s="135" t="s">
        <v>723</v>
      </c>
      <c r="C153" s="270" t="s">
        <v>724</v>
      </c>
      <c r="D153" s="271"/>
      <c r="E153" s="135" t="s">
        <v>164</v>
      </c>
      <c r="F153" s="131">
        <v>2</v>
      </c>
      <c r="G153" s="179">
        <v>0</v>
      </c>
      <c r="H153" s="131">
        <f t="shared" si="90"/>
        <v>0</v>
      </c>
      <c r="I153" s="131">
        <f t="shared" si="91"/>
        <v>0</v>
      </c>
      <c r="J153" s="131">
        <f t="shared" si="92"/>
        <v>0</v>
      </c>
      <c r="K153" s="136" t="s">
        <v>60</v>
      </c>
      <c r="Z153" s="131">
        <f t="shared" si="93"/>
        <v>0</v>
      </c>
      <c r="AB153" s="131">
        <f t="shared" si="94"/>
        <v>0</v>
      </c>
      <c r="AC153" s="131">
        <f t="shared" si="95"/>
        <v>0</v>
      </c>
      <c r="AD153" s="131">
        <f t="shared" si="96"/>
        <v>0</v>
      </c>
      <c r="AE153" s="131">
        <f t="shared" si="97"/>
        <v>0</v>
      </c>
      <c r="AF153" s="131">
        <f t="shared" si="98"/>
        <v>0</v>
      </c>
      <c r="AG153" s="131">
        <f t="shared" si="99"/>
        <v>0</v>
      </c>
      <c r="AH153" s="131">
        <f t="shared" si="100"/>
        <v>0</v>
      </c>
      <c r="AI153" s="115" t="s">
        <v>772</v>
      </c>
      <c r="AJ153" s="131">
        <f t="shared" si="101"/>
        <v>0</v>
      </c>
      <c r="AK153" s="131">
        <f t="shared" si="102"/>
        <v>0</v>
      </c>
      <c r="AL153" s="131">
        <f t="shared" si="103"/>
        <v>0</v>
      </c>
      <c r="AN153" s="131">
        <v>21</v>
      </c>
      <c r="AO153" s="131">
        <f>G153*0</f>
        <v>0</v>
      </c>
      <c r="AP153" s="131">
        <f>G153*(1-0)</f>
        <v>0</v>
      </c>
      <c r="AQ153" s="132" t="s">
        <v>56</v>
      </c>
      <c r="AV153" s="131">
        <f t="shared" si="104"/>
        <v>0</v>
      </c>
      <c r="AW153" s="131">
        <f t="shared" si="105"/>
        <v>0</v>
      </c>
      <c r="AX153" s="131">
        <f t="shared" si="106"/>
        <v>0</v>
      </c>
      <c r="AY153" s="132" t="s">
        <v>260</v>
      </c>
      <c r="AZ153" s="132" t="s">
        <v>802</v>
      </c>
      <c r="BA153" s="115" t="s">
        <v>774</v>
      </c>
      <c r="BC153" s="131">
        <f t="shared" si="107"/>
        <v>0</v>
      </c>
      <c r="BD153" s="131">
        <f t="shared" si="108"/>
        <v>0</v>
      </c>
      <c r="BE153" s="131">
        <v>0</v>
      </c>
      <c r="BF153" s="131">
        <f>153</f>
        <v>153</v>
      </c>
      <c r="BH153" s="131">
        <f t="shared" si="109"/>
        <v>0</v>
      </c>
      <c r="BI153" s="131">
        <f t="shared" si="110"/>
        <v>0</v>
      </c>
      <c r="BJ153" s="131">
        <f t="shared" si="111"/>
        <v>0</v>
      </c>
      <c r="BK153" s="131"/>
      <c r="BL153" s="131">
        <v>89</v>
      </c>
      <c r="BW153" s="131">
        <v>21</v>
      </c>
      <c r="BX153" s="133" t="s">
        <v>724</v>
      </c>
    </row>
    <row r="154" spans="1:76" x14ac:dyDescent="0.25">
      <c r="A154" s="134" t="s">
        <v>381</v>
      </c>
      <c r="B154" s="135" t="s">
        <v>808</v>
      </c>
      <c r="C154" s="270" t="s">
        <v>809</v>
      </c>
      <c r="D154" s="271"/>
      <c r="E154" s="135" t="s">
        <v>79</v>
      </c>
      <c r="F154" s="131">
        <v>0.25</v>
      </c>
      <c r="G154" s="179">
        <v>0</v>
      </c>
      <c r="H154" s="131">
        <f t="shared" si="90"/>
        <v>0</v>
      </c>
      <c r="I154" s="131">
        <f t="shared" si="91"/>
        <v>0</v>
      </c>
      <c r="J154" s="131">
        <f t="shared" si="92"/>
        <v>0</v>
      </c>
      <c r="K154" s="136" t="s">
        <v>60</v>
      </c>
      <c r="Z154" s="131">
        <f t="shared" si="93"/>
        <v>0</v>
      </c>
      <c r="AB154" s="131">
        <f t="shared" si="94"/>
        <v>0</v>
      </c>
      <c r="AC154" s="131">
        <f t="shared" si="95"/>
        <v>0</v>
      </c>
      <c r="AD154" s="131">
        <f t="shared" si="96"/>
        <v>0</v>
      </c>
      <c r="AE154" s="131">
        <f t="shared" si="97"/>
        <v>0</v>
      </c>
      <c r="AF154" s="131">
        <f t="shared" si="98"/>
        <v>0</v>
      </c>
      <c r="AG154" s="131">
        <f t="shared" si="99"/>
        <v>0</v>
      </c>
      <c r="AH154" s="131">
        <f t="shared" si="100"/>
        <v>0</v>
      </c>
      <c r="AI154" s="115" t="s">
        <v>772</v>
      </c>
      <c r="AJ154" s="131">
        <f t="shared" si="101"/>
        <v>0</v>
      </c>
      <c r="AK154" s="131">
        <f t="shared" si="102"/>
        <v>0</v>
      </c>
      <c r="AL154" s="131">
        <f t="shared" si="103"/>
        <v>0</v>
      </c>
      <c r="AN154" s="131">
        <v>21</v>
      </c>
      <c r="AO154" s="131">
        <f>G154*0.84313413</f>
        <v>0</v>
      </c>
      <c r="AP154" s="131">
        <f>G154*(1-0.84313413)</f>
        <v>0</v>
      </c>
      <c r="AQ154" s="132" t="s">
        <v>56</v>
      </c>
      <c r="AV154" s="131">
        <f t="shared" si="104"/>
        <v>0</v>
      </c>
      <c r="AW154" s="131">
        <f t="shared" si="105"/>
        <v>0</v>
      </c>
      <c r="AX154" s="131">
        <f t="shared" si="106"/>
        <v>0</v>
      </c>
      <c r="AY154" s="132" t="s">
        <v>260</v>
      </c>
      <c r="AZ154" s="132" t="s">
        <v>802</v>
      </c>
      <c r="BA154" s="115" t="s">
        <v>774</v>
      </c>
      <c r="BC154" s="131">
        <f t="shared" si="107"/>
        <v>0</v>
      </c>
      <c r="BD154" s="131">
        <f t="shared" si="108"/>
        <v>0</v>
      </c>
      <c r="BE154" s="131">
        <v>0</v>
      </c>
      <c r="BF154" s="131">
        <f>154</f>
        <v>154</v>
      </c>
      <c r="BH154" s="131">
        <f t="shared" si="109"/>
        <v>0</v>
      </c>
      <c r="BI154" s="131">
        <f t="shared" si="110"/>
        <v>0</v>
      </c>
      <c r="BJ154" s="131">
        <f t="shared" si="111"/>
        <v>0</v>
      </c>
      <c r="BK154" s="131"/>
      <c r="BL154" s="131">
        <v>89</v>
      </c>
      <c r="BW154" s="131">
        <v>21</v>
      </c>
      <c r="BX154" s="133" t="s">
        <v>809</v>
      </c>
    </row>
    <row r="155" spans="1:76" x14ac:dyDescent="0.25">
      <c r="A155" s="134" t="s">
        <v>269</v>
      </c>
      <c r="B155" s="135" t="s">
        <v>810</v>
      </c>
      <c r="C155" s="270" t="s">
        <v>811</v>
      </c>
      <c r="D155" s="271"/>
      <c r="E155" s="135" t="s">
        <v>164</v>
      </c>
      <c r="F155" s="131">
        <v>1</v>
      </c>
      <c r="G155" s="179">
        <v>0</v>
      </c>
      <c r="H155" s="131">
        <f t="shared" si="90"/>
        <v>0</v>
      </c>
      <c r="I155" s="131">
        <f t="shared" si="91"/>
        <v>0</v>
      </c>
      <c r="J155" s="131">
        <f t="shared" si="92"/>
        <v>0</v>
      </c>
      <c r="K155" s="136" t="s">
        <v>60</v>
      </c>
      <c r="Z155" s="131">
        <f t="shared" si="93"/>
        <v>0</v>
      </c>
      <c r="AB155" s="131">
        <f t="shared" si="94"/>
        <v>0</v>
      </c>
      <c r="AC155" s="131">
        <f t="shared" si="95"/>
        <v>0</v>
      </c>
      <c r="AD155" s="131">
        <f t="shared" si="96"/>
        <v>0</v>
      </c>
      <c r="AE155" s="131">
        <f t="shared" si="97"/>
        <v>0</v>
      </c>
      <c r="AF155" s="131">
        <f t="shared" si="98"/>
        <v>0</v>
      </c>
      <c r="AG155" s="131">
        <f t="shared" si="99"/>
        <v>0</v>
      </c>
      <c r="AH155" s="131">
        <f t="shared" si="100"/>
        <v>0</v>
      </c>
      <c r="AI155" s="115" t="s">
        <v>772</v>
      </c>
      <c r="AJ155" s="131">
        <f t="shared" si="101"/>
        <v>0</v>
      </c>
      <c r="AK155" s="131">
        <f t="shared" si="102"/>
        <v>0</v>
      </c>
      <c r="AL155" s="131">
        <f t="shared" si="103"/>
        <v>0</v>
      </c>
      <c r="AN155" s="131">
        <v>21</v>
      </c>
      <c r="AO155" s="131">
        <f>G155*0.363555158</f>
        <v>0</v>
      </c>
      <c r="AP155" s="131">
        <f>G155*(1-0.363555158)</f>
        <v>0</v>
      </c>
      <c r="AQ155" s="132" t="s">
        <v>56</v>
      </c>
      <c r="AV155" s="131">
        <f t="shared" si="104"/>
        <v>0</v>
      </c>
      <c r="AW155" s="131">
        <f t="shared" si="105"/>
        <v>0</v>
      </c>
      <c r="AX155" s="131">
        <f t="shared" si="106"/>
        <v>0</v>
      </c>
      <c r="AY155" s="132" t="s">
        <v>260</v>
      </c>
      <c r="AZ155" s="132" t="s">
        <v>802</v>
      </c>
      <c r="BA155" s="115" t="s">
        <v>774</v>
      </c>
      <c r="BC155" s="131">
        <f t="shared" si="107"/>
        <v>0</v>
      </c>
      <c r="BD155" s="131">
        <f t="shared" si="108"/>
        <v>0</v>
      </c>
      <c r="BE155" s="131">
        <v>0</v>
      </c>
      <c r="BF155" s="131">
        <f>155</f>
        <v>155</v>
      </c>
      <c r="BH155" s="131">
        <f t="shared" si="109"/>
        <v>0</v>
      </c>
      <c r="BI155" s="131">
        <f t="shared" si="110"/>
        <v>0</v>
      </c>
      <c r="BJ155" s="131">
        <f t="shared" si="111"/>
        <v>0</v>
      </c>
      <c r="BK155" s="131"/>
      <c r="BL155" s="131">
        <v>89</v>
      </c>
      <c r="BW155" s="131">
        <v>21</v>
      </c>
      <c r="BX155" s="133" t="s">
        <v>811</v>
      </c>
    </row>
    <row r="156" spans="1:76" x14ac:dyDescent="0.25">
      <c r="A156" s="123" t="s">
        <v>53</v>
      </c>
      <c r="B156" s="124" t="s">
        <v>736</v>
      </c>
      <c r="C156" s="272" t="s">
        <v>737</v>
      </c>
      <c r="D156" s="273"/>
      <c r="E156" s="125" t="s">
        <v>9</v>
      </c>
      <c r="F156" s="125" t="s">
        <v>9</v>
      </c>
      <c r="G156" s="125" t="s">
        <v>9</v>
      </c>
      <c r="H156" s="110">
        <f>SUM(H157:H157)</f>
        <v>0</v>
      </c>
      <c r="I156" s="110">
        <f>SUM(I157:I157)</f>
        <v>0</v>
      </c>
      <c r="J156" s="110">
        <f>SUM(J157:J157)</f>
        <v>0</v>
      </c>
      <c r="K156" s="126" t="s">
        <v>53</v>
      </c>
      <c r="AI156" s="115" t="s">
        <v>772</v>
      </c>
      <c r="AS156" s="110">
        <f>SUM(AJ157:AJ157)</f>
        <v>0</v>
      </c>
      <c r="AT156" s="110">
        <f>SUM(AK157:AK157)</f>
        <v>0</v>
      </c>
      <c r="AU156" s="110">
        <f>SUM(AL157:AL157)</f>
        <v>0</v>
      </c>
    </row>
    <row r="157" spans="1:76" x14ac:dyDescent="0.25">
      <c r="A157" s="134" t="s">
        <v>386</v>
      </c>
      <c r="B157" s="135" t="s">
        <v>738</v>
      </c>
      <c r="C157" s="270" t="s">
        <v>739</v>
      </c>
      <c r="D157" s="271"/>
      <c r="E157" s="135" t="s">
        <v>122</v>
      </c>
      <c r="F157" s="131">
        <v>46.02</v>
      </c>
      <c r="G157" s="179">
        <v>0</v>
      </c>
      <c r="H157" s="131">
        <f>F157*AO157</f>
        <v>0</v>
      </c>
      <c r="I157" s="131">
        <f>F157*AP157</f>
        <v>0</v>
      </c>
      <c r="J157" s="131">
        <f>F157*G157</f>
        <v>0</v>
      </c>
      <c r="K157" s="136" t="s">
        <v>711</v>
      </c>
      <c r="Z157" s="131">
        <f>IF(AQ157="5",BJ157,0)</f>
        <v>0</v>
      </c>
      <c r="AB157" s="131">
        <f>IF(AQ157="1",BH157,0)</f>
        <v>0</v>
      </c>
      <c r="AC157" s="131">
        <f>IF(AQ157="1",BI157,0)</f>
        <v>0</v>
      </c>
      <c r="AD157" s="131">
        <f>IF(AQ157="7",BH157,0)</f>
        <v>0</v>
      </c>
      <c r="AE157" s="131">
        <f>IF(AQ157="7",BI157,0)</f>
        <v>0</v>
      </c>
      <c r="AF157" s="131">
        <f>IF(AQ157="2",BH157,0)</f>
        <v>0</v>
      </c>
      <c r="AG157" s="131">
        <f>IF(AQ157="2",BI157,0)</f>
        <v>0</v>
      </c>
      <c r="AH157" s="131">
        <f>IF(AQ157="0",BJ157,0)</f>
        <v>0</v>
      </c>
      <c r="AI157" s="115" t="s">
        <v>772</v>
      </c>
      <c r="AJ157" s="131">
        <f>IF(AN157=0,J157,0)</f>
        <v>0</v>
      </c>
      <c r="AK157" s="131">
        <f>IF(AN157=12,J157,0)</f>
        <v>0</v>
      </c>
      <c r="AL157" s="131">
        <f>IF(AN157=21,J157,0)</f>
        <v>0</v>
      </c>
      <c r="AN157" s="131">
        <v>21</v>
      </c>
      <c r="AO157" s="131">
        <f>G157*0</f>
        <v>0</v>
      </c>
      <c r="AP157" s="131">
        <f>G157*(1-0)</f>
        <v>0</v>
      </c>
      <c r="AQ157" s="132" t="s">
        <v>76</v>
      </c>
      <c r="AV157" s="131">
        <f>AW157+AX157</f>
        <v>0</v>
      </c>
      <c r="AW157" s="131">
        <f>F157*AO157</f>
        <v>0</v>
      </c>
      <c r="AX157" s="131">
        <f>F157*AP157</f>
        <v>0</v>
      </c>
      <c r="AY157" s="132" t="s">
        <v>740</v>
      </c>
      <c r="AZ157" s="132" t="s">
        <v>812</v>
      </c>
      <c r="BA157" s="115" t="s">
        <v>774</v>
      </c>
      <c r="BC157" s="131">
        <f>AW157+AX157</f>
        <v>0</v>
      </c>
      <c r="BD157" s="131">
        <f>G157/(100-BE157)*100</f>
        <v>0</v>
      </c>
      <c r="BE157" s="131">
        <v>0</v>
      </c>
      <c r="BF157" s="131">
        <f>157</f>
        <v>157</v>
      </c>
      <c r="BH157" s="131">
        <f>F157*AO157</f>
        <v>0</v>
      </c>
      <c r="BI157" s="131">
        <f>F157*AP157</f>
        <v>0</v>
      </c>
      <c r="BJ157" s="131">
        <f>F157*G157</f>
        <v>0</v>
      </c>
      <c r="BK157" s="131"/>
      <c r="BL157" s="131"/>
      <c r="BW157" s="131">
        <v>21</v>
      </c>
      <c r="BX157" s="133" t="s">
        <v>739</v>
      </c>
    </row>
    <row r="158" spans="1:76" x14ac:dyDescent="0.25">
      <c r="A158" s="123" t="s">
        <v>53</v>
      </c>
      <c r="B158" s="124" t="s">
        <v>338</v>
      </c>
      <c r="C158" s="272" t="s">
        <v>339</v>
      </c>
      <c r="D158" s="273"/>
      <c r="E158" s="125" t="s">
        <v>9</v>
      </c>
      <c r="F158" s="125" t="s">
        <v>9</v>
      </c>
      <c r="G158" s="125" t="s">
        <v>9</v>
      </c>
      <c r="H158" s="110">
        <f>SUM(H159:H168)</f>
        <v>0</v>
      </c>
      <c r="I158" s="110">
        <f>SUM(I159:I168)</f>
        <v>0</v>
      </c>
      <c r="J158" s="110">
        <f>SUM(J159:J168)</f>
        <v>0</v>
      </c>
      <c r="K158" s="126" t="s">
        <v>53</v>
      </c>
      <c r="AI158" s="115" t="s">
        <v>772</v>
      </c>
      <c r="AS158" s="110">
        <f>SUM(AJ159:AJ168)</f>
        <v>0</v>
      </c>
      <c r="AT158" s="110">
        <f>SUM(AK159:AK168)</f>
        <v>0</v>
      </c>
      <c r="AU158" s="110">
        <f>SUM(AL159:AL168)</f>
        <v>0</v>
      </c>
    </row>
    <row r="159" spans="1:76" ht="25.5" x14ac:dyDescent="0.25">
      <c r="A159" s="134" t="s">
        <v>299</v>
      </c>
      <c r="B159" s="135" t="s">
        <v>813</v>
      </c>
      <c r="C159" s="270" t="s">
        <v>814</v>
      </c>
      <c r="D159" s="271"/>
      <c r="E159" s="135" t="s">
        <v>164</v>
      </c>
      <c r="F159" s="131">
        <v>7</v>
      </c>
      <c r="G159" s="179">
        <v>0</v>
      </c>
      <c r="H159" s="131">
        <f t="shared" ref="H159:H168" si="112">F159*AO159</f>
        <v>0</v>
      </c>
      <c r="I159" s="131">
        <f t="shared" ref="I159:I168" si="113">F159*AP159</f>
        <v>0</v>
      </c>
      <c r="J159" s="131">
        <f t="shared" ref="J159:J168" si="114">F159*G159</f>
        <v>0</v>
      </c>
      <c r="K159" s="136" t="s">
        <v>60</v>
      </c>
      <c r="Z159" s="131">
        <f t="shared" ref="Z159:Z168" si="115">IF(AQ159="5",BJ159,0)</f>
        <v>0</v>
      </c>
      <c r="AB159" s="131">
        <f t="shared" ref="AB159:AB168" si="116">IF(AQ159="1",BH159,0)</f>
        <v>0</v>
      </c>
      <c r="AC159" s="131">
        <f t="shared" ref="AC159:AC168" si="117">IF(AQ159="1",BI159,0)</f>
        <v>0</v>
      </c>
      <c r="AD159" s="131">
        <f t="shared" ref="AD159:AD168" si="118">IF(AQ159="7",BH159,0)</f>
        <v>0</v>
      </c>
      <c r="AE159" s="131">
        <f t="shared" ref="AE159:AE168" si="119">IF(AQ159="7",BI159,0)</f>
        <v>0</v>
      </c>
      <c r="AF159" s="131">
        <f t="shared" ref="AF159:AF168" si="120">IF(AQ159="2",BH159,0)</f>
        <v>0</v>
      </c>
      <c r="AG159" s="131">
        <f t="shared" ref="AG159:AG168" si="121">IF(AQ159="2",BI159,0)</f>
        <v>0</v>
      </c>
      <c r="AH159" s="131">
        <f t="shared" ref="AH159:AH168" si="122">IF(AQ159="0",BJ159,0)</f>
        <v>0</v>
      </c>
      <c r="AI159" s="115" t="s">
        <v>772</v>
      </c>
      <c r="AJ159" s="131">
        <f t="shared" ref="AJ159:AJ168" si="123">IF(AN159=0,J159,0)</f>
        <v>0</v>
      </c>
      <c r="AK159" s="131">
        <f t="shared" ref="AK159:AK168" si="124">IF(AN159=12,J159,0)</f>
        <v>0</v>
      </c>
      <c r="AL159" s="131">
        <f t="shared" ref="AL159:AL168" si="125">IF(AN159=21,J159,0)</f>
        <v>0</v>
      </c>
      <c r="AN159" s="131">
        <v>21</v>
      </c>
      <c r="AO159" s="131">
        <f t="shared" ref="AO159:AO168" si="126">G159*1</f>
        <v>0</v>
      </c>
      <c r="AP159" s="131">
        <f t="shared" ref="AP159:AP168" si="127">G159*(1-1)</f>
        <v>0</v>
      </c>
      <c r="AQ159" s="132" t="s">
        <v>343</v>
      </c>
      <c r="AV159" s="131">
        <f t="shared" ref="AV159:AV168" si="128">AW159+AX159</f>
        <v>0</v>
      </c>
      <c r="AW159" s="131">
        <f t="shared" ref="AW159:AW168" si="129">F159*AO159</f>
        <v>0</v>
      </c>
      <c r="AX159" s="131">
        <f t="shared" ref="AX159:AX168" si="130">F159*AP159</f>
        <v>0</v>
      </c>
      <c r="AY159" s="132" t="s">
        <v>344</v>
      </c>
      <c r="AZ159" s="132" t="s">
        <v>815</v>
      </c>
      <c r="BA159" s="115" t="s">
        <v>774</v>
      </c>
      <c r="BC159" s="131">
        <f t="shared" ref="BC159:BC168" si="131">AW159+AX159</f>
        <v>0</v>
      </c>
      <c r="BD159" s="131">
        <f t="shared" ref="BD159:BD168" si="132">G159/(100-BE159)*100</f>
        <v>0</v>
      </c>
      <c r="BE159" s="131">
        <v>0</v>
      </c>
      <c r="BF159" s="131">
        <f>159</f>
        <v>159</v>
      </c>
      <c r="BH159" s="131">
        <f t="shared" ref="BH159:BH168" si="133">F159*AO159</f>
        <v>0</v>
      </c>
      <c r="BI159" s="131">
        <f t="shared" ref="BI159:BI168" si="134">F159*AP159</f>
        <v>0</v>
      </c>
      <c r="BJ159" s="131">
        <f t="shared" ref="BJ159:BJ168" si="135">F159*G159</f>
        <v>0</v>
      </c>
      <c r="BK159" s="131"/>
      <c r="BL159" s="131"/>
      <c r="BW159" s="131">
        <v>21</v>
      </c>
      <c r="BX159" s="133" t="s">
        <v>814</v>
      </c>
    </row>
    <row r="160" spans="1:76" x14ac:dyDescent="0.25">
      <c r="A160" s="134" t="s">
        <v>391</v>
      </c>
      <c r="B160" s="135" t="s">
        <v>816</v>
      </c>
      <c r="C160" s="270" t="s">
        <v>817</v>
      </c>
      <c r="D160" s="271"/>
      <c r="E160" s="135" t="s">
        <v>164</v>
      </c>
      <c r="F160" s="131">
        <v>1</v>
      </c>
      <c r="G160" s="179">
        <v>0</v>
      </c>
      <c r="H160" s="131">
        <f t="shared" si="112"/>
        <v>0</v>
      </c>
      <c r="I160" s="131">
        <f t="shared" si="113"/>
        <v>0</v>
      </c>
      <c r="J160" s="131">
        <f t="shared" si="114"/>
        <v>0</v>
      </c>
      <c r="K160" s="136" t="s">
        <v>60</v>
      </c>
      <c r="Z160" s="131">
        <f t="shared" si="115"/>
        <v>0</v>
      </c>
      <c r="AB160" s="131">
        <f t="shared" si="116"/>
        <v>0</v>
      </c>
      <c r="AC160" s="131">
        <f t="shared" si="117"/>
        <v>0</v>
      </c>
      <c r="AD160" s="131">
        <f t="shared" si="118"/>
        <v>0</v>
      </c>
      <c r="AE160" s="131">
        <f t="shared" si="119"/>
        <v>0</v>
      </c>
      <c r="AF160" s="131">
        <f t="shared" si="120"/>
        <v>0</v>
      </c>
      <c r="AG160" s="131">
        <f t="shared" si="121"/>
        <v>0</v>
      </c>
      <c r="AH160" s="131">
        <f t="shared" si="122"/>
        <v>0</v>
      </c>
      <c r="AI160" s="115" t="s">
        <v>772</v>
      </c>
      <c r="AJ160" s="131">
        <f t="shared" si="123"/>
        <v>0</v>
      </c>
      <c r="AK160" s="131">
        <f t="shared" si="124"/>
        <v>0</v>
      </c>
      <c r="AL160" s="131">
        <f t="shared" si="125"/>
        <v>0</v>
      </c>
      <c r="AN160" s="131">
        <v>21</v>
      </c>
      <c r="AO160" s="131">
        <f t="shared" si="126"/>
        <v>0</v>
      </c>
      <c r="AP160" s="131">
        <f t="shared" si="127"/>
        <v>0</v>
      </c>
      <c r="AQ160" s="132" t="s">
        <v>343</v>
      </c>
      <c r="AV160" s="131">
        <f t="shared" si="128"/>
        <v>0</v>
      </c>
      <c r="AW160" s="131">
        <f t="shared" si="129"/>
        <v>0</v>
      </c>
      <c r="AX160" s="131">
        <f t="shared" si="130"/>
        <v>0</v>
      </c>
      <c r="AY160" s="132" t="s">
        <v>344</v>
      </c>
      <c r="AZ160" s="132" t="s">
        <v>815</v>
      </c>
      <c r="BA160" s="115" t="s">
        <v>774</v>
      </c>
      <c r="BC160" s="131">
        <f t="shared" si="131"/>
        <v>0</v>
      </c>
      <c r="BD160" s="131">
        <f t="shared" si="132"/>
        <v>0</v>
      </c>
      <c r="BE160" s="131">
        <v>0</v>
      </c>
      <c r="BF160" s="131">
        <f>160</f>
        <v>160</v>
      </c>
      <c r="BH160" s="131">
        <f t="shared" si="133"/>
        <v>0</v>
      </c>
      <c r="BI160" s="131">
        <f t="shared" si="134"/>
        <v>0</v>
      </c>
      <c r="BJ160" s="131">
        <f t="shared" si="135"/>
        <v>0</v>
      </c>
      <c r="BK160" s="131"/>
      <c r="BL160" s="131"/>
      <c r="BW160" s="131">
        <v>21</v>
      </c>
      <c r="BX160" s="133" t="s">
        <v>817</v>
      </c>
    </row>
    <row r="161" spans="1:76" x14ac:dyDescent="0.25">
      <c r="A161" s="134" t="s">
        <v>394</v>
      </c>
      <c r="B161" s="135" t="s">
        <v>818</v>
      </c>
      <c r="C161" s="270" t="s">
        <v>819</v>
      </c>
      <c r="D161" s="271"/>
      <c r="E161" s="135" t="s">
        <v>164</v>
      </c>
      <c r="F161" s="131">
        <v>2</v>
      </c>
      <c r="G161" s="179">
        <v>0</v>
      </c>
      <c r="H161" s="131">
        <f t="shared" si="112"/>
        <v>0</v>
      </c>
      <c r="I161" s="131">
        <f t="shared" si="113"/>
        <v>0</v>
      </c>
      <c r="J161" s="131">
        <f t="shared" si="114"/>
        <v>0</v>
      </c>
      <c r="K161" s="136" t="s">
        <v>60</v>
      </c>
      <c r="Z161" s="131">
        <f t="shared" si="115"/>
        <v>0</v>
      </c>
      <c r="AB161" s="131">
        <f t="shared" si="116"/>
        <v>0</v>
      </c>
      <c r="AC161" s="131">
        <f t="shared" si="117"/>
        <v>0</v>
      </c>
      <c r="AD161" s="131">
        <f t="shared" si="118"/>
        <v>0</v>
      </c>
      <c r="AE161" s="131">
        <f t="shared" si="119"/>
        <v>0</v>
      </c>
      <c r="AF161" s="131">
        <f t="shared" si="120"/>
        <v>0</v>
      </c>
      <c r="AG161" s="131">
        <f t="shared" si="121"/>
        <v>0</v>
      </c>
      <c r="AH161" s="131">
        <f t="shared" si="122"/>
        <v>0</v>
      </c>
      <c r="AI161" s="115" t="s">
        <v>772</v>
      </c>
      <c r="AJ161" s="131">
        <f t="shared" si="123"/>
        <v>0</v>
      </c>
      <c r="AK161" s="131">
        <f t="shared" si="124"/>
        <v>0</v>
      </c>
      <c r="AL161" s="131">
        <f t="shared" si="125"/>
        <v>0</v>
      </c>
      <c r="AN161" s="131">
        <v>21</v>
      </c>
      <c r="AO161" s="131">
        <f t="shared" si="126"/>
        <v>0</v>
      </c>
      <c r="AP161" s="131">
        <f t="shared" si="127"/>
        <v>0</v>
      </c>
      <c r="AQ161" s="132" t="s">
        <v>343</v>
      </c>
      <c r="AV161" s="131">
        <f t="shared" si="128"/>
        <v>0</v>
      </c>
      <c r="AW161" s="131">
        <f t="shared" si="129"/>
        <v>0</v>
      </c>
      <c r="AX161" s="131">
        <f t="shared" si="130"/>
        <v>0</v>
      </c>
      <c r="AY161" s="132" t="s">
        <v>344</v>
      </c>
      <c r="AZ161" s="132" t="s">
        <v>815</v>
      </c>
      <c r="BA161" s="115" t="s">
        <v>774</v>
      </c>
      <c r="BC161" s="131">
        <f t="shared" si="131"/>
        <v>0</v>
      </c>
      <c r="BD161" s="131">
        <f t="shared" si="132"/>
        <v>0</v>
      </c>
      <c r="BE161" s="131">
        <v>0</v>
      </c>
      <c r="BF161" s="131">
        <f>161</f>
        <v>161</v>
      </c>
      <c r="BH161" s="131">
        <f t="shared" si="133"/>
        <v>0</v>
      </c>
      <c r="BI161" s="131">
        <f t="shared" si="134"/>
        <v>0</v>
      </c>
      <c r="BJ161" s="131">
        <f t="shared" si="135"/>
        <v>0</v>
      </c>
      <c r="BK161" s="131"/>
      <c r="BL161" s="131"/>
      <c r="BW161" s="131">
        <v>21</v>
      </c>
      <c r="BX161" s="133" t="s">
        <v>819</v>
      </c>
    </row>
    <row r="162" spans="1:76" x14ac:dyDescent="0.25">
      <c r="A162" s="134" t="s">
        <v>305</v>
      </c>
      <c r="B162" s="135" t="s">
        <v>820</v>
      </c>
      <c r="C162" s="270" t="s">
        <v>821</v>
      </c>
      <c r="D162" s="271"/>
      <c r="E162" s="135" t="s">
        <v>164</v>
      </c>
      <c r="F162" s="131">
        <v>2</v>
      </c>
      <c r="G162" s="179">
        <v>0</v>
      </c>
      <c r="H162" s="131">
        <f t="shared" si="112"/>
        <v>0</v>
      </c>
      <c r="I162" s="131">
        <f t="shared" si="113"/>
        <v>0</v>
      </c>
      <c r="J162" s="131">
        <f t="shared" si="114"/>
        <v>0</v>
      </c>
      <c r="K162" s="136" t="s">
        <v>60</v>
      </c>
      <c r="Z162" s="131">
        <f t="shared" si="115"/>
        <v>0</v>
      </c>
      <c r="AB162" s="131">
        <f t="shared" si="116"/>
        <v>0</v>
      </c>
      <c r="AC162" s="131">
        <f t="shared" si="117"/>
        <v>0</v>
      </c>
      <c r="AD162" s="131">
        <f t="shared" si="118"/>
        <v>0</v>
      </c>
      <c r="AE162" s="131">
        <f t="shared" si="119"/>
        <v>0</v>
      </c>
      <c r="AF162" s="131">
        <f t="shared" si="120"/>
        <v>0</v>
      </c>
      <c r="AG162" s="131">
        <f t="shared" si="121"/>
        <v>0</v>
      </c>
      <c r="AH162" s="131">
        <f t="shared" si="122"/>
        <v>0</v>
      </c>
      <c r="AI162" s="115" t="s">
        <v>772</v>
      </c>
      <c r="AJ162" s="131">
        <f t="shared" si="123"/>
        <v>0</v>
      </c>
      <c r="AK162" s="131">
        <f t="shared" si="124"/>
        <v>0</v>
      </c>
      <c r="AL162" s="131">
        <f t="shared" si="125"/>
        <v>0</v>
      </c>
      <c r="AN162" s="131">
        <v>21</v>
      </c>
      <c r="AO162" s="131">
        <f t="shared" si="126"/>
        <v>0</v>
      </c>
      <c r="AP162" s="131">
        <f t="shared" si="127"/>
        <v>0</v>
      </c>
      <c r="AQ162" s="132" t="s">
        <v>343</v>
      </c>
      <c r="AV162" s="131">
        <f t="shared" si="128"/>
        <v>0</v>
      </c>
      <c r="AW162" s="131">
        <f t="shared" si="129"/>
        <v>0</v>
      </c>
      <c r="AX162" s="131">
        <f t="shared" si="130"/>
        <v>0</v>
      </c>
      <c r="AY162" s="132" t="s">
        <v>344</v>
      </c>
      <c r="AZ162" s="132" t="s">
        <v>815</v>
      </c>
      <c r="BA162" s="115" t="s">
        <v>774</v>
      </c>
      <c r="BC162" s="131">
        <f t="shared" si="131"/>
        <v>0</v>
      </c>
      <c r="BD162" s="131">
        <f t="shared" si="132"/>
        <v>0</v>
      </c>
      <c r="BE162" s="131">
        <v>0</v>
      </c>
      <c r="BF162" s="131">
        <f>162</f>
        <v>162</v>
      </c>
      <c r="BH162" s="131">
        <f t="shared" si="133"/>
        <v>0</v>
      </c>
      <c r="BI162" s="131">
        <f t="shared" si="134"/>
        <v>0</v>
      </c>
      <c r="BJ162" s="131">
        <f t="shared" si="135"/>
        <v>0</v>
      </c>
      <c r="BK162" s="131"/>
      <c r="BL162" s="131"/>
      <c r="BW162" s="131">
        <v>21</v>
      </c>
      <c r="BX162" s="133" t="s">
        <v>821</v>
      </c>
    </row>
    <row r="163" spans="1:76" x14ac:dyDescent="0.25">
      <c r="A163" s="134" t="s">
        <v>399</v>
      </c>
      <c r="B163" s="135" t="s">
        <v>822</v>
      </c>
      <c r="C163" s="270" t="s">
        <v>823</v>
      </c>
      <c r="D163" s="271"/>
      <c r="E163" s="135" t="s">
        <v>164</v>
      </c>
      <c r="F163" s="131">
        <v>1</v>
      </c>
      <c r="G163" s="179">
        <v>0</v>
      </c>
      <c r="H163" s="131">
        <f t="shared" si="112"/>
        <v>0</v>
      </c>
      <c r="I163" s="131">
        <f t="shared" si="113"/>
        <v>0</v>
      </c>
      <c r="J163" s="131">
        <f t="shared" si="114"/>
        <v>0</v>
      </c>
      <c r="K163" s="136" t="s">
        <v>60</v>
      </c>
      <c r="Z163" s="131">
        <f t="shared" si="115"/>
        <v>0</v>
      </c>
      <c r="AB163" s="131">
        <f t="shared" si="116"/>
        <v>0</v>
      </c>
      <c r="AC163" s="131">
        <f t="shared" si="117"/>
        <v>0</v>
      </c>
      <c r="AD163" s="131">
        <f t="shared" si="118"/>
        <v>0</v>
      </c>
      <c r="AE163" s="131">
        <f t="shared" si="119"/>
        <v>0</v>
      </c>
      <c r="AF163" s="131">
        <f t="shared" si="120"/>
        <v>0</v>
      </c>
      <c r="AG163" s="131">
        <f t="shared" si="121"/>
        <v>0</v>
      </c>
      <c r="AH163" s="131">
        <f t="shared" si="122"/>
        <v>0</v>
      </c>
      <c r="AI163" s="115" t="s">
        <v>772</v>
      </c>
      <c r="AJ163" s="131">
        <f t="shared" si="123"/>
        <v>0</v>
      </c>
      <c r="AK163" s="131">
        <f t="shared" si="124"/>
        <v>0</v>
      </c>
      <c r="AL163" s="131">
        <f t="shared" si="125"/>
        <v>0</v>
      </c>
      <c r="AN163" s="131">
        <v>21</v>
      </c>
      <c r="AO163" s="131">
        <f t="shared" si="126"/>
        <v>0</v>
      </c>
      <c r="AP163" s="131">
        <f t="shared" si="127"/>
        <v>0</v>
      </c>
      <c r="AQ163" s="132" t="s">
        <v>343</v>
      </c>
      <c r="AV163" s="131">
        <f t="shared" si="128"/>
        <v>0</v>
      </c>
      <c r="AW163" s="131">
        <f t="shared" si="129"/>
        <v>0</v>
      </c>
      <c r="AX163" s="131">
        <f t="shared" si="130"/>
        <v>0</v>
      </c>
      <c r="AY163" s="132" t="s">
        <v>344</v>
      </c>
      <c r="AZ163" s="132" t="s">
        <v>815</v>
      </c>
      <c r="BA163" s="115" t="s">
        <v>774</v>
      </c>
      <c r="BC163" s="131">
        <f t="shared" si="131"/>
        <v>0</v>
      </c>
      <c r="BD163" s="131">
        <f t="shared" si="132"/>
        <v>0</v>
      </c>
      <c r="BE163" s="131">
        <v>0</v>
      </c>
      <c r="BF163" s="131">
        <f>163</f>
        <v>163</v>
      </c>
      <c r="BH163" s="131">
        <f t="shared" si="133"/>
        <v>0</v>
      </c>
      <c r="BI163" s="131">
        <f t="shared" si="134"/>
        <v>0</v>
      </c>
      <c r="BJ163" s="131">
        <f t="shared" si="135"/>
        <v>0</v>
      </c>
      <c r="BK163" s="131"/>
      <c r="BL163" s="131"/>
      <c r="BW163" s="131">
        <v>21</v>
      </c>
      <c r="BX163" s="133" t="s">
        <v>823</v>
      </c>
    </row>
    <row r="164" spans="1:76" x14ac:dyDescent="0.25">
      <c r="A164" s="134" t="s">
        <v>402</v>
      </c>
      <c r="B164" s="135" t="s">
        <v>824</v>
      </c>
      <c r="C164" s="270" t="s">
        <v>825</v>
      </c>
      <c r="D164" s="271"/>
      <c r="E164" s="135" t="s">
        <v>164</v>
      </c>
      <c r="F164" s="131">
        <v>1</v>
      </c>
      <c r="G164" s="179">
        <v>0</v>
      </c>
      <c r="H164" s="131">
        <f t="shared" si="112"/>
        <v>0</v>
      </c>
      <c r="I164" s="131">
        <f t="shared" si="113"/>
        <v>0</v>
      </c>
      <c r="J164" s="131">
        <f t="shared" si="114"/>
        <v>0</v>
      </c>
      <c r="K164" s="136" t="s">
        <v>60</v>
      </c>
      <c r="Z164" s="131">
        <f t="shared" si="115"/>
        <v>0</v>
      </c>
      <c r="AB164" s="131">
        <f t="shared" si="116"/>
        <v>0</v>
      </c>
      <c r="AC164" s="131">
        <f t="shared" si="117"/>
        <v>0</v>
      </c>
      <c r="AD164" s="131">
        <f t="shared" si="118"/>
        <v>0</v>
      </c>
      <c r="AE164" s="131">
        <f t="shared" si="119"/>
        <v>0</v>
      </c>
      <c r="AF164" s="131">
        <f t="shared" si="120"/>
        <v>0</v>
      </c>
      <c r="AG164" s="131">
        <f t="shared" si="121"/>
        <v>0</v>
      </c>
      <c r="AH164" s="131">
        <f t="shared" si="122"/>
        <v>0</v>
      </c>
      <c r="AI164" s="115" t="s">
        <v>772</v>
      </c>
      <c r="AJ164" s="131">
        <f t="shared" si="123"/>
        <v>0</v>
      </c>
      <c r="AK164" s="131">
        <f t="shared" si="124"/>
        <v>0</v>
      </c>
      <c r="AL164" s="131">
        <f t="shared" si="125"/>
        <v>0</v>
      </c>
      <c r="AN164" s="131">
        <v>21</v>
      </c>
      <c r="AO164" s="131">
        <f t="shared" si="126"/>
        <v>0</v>
      </c>
      <c r="AP164" s="131">
        <f t="shared" si="127"/>
        <v>0</v>
      </c>
      <c r="AQ164" s="132" t="s">
        <v>343</v>
      </c>
      <c r="AV164" s="131">
        <f t="shared" si="128"/>
        <v>0</v>
      </c>
      <c r="AW164" s="131">
        <f t="shared" si="129"/>
        <v>0</v>
      </c>
      <c r="AX164" s="131">
        <f t="shared" si="130"/>
        <v>0</v>
      </c>
      <c r="AY164" s="132" t="s">
        <v>344</v>
      </c>
      <c r="AZ164" s="132" t="s">
        <v>815</v>
      </c>
      <c r="BA164" s="115" t="s">
        <v>774</v>
      </c>
      <c r="BC164" s="131">
        <f t="shared" si="131"/>
        <v>0</v>
      </c>
      <c r="BD164" s="131">
        <f t="shared" si="132"/>
        <v>0</v>
      </c>
      <c r="BE164" s="131">
        <v>0</v>
      </c>
      <c r="BF164" s="131">
        <f>164</f>
        <v>164</v>
      </c>
      <c r="BH164" s="131">
        <f t="shared" si="133"/>
        <v>0</v>
      </c>
      <c r="BI164" s="131">
        <f t="shared" si="134"/>
        <v>0</v>
      </c>
      <c r="BJ164" s="131">
        <f t="shared" si="135"/>
        <v>0</v>
      </c>
      <c r="BK164" s="131"/>
      <c r="BL164" s="131"/>
      <c r="BW164" s="131">
        <v>21</v>
      </c>
      <c r="BX164" s="133" t="s">
        <v>825</v>
      </c>
    </row>
    <row r="165" spans="1:76" x14ac:dyDescent="0.25">
      <c r="A165" s="134" t="s">
        <v>405</v>
      </c>
      <c r="B165" s="135" t="s">
        <v>826</v>
      </c>
      <c r="C165" s="270" t="s">
        <v>749</v>
      </c>
      <c r="D165" s="271"/>
      <c r="E165" s="135" t="s">
        <v>164</v>
      </c>
      <c r="F165" s="131">
        <v>1</v>
      </c>
      <c r="G165" s="179">
        <v>0</v>
      </c>
      <c r="H165" s="131">
        <f t="shared" si="112"/>
        <v>0</v>
      </c>
      <c r="I165" s="131">
        <f t="shared" si="113"/>
        <v>0</v>
      </c>
      <c r="J165" s="131">
        <f t="shared" si="114"/>
        <v>0</v>
      </c>
      <c r="K165" s="136" t="s">
        <v>60</v>
      </c>
      <c r="Z165" s="131">
        <f t="shared" si="115"/>
        <v>0</v>
      </c>
      <c r="AB165" s="131">
        <f t="shared" si="116"/>
        <v>0</v>
      </c>
      <c r="AC165" s="131">
        <f t="shared" si="117"/>
        <v>0</v>
      </c>
      <c r="AD165" s="131">
        <f t="shared" si="118"/>
        <v>0</v>
      </c>
      <c r="AE165" s="131">
        <f t="shared" si="119"/>
        <v>0</v>
      </c>
      <c r="AF165" s="131">
        <f t="shared" si="120"/>
        <v>0</v>
      </c>
      <c r="AG165" s="131">
        <f t="shared" si="121"/>
        <v>0</v>
      </c>
      <c r="AH165" s="131">
        <f t="shared" si="122"/>
        <v>0</v>
      </c>
      <c r="AI165" s="115" t="s">
        <v>772</v>
      </c>
      <c r="AJ165" s="131">
        <f t="shared" si="123"/>
        <v>0</v>
      </c>
      <c r="AK165" s="131">
        <f t="shared" si="124"/>
        <v>0</v>
      </c>
      <c r="AL165" s="131">
        <f t="shared" si="125"/>
        <v>0</v>
      </c>
      <c r="AN165" s="131">
        <v>21</v>
      </c>
      <c r="AO165" s="131">
        <f t="shared" si="126"/>
        <v>0</v>
      </c>
      <c r="AP165" s="131">
        <f t="shared" si="127"/>
        <v>0</v>
      </c>
      <c r="AQ165" s="132" t="s">
        <v>343</v>
      </c>
      <c r="AV165" s="131">
        <f t="shared" si="128"/>
        <v>0</v>
      </c>
      <c r="AW165" s="131">
        <f t="shared" si="129"/>
        <v>0</v>
      </c>
      <c r="AX165" s="131">
        <f t="shared" si="130"/>
        <v>0</v>
      </c>
      <c r="AY165" s="132" t="s">
        <v>344</v>
      </c>
      <c r="AZ165" s="132" t="s">
        <v>815</v>
      </c>
      <c r="BA165" s="115" t="s">
        <v>774</v>
      </c>
      <c r="BC165" s="131">
        <f t="shared" si="131"/>
        <v>0</v>
      </c>
      <c r="BD165" s="131">
        <f t="shared" si="132"/>
        <v>0</v>
      </c>
      <c r="BE165" s="131">
        <v>0</v>
      </c>
      <c r="BF165" s="131">
        <f>165</f>
        <v>165</v>
      </c>
      <c r="BH165" s="131">
        <f t="shared" si="133"/>
        <v>0</v>
      </c>
      <c r="BI165" s="131">
        <f t="shared" si="134"/>
        <v>0</v>
      </c>
      <c r="BJ165" s="131">
        <f t="shared" si="135"/>
        <v>0</v>
      </c>
      <c r="BK165" s="131"/>
      <c r="BL165" s="131"/>
      <c r="BW165" s="131">
        <v>21</v>
      </c>
      <c r="BX165" s="133" t="s">
        <v>749</v>
      </c>
    </row>
    <row r="166" spans="1:76" x14ac:dyDescent="0.25">
      <c r="A166" s="134" t="s">
        <v>413</v>
      </c>
      <c r="B166" s="135" t="s">
        <v>827</v>
      </c>
      <c r="C166" s="270" t="s">
        <v>828</v>
      </c>
      <c r="D166" s="271"/>
      <c r="E166" s="135" t="s">
        <v>164</v>
      </c>
      <c r="F166" s="131">
        <v>1</v>
      </c>
      <c r="G166" s="179">
        <v>0</v>
      </c>
      <c r="H166" s="131">
        <f t="shared" si="112"/>
        <v>0</v>
      </c>
      <c r="I166" s="131">
        <f t="shared" si="113"/>
        <v>0</v>
      </c>
      <c r="J166" s="131">
        <f t="shared" si="114"/>
        <v>0</v>
      </c>
      <c r="K166" s="136" t="s">
        <v>60</v>
      </c>
      <c r="Z166" s="131">
        <f t="shared" si="115"/>
        <v>0</v>
      </c>
      <c r="AB166" s="131">
        <f t="shared" si="116"/>
        <v>0</v>
      </c>
      <c r="AC166" s="131">
        <f t="shared" si="117"/>
        <v>0</v>
      </c>
      <c r="AD166" s="131">
        <f t="shared" si="118"/>
        <v>0</v>
      </c>
      <c r="AE166" s="131">
        <f t="shared" si="119"/>
        <v>0</v>
      </c>
      <c r="AF166" s="131">
        <f t="shared" si="120"/>
        <v>0</v>
      </c>
      <c r="AG166" s="131">
        <f t="shared" si="121"/>
        <v>0</v>
      </c>
      <c r="AH166" s="131">
        <f t="shared" si="122"/>
        <v>0</v>
      </c>
      <c r="AI166" s="115" t="s">
        <v>772</v>
      </c>
      <c r="AJ166" s="131">
        <f t="shared" si="123"/>
        <v>0</v>
      </c>
      <c r="AK166" s="131">
        <f t="shared" si="124"/>
        <v>0</v>
      </c>
      <c r="AL166" s="131">
        <f t="shared" si="125"/>
        <v>0</v>
      </c>
      <c r="AN166" s="131">
        <v>21</v>
      </c>
      <c r="AO166" s="131">
        <f t="shared" si="126"/>
        <v>0</v>
      </c>
      <c r="AP166" s="131">
        <f t="shared" si="127"/>
        <v>0</v>
      </c>
      <c r="AQ166" s="132" t="s">
        <v>343</v>
      </c>
      <c r="AV166" s="131">
        <f t="shared" si="128"/>
        <v>0</v>
      </c>
      <c r="AW166" s="131">
        <f t="shared" si="129"/>
        <v>0</v>
      </c>
      <c r="AX166" s="131">
        <f t="shared" si="130"/>
        <v>0</v>
      </c>
      <c r="AY166" s="132" t="s">
        <v>344</v>
      </c>
      <c r="AZ166" s="132" t="s">
        <v>815</v>
      </c>
      <c r="BA166" s="115" t="s">
        <v>774</v>
      </c>
      <c r="BC166" s="131">
        <f t="shared" si="131"/>
        <v>0</v>
      </c>
      <c r="BD166" s="131">
        <f t="shared" si="132"/>
        <v>0</v>
      </c>
      <c r="BE166" s="131">
        <v>0</v>
      </c>
      <c r="BF166" s="131">
        <f>166</f>
        <v>166</v>
      </c>
      <c r="BH166" s="131">
        <f t="shared" si="133"/>
        <v>0</v>
      </c>
      <c r="BI166" s="131">
        <f t="shared" si="134"/>
        <v>0</v>
      </c>
      <c r="BJ166" s="131">
        <f t="shared" si="135"/>
        <v>0</v>
      </c>
      <c r="BK166" s="131"/>
      <c r="BL166" s="131"/>
      <c r="BW166" s="131">
        <v>21</v>
      </c>
      <c r="BX166" s="133" t="s">
        <v>828</v>
      </c>
    </row>
    <row r="167" spans="1:76" x14ac:dyDescent="0.25">
      <c r="A167" s="134" t="s">
        <v>421</v>
      </c>
      <c r="B167" s="135" t="s">
        <v>750</v>
      </c>
      <c r="C167" s="270" t="s">
        <v>751</v>
      </c>
      <c r="D167" s="271"/>
      <c r="E167" s="135" t="s">
        <v>164</v>
      </c>
      <c r="F167" s="131">
        <v>2</v>
      </c>
      <c r="G167" s="179">
        <v>0</v>
      </c>
      <c r="H167" s="131">
        <f t="shared" si="112"/>
        <v>0</v>
      </c>
      <c r="I167" s="131">
        <f t="shared" si="113"/>
        <v>0</v>
      </c>
      <c r="J167" s="131">
        <f t="shared" si="114"/>
        <v>0</v>
      </c>
      <c r="K167" s="136" t="s">
        <v>60</v>
      </c>
      <c r="Z167" s="131">
        <f t="shared" si="115"/>
        <v>0</v>
      </c>
      <c r="AB167" s="131">
        <f t="shared" si="116"/>
        <v>0</v>
      </c>
      <c r="AC167" s="131">
        <f t="shared" si="117"/>
        <v>0</v>
      </c>
      <c r="AD167" s="131">
        <f t="shared" si="118"/>
        <v>0</v>
      </c>
      <c r="AE167" s="131">
        <f t="shared" si="119"/>
        <v>0</v>
      </c>
      <c r="AF167" s="131">
        <f t="shared" si="120"/>
        <v>0</v>
      </c>
      <c r="AG167" s="131">
        <f t="shared" si="121"/>
        <v>0</v>
      </c>
      <c r="AH167" s="131">
        <f t="shared" si="122"/>
        <v>0</v>
      </c>
      <c r="AI167" s="115" t="s">
        <v>772</v>
      </c>
      <c r="AJ167" s="131">
        <f t="shared" si="123"/>
        <v>0</v>
      </c>
      <c r="AK167" s="131">
        <f t="shared" si="124"/>
        <v>0</v>
      </c>
      <c r="AL167" s="131">
        <f t="shared" si="125"/>
        <v>0</v>
      </c>
      <c r="AN167" s="131">
        <v>21</v>
      </c>
      <c r="AO167" s="131">
        <f t="shared" si="126"/>
        <v>0</v>
      </c>
      <c r="AP167" s="131">
        <f t="shared" si="127"/>
        <v>0</v>
      </c>
      <c r="AQ167" s="132" t="s">
        <v>343</v>
      </c>
      <c r="AV167" s="131">
        <f t="shared" si="128"/>
        <v>0</v>
      </c>
      <c r="AW167" s="131">
        <f t="shared" si="129"/>
        <v>0</v>
      </c>
      <c r="AX167" s="131">
        <f t="shared" si="130"/>
        <v>0</v>
      </c>
      <c r="AY167" s="132" t="s">
        <v>344</v>
      </c>
      <c r="AZ167" s="132" t="s">
        <v>815</v>
      </c>
      <c r="BA167" s="115" t="s">
        <v>774</v>
      </c>
      <c r="BC167" s="131">
        <f t="shared" si="131"/>
        <v>0</v>
      </c>
      <c r="BD167" s="131">
        <f t="shared" si="132"/>
        <v>0</v>
      </c>
      <c r="BE167" s="131">
        <v>0</v>
      </c>
      <c r="BF167" s="131">
        <f>167</f>
        <v>167</v>
      </c>
      <c r="BH167" s="131">
        <f t="shared" si="133"/>
        <v>0</v>
      </c>
      <c r="BI167" s="131">
        <f t="shared" si="134"/>
        <v>0</v>
      </c>
      <c r="BJ167" s="131">
        <f t="shared" si="135"/>
        <v>0</v>
      </c>
      <c r="BK167" s="131"/>
      <c r="BL167" s="131"/>
      <c r="BW167" s="131">
        <v>21</v>
      </c>
      <c r="BX167" s="133" t="s">
        <v>751</v>
      </c>
    </row>
    <row r="168" spans="1:76" x14ac:dyDescent="0.25">
      <c r="A168" s="134" t="s">
        <v>426</v>
      </c>
      <c r="B168" s="135" t="s">
        <v>829</v>
      </c>
      <c r="C168" s="270" t="s">
        <v>830</v>
      </c>
      <c r="D168" s="271"/>
      <c r="E168" s="135" t="s">
        <v>831</v>
      </c>
      <c r="F168" s="131">
        <v>27.86</v>
      </c>
      <c r="G168" s="179">
        <v>0</v>
      </c>
      <c r="H168" s="131">
        <f t="shared" si="112"/>
        <v>0</v>
      </c>
      <c r="I168" s="131">
        <f t="shared" si="113"/>
        <v>0</v>
      </c>
      <c r="J168" s="131">
        <f t="shared" si="114"/>
        <v>0</v>
      </c>
      <c r="K168" s="136" t="s">
        <v>60</v>
      </c>
      <c r="Z168" s="131">
        <f t="shared" si="115"/>
        <v>0</v>
      </c>
      <c r="AB168" s="131">
        <f t="shared" si="116"/>
        <v>0</v>
      </c>
      <c r="AC168" s="131">
        <f t="shared" si="117"/>
        <v>0</v>
      </c>
      <c r="AD168" s="131">
        <f t="shared" si="118"/>
        <v>0</v>
      </c>
      <c r="AE168" s="131">
        <f t="shared" si="119"/>
        <v>0</v>
      </c>
      <c r="AF168" s="131">
        <f t="shared" si="120"/>
        <v>0</v>
      </c>
      <c r="AG168" s="131">
        <f t="shared" si="121"/>
        <v>0</v>
      </c>
      <c r="AH168" s="131">
        <f t="shared" si="122"/>
        <v>0</v>
      </c>
      <c r="AI168" s="115" t="s">
        <v>772</v>
      </c>
      <c r="AJ168" s="131">
        <f t="shared" si="123"/>
        <v>0</v>
      </c>
      <c r="AK168" s="131">
        <f t="shared" si="124"/>
        <v>0</v>
      </c>
      <c r="AL168" s="131">
        <f t="shared" si="125"/>
        <v>0</v>
      </c>
      <c r="AN168" s="131">
        <v>21</v>
      </c>
      <c r="AO168" s="131">
        <f t="shared" si="126"/>
        <v>0</v>
      </c>
      <c r="AP168" s="131">
        <f t="shared" si="127"/>
        <v>0</v>
      </c>
      <c r="AQ168" s="132" t="s">
        <v>343</v>
      </c>
      <c r="AV168" s="131">
        <f t="shared" si="128"/>
        <v>0</v>
      </c>
      <c r="AW168" s="131">
        <f t="shared" si="129"/>
        <v>0</v>
      </c>
      <c r="AX168" s="131">
        <f t="shared" si="130"/>
        <v>0</v>
      </c>
      <c r="AY168" s="132" t="s">
        <v>344</v>
      </c>
      <c r="AZ168" s="132" t="s">
        <v>815</v>
      </c>
      <c r="BA168" s="115" t="s">
        <v>774</v>
      </c>
      <c r="BC168" s="131">
        <f t="shared" si="131"/>
        <v>0</v>
      </c>
      <c r="BD168" s="131">
        <f t="shared" si="132"/>
        <v>0</v>
      </c>
      <c r="BE168" s="131">
        <v>0</v>
      </c>
      <c r="BF168" s="131">
        <f>168</f>
        <v>168</v>
      </c>
      <c r="BH168" s="131">
        <f t="shared" si="133"/>
        <v>0</v>
      </c>
      <c r="BI168" s="131">
        <f t="shared" si="134"/>
        <v>0</v>
      </c>
      <c r="BJ168" s="131">
        <f t="shared" si="135"/>
        <v>0</v>
      </c>
      <c r="BK168" s="131"/>
      <c r="BL168" s="131"/>
      <c r="BW168" s="131">
        <v>21</v>
      </c>
      <c r="BX168" s="133" t="s">
        <v>830</v>
      </c>
    </row>
    <row r="169" spans="1:76" x14ac:dyDescent="0.25">
      <c r="A169" s="123" t="s">
        <v>53</v>
      </c>
      <c r="B169" s="124" t="s">
        <v>409</v>
      </c>
      <c r="C169" s="272" t="s">
        <v>410</v>
      </c>
      <c r="D169" s="273"/>
      <c r="E169" s="125" t="s">
        <v>9</v>
      </c>
      <c r="F169" s="125" t="s">
        <v>9</v>
      </c>
      <c r="G169" s="125" t="s">
        <v>9</v>
      </c>
      <c r="H169" s="110">
        <f>H170+H172+H174</f>
        <v>0</v>
      </c>
      <c r="I169" s="110">
        <f>I170+I172+I174</f>
        <v>0</v>
      </c>
      <c r="J169" s="110">
        <f>J170+J172+J174</f>
        <v>0</v>
      </c>
      <c r="K169" s="126" t="s">
        <v>53</v>
      </c>
      <c r="AI169" s="115" t="s">
        <v>772</v>
      </c>
    </row>
    <row r="170" spans="1:76" x14ac:dyDescent="0.25">
      <c r="A170" s="123" t="s">
        <v>53</v>
      </c>
      <c r="B170" s="124" t="s">
        <v>411</v>
      </c>
      <c r="C170" s="272" t="s">
        <v>412</v>
      </c>
      <c r="D170" s="273"/>
      <c r="E170" s="125" t="s">
        <v>9</v>
      </c>
      <c r="F170" s="125" t="s">
        <v>9</v>
      </c>
      <c r="G170" s="125" t="s">
        <v>9</v>
      </c>
      <c r="H170" s="110">
        <f>SUM(H171:H171)</f>
        <v>0</v>
      </c>
      <c r="I170" s="110">
        <f>SUM(I171:I171)</f>
        <v>0</v>
      </c>
      <c r="J170" s="110">
        <f>SUM(J171:J171)</f>
        <v>0</v>
      </c>
      <c r="K170" s="126" t="s">
        <v>53</v>
      </c>
      <c r="AI170" s="115" t="s">
        <v>772</v>
      </c>
      <c r="AS170" s="110">
        <f>SUM(AJ171:AJ171)</f>
        <v>0</v>
      </c>
      <c r="AT170" s="110">
        <f>SUM(AK171:AK171)</f>
        <v>0</v>
      </c>
      <c r="AU170" s="110">
        <f>SUM(AL171:AL171)</f>
        <v>0</v>
      </c>
    </row>
    <row r="171" spans="1:76" x14ac:dyDescent="0.25">
      <c r="A171" s="134" t="s">
        <v>832</v>
      </c>
      <c r="B171" s="135" t="s">
        <v>414</v>
      </c>
      <c r="C171" s="270" t="s">
        <v>415</v>
      </c>
      <c r="D171" s="271"/>
      <c r="E171" s="135" t="s">
        <v>416</v>
      </c>
      <c r="F171" s="131">
        <v>1</v>
      </c>
      <c r="G171" s="179">
        <v>0</v>
      </c>
      <c r="H171" s="131">
        <f>F171*AO171</f>
        <v>0</v>
      </c>
      <c r="I171" s="131">
        <f>F171*AP171</f>
        <v>0</v>
      </c>
      <c r="J171" s="131">
        <f>F171*G171</f>
        <v>0</v>
      </c>
      <c r="K171" s="136" t="s">
        <v>53</v>
      </c>
      <c r="Z171" s="131">
        <f>IF(AQ171="5",BJ171,0)</f>
        <v>0</v>
      </c>
      <c r="AB171" s="131">
        <f>IF(AQ171="1",BH171,0)</f>
        <v>0</v>
      </c>
      <c r="AC171" s="131">
        <f>IF(AQ171="1",BI171,0)</f>
        <v>0</v>
      </c>
      <c r="AD171" s="131">
        <f>IF(AQ171="7",BH171,0)</f>
        <v>0</v>
      </c>
      <c r="AE171" s="131">
        <f>IF(AQ171="7",BI171,0)</f>
        <v>0</v>
      </c>
      <c r="AF171" s="131">
        <f>IF(AQ171="2",BH171,0)</f>
        <v>0</v>
      </c>
      <c r="AG171" s="131">
        <f>IF(AQ171="2",BI171,0)</f>
        <v>0</v>
      </c>
      <c r="AH171" s="131">
        <f>IF(AQ171="0",BJ171,0)</f>
        <v>0</v>
      </c>
      <c r="AI171" s="115" t="s">
        <v>772</v>
      </c>
      <c r="AJ171" s="131">
        <f>IF(AN171=0,J171,0)</f>
        <v>0</v>
      </c>
      <c r="AK171" s="131">
        <f>IF(AN171=12,J171,0)</f>
        <v>0</v>
      </c>
      <c r="AL171" s="131">
        <f>IF(AN171=21,J171,0)</f>
        <v>0</v>
      </c>
      <c r="AN171" s="131">
        <v>21</v>
      </c>
      <c r="AO171" s="131">
        <f>G171*0</f>
        <v>0</v>
      </c>
      <c r="AP171" s="131">
        <f>G171*(1-0)</f>
        <v>0</v>
      </c>
      <c r="AQ171" s="132" t="s">
        <v>405</v>
      </c>
      <c r="AV171" s="131">
        <f>AW171+AX171</f>
        <v>0</v>
      </c>
      <c r="AW171" s="131">
        <f>F171*AO171</f>
        <v>0</v>
      </c>
      <c r="AX171" s="131">
        <f>F171*AP171</f>
        <v>0</v>
      </c>
      <c r="AY171" s="132" t="s">
        <v>417</v>
      </c>
      <c r="AZ171" s="132" t="s">
        <v>833</v>
      </c>
      <c r="BA171" s="115" t="s">
        <v>774</v>
      </c>
      <c r="BC171" s="131">
        <f>AW171+AX171</f>
        <v>0</v>
      </c>
      <c r="BD171" s="131">
        <f>G171/(100-BE171)*100</f>
        <v>0</v>
      </c>
      <c r="BE171" s="131">
        <v>0</v>
      </c>
      <c r="BF171" s="131">
        <f>171</f>
        <v>171</v>
      </c>
      <c r="BH171" s="131">
        <f>F171*AO171</f>
        <v>0</v>
      </c>
      <c r="BI171" s="131">
        <f>F171*AP171</f>
        <v>0</v>
      </c>
      <c r="BJ171" s="131">
        <f>F171*G171</f>
        <v>0</v>
      </c>
      <c r="BK171" s="131"/>
      <c r="BL171" s="131"/>
      <c r="BM171" s="131">
        <f>F171*G171</f>
        <v>0</v>
      </c>
      <c r="BW171" s="131">
        <v>21</v>
      </c>
      <c r="BX171" s="133" t="s">
        <v>415</v>
      </c>
    </row>
    <row r="172" spans="1:76" x14ac:dyDescent="0.25">
      <c r="A172" s="123" t="s">
        <v>53</v>
      </c>
      <c r="B172" s="124" t="s">
        <v>419</v>
      </c>
      <c r="C172" s="272" t="s">
        <v>420</v>
      </c>
      <c r="D172" s="273"/>
      <c r="E172" s="125" t="s">
        <v>9</v>
      </c>
      <c r="F172" s="125" t="s">
        <v>9</v>
      </c>
      <c r="G172" s="125" t="s">
        <v>9</v>
      </c>
      <c r="H172" s="110">
        <f>SUM(H173:H173)</f>
        <v>0</v>
      </c>
      <c r="I172" s="110">
        <f>SUM(I173:I173)</f>
        <v>0</v>
      </c>
      <c r="J172" s="110">
        <f>SUM(J173:J173)</f>
        <v>0</v>
      </c>
      <c r="K172" s="126" t="s">
        <v>53</v>
      </c>
      <c r="AI172" s="115" t="s">
        <v>772</v>
      </c>
      <c r="AS172" s="110">
        <f>SUM(AJ173:AJ173)</f>
        <v>0</v>
      </c>
      <c r="AT172" s="110">
        <f>SUM(AK173:AK173)</f>
        <v>0</v>
      </c>
      <c r="AU172" s="110">
        <f>SUM(AL173:AL173)</f>
        <v>0</v>
      </c>
    </row>
    <row r="173" spans="1:76" x14ac:dyDescent="0.25">
      <c r="A173" s="134" t="s">
        <v>834</v>
      </c>
      <c r="B173" s="135" t="s">
        <v>422</v>
      </c>
      <c r="C173" s="270" t="s">
        <v>420</v>
      </c>
      <c r="D173" s="271"/>
      <c r="E173" s="135" t="s">
        <v>416</v>
      </c>
      <c r="F173" s="131">
        <v>1</v>
      </c>
      <c r="G173" s="179">
        <v>0</v>
      </c>
      <c r="H173" s="131">
        <f>F173*AO173</f>
        <v>0</v>
      </c>
      <c r="I173" s="131">
        <f>F173*AP173</f>
        <v>0</v>
      </c>
      <c r="J173" s="131">
        <f>F173*G173</f>
        <v>0</v>
      </c>
      <c r="K173" s="136" t="s">
        <v>53</v>
      </c>
      <c r="Z173" s="131">
        <f>IF(AQ173="5",BJ173,0)</f>
        <v>0</v>
      </c>
      <c r="AB173" s="131">
        <f>IF(AQ173="1",BH173,0)</f>
        <v>0</v>
      </c>
      <c r="AC173" s="131">
        <f>IF(AQ173="1",BI173,0)</f>
        <v>0</v>
      </c>
      <c r="AD173" s="131">
        <f>IF(AQ173="7",BH173,0)</f>
        <v>0</v>
      </c>
      <c r="AE173" s="131">
        <f>IF(AQ173="7",BI173,0)</f>
        <v>0</v>
      </c>
      <c r="AF173" s="131">
        <f>IF(AQ173="2",BH173,0)</f>
        <v>0</v>
      </c>
      <c r="AG173" s="131">
        <f>IF(AQ173="2",BI173,0)</f>
        <v>0</v>
      </c>
      <c r="AH173" s="131">
        <f>IF(AQ173="0",BJ173,0)</f>
        <v>0</v>
      </c>
      <c r="AI173" s="115" t="s">
        <v>772</v>
      </c>
      <c r="AJ173" s="131">
        <f>IF(AN173=0,J173,0)</f>
        <v>0</v>
      </c>
      <c r="AK173" s="131">
        <f>IF(AN173=12,J173,0)</f>
        <v>0</v>
      </c>
      <c r="AL173" s="131">
        <f>IF(AN173=21,J173,0)</f>
        <v>0</v>
      </c>
      <c r="AN173" s="131">
        <v>21</v>
      </c>
      <c r="AO173" s="131">
        <f>G173*0</f>
        <v>0</v>
      </c>
      <c r="AP173" s="131">
        <f>G173*(1-0)</f>
        <v>0</v>
      </c>
      <c r="AQ173" s="132" t="s">
        <v>405</v>
      </c>
      <c r="AV173" s="131">
        <f>AW173+AX173</f>
        <v>0</v>
      </c>
      <c r="AW173" s="131">
        <f>F173*AO173</f>
        <v>0</v>
      </c>
      <c r="AX173" s="131">
        <f>F173*AP173</f>
        <v>0</v>
      </c>
      <c r="AY173" s="132" t="s">
        <v>423</v>
      </c>
      <c r="AZ173" s="132" t="s">
        <v>833</v>
      </c>
      <c r="BA173" s="115" t="s">
        <v>774</v>
      </c>
      <c r="BC173" s="131">
        <f>AW173+AX173</f>
        <v>0</v>
      </c>
      <c r="BD173" s="131">
        <f>G173/(100-BE173)*100</f>
        <v>0</v>
      </c>
      <c r="BE173" s="131">
        <v>0</v>
      </c>
      <c r="BF173" s="131">
        <f>173</f>
        <v>173</v>
      </c>
      <c r="BH173" s="131">
        <f>F173*AO173</f>
        <v>0</v>
      </c>
      <c r="BI173" s="131">
        <f>F173*AP173</f>
        <v>0</v>
      </c>
      <c r="BJ173" s="131">
        <f>F173*G173</f>
        <v>0</v>
      </c>
      <c r="BK173" s="131"/>
      <c r="BL173" s="131"/>
      <c r="BO173" s="131">
        <f>F173*G173</f>
        <v>0</v>
      </c>
      <c r="BW173" s="131">
        <v>21</v>
      </c>
      <c r="BX173" s="133" t="s">
        <v>420</v>
      </c>
    </row>
    <row r="174" spans="1:76" x14ac:dyDescent="0.25">
      <c r="A174" s="123" t="s">
        <v>53</v>
      </c>
      <c r="B174" s="124" t="s">
        <v>424</v>
      </c>
      <c r="C174" s="272" t="s">
        <v>425</v>
      </c>
      <c r="D174" s="273"/>
      <c r="E174" s="125" t="s">
        <v>9</v>
      </c>
      <c r="F174" s="125" t="s">
        <v>9</v>
      </c>
      <c r="G174" s="125" t="s">
        <v>9</v>
      </c>
      <c r="H174" s="110">
        <f>SUM(H175:H175)</f>
        <v>0</v>
      </c>
      <c r="I174" s="110">
        <f>SUM(I175:I175)</f>
        <v>0</v>
      </c>
      <c r="J174" s="110">
        <f>SUM(J175:J175)</f>
        <v>0</v>
      </c>
      <c r="K174" s="126" t="s">
        <v>53</v>
      </c>
      <c r="AI174" s="115" t="s">
        <v>772</v>
      </c>
      <c r="AS174" s="110">
        <f>SUM(AJ175:AJ175)</f>
        <v>0</v>
      </c>
      <c r="AT174" s="110">
        <f>SUM(AK175:AK175)</f>
        <v>0</v>
      </c>
      <c r="AU174" s="110">
        <f>SUM(AL175:AL175)</f>
        <v>0</v>
      </c>
    </row>
    <row r="175" spans="1:76" x14ac:dyDescent="0.25">
      <c r="A175" s="134" t="s">
        <v>835</v>
      </c>
      <c r="B175" s="135" t="s">
        <v>427</v>
      </c>
      <c r="C175" s="270" t="s">
        <v>428</v>
      </c>
      <c r="D175" s="271"/>
      <c r="E175" s="135" t="s">
        <v>416</v>
      </c>
      <c r="F175" s="131">
        <v>1</v>
      </c>
      <c r="G175" s="179">
        <v>0</v>
      </c>
      <c r="H175" s="131">
        <f>F175*AO175</f>
        <v>0</v>
      </c>
      <c r="I175" s="131">
        <f>F175*AP175</f>
        <v>0</v>
      </c>
      <c r="J175" s="131">
        <f>F175*G175</f>
        <v>0</v>
      </c>
      <c r="K175" s="136" t="s">
        <v>53</v>
      </c>
      <c r="Z175" s="131">
        <f>IF(AQ175="5",BJ175,0)</f>
        <v>0</v>
      </c>
      <c r="AB175" s="131">
        <f>IF(AQ175="1",BH175,0)</f>
        <v>0</v>
      </c>
      <c r="AC175" s="131">
        <f>IF(AQ175="1",BI175,0)</f>
        <v>0</v>
      </c>
      <c r="AD175" s="131">
        <f>IF(AQ175="7",BH175,0)</f>
        <v>0</v>
      </c>
      <c r="AE175" s="131">
        <f>IF(AQ175="7",BI175,0)</f>
        <v>0</v>
      </c>
      <c r="AF175" s="131">
        <f>IF(AQ175="2",BH175,0)</f>
        <v>0</v>
      </c>
      <c r="AG175" s="131">
        <f>IF(AQ175="2",BI175,0)</f>
        <v>0</v>
      </c>
      <c r="AH175" s="131">
        <f>IF(AQ175="0",BJ175,0)</f>
        <v>0</v>
      </c>
      <c r="AI175" s="115" t="s">
        <v>772</v>
      </c>
      <c r="AJ175" s="131">
        <f>IF(AN175=0,J175,0)</f>
        <v>0</v>
      </c>
      <c r="AK175" s="131">
        <f>IF(AN175=12,J175,0)</f>
        <v>0</v>
      </c>
      <c r="AL175" s="131">
        <f>IF(AN175=21,J175,0)</f>
        <v>0</v>
      </c>
      <c r="AN175" s="131">
        <v>21</v>
      </c>
      <c r="AO175" s="131">
        <f>G175*0</f>
        <v>0</v>
      </c>
      <c r="AP175" s="131">
        <f>G175*(1-0)</f>
        <v>0</v>
      </c>
      <c r="AQ175" s="132" t="s">
        <v>405</v>
      </c>
      <c r="AV175" s="131">
        <f>AW175+AX175</f>
        <v>0</v>
      </c>
      <c r="AW175" s="131">
        <f>F175*AO175</f>
        <v>0</v>
      </c>
      <c r="AX175" s="131">
        <f>F175*AP175</f>
        <v>0</v>
      </c>
      <c r="AY175" s="132" t="s">
        <v>429</v>
      </c>
      <c r="AZ175" s="132" t="s">
        <v>833</v>
      </c>
      <c r="BA175" s="115" t="s">
        <v>774</v>
      </c>
      <c r="BC175" s="131">
        <f>AW175+AX175</f>
        <v>0</v>
      </c>
      <c r="BD175" s="131">
        <f>G175/(100-BE175)*100</f>
        <v>0</v>
      </c>
      <c r="BE175" s="131">
        <v>0</v>
      </c>
      <c r="BF175" s="131">
        <f>175</f>
        <v>175</v>
      </c>
      <c r="BH175" s="131">
        <f>F175*AO175</f>
        <v>0</v>
      </c>
      <c r="BI175" s="131">
        <f>F175*AP175</f>
        <v>0</v>
      </c>
      <c r="BJ175" s="131">
        <f>F175*G175</f>
        <v>0</v>
      </c>
      <c r="BK175" s="131"/>
      <c r="BL175" s="131"/>
      <c r="BR175" s="131">
        <f>F175*G175</f>
        <v>0</v>
      </c>
      <c r="BW175" s="131">
        <v>21</v>
      </c>
      <c r="BX175" s="133" t="s">
        <v>428</v>
      </c>
    </row>
    <row r="176" spans="1:76" x14ac:dyDescent="0.25">
      <c r="A176" s="123" t="s">
        <v>53</v>
      </c>
      <c r="B176" s="124" t="s">
        <v>53</v>
      </c>
      <c r="C176" s="272" t="s">
        <v>836</v>
      </c>
      <c r="D176" s="273"/>
      <c r="E176" s="125" t="s">
        <v>9</v>
      </c>
      <c r="F176" s="125" t="s">
        <v>9</v>
      </c>
      <c r="G176" s="125" t="s">
        <v>9</v>
      </c>
      <c r="H176" s="110">
        <f>H177+H180+H184+H187+H196+H200+H202+H204+H207+H213+H215+H225+H227+H229</f>
        <v>0</v>
      </c>
      <c r="I176" s="110">
        <f>I177+I180+I184+I187+I196+I200+I202+I204+I207+I213+I215+I225+I227+I229</f>
        <v>0</v>
      </c>
      <c r="J176" s="110">
        <f>J177+J180+J184+J187+J196+J200+J202+J204+J207+J213+J215+J225+J227+J229</f>
        <v>0</v>
      </c>
      <c r="K176" s="126" t="s">
        <v>53</v>
      </c>
    </row>
    <row r="177" spans="1:76" x14ac:dyDescent="0.25">
      <c r="A177" s="123" t="s">
        <v>53</v>
      </c>
      <c r="B177" s="124" t="s">
        <v>54</v>
      </c>
      <c r="C177" s="272" t="s">
        <v>55</v>
      </c>
      <c r="D177" s="273"/>
      <c r="E177" s="125" t="s">
        <v>9</v>
      </c>
      <c r="F177" s="125" t="s">
        <v>9</v>
      </c>
      <c r="G177" s="125" t="s">
        <v>9</v>
      </c>
      <c r="H177" s="110">
        <f>SUM(H178:H179)</f>
        <v>0</v>
      </c>
      <c r="I177" s="110">
        <f>SUM(I178:I179)</f>
        <v>0</v>
      </c>
      <c r="J177" s="110">
        <f>SUM(J178:J179)</f>
        <v>0</v>
      </c>
      <c r="K177" s="126" t="s">
        <v>53</v>
      </c>
      <c r="AI177" s="115" t="s">
        <v>837</v>
      </c>
      <c r="AS177" s="110">
        <f>SUM(AJ178:AJ179)</f>
        <v>0</v>
      </c>
      <c r="AT177" s="110">
        <f>SUM(AK178:AK179)</f>
        <v>0</v>
      </c>
      <c r="AU177" s="110">
        <f>SUM(AL178:AL179)</f>
        <v>0</v>
      </c>
    </row>
    <row r="178" spans="1:76" x14ac:dyDescent="0.25">
      <c r="A178" s="134" t="s">
        <v>838</v>
      </c>
      <c r="B178" s="135" t="s">
        <v>703</v>
      </c>
      <c r="C178" s="270" t="s">
        <v>704</v>
      </c>
      <c r="D178" s="271"/>
      <c r="E178" s="135" t="s">
        <v>705</v>
      </c>
      <c r="F178" s="131">
        <v>16</v>
      </c>
      <c r="G178" s="179">
        <v>0</v>
      </c>
      <c r="H178" s="131">
        <f>F178*AO178</f>
        <v>0</v>
      </c>
      <c r="I178" s="131">
        <f>F178*AP178</f>
        <v>0</v>
      </c>
      <c r="J178" s="131">
        <f>F178*G178</f>
        <v>0</v>
      </c>
      <c r="K178" s="136" t="s">
        <v>60</v>
      </c>
      <c r="Z178" s="131">
        <f>IF(AQ178="5",BJ178,0)</f>
        <v>0</v>
      </c>
      <c r="AB178" s="131">
        <f>IF(AQ178="1",BH178,0)</f>
        <v>0</v>
      </c>
      <c r="AC178" s="131">
        <f>IF(AQ178="1",BI178,0)</f>
        <v>0</v>
      </c>
      <c r="AD178" s="131">
        <f>IF(AQ178="7",BH178,0)</f>
        <v>0</v>
      </c>
      <c r="AE178" s="131">
        <f>IF(AQ178="7",BI178,0)</f>
        <v>0</v>
      </c>
      <c r="AF178" s="131">
        <f>IF(AQ178="2",BH178,0)</f>
        <v>0</v>
      </c>
      <c r="AG178" s="131">
        <f>IF(AQ178="2",BI178,0)</f>
        <v>0</v>
      </c>
      <c r="AH178" s="131">
        <f>IF(AQ178="0",BJ178,0)</f>
        <v>0</v>
      </c>
      <c r="AI178" s="115" t="s">
        <v>837</v>
      </c>
      <c r="AJ178" s="131">
        <f>IF(AN178=0,J178,0)</f>
        <v>0</v>
      </c>
      <c r="AK178" s="131">
        <f>IF(AN178=12,J178,0)</f>
        <v>0</v>
      </c>
      <c r="AL178" s="131">
        <f>IF(AN178=21,J178,0)</f>
        <v>0</v>
      </c>
      <c r="AN178" s="131">
        <v>21</v>
      </c>
      <c r="AO178" s="131">
        <f>G178*0</f>
        <v>0</v>
      </c>
      <c r="AP178" s="131">
        <f>G178*(1-0)</f>
        <v>0</v>
      </c>
      <c r="AQ178" s="132" t="s">
        <v>56</v>
      </c>
      <c r="AV178" s="131">
        <f>AW178+AX178</f>
        <v>0</v>
      </c>
      <c r="AW178" s="131">
        <f>F178*AO178</f>
        <v>0</v>
      </c>
      <c r="AX178" s="131">
        <f>F178*AP178</f>
        <v>0</v>
      </c>
      <c r="AY178" s="132" t="s">
        <v>61</v>
      </c>
      <c r="AZ178" s="132" t="s">
        <v>839</v>
      </c>
      <c r="BA178" s="115" t="s">
        <v>840</v>
      </c>
      <c r="BC178" s="131">
        <f>AW178+AX178</f>
        <v>0</v>
      </c>
      <c r="BD178" s="131">
        <f>G178/(100-BE178)*100</f>
        <v>0</v>
      </c>
      <c r="BE178" s="131">
        <v>0</v>
      </c>
      <c r="BF178" s="131">
        <f>178</f>
        <v>178</v>
      </c>
      <c r="BH178" s="131">
        <f>F178*AO178</f>
        <v>0</v>
      </c>
      <c r="BI178" s="131">
        <f>F178*AP178</f>
        <v>0</v>
      </c>
      <c r="BJ178" s="131">
        <f>F178*G178</f>
        <v>0</v>
      </c>
      <c r="BK178" s="131"/>
      <c r="BL178" s="131">
        <v>11</v>
      </c>
      <c r="BW178" s="131">
        <v>21</v>
      </c>
      <c r="BX178" s="133" t="s">
        <v>704</v>
      </c>
    </row>
    <row r="179" spans="1:76" x14ac:dyDescent="0.25">
      <c r="A179" s="134" t="s">
        <v>841</v>
      </c>
      <c r="B179" s="135" t="s">
        <v>842</v>
      </c>
      <c r="C179" s="270" t="s">
        <v>843</v>
      </c>
      <c r="D179" s="271"/>
      <c r="E179" s="135" t="s">
        <v>59</v>
      </c>
      <c r="F179" s="131">
        <v>57.6</v>
      </c>
      <c r="G179" s="179">
        <v>0</v>
      </c>
      <c r="H179" s="131">
        <f>F179*AO179</f>
        <v>0</v>
      </c>
      <c r="I179" s="131">
        <f>F179*AP179</f>
        <v>0</v>
      </c>
      <c r="J179" s="131">
        <f>F179*G179</f>
        <v>0</v>
      </c>
      <c r="K179" s="136" t="s">
        <v>60</v>
      </c>
      <c r="Z179" s="131">
        <f>IF(AQ179="5",BJ179,0)</f>
        <v>0</v>
      </c>
      <c r="AB179" s="131">
        <f>IF(AQ179="1",BH179,0)</f>
        <v>0</v>
      </c>
      <c r="AC179" s="131">
        <f>IF(AQ179="1",BI179,0)</f>
        <v>0</v>
      </c>
      <c r="AD179" s="131">
        <f>IF(AQ179="7",BH179,0)</f>
        <v>0</v>
      </c>
      <c r="AE179" s="131">
        <f>IF(AQ179="7",BI179,0)</f>
        <v>0</v>
      </c>
      <c r="AF179" s="131">
        <f>IF(AQ179="2",BH179,0)</f>
        <v>0</v>
      </c>
      <c r="AG179" s="131">
        <f>IF(AQ179="2",BI179,0)</f>
        <v>0</v>
      </c>
      <c r="AH179" s="131">
        <f>IF(AQ179="0",BJ179,0)</f>
        <v>0</v>
      </c>
      <c r="AI179" s="115" t="s">
        <v>837</v>
      </c>
      <c r="AJ179" s="131">
        <f>IF(AN179=0,J179,0)</f>
        <v>0</v>
      </c>
      <c r="AK179" s="131">
        <f>IF(AN179=12,J179,0)</f>
        <v>0</v>
      </c>
      <c r="AL179" s="131">
        <f>IF(AN179=21,J179,0)</f>
        <v>0</v>
      </c>
      <c r="AN179" s="131">
        <v>21</v>
      </c>
      <c r="AO179" s="131">
        <f>G179*0</f>
        <v>0</v>
      </c>
      <c r="AP179" s="131">
        <f>G179*(1-0)</f>
        <v>0</v>
      </c>
      <c r="AQ179" s="132" t="s">
        <v>56</v>
      </c>
      <c r="AV179" s="131">
        <f>AW179+AX179</f>
        <v>0</v>
      </c>
      <c r="AW179" s="131">
        <f>F179*AO179</f>
        <v>0</v>
      </c>
      <c r="AX179" s="131">
        <f>F179*AP179</f>
        <v>0</v>
      </c>
      <c r="AY179" s="132" t="s">
        <v>61</v>
      </c>
      <c r="AZ179" s="132" t="s">
        <v>839</v>
      </c>
      <c r="BA179" s="115" t="s">
        <v>840</v>
      </c>
      <c r="BC179" s="131">
        <f>AW179+AX179</f>
        <v>0</v>
      </c>
      <c r="BD179" s="131">
        <f>G179/(100-BE179)*100</f>
        <v>0</v>
      </c>
      <c r="BE179" s="131">
        <v>0</v>
      </c>
      <c r="BF179" s="131">
        <f>179</f>
        <v>179</v>
      </c>
      <c r="BH179" s="131">
        <f>F179*AO179</f>
        <v>0</v>
      </c>
      <c r="BI179" s="131">
        <f>F179*AP179</f>
        <v>0</v>
      </c>
      <c r="BJ179" s="131">
        <f>F179*G179</f>
        <v>0</v>
      </c>
      <c r="BK179" s="131"/>
      <c r="BL179" s="131">
        <v>11</v>
      </c>
      <c r="BW179" s="131">
        <v>21</v>
      </c>
      <c r="BX179" s="133" t="s">
        <v>843</v>
      </c>
    </row>
    <row r="180" spans="1:76" x14ac:dyDescent="0.25">
      <c r="A180" s="123" t="s">
        <v>53</v>
      </c>
      <c r="B180" s="124" t="s">
        <v>96</v>
      </c>
      <c r="C180" s="272" t="s">
        <v>97</v>
      </c>
      <c r="D180" s="273"/>
      <c r="E180" s="125" t="s">
        <v>9</v>
      </c>
      <c r="F180" s="125" t="s">
        <v>9</v>
      </c>
      <c r="G180" s="125" t="s">
        <v>9</v>
      </c>
      <c r="H180" s="110">
        <f>SUM(H181:H183)</f>
        <v>0</v>
      </c>
      <c r="I180" s="110">
        <f>SUM(I181:I183)</f>
        <v>0</v>
      </c>
      <c r="J180" s="110">
        <f>SUM(J181:J183)</f>
        <v>0</v>
      </c>
      <c r="K180" s="126" t="s">
        <v>53</v>
      </c>
      <c r="AI180" s="115" t="s">
        <v>837</v>
      </c>
      <c r="AS180" s="110">
        <f>SUM(AJ181:AJ183)</f>
        <v>0</v>
      </c>
      <c r="AT180" s="110">
        <f>SUM(AK181:AK183)</f>
        <v>0</v>
      </c>
      <c r="AU180" s="110">
        <f>SUM(AL181:AL183)</f>
        <v>0</v>
      </c>
    </row>
    <row r="181" spans="1:76" x14ac:dyDescent="0.25">
      <c r="A181" s="134" t="s">
        <v>844</v>
      </c>
      <c r="B181" s="135" t="s">
        <v>777</v>
      </c>
      <c r="C181" s="270" t="s">
        <v>778</v>
      </c>
      <c r="D181" s="271"/>
      <c r="E181" s="135" t="s">
        <v>79</v>
      </c>
      <c r="F181" s="131">
        <v>18.72</v>
      </c>
      <c r="G181" s="179">
        <v>0</v>
      </c>
      <c r="H181" s="131">
        <f>F181*AO181</f>
        <v>0</v>
      </c>
      <c r="I181" s="131">
        <f>F181*AP181</f>
        <v>0</v>
      </c>
      <c r="J181" s="131">
        <f>F181*G181</f>
        <v>0</v>
      </c>
      <c r="K181" s="136" t="s">
        <v>60</v>
      </c>
      <c r="Z181" s="131">
        <f>IF(AQ181="5",BJ181,0)</f>
        <v>0</v>
      </c>
      <c r="AB181" s="131">
        <f>IF(AQ181="1",BH181,0)</f>
        <v>0</v>
      </c>
      <c r="AC181" s="131">
        <f>IF(AQ181="1",BI181,0)</f>
        <v>0</v>
      </c>
      <c r="AD181" s="131">
        <f>IF(AQ181="7",BH181,0)</f>
        <v>0</v>
      </c>
      <c r="AE181" s="131">
        <f>IF(AQ181="7",BI181,0)</f>
        <v>0</v>
      </c>
      <c r="AF181" s="131">
        <f>IF(AQ181="2",BH181,0)</f>
        <v>0</v>
      </c>
      <c r="AG181" s="131">
        <f>IF(AQ181="2",BI181,0)</f>
        <v>0</v>
      </c>
      <c r="AH181" s="131">
        <f>IF(AQ181="0",BJ181,0)</f>
        <v>0</v>
      </c>
      <c r="AI181" s="115" t="s">
        <v>837</v>
      </c>
      <c r="AJ181" s="131">
        <f>IF(AN181=0,J181,0)</f>
        <v>0</v>
      </c>
      <c r="AK181" s="131">
        <f>IF(AN181=12,J181,0)</f>
        <v>0</v>
      </c>
      <c r="AL181" s="131">
        <f>IF(AN181=21,J181,0)</f>
        <v>0</v>
      </c>
      <c r="AN181" s="131">
        <v>21</v>
      </c>
      <c r="AO181" s="131">
        <f>G181*0</f>
        <v>0</v>
      </c>
      <c r="AP181" s="131">
        <f>G181*(1-0)</f>
        <v>0</v>
      </c>
      <c r="AQ181" s="132" t="s">
        <v>56</v>
      </c>
      <c r="AV181" s="131">
        <f>AW181+AX181</f>
        <v>0</v>
      </c>
      <c r="AW181" s="131">
        <f>F181*AO181</f>
        <v>0</v>
      </c>
      <c r="AX181" s="131">
        <f>F181*AP181</f>
        <v>0</v>
      </c>
      <c r="AY181" s="132" t="s">
        <v>100</v>
      </c>
      <c r="AZ181" s="132" t="s">
        <v>839</v>
      </c>
      <c r="BA181" s="115" t="s">
        <v>840</v>
      </c>
      <c r="BC181" s="131">
        <f>AW181+AX181</f>
        <v>0</v>
      </c>
      <c r="BD181" s="131">
        <f>G181/(100-BE181)*100</f>
        <v>0</v>
      </c>
      <c r="BE181" s="131">
        <v>0</v>
      </c>
      <c r="BF181" s="131">
        <f>181</f>
        <v>181</v>
      </c>
      <c r="BH181" s="131">
        <f>F181*AO181</f>
        <v>0</v>
      </c>
      <c r="BI181" s="131">
        <f>F181*AP181</f>
        <v>0</v>
      </c>
      <c r="BJ181" s="131">
        <f>F181*G181</f>
        <v>0</v>
      </c>
      <c r="BK181" s="131"/>
      <c r="BL181" s="131">
        <v>13</v>
      </c>
      <c r="BW181" s="131">
        <v>21</v>
      </c>
      <c r="BX181" s="133" t="s">
        <v>778</v>
      </c>
    </row>
    <row r="182" spans="1:76" x14ac:dyDescent="0.25">
      <c r="A182" s="134" t="s">
        <v>845</v>
      </c>
      <c r="B182" s="135" t="s">
        <v>846</v>
      </c>
      <c r="C182" s="270" t="s">
        <v>847</v>
      </c>
      <c r="D182" s="271"/>
      <c r="E182" s="135" t="s">
        <v>79</v>
      </c>
      <c r="F182" s="131">
        <v>12.8</v>
      </c>
      <c r="G182" s="179">
        <v>0</v>
      </c>
      <c r="H182" s="131">
        <f>F182*AO182</f>
        <v>0</v>
      </c>
      <c r="I182" s="131">
        <f>F182*AP182</f>
        <v>0</v>
      </c>
      <c r="J182" s="131">
        <f>F182*G182</f>
        <v>0</v>
      </c>
      <c r="K182" s="136" t="s">
        <v>60</v>
      </c>
      <c r="Z182" s="131">
        <f>IF(AQ182="5",BJ182,0)</f>
        <v>0</v>
      </c>
      <c r="AB182" s="131">
        <f>IF(AQ182="1",BH182,0)</f>
        <v>0</v>
      </c>
      <c r="AC182" s="131">
        <f>IF(AQ182="1",BI182,0)</f>
        <v>0</v>
      </c>
      <c r="AD182" s="131">
        <f>IF(AQ182="7",BH182,0)</f>
        <v>0</v>
      </c>
      <c r="AE182" s="131">
        <f>IF(AQ182="7",BI182,0)</f>
        <v>0</v>
      </c>
      <c r="AF182" s="131">
        <f>IF(AQ182="2",BH182,0)</f>
        <v>0</v>
      </c>
      <c r="AG182" s="131">
        <f>IF(AQ182="2",BI182,0)</f>
        <v>0</v>
      </c>
      <c r="AH182" s="131">
        <f>IF(AQ182="0",BJ182,0)</f>
        <v>0</v>
      </c>
      <c r="AI182" s="115" t="s">
        <v>837</v>
      </c>
      <c r="AJ182" s="131">
        <f>IF(AN182=0,J182,0)</f>
        <v>0</v>
      </c>
      <c r="AK182" s="131">
        <f>IF(AN182=12,J182,0)</f>
        <v>0</v>
      </c>
      <c r="AL182" s="131">
        <f>IF(AN182=21,J182,0)</f>
        <v>0</v>
      </c>
      <c r="AN182" s="131">
        <v>21</v>
      </c>
      <c r="AO182" s="131">
        <f>G182*0</f>
        <v>0</v>
      </c>
      <c r="AP182" s="131">
        <f>G182*(1-0)</f>
        <v>0</v>
      </c>
      <c r="AQ182" s="132" t="s">
        <v>56</v>
      </c>
      <c r="AV182" s="131">
        <f>AW182+AX182</f>
        <v>0</v>
      </c>
      <c r="AW182" s="131">
        <f>F182*AO182</f>
        <v>0</v>
      </c>
      <c r="AX182" s="131">
        <f>F182*AP182</f>
        <v>0</v>
      </c>
      <c r="AY182" s="132" t="s">
        <v>100</v>
      </c>
      <c r="AZ182" s="132" t="s">
        <v>839</v>
      </c>
      <c r="BA182" s="115" t="s">
        <v>840</v>
      </c>
      <c r="BC182" s="131">
        <f>AW182+AX182</f>
        <v>0</v>
      </c>
      <c r="BD182" s="131">
        <f>G182/(100-BE182)*100</f>
        <v>0</v>
      </c>
      <c r="BE182" s="131">
        <v>0</v>
      </c>
      <c r="BF182" s="131">
        <f>182</f>
        <v>182</v>
      </c>
      <c r="BH182" s="131">
        <f>F182*AO182</f>
        <v>0</v>
      </c>
      <c r="BI182" s="131">
        <f>F182*AP182</f>
        <v>0</v>
      </c>
      <c r="BJ182" s="131">
        <f>F182*G182</f>
        <v>0</v>
      </c>
      <c r="BK182" s="131"/>
      <c r="BL182" s="131">
        <v>13</v>
      </c>
      <c r="BW182" s="131">
        <v>21</v>
      </c>
      <c r="BX182" s="133" t="s">
        <v>847</v>
      </c>
    </row>
    <row r="183" spans="1:76" x14ac:dyDescent="0.25">
      <c r="A183" s="134" t="s">
        <v>848</v>
      </c>
      <c r="B183" s="135" t="s">
        <v>849</v>
      </c>
      <c r="C183" s="270" t="s">
        <v>850</v>
      </c>
      <c r="D183" s="271"/>
      <c r="E183" s="135" t="s">
        <v>79</v>
      </c>
      <c r="F183" s="131">
        <v>3.84</v>
      </c>
      <c r="G183" s="179">
        <v>0</v>
      </c>
      <c r="H183" s="131">
        <f>F183*AO183</f>
        <v>0</v>
      </c>
      <c r="I183" s="131">
        <f>F183*AP183</f>
        <v>0</v>
      </c>
      <c r="J183" s="131">
        <f>F183*G183</f>
        <v>0</v>
      </c>
      <c r="K183" s="136" t="s">
        <v>60</v>
      </c>
      <c r="Z183" s="131">
        <f>IF(AQ183="5",BJ183,0)</f>
        <v>0</v>
      </c>
      <c r="AB183" s="131">
        <f>IF(AQ183="1",BH183,0)</f>
        <v>0</v>
      </c>
      <c r="AC183" s="131">
        <f>IF(AQ183="1",BI183,0)</f>
        <v>0</v>
      </c>
      <c r="AD183" s="131">
        <f>IF(AQ183="7",BH183,0)</f>
        <v>0</v>
      </c>
      <c r="AE183" s="131">
        <f>IF(AQ183="7",BI183,0)</f>
        <v>0</v>
      </c>
      <c r="AF183" s="131">
        <f>IF(AQ183="2",BH183,0)</f>
        <v>0</v>
      </c>
      <c r="AG183" s="131">
        <f>IF(AQ183="2",BI183,0)</f>
        <v>0</v>
      </c>
      <c r="AH183" s="131">
        <f>IF(AQ183="0",BJ183,0)</f>
        <v>0</v>
      </c>
      <c r="AI183" s="115" t="s">
        <v>837</v>
      </c>
      <c r="AJ183" s="131">
        <f>IF(AN183=0,J183,0)</f>
        <v>0</v>
      </c>
      <c r="AK183" s="131">
        <f>IF(AN183=12,J183,0)</f>
        <v>0</v>
      </c>
      <c r="AL183" s="131">
        <f>IF(AN183=21,J183,0)</f>
        <v>0</v>
      </c>
      <c r="AN183" s="131">
        <v>21</v>
      </c>
      <c r="AO183" s="131">
        <f>G183*0</f>
        <v>0</v>
      </c>
      <c r="AP183" s="131">
        <f>G183*(1-0)</f>
        <v>0</v>
      </c>
      <c r="AQ183" s="132" t="s">
        <v>56</v>
      </c>
      <c r="AV183" s="131">
        <f>AW183+AX183</f>
        <v>0</v>
      </c>
      <c r="AW183" s="131">
        <f>F183*AO183</f>
        <v>0</v>
      </c>
      <c r="AX183" s="131">
        <f>F183*AP183</f>
        <v>0</v>
      </c>
      <c r="AY183" s="132" t="s">
        <v>100</v>
      </c>
      <c r="AZ183" s="132" t="s">
        <v>839</v>
      </c>
      <c r="BA183" s="115" t="s">
        <v>840</v>
      </c>
      <c r="BC183" s="131">
        <f>AW183+AX183</f>
        <v>0</v>
      </c>
      <c r="BD183" s="131">
        <f>G183/(100-BE183)*100</f>
        <v>0</v>
      </c>
      <c r="BE183" s="131">
        <v>0</v>
      </c>
      <c r="BF183" s="131">
        <f>183</f>
        <v>183</v>
      </c>
      <c r="BH183" s="131">
        <f>F183*AO183</f>
        <v>0</v>
      </c>
      <c r="BI183" s="131">
        <f>F183*AP183</f>
        <v>0</v>
      </c>
      <c r="BJ183" s="131">
        <f>F183*G183</f>
        <v>0</v>
      </c>
      <c r="BK183" s="131"/>
      <c r="BL183" s="131">
        <v>13</v>
      </c>
      <c r="BW183" s="131">
        <v>21</v>
      </c>
      <c r="BX183" s="133" t="s">
        <v>850</v>
      </c>
    </row>
    <row r="184" spans="1:76" x14ac:dyDescent="0.25">
      <c r="A184" s="123" t="s">
        <v>53</v>
      </c>
      <c r="B184" s="124" t="s">
        <v>111</v>
      </c>
      <c r="C184" s="272" t="s">
        <v>779</v>
      </c>
      <c r="D184" s="273"/>
      <c r="E184" s="125" t="s">
        <v>9</v>
      </c>
      <c r="F184" s="125" t="s">
        <v>9</v>
      </c>
      <c r="G184" s="125" t="s">
        <v>9</v>
      </c>
      <c r="H184" s="110">
        <f>SUM(H185:H186)</f>
        <v>0</v>
      </c>
      <c r="I184" s="110">
        <f>SUM(I185:I186)</f>
        <v>0</v>
      </c>
      <c r="J184" s="110">
        <f>SUM(J185:J186)</f>
        <v>0</v>
      </c>
      <c r="K184" s="126" t="s">
        <v>53</v>
      </c>
      <c r="AI184" s="115" t="s">
        <v>837</v>
      </c>
      <c r="AS184" s="110">
        <f>SUM(AJ185:AJ186)</f>
        <v>0</v>
      </c>
      <c r="AT184" s="110">
        <f>SUM(AK185:AK186)</f>
        <v>0</v>
      </c>
      <c r="AU184" s="110">
        <f>SUM(AL185:AL186)</f>
        <v>0</v>
      </c>
    </row>
    <row r="185" spans="1:76" x14ac:dyDescent="0.25">
      <c r="A185" s="134" t="s">
        <v>851</v>
      </c>
      <c r="B185" s="135" t="s">
        <v>780</v>
      </c>
      <c r="C185" s="270" t="s">
        <v>781</v>
      </c>
      <c r="D185" s="271"/>
      <c r="E185" s="135" t="s">
        <v>59</v>
      </c>
      <c r="F185" s="131">
        <v>48</v>
      </c>
      <c r="G185" s="179">
        <v>0</v>
      </c>
      <c r="H185" s="131">
        <f>F185*AO185</f>
        <v>0</v>
      </c>
      <c r="I185" s="131">
        <f>F185*AP185</f>
        <v>0</v>
      </c>
      <c r="J185" s="131">
        <f>F185*G185</f>
        <v>0</v>
      </c>
      <c r="K185" s="136" t="s">
        <v>60</v>
      </c>
      <c r="Z185" s="131">
        <f>IF(AQ185="5",BJ185,0)</f>
        <v>0</v>
      </c>
      <c r="AB185" s="131">
        <f>IF(AQ185="1",BH185,0)</f>
        <v>0</v>
      </c>
      <c r="AC185" s="131">
        <f>IF(AQ185="1",BI185,0)</f>
        <v>0</v>
      </c>
      <c r="AD185" s="131">
        <f>IF(AQ185="7",BH185,0)</f>
        <v>0</v>
      </c>
      <c r="AE185" s="131">
        <f>IF(AQ185="7",BI185,0)</f>
        <v>0</v>
      </c>
      <c r="AF185" s="131">
        <f>IF(AQ185="2",BH185,0)</f>
        <v>0</v>
      </c>
      <c r="AG185" s="131">
        <f>IF(AQ185="2",BI185,0)</f>
        <v>0</v>
      </c>
      <c r="AH185" s="131">
        <f>IF(AQ185="0",BJ185,0)</f>
        <v>0</v>
      </c>
      <c r="AI185" s="115" t="s">
        <v>837</v>
      </c>
      <c r="AJ185" s="131">
        <f>IF(AN185=0,J185,0)</f>
        <v>0</v>
      </c>
      <c r="AK185" s="131">
        <f>IF(AN185=12,J185,0)</f>
        <v>0</v>
      </c>
      <c r="AL185" s="131">
        <f>IF(AN185=21,J185,0)</f>
        <v>0</v>
      </c>
      <c r="AN185" s="131">
        <v>21</v>
      </c>
      <c r="AO185" s="131">
        <f>G185*0.091290323</f>
        <v>0</v>
      </c>
      <c r="AP185" s="131">
        <f>G185*(1-0.091290323)</f>
        <v>0</v>
      </c>
      <c r="AQ185" s="132" t="s">
        <v>56</v>
      </c>
      <c r="AV185" s="131">
        <f>AW185+AX185</f>
        <v>0</v>
      </c>
      <c r="AW185" s="131">
        <f>F185*AO185</f>
        <v>0</v>
      </c>
      <c r="AX185" s="131">
        <f>F185*AP185</f>
        <v>0</v>
      </c>
      <c r="AY185" s="132" t="s">
        <v>782</v>
      </c>
      <c r="AZ185" s="132" t="s">
        <v>839</v>
      </c>
      <c r="BA185" s="115" t="s">
        <v>840</v>
      </c>
      <c r="BC185" s="131">
        <f>AW185+AX185</f>
        <v>0</v>
      </c>
      <c r="BD185" s="131">
        <f>G185/(100-BE185)*100</f>
        <v>0</v>
      </c>
      <c r="BE185" s="131">
        <v>0</v>
      </c>
      <c r="BF185" s="131">
        <f>185</f>
        <v>185</v>
      </c>
      <c r="BH185" s="131">
        <f>F185*AO185</f>
        <v>0</v>
      </c>
      <c r="BI185" s="131">
        <f>F185*AP185</f>
        <v>0</v>
      </c>
      <c r="BJ185" s="131">
        <f>F185*G185</f>
        <v>0</v>
      </c>
      <c r="BK185" s="131"/>
      <c r="BL185" s="131">
        <v>15</v>
      </c>
      <c r="BW185" s="131">
        <v>21</v>
      </c>
      <c r="BX185" s="133" t="s">
        <v>781</v>
      </c>
    </row>
    <row r="186" spans="1:76" x14ac:dyDescent="0.25">
      <c r="A186" s="134" t="s">
        <v>852</v>
      </c>
      <c r="B186" s="135" t="s">
        <v>783</v>
      </c>
      <c r="C186" s="270" t="s">
        <v>784</v>
      </c>
      <c r="D186" s="271"/>
      <c r="E186" s="135" t="s">
        <v>59</v>
      </c>
      <c r="F186" s="131">
        <v>48</v>
      </c>
      <c r="G186" s="179">
        <v>0</v>
      </c>
      <c r="H186" s="131">
        <f>F186*AO186</f>
        <v>0</v>
      </c>
      <c r="I186" s="131">
        <f>F186*AP186</f>
        <v>0</v>
      </c>
      <c r="J186" s="131">
        <f>F186*G186</f>
        <v>0</v>
      </c>
      <c r="K186" s="136" t="s">
        <v>60</v>
      </c>
      <c r="Z186" s="131">
        <f>IF(AQ186="5",BJ186,0)</f>
        <v>0</v>
      </c>
      <c r="AB186" s="131">
        <f>IF(AQ186="1",BH186,0)</f>
        <v>0</v>
      </c>
      <c r="AC186" s="131">
        <f>IF(AQ186="1",BI186,0)</f>
        <v>0</v>
      </c>
      <c r="AD186" s="131">
        <f>IF(AQ186="7",BH186,0)</f>
        <v>0</v>
      </c>
      <c r="AE186" s="131">
        <f>IF(AQ186="7",BI186,0)</f>
        <v>0</v>
      </c>
      <c r="AF186" s="131">
        <f>IF(AQ186="2",BH186,0)</f>
        <v>0</v>
      </c>
      <c r="AG186" s="131">
        <f>IF(AQ186="2",BI186,0)</f>
        <v>0</v>
      </c>
      <c r="AH186" s="131">
        <f>IF(AQ186="0",BJ186,0)</f>
        <v>0</v>
      </c>
      <c r="AI186" s="115" t="s">
        <v>837</v>
      </c>
      <c r="AJ186" s="131">
        <f>IF(AN186=0,J186,0)</f>
        <v>0</v>
      </c>
      <c r="AK186" s="131">
        <f>IF(AN186=12,J186,0)</f>
        <v>0</v>
      </c>
      <c r="AL186" s="131">
        <f>IF(AN186=21,J186,0)</f>
        <v>0</v>
      </c>
      <c r="AN186" s="131">
        <v>21</v>
      </c>
      <c r="AO186" s="131">
        <f>G186*0</f>
        <v>0</v>
      </c>
      <c r="AP186" s="131">
        <f>G186*(1-0)</f>
        <v>0</v>
      </c>
      <c r="AQ186" s="132" t="s">
        <v>56</v>
      </c>
      <c r="AV186" s="131">
        <f>AW186+AX186</f>
        <v>0</v>
      </c>
      <c r="AW186" s="131">
        <f>F186*AO186</f>
        <v>0</v>
      </c>
      <c r="AX186" s="131">
        <f>F186*AP186</f>
        <v>0</v>
      </c>
      <c r="AY186" s="132" t="s">
        <v>782</v>
      </c>
      <c r="AZ186" s="132" t="s">
        <v>839</v>
      </c>
      <c r="BA186" s="115" t="s">
        <v>840</v>
      </c>
      <c r="BC186" s="131">
        <f>AW186+AX186</f>
        <v>0</v>
      </c>
      <c r="BD186" s="131">
        <f>G186/(100-BE186)*100</f>
        <v>0</v>
      </c>
      <c r="BE186" s="131">
        <v>0</v>
      </c>
      <c r="BF186" s="131">
        <f>186</f>
        <v>186</v>
      </c>
      <c r="BH186" s="131">
        <f>F186*AO186</f>
        <v>0</v>
      </c>
      <c r="BI186" s="131">
        <f>F186*AP186</f>
        <v>0</v>
      </c>
      <c r="BJ186" s="131">
        <f>F186*G186</f>
        <v>0</v>
      </c>
      <c r="BK186" s="131"/>
      <c r="BL186" s="131">
        <v>15</v>
      </c>
      <c r="BW186" s="131">
        <v>21</v>
      </c>
      <c r="BX186" s="133" t="s">
        <v>784</v>
      </c>
    </row>
    <row r="187" spans="1:76" x14ac:dyDescent="0.25">
      <c r="A187" s="123" t="s">
        <v>53</v>
      </c>
      <c r="B187" s="124" t="s">
        <v>101</v>
      </c>
      <c r="C187" s="272" t="s">
        <v>102</v>
      </c>
      <c r="D187" s="273"/>
      <c r="E187" s="125" t="s">
        <v>9</v>
      </c>
      <c r="F187" s="125" t="s">
        <v>9</v>
      </c>
      <c r="G187" s="125" t="s">
        <v>9</v>
      </c>
      <c r="H187" s="110">
        <f>SUM(H188:H195)</f>
        <v>0</v>
      </c>
      <c r="I187" s="110">
        <f>SUM(I188:I195)</f>
        <v>0</v>
      </c>
      <c r="J187" s="110">
        <f>SUM(J188:J195)</f>
        <v>0</v>
      </c>
      <c r="K187" s="126" t="s">
        <v>53</v>
      </c>
      <c r="AI187" s="115" t="s">
        <v>837</v>
      </c>
      <c r="AS187" s="110">
        <f>SUM(AJ188:AJ195)</f>
        <v>0</v>
      </c>
      <c r="AT187" s="110">
        <f>SUM(AK188:AK195)</f>
        <v>0</v>
      </c>
      <c r="AU187" s="110">
        <f>SUM(AL188:AL195)</f>
        <v>0</v>
      </c>
    </row>
    <row r="188" spans="1:76" ht="25.5" x14ac:dyDescent="0.25">
      <c r="A188" s="134" t="s">
        <v>853</v>
      </c>
      <c r="B188" s="135" t="s">
        <v>854</v>
      </c>
      <c r="C188" s="270" t="s">
        <v>855</v>
      </c>
      <c r="D188" s="271"/>
      <c r="E188" s="135" t="s">
        <v>79</v>
      </c>
      <c r="F188" s="131">
        <v>31.2</v>
      </c>
      <c r="G188" s="179">
        <v>0</v>
      </c>
      <c r="H188" s="131">
        <f t="shared" ref="H188:H195" si="136">F188*AO188</f>
        <v>0</v>
      </c>
      <c r="I188" s="131">
        <f t="shared" ref="I188:I195" si="137">F188*AP188</f>
        <v>0</v>
      </c>
      <c r="J188" s="131">
        <f t="shared" ref="J188:J195" si="138">F188*G188</f>
        <v>0</v>
      </c>
      <c r="K188" s="136" t="s">
        <v>60</v>
      </c>
      <c r="Z188" s="131">
        <f t="shared" ref="Z188:Z195" si="139">IF(AQ188="5",BJ188,0)</f>
        <v>0</v>
      </c>
      <c r="AB188" s="131">
        <f t="shared" ref="AB188:AB195" si="140">IF(AQ188="1",BH188,0)</f>
        <v>0</v>
      </c>
      <c r="AC188" s="131">
        <f t="shared" ref="AC188:AC195" si="141">IF(AQ188="1",BI188,0)</f>
        <v>0</v>
      </c>
      <c r="AD188" s="131">
        <f t="shared" ref="AD188:AD195" si="142">IF(AQ188="7",BH188,0)</f>
        <v>0</v>
      </c>
      <c r="AE188" s="131">
        <f t="shared" ref="AE188:AE195" si="143">IF(AQ188="7",BI188,0)</f>
        <v>0</v>
      </c>
      <c r="AF188" s="131">
        <f t="shared" ref="AF188:AF195" si="144">IF(AQ188="2",BH188,0)</f>
        <v>0</v>
      </c>
      <c r="AG188" s="131">
        <f t="shared" ref="AG188:AG195" si="145">IF(AQ188="2",BI188,0)</f>
        <v>0</v>
      </c>
      <c r="AH188" s="131">
        <f t="shared" ref="AH188:AH195" si="146">IF(AQ188="0",BJ188,0)</f>
        <v>0</v>
      </c>
      <c r="AI188" s="115" t="s">
        <v>837</v>
      </c>
      <c r="AJ188" s="131">
        <f t="shared" ref="AJ188:AJ195" si="147">IF(AN188=0,J188,0)</f>
        <v>0</v>
      </c>
      <c r="AK188" s="131">
        <f t="shared" ref="AK188:AK195" si="148">IF(AN188=12,J188,0)</f>
        <v>0</v>
      </c>
      <c r="AL188" s="131">
        <f t="shared" ref="AL188:AL195" si="149">IF(AN188=21,J188,0)</f>
        <v>0</v>
      </c>
      <c r="AN188" s="131">
        <v>21</v>
      </c>
      <c r="AO188" s="131">
        <f t="shared" ref="AO188:AO195" si="150">G188*0</f>
        <v>0</v>
      </c>
      <c r="AP188" s="131">
        <f t="shared" ref="AP188:AP195" si="151">G188*(1-0)</f>
        <v>0</v>
      </c>
      <c r="AQ188" s="132" t="s">
        <v>56</v>
      </c>
      <c r="AV188" s="131">
        <f t="shared" ref="AV188:AV195" si="152">AW188+AX188</f>
        <v>0</v>
      </c>
      <c r="AW188" s="131">
        <f t="shared" ref="AW188:AW195" si="153">F188*AO188</f>
        <v>0</v>
      </c>
      <c r="AX188" s="131">
        <f t="shared" ref="AX188:AX195" si="154">F188*AP188</f>
        <v>0</v>
      </c>
      <c r="AY188" s="132" t="s">
        <v>105</v>
      </c>
      <c r="AZ188" s="132" t="s">
        <v>839</v>
      </c>
      <c r="BA188" s="115" t="s">
        <v>840</v>
      </c>
      <c r="BC188" s="131">
        <f t="shared" ref="BC188:BC195" si="155">AW188+AX188</f>
        <v>0</v>
      </c>
      <c r="BD188" s="131">
        <f t="shared" ref="BD188:BD195" si="156">G188/(100-BE188)*100</f>
        <v>0</v>
      </c>
      <c r="BE188" s="131">
        <v>0</v>
      </c>
      <c r="BF188" s="131">
        <f>188</f>
        <v>188</v>
      </c>
      <c r="BH188" s="131">
        <f t="shared" ref="BH188:BH195" si="157">F188*AO188</f>
        <v>0</v>
      </c>
      <c r="BI188" s="131">
        <f t="shared" ref="BI188:BI195" si="158">F188*AP188</f>
        <v>0</v>
      </c>
      <c r="BJ188" s="131">
        <f t="shared" ref="BJ188:BJ195" si="159">F188*G188</f>
        <v>0</v>
      </c>
      <c r="BK188" s="131"/>
      <c r="BL188" s="131">
        <v>16</v>
      </c>
      <c r="BW188" s="131">
        <v>21</v>
      </c>
      <c r="BX188" s="133" t="s">
        <v>855</v>
      </c>
    </row>
    <row r="189" spans="1:76" ht="25.5" x14ac:dyDescent="0.25">
      <c r="A189" s="134" t="s">
        <v>856</v>
      </c>
      <c r="B189" s="135" t="s">
        <v>857</v>
      </c>
      <c r="C189" s="270" t="s">
        <v>858</v>
      </c>
      <c r="D189" s="271"/>
      <c r="E189" s="135" t="s">
        <v>79</v>
      </c>
      <c r="F189" s="131">
        <v>31.2</v>
      </c>
      <c r="G189" s="179">
        <v>0</v>
      </c>
      <c r="H189" s="131">
        <f t="shared" si="136"/>
        <v>0</v>
      </c>
      <c r="I189" s="131">
        <f t="shared" si="137"/>
        <v>0</v>
      </c>
      <c r="J189" s="131">
        <f t="shared" si="138"/>
        <v>0</v>
      </c>
      <c r="K189" s="136" t="s">
        <v>60</v>
      </c>
      <c r="Z189" s="131">
        <f t="shared" si="139"/>
        <v>0</v>
      </c>
      <c r="AB189" s="131">
        <f t="shared" si="140"/>
        <v>0</v>
      </c>
      <c r="AC189" s="131">
        <f t="shared" si="141"/>
        <v>0</v>
      </c>
      <c r="AD189" s="131">
        <f t="shared" si="142"/>
        <v>0</v>
      </c>
      <c r="AE189" s="131">
        <f t="shared" si="143"/>
        <v>0</v>
      </c>
      <c r="AF189" s="131">
        <f t="shared" si="144"/>
        <v>0</v>
      </c>
      <c r="AG189" s="131">
        <f t="shared" si="145"/>
        <v>0</v>
      </c>
      <c r="AH189" s="131">
        <f t="shared" si="146"/>
        <v>0</v>
      </c>
      <c r="AI189" s="115" t="s">
        <v>837</v>
      </c>
      <c r="AJ189" s="131">
        <f t="shared" si="147"/>
        <v>0</v>
      </c>
      <c r="AK189" s="131">
        <f t="shared" si="148"/>
        <v>0</v>
      </c>
      <c r="AL189" s="131">
        <f t="shared" si="149"/>
        <v>0</v>
      </c>
      <c r="AN189" s="131">
        <v>21</v>
      </c>
      <c r="AO189" s="131">
        <f t="shared" si="150"/>
        <v>0</v>
      </c>
      <c r="AP189" s="131">
        <f t="shared" si="151"/>
        <v>0</v>
      </c>
      <c r="AQ189" s="132" t="s">
        <v>56</v>
      </c>
      <c r="AV189" s="131">
        <f t="shared" si="152"/>
        <v>0</v>
      </c>
      <c r="AW189" s="131">
        <f t="shared" si="153"/>
        <v>0</v>
      </c>
      <c r="AX189" s="131">
        <f t="shared" si="154"/>
        <v>0</v>
      </c>
      <c r="AY189" s="132" t="s">
        <v>105</v>
      </c>
      <c r="AZ189" s="132" t="s">
        <v>839</v>
      </c>
      <c r="BA189" s="115" t="s">
        <v>840</v>
      </c>
      <c r="BC189" s="131">
        <f t="shared" si="155"/>
        <v>0</v>
      </c>
      <c r="BD189" s="131">
        <f t="shared" si="156"/>
        <v>0</v>
      </c>
      <c r="BE189" s="131">
        <v>0</v>
      </c>
      <c r="BF189" s="131">
        <f>189</f>
        <v>189</v>
      </c>
      <c r="BH189" s="131">
        <f t="shared" si="157"/>
        <v>0</v>
      </c>
      <c r="BI189" s="131">
        <f t="shared" si="158"/>
        <v>0</v>
      </c>
      <c r="BJ189" s="131">
        <f t="shared" si="159"/>
        <v>0</v>
      </c>
      <c r="BK189" s="131"/>
      <c r="BL189" s="131">
        <v>16</v>
      </c>
      <c r="BW189" s="131">
        <v>21</v>
      </c>
      <c r="BX189" s="133" t="s">
        <v>858</v>
      </c>
    </row>
    <row r="190" spans="1:76" ht="25.5" x14ac:dyDescent="0.25">
      <c r="A190" s="134" t="s">
        <v>859</v>
      </c>
      <c r="B190" s="135" t="s">
        <v>854</v>
      </c>
      <c r="C190" s="270" t="s">
        <v>860</v>
      </c>
      <c r="D190" s="271"/>
      <c r="E190" s="135" t="s">
        <v>79</v>
      </c>
      <c r="F190" s="131">
        <v>8.64</v>
      </c>
      <c r="G190" s="179">
        <v>0</v>
      </c>
      <c r="H190" s="131">
        <f t="shared" si="136"/>
        <v>0</v>
      </c>
      <c r="I190" s="131">
        <f t="shared" si="137"/>
        <v>0</v>
      </c>
      <c r="J190" s="131">
        <f t="shared" si="138"/>
        <v>0</v>
      </c>
      <c r="K190" s="136" t="s">
        <v>60</v>
      </c>
      <c r="Z190" s="131">
        <f t="shared" si="139"/>
        <v>0</v>
      </c>
      <c r="AB190" s="131">
        <f t="shared" si="140"/>
        <v>0</v>
      </c>
      <c r="AC190" s="131">
        <f t="shared" si="141"/>
        <v>0</v>
      </c>
      <c r="AD190" s="131">
        <f t="shared" si="142"/>
        <v>0</v>
      </c>
      <c r="AE190" s="131">
        <f t="shared" si="143"/>
        <v>0</v>
      </c>
      <c r="AF190" s="131">
        <f t="shared" si="144"/>
        <v>0</v>
      </c>
      <c r="AG190" s="131">
        <f t="shared" si="145"/>
        <v>0</v>
      </c>
      <c r="AH190" s="131">
        <f t="shared" si="146"/>
        <v>0</v>
      </c>
      <c r="AI190" s="115" t="s">
        <v>837</v>
      </c>
      <c r="AJ190" s="131">
        <f t="shared" si="147"/>
        <v>0</v>
      </c>
      <c r="AK190" s="131">
        <f t="shared" si="148"/>
        <v>0</v>
      </c>
      <c r="AL190" s="131">
        <f t="shared" si="149"/>
        <v>0</v>
      </c>
      <c r="AN190" s="131">
        <v>21</v>
      </c>
      <c r="AO190" s="131">
        <f t="shared" si="150"/>
        <v>0</v>
      </c>
      <c r="AP190" s="131">
        <f t="shared" si="151"/>
        <v>0</v>
      </c>
      <c r="AQ190" s="132" t="s">
        <v>56</v>
      </c>
      <c r="AV190" s="131">
        <f t="shared" si="152"/>
        <v>0</v>
      </c>
      <c r="AW190" s="131">
        <f t="shared" si="153"/>
        <v>0</v>
      </c>
      <c r="AX190" s="131">
        <f t="shared" si="154"/>
        <v>0</v>
      </c>
      <c r="AY190" s="132" t="s">
        <v>105</v>
      </c>
      <c r="AZ190" s="132" t="s">
        <v>839</v>
      </c>
      <c r="BA190" s="115" t="s">
        <v>840</v>
      </c>
      <c r="BC190" s="131">
        <f t="shared" si="155"/>
        <v>0</v>
      </c>
      <c r="BD190" s="131">
        <f t="shared" si="156"/>
        <v>0</v>
      </c>
      <c r="BE190" s="131">
        <v>0</v>
      </c>
      <c r="BF190" s="131">
        <f>190</f>
        <v>190</v>
      </c>
      <c r="BH190" s="131">
        <f t="shared" si="157"/>
        <v>0</v>
      </c>
      <c r="BI190" s="131">
        <f t="shared" si="158"/>
        <v>0</v>
      </c>
      <c r="BJ190" s="131">
        <f t="shared" si="159"/>
        <v>0</v>
      </c>
      <c r="BK190" s="131"/>
      <c r="BL190" s="131">
        <v>16</v>
      </c>
      <c r="BW190" s="131">
        <v>21</v>
      </c>
      <c r="BX190" s="133" t="s">
        <v>860</v>
      </c>
    </row>
    <row r="191" spans="1:76" x14ac:dyDescent="0.25">
      <c r="A191" s="134" t="s">
        <v>861</v>
      </c>
      <c r="B191" s="135" t="s">
        <v>114</v>
      </c>
      <c r="C191" s="270" t="s">
        <v>710</v>
      </c>
      <c r="D191" s="271"/>
      <c r="E191" s="135" t="s">
        <v>79</v>
      </c>
      <c r="F191" s="131">
        <v>16.64</v>
      </c>
      <c r="G191" s="179">
        <v>0</v>
      </c>
      <c r="H191" s="131">
        <f t="shared" si="136"/>
        <v>0</v>
      </c>
      <c r="I191" s="131">
        <f t="shared" si="137"/>
        <v>0</v>
      </c>
      <c r="J191" s="131">
        <f t="shared" si="138"/>
        <v>0</v>
      </c>
      <c r="K191" s="136" t="s">
        <v>711</v>
      </c>
      <c r="Z191" s="131">
        <f t="shared" si="139"/>
        <v>0</v>
      </c>
      <c r="AB191" s="131">
        <f t="shared" si="140"/>
        <v>0</v>
      </c>
      <c r="AC191" s="131">
        <f t="shared" si="141"/>
        <v>0</v>
      </c>
      <c r="AD191" s="131">
        <f t="shared" si="142"/>
        <v>0</v>
      </c>
      <c r="AE191" s="131">
        <f t="shared" si="143"/>
        <v>0</v>
      </c>
      <c r="AF191" s="131">
        <f t="shared" si="144"/>
        <v>0</v>
      </c>
      <c r="AG191" s="131">
        <f t="shared" si="145"/>
        <v>0</v>
      </c>
      <c r="AH191" s="131">
        <f t="shared" si="146"/>
        <v>0</v>
      </c>
      <c r="AI191" s="115" t="s">
        <v>837</v>
      </c>
      <c r="AJ191" s="131">
        <f t="shared" si="147"/>
        <v>0</v>
      </c>
      <c r="AK191" s="131">
        <f t="shared" si="148"/>
        <v>0</v>
      </c>
      <c r="AL191" s="131">
        <f t="shared" si="149"/>
        <v>0</v>
      </c>
      <c r="AN191" s="131">
        <v>21</v>
      </c>
      <c r="AO191" s="131">
        <f t="shared" si="150"/>
        <v>0</v>
      </c>
      <c r="AP191" s="131">
        <f t="shared" si="151"/>
        <v>0</v>
      </c>
      <c r="AQ191" s="132" t="s">
        <v>56</v>
      </c>
      <c r="AV191" s="131">
        <f t="shared" si="152"/>
        <v>0</v>
      </c>
      <c r="AW191" s="131">
        <f t="shared" si="153"/>
        <v>0</v>
      </c>
      <c r="AX191" s="131">
        <f t="shared" si="154"/>
        <v>0</v>
      </c>
      <c r="AY191" s="132" t="s">
        <v>105</v>
      </c>
      <c r="AZ191" s="132" t="s">
        <v>839</v>
      </c>
      <c r="BA191" s="115" t="s">
        <v>840</v>
      </c>
      <c r="BC191" s="131">
        <f t="shared" si="155"/>
        <v>0</v>
      </c>
      <c r="BD191" s="131">
        <f t="shared" si="156"/>
        <v>0</v>
      </c>
      <c r="BE191" s="131">
        <v>0</v>
      </c>
      <c r="BF191" s="131">
        <f>191</f>
        <v>191</v>
      </c>
      <c r="BH191" s="131">
        <f t="shared" si="157"/>
        <v>0</v>
      </c>
      <c r="BI191" s="131">
        <f t="shared" si="158"/>
        <v>0</v>
      </c>
      <c r="BJ191" s="131">
        <f t="shared" si="159"/>
        <v>0</v>
      </c>
      <c r="BK191" s="131"/>
      <c r="BL191" s="131">
        <v>16</v>
      </c>
      <c r="BW191" s="131">
        <v>21</v>
      </c>
      <c r="BX191" s="133" t="s">
        <v>710</v>
      </c>
    </row>
    <row r="192" spans="1:76" x14ac:dyDescent="0.25">
      <c r="A192" s="134" t="s">
        <v>862</v>
      </c>
      <c r="B192" s="135" t="s">
        <v>712</v>
      </c>
      <c r="C192" s="270" t="s">
        <v>713</v>
      </c>
      <c r="D192" s="271"/>
      <c r="E192" s="135" t="s">
        <v>122</v>
      </c>
      <c r="F192" s="131">
        <v>41.6</v>
      </c>
      <c r="G192" s="179">
        <v>0</v>
      </c>
      <c r="H192" s="131">
        <f t="shared" si="136"/>
        <v>0</v>
      </c>
      <c r="I192" s="131">
        <f t="shared" si="137"/>
        <v>0</v>
      </c>
      <c r="J192" s="131">
        <f t="shared" si="138"/>
        <v>0</v>
      </c>
      <c r="K192" s="136" t="s">
        <v>711</v>
      </c>
      <c r="Z192" s="131">
        <f t="shared" si="139"/>
        <v>0</v>
      </c>
      <c r="AB192" s="131">
        <f t="shared" si="140"/>
        <v>0</v>
      </c>
      <c r="AC192" s="131">
        <f t="shared" si="141"/>
        <v>0</v>
      </c>
      <c r="AD192" s="131">
        <f t="shared" si="142"/>
        <v>0</v>
      </c>
      <c r="AE192" s="131">
        <f t="shared" si="143"/>
        <v>0</v>
      </c>
      <c r="AF192" s="131">
        <f t="shared" si="144"/>
        <v>0</v>
      </c>
      <c r="AG192" s="131">
        <f t="shared" si="145"/>
        <v>0</v>
      </c>
      <c r="AH192" s="131">
        <f t="shared" si="146"/>
        <v>0</v>
      </c>
      <c r="AI192" s="115" t="s">
        <v>837</v>
      </c>
      <c r="AJ192" s="131">
        <f t="shared" si="147"/>
        <v>0</v>
      </c>
      <c r="AK192" s="131">
        <f t="shared" si="148"/>
        <v>0</v>
      </c>
      <c r="AL192" s="131">
        <f t="shared" si="149"/>
        <v>0</v>
      </c>
      <c r="AN192" s="131">
        <v>21</v>
      </c>
      <c r="AO192" s="131">
        <f t="shared" si="150"/>
        <v>0</v>
      </c>
      <c r="AP192" s="131">
        <f t="shared" si="151"/>
        <v>0</v>
      </c>
      <c r="AQ192" s="132" t="s">
        <v>56</v>
      </c>
      <c r="AV192" s="131">
        <f t="shared" si="152"/>
        <v>0</v>
      </c>
      <c r="AW192" s="131">
        <f t="shared" si="153"/>
        <v>0</v>
      </c>
      <c r="AX192" s="131">
        <f t="shared" si="154"/>
        <v>0</v>
      </c>
      <c r="AY192" s="132" t="s">
        <v>105</v>
      </c>
      <c r="AZ192" s="132" t="s">
        <v>839</v>
      </c>
      <c r="BA192" s="115" t="s">
        <v>840</v>
      </c>
      <c r="BC192" s="131">
        <f t="shared" si="155"/>
        <v>0</v>
      </c>
      <c r="BD192" s="131">
        <f t="shared" si="156"/>
        <v>0</v>
      </c>
      <c r="BE192" s="131">
        <v>0</v>
      </c>
      <c r="BF192" s="131">
        <f>192</f>
        <v>192</v>
      </c>
      <c r="BH192" s="131">
        <f t="shared" si="157"/>
        <v>0</v>
      </c>
      <c r="BI192" s="131">
        <f t="shared" si="158"/>
        <v>0</v>
      </c>
      <c r="BJ192" s="131">
        <f t="shared" si="159"/>
        <v>0</v>
      </c>
      <c r="BK192" s="131"/>
      <c r="BL192" s="131">
        <v>16</v>
      </c>
      <c r="BW192" s="131">
        <v>21</v>
      </c>
      <c r="BX192" s="133" t="s">
        <v>713</v>
      </c>
    </row>
    <row r="193" spans="1:76" x14ac:dyDescent="0.25">
      <c r="A193" s="134" t="s">
        <v>863</v>
      </c>
      <c r="B193" s="135" t="s">
        <v>114</v>
      </c>
      <c r="C193" s="270" t="s">
        <v>785</v>
      </c>
      <c r="D193" s="271"/>
      <c r="E193" s="135" t="s">
        <v>79</v>
      </c>
      <c r="F193" s="131">
        <v>18.72</v>
      </c>
      <c r="G193" s="179">
        <v>0</v>
      </c>
      <c r="H193" s="131">
        <f t="shared" si="136"/>
        <v>0</v>
      </c>
      <c r="I193" s="131">
        <f t="shared" si="137"/>
        <v>0</v>
      </c>
      <c r="J193" s="131">
        <f t="shared" si="138"/>
        <v>0</v>
      </c>
      <c r="K193" s="136" t="s">
        <v>60</v>
      </c>
      <c r="Z193" s="131">
        <f t="shared" si="139"/>
        <v>0</v>
      </c>
      <c r="AB193" s="131">
        <f t="shared" si="140"/>
        <v>0</v>
      </c>
      <c r="AC193" s="131">
        <f t="shared" si="141"/>
        <v>0</v>
      </c>
      <c r="AD193" s="131">
        <f t="shared" si="142"/>
        <v>0</v>
      </c>
      <c r="AE193" s="131">
        <f t="shared" si="143"/>
        <v>0</v>
      </c>
      <c r="AF193" s="131">
        <f t="shared" si="144"/>
        <v>0</v>
      </c>
      <c r="AG193" s="131">
        <f t="shared" si="145"/>
        <v>0</v>
      </c>
      <c r="AH193" s="131">
        <f t="shared" si="146"/>
        <v>0</v>
      </c>
      <c r="AI193" s="115" t="s">
        <v>837</v>
      </c>
      <c r="AJ193" s="131">
        <f t="shared" si="147"/>
        <v>0</v>
      </c>
      <c r="AK193" s="131">
        <f t="shared" si="148"/>
        <v>0</v>
      </c>
      <c r="AL193" s="131">
        <f t="shared" si="149"/>
        <v>0</v>
      </c>
      <c r="AN193" s="131">
        <v>21</v>
      </c>
      <c r="AO193" s="131">
        <f t="shared" si="150"/>
        <v>0</v>
      </c>
      <c r="AP193" s="131">
        <f t="shared" si="151"/>
        <v>0</v>
      </c>
      <c r="AQ193" s="132" t="s">
        <v>56</v>
      </c>
      <c r="AV193" s="131">
        <f t="shared" si="152"/>
        <v>0</v>
      </c>
      <c r="AW193" s="131">
        <f t="shared" si="153"/>
        <v>0</v>
      </c>
      <c r="AX193" s="131">
        <f t="shared" si="154"/>
        <v>0</v>
      </c>
      <c r="AY193" s="132" t="s">
        <v>105</v>
      </c>
      <c r="AZ193" s="132" t="s">
        <v>839</v>
      </c>
      <c r="BA193" s="115" t="s">
        <v>840</v>
      </c>
      <c r="BC193" s="131">
        <f t="shared" si="155"/>
        <v>0</v>
      </c>
      <c r="BD193" s="131">
        <f t="shared" si="156"/>
        <v>0</v>
      </c>
      <c r="BE193" s="131">
        <v>0</v>
      </c>
      <c r="BF193" s="131">
        <f>193</f>
        <v>193</v>
      </c>
      <c r="BH193" s="131">
        <f t="shared" si="157"/>
        <v>0</v>
      </c>
      <c r="BI193" s="131">
        <f t="shared" si="158"/>
        <v>0</v>
      </c>
      <c r="BJ193" s="131">
        <f t="shared" si="159"/>
        <v>0</v>
      </c>
      <c r="BK193" s="131"/>
      <c r="BL193" s="131">
        <v>16</v>
      </c>
      <c r="BW193" s="131">
        <v>21</v>
      </c>
      <c r="BX193" s="133" t="s">
        <v>785</v>
      </c>
    </row>
    <row r="194" spans="1:76" x14ac:dyDescent="0.25">
      <c r="A194" s="134" t="s">
        <v>864</v>
      </c>
      <c r="B194" s="135" t="s">
        <v>117</v>
      </c>
      <c r="C194" s="270" t="s">
        <v>118</v>
      </c>
      <c r="D194" s="271"/>
      <c r="E194" s="135" t="s">
        <v>79</v>
      </c>
      <c r="F194" s="131">
        <v>187.2</v>
      </c>
      <c r="G194" s="179">
        <v>0</v>
      </c>
      <c r="H194" s="131">
        <f t="shared" si="136"/>
        <v>0</v>
      </c>
      <c r="I194" s="131">
        <f t="shared" si="137"/>
        <v>0</v>
      </c>
      <c r="J194" s="131">
        <f t="shared" si="138"/>
        <v>0</v>
      </c>
      <c r="K194" s="136" t="s">
        <v>60</v>
      </c>
      <c r="Z194" s="131">
        <f t="shared" si="139"/>
        <v>0</v>
      </c>
      <c r="AB194" s="131">
        <f t="shared" si="140"/>
        <v>0</v>
      </c>
      <c r="AC194" s="131">
        <f t="shared" si="141"/>
        <v>0</v>
      </c>
      <c r="AD194" s="131">
        <f t="shared" si="142"/>
        <v>0</v>
      </c>
      <c r="AE194" s="131">
        <f t="shared" si="143"/>
        <v>0</v>
      </c>
      <c r="AF194" s="131">
        <f t="shared" si="144"/>
        <v>0</v>
      </c>
      <c r="AG194" s="131">
        <f t="shared" si="145"/>
        <v>0</v>
      </c>
      <c r="AH194" s="131">
        <f t="shared" si="146"/>
        <v>0</v>
      </c>
      <c r="AI194" s="115" t="s">
        <v>837</v>
      </c>
      <c r="AJ194" s="131">
        <f t="shared" si="147"/>
        <v>0</v>
      </c>
      <c r="AK194" s="131">
        <f t="shared" si="148"/>
        <v>0</v>
      </c>
      <c r="AL194" s="131">
        <f t="shared" si="149"/>
        <v>0</v>
      </c>
      <c r="AN194" s="131">
        <v>21</v>
      </c>
      <c r="AO194" s="131">
        <f t="shared" si="150"/>
        <v>0</v>
      </c>
      <c r="AP194" s="131">
        <f t="shared" si="151"/>
        <v>0</v>
      </c>
      <c r="AQ194" s="132" t="s">
        <v>56</v>
      </c>
      <c r="AV194" s="131">
        <f t="shared" si="152"/>
        <v>0</v>
      </c>
      <c r="AW194" s="131">
        <f t="shared" si="153"/>
        <v>0</v>
      </c>
      <c r="AX194" s="131">
        <f t="shared" si="154"/>
        <v>0</v>
      </c>
      <c r="AY194" s="132" t="s">
        <v>105</v>
      </c>
      <c r="AZ194" s="132" t="s">
        <v>839</v>
      </c>
      <c r="BA194" s="115" t="s">
        <v>840</v>
      </c>
      <c r="BC194" s="131">
        <f t="shared" si="155"/>
        <v>0</v>
      </c>
      <c r="BD194" s="131">
        <f t="shared" si="156"/>
        <v>0</v>
      </c>
      <c r="BE194" s="131">
        <v>0</v>
      </c>
      <c r="BF194" s="131">
        <f>194</f>
        <v>194</v>
      </c>
      <c r="BH194" s="131">
        <f t="shared" si="157"/>
        <v>0</v>
      </c>
      <c r="BI194" s="131">
        <f t="shared" si="158"/>
        <v>0</v>
      </c>
      <c r="BJ194" s="131">
        <f t="shared" si="159"/>
        <v>0</v>
      </c>
      <c r="BK194" s="131"/>
      <c r="BL194" s="131">
        <v>16</v>
      </c>
      <c r="BW194" s="131">
        <v>21</v>
      </c>
      <c r="BX194" s="133" t="s">
        <v>118</v>
      </c>
    </row>
    <row r="195" spans="1:76" x14ac:dyDescent="0.25">
      <c r="A195" s="134" t="s">
        <v>865</v>
      </c>
      <c r="B195" s="135" t="s">
        <v>120</v>
      </c>
      <c r="C195" s="270" t="s">
        <v>121</v>
      </c>
      <c r="D195" s="271"/>
      <c r="E195" s="135" t="s">
        <v>122</v>
      </c>
      <c r="F195" s="131">
        <v>33.700000000000003</v>
      </c>
      <c r="G195" s="179">
        <v>0</v>
      </c>
      <c r="H195" s="131">
        <f t="shared" si="136"/>
        <v>0</v>
      </c>
      <c r="I195" s="131">
        <f t="shared" si="137"/>
        <v>0</v>
      </c>
      <c r="J195" s="131">
        <f t="shared" si="138"/>
        <v>0</v>
      </c>
      <c r="K195" s="136" t="s">
        <v>60</v>
      </c>
      <c r="Z195" s="131">
        <f t="shared" si="139"/>
        <v>0</v>
      </c>
      <c r="AB195" s="131">
        <f t="shared" si="140"/>
        <v>0</v>
      </c>
      <c r="AC195" s="131">
        <f t="shared" si="141"/>
        <v>0</v>
      </c>
      <c r="AD195" s="131">
        <f t="shared" si="142"/>
        <v>0</v>
      </c>
      <c r="AE195" s="131">
        <f t="shared" si="143"/>
        <v>0</v>
      </c>
      <c r="AF195" s="131">
        <f t="shared" si="144"/>
        <v>0</v>
      </c>
      <c r="AG195" s="131">
        <f t="shared" si="145"/>
        <v>0</v>
      </c>
      <c r="AH195" s="131">
        <f t="shared" si="146"/>
        <v>0</v>
      </c>
      <c r="AI195" s="115" t="s">
        <v>837</v>
      </c>
      <c r="AJ195" s="131">
        <f t="shared" si="147"/>
        <v>0</v>
      </c>
      <c r="AK195" s="131">
        <f t="shared" si="148"/>
        <v>0</v>
      </c>
      <c r="AL195" s="131">
        <f t="shared" si="149"/>
        <v>0</v>
      </c>
      <c r="AN195" s="131">
        <v>21</v>
      </c>
      <c r="AO195" s="131">
        <f t="shared" si="150"/>
        <v>0</v>
      </c>
      <c r="AP195" s="131">
        <f t="shared" si="151"/>
        <v>0</v>
      </c>
      <c r="AQ195" s="132" t="s">
        <v>56</v>
      </c>
      <c r="AV195" s="131">
        <f t="shared" si="152"/>
        <v>0</v>
      </c>
      <c r="AW195" s="131">
        <f t="shared" si="153"/>
        <v>0</v>
      </c>
      <c r="AX195" s="131">
        <f t="shared" si="154"/>
        <v>0</v>
      </c>
      <c r="AY195" s="132" t="s">
        <v>105</v>
      </c>
      <c r="AZ195" s="132" t="s">
        <v>839</v>
      </c>
      <c r="BA195" s="115" t="s">
        <v>840</v>
      </c>
      <c r="BC195" s="131">
        <f t="shared" si="155"/>
        <v>0</v>
      </c>
      <c r="BD195" s="131">
        <f t="shared" si="156"/>
        <v>0</v>
      </c>
      <c r="BE195" s="131">
        <v>0</v>
      </c>
      <c r="BF195" s="131">
        <f>195</f>
        <v>195</v>
      </c>
      <c r="BH195" s="131">
        <f t="shared" si="157"/>
        <v>0</v>
      </c>
      <c r="BI195" s="131">
        <f t="shared" si="158"/>
        <v>0</v>
      </c>
      <c r="BJ195" s="131">
        <f t="shared" si="159"/>
        <v>0</v>
      </c>
      <c r="BK195" s="131"/>
      <c r="BL195" s="131">
        <v>16</v>
      </c>
      <c r="BW195" s="131">
        <v>21</v>
      </c>
      <c r="BX195" s="133" t="s">
        <v>121</v>
      </c>
    </row>
    <row r="196" spans="1:76" x14ac:dyDescent="0.25">
      <c r="A196" s="123" t="s">
        <v>53</v>
      </c>
      <c r="B196" s="124" t="s">
        <v>116</v>
      </c>
      <c r="C196" s="272" t="s">
        <v>123</v>
      </c>
      <c r="D196" s="273"/>
      <c r="E196" s="125" t="s">
        <v>9</v>
      </c>
      <c r="F196" s="125" t="s">
        <v>9</v>
      </c>
      <c r="G196" s="125" t="s">
        <v>9</v>
      </c>
      <c r="H196" s="110">
        <f>SUM(H197:H199)</f>
        <v>0</v>
      </c>
      <c r="I196" s="110">
        <f>SUM(I197:I199)</f>
        <v>0</v>
      </c>
      <c r="J196" s="110">
        <f>SUM(J197:J199)</f>
        <v>0</v>
      </c>
      <c r="K196" s="126" t="s">
        <v>53</v>
      </c>
      <c r="AI196" s="115" t="s">
        <v>837</v>
      </c>
      <c r="AS196" s="110">
        <f>SUM(AJ197:AJ199)</f>
        <v>0</v>
      </c>
      <c r="AT196" s="110">
        <f>SUM(AK197:AK199)</f>
        <v>0</v>
      </c>
      <c r="AU196" s="110">
        <f>SUM(AL197:AL199)</f>
        <v>0</v>
      </c>
    </row>
    <row r="197" spans="1:76" x14ac:dyDescent="0.25">
      <c r="A197" s="134" t="s">
        <v>866</v>
      </c>
      <c r="B197" s="135" t="s">
        <v>129</v>
      </c>
      <c r="C197" s="270" t="s">
        <v>130</v>
      </c>
      <c r="D197" s="271"/>
      <c r="E197" s="135" t="s">
        <v>79</v>
      </c>
      <c r="F197" s="131">
        <v>31.2</v>
      </c>
      <c r="G197" s="179">
        <v>0</v>
      </c>
      <c r="H197" s="131">
        <f>F197*AO197</f>
        <v>0</v>
      </c>
      <c r="I197" s="131">
        <f>F197*AP197</f>
        <v>0</v>
      </c>
      <c r="J197" s="131">
        <f>F197*G197</f>
        <v>0</v>
      </c>
      <c r="K197" s="136" t="s">
        <v>60</v>
      </c>
      <c r="Z197" s="131">
        <f>IF(AQ197="5",BJ197,0)</f>
        <v>0</v>
      </c>
      <c r="AB197" s="131">
        <f>IF(AQ197="1",BH197,0)</f>
        <v>0</v>
      </c>
      <c r="AC197" s="131">
        <f>IF(AQ197="1",BI197,0)</f>
        <v>0</v>
      </c>
      <c r="AD197" s="131">
        <f>IF(AQ197="7",BH197,0)</f>
        <v>0</v>
      </c>
      <c r="AE197" s="131">
        <f>IF(AQ197="7",BI197,0)</f>
        <v>0</v>
      </c>
      <c r="AF197" s="131">
        <f>IF(AQ197="2",BH197,0)</f>
        <v>0</v>
      </c>
      <c r="AG197" s="131">
        <f>IF(AQ197="2",BI197,0)</f>
        <v>0</v>
      </c>
      <c r="AH197" s="131">
        <f>IF(AQ197="0",BJ197,0)</f>
        <v>0</v>
      </c>
      <c r="AI197" s="115" t="s">
        <v>837</v>
      </c>
      <c r="AJ197" s="131">
        <f>IF(AN197=0,J197,0)</f>
        <v>0</v>
      </c>
      <c r="AK197" s="131">
        <f>IF(AN197=12,J197,0)</f>
        <v>0</v>
      </c>
      <c r="AL197" s="131">
        <f>IF(AN197=21,J197,0)</f>
        <v>0</v>
      </c>
      <c r="AN197" s="131">
        <v>21</v>
      </c>
      <c r="AO197" s="131">
        <f>G197*0</f>
        <v>0</v>
      </c>
      <c r="AP197" s="131">
        <f>G197*(1-0)</f>
        <v>0</v>
      </c>
      <c r="AQ197" s="132" t="s">
        <v>56</v>
      </c>
      <c r="AV197" s="131">
        <f>AW197+AX197</f>
        <v>0</v>
      </c>
      <c r="AW197" s="131">
        <f>F197*AO197</f>
        <v>0</v>
      </c>
      <c r="AX197" s="131">
        <f>F197*AP197</f>
        <v>0</v>
      </c>
      <c r="AY197" s="132" t="s">
        <v>127</v>
      </c>
      <c r="AZ197" s="132" t="s">
        <v>839</v>
      </c>
      <c r="BA197" s="115" t="s">
        <v>840</v>
      </c>
      <c r="BC197" s="131">
        <f>AW197+AX197</f>
        <v>0</v>
      </c>
      <c r="BD197" s="131">
        <f>G197/(100-BE197)*100</f>
        <v>0</v>
      </c>
      <c r="BE197" s="131">
        <v>0</v>
      </c>
      <c r="BF197" s="131">
        <f>197</f>
        <v>197</v>
      </c>
      <c r="BH197" s="131">
        <f>F197*AO197</f>
        <v>0</v>
      </c>
      <c r="BI197" s="131">
        <f>F197*AP197</f>
        <v>0</v>
      </c>
      <c r="BJ197" s="131">
        <f>F197*G197</f>
        <v>0</v>
      </c>
      <c r="BK197" s="131"/>
      <c r="BL197" s="131">
        <v>17</v>
      </c>
      <c r="BW197" s="131">
        <v>21</v>
      </c>
      <c r="BX197" s="133" t="s">
        <v>130</v>
      </c>
    </row>
    <row r="198" spans="1:76" x14ac:dyDescent="0.25">
      <c r="A198" s="134" t="s">
        <v>867</v>
      </c>
      <c r="B198" s="135" t="s">
        <v>786</v>
      </c>
      <c r="C198" s="270" t="s">
        <v>787</v>
      </c>
      <c r="D198" s="271"/>
      <c r="E198" s="135" t="s">
        <v>79</v>
      </c>
      <c r="F198" s="131">
        <v>29.9</v>
      </c>
      <c r="G198" s="179">
        <v>0</v>
      </c>
      <c r="H198" s="131">
        <f>F198*AO198</f>
        <v>0</v>
      </c>
      <c r="I198" s="131">
        <f>F198*AP198</f>
        <v>0</v>
      </c>
      <c r="J198" s="131">
        <f>F198*G198</f>
        <v>0</v>
      </c>
      <c r="K198" s="136" t="s">
        <v>60</v>
      </c>
      <c r="Z198" s="131">
        <f>IF(AQ198="5",BJ198,0)</f>
        <v>0</v>
      </c>
      <c r="AB198" s="131">
        <f>IF(AQ198="1",BH198,0)</f>
        <v>0</v>
      </c>
      <c r="AC198" s="131">
        <f>IF(AQ198="1",BI198,0)</f>
        <v>0</v>
      </c>
      <c r="AD198" s="131">
        <f>IF(AQ198="7",BH198,0)</f>
        <v>0</v>
      </c>
      <c r="AE198" s="131">
        <f>IF(AQ198="7",BI198,0)</f>
        <v>0</v>
      </c>
      <c r="AF198" s="131">
        <f>IF(AQ198="2",BH198,0)</f>
        <v>0</v>
      </c>
      <c r="AG198" s="131">
        <f>IF(AQ198="2",BI198,0)</f>
        <v>0</v>
      </c>
      <c r="AH198" s="131">
        <f>IF(AQ198="0",BJ198,0)</f>
        <v>0</v>
      </c>
      <c r="AI198" s="115" t="s">
        <v>837</v>
      </c>
      <c r="AJ198" s="131">
        <f>IF(AN198=0,J198,0)</f>
        <v>0</v>
      </c>
      <c r="AK198" s="131">
        <f>IF(AN198=12,J198,0)</f>
        <v>0</v>
      </c>
      <c r="AL198" s="131">
        <f>IF(AN198=21,J198,0)</f>
        <v>0</v>
      </c>
      <c r="AN198" s="131">
        <v>21</v>
      </c>
      <c r="AO198" s="131">
        <f>G198*0</f>
        <v>0</v>
      </c>
      <c r="AP198" s="131">
        <f>G198*(1-0)</f>
        <v>0</v>
      </c>
      <c r="AQ198" s="132" t="s">
        <v>56</v>
      </c>
      <c r="AV198" s="131">
        <f>AW198+AX198</f>
        <v>0</v>
      </c>
      <c r="AW198" s="131">
        <f>F198*AO198</f>
        <v>0</v>
      </c>
      <c r="AX198" s="131">
        <f>F198*AP198</f>
        <v>0</v>
      </c>
      <c r="AY198" s="132" t="s">
        <v>127</v>
      </c>
      <c r="AZ198" s="132" t="s">
        <v>839</v>
      </c>
      <c r="BA198" s="115" t="s">
        <v>840</v>
      </c>
      <c r="BC198" s="131">
        <f>AW198+AX198</f>
        <v>0</v>
      </c>
      <c r="BD198" s="131">
        <f>G198/(100-BE198)*100</f>
        <v>0</v>
      </c>
      <c r="BE198" s="131">
        <v>0</v>
      </c>
      <c r="BF198" s="131">
        <f>198</f>
        <v>198</v>
      </c>
      <c r="BH198" s="131">
        <f>F198*AO198</f>
        <v>0</v>
      </c>
      <c r="BI198" s="131">
        <f>F198*AP198</f>
        <v>0</v>
      </c>
      <c r="BJ198" s="131">
        <f>F198*G198</f>
        <v>0</v>
      </c>
      <c r="BK198" s="131"/>
      <c r="BL198" s="131">
        <v>17</v>
      </c>
      <c r="BW198" s="131">
        <v>21</v>
      </c>
      <c r="BX198" s="133" t="s">
        <v>787</v>
      </c>
    </row>
    <row r="199" spans="1:76" x14ac:dyDescent="0.25">
      <c r="A199" s="134" t="s">
        <v>868</v>
      </c>
      <c r="B199" s="135" t="s">
        <v>788</v>
      </c>
      <c r="C199" s="270" t="s">
        <v>789</v>
      </c>
      <c r="D199" s="271"/>
      <c r="E199" s="135" t="s">
        <v>79</v>
      </c>
      <c r="F199" s="131">
        <v>18.72</v>
      </c>
      <c r="G199" s="179">
        <v>0</v>
      </c>
      <c r="H199" s="131">
        <f>F199*AO199</f>
        <v>0</v>
      </c>
      <c r="I199" s="131">
        <f>F199*AP199</f>
        <v>0</v>
      </c>
      <c r="J199" s="131">
        <f>F199*G199</f>
        <v>0</v>
      </c>
      <c r="K199" s="136" t="s">
        <v>60</v>
      </c>
      <c r="Z199" s="131">
        <f>IF(AQ199="5",BJ199,0)</f>
        <v>0</v>
      </c>
      <c r="AB199" s="131">
        <f>IF(AQ199="1",BH199,0)</f>
        <v>0</v>
      </c>
      <c r="AC199" s="131">
        <f>IF(AQ199="1",BI199,0)</f>
        <v>0</v>
      </c>
      <c r="AD199" s="131">
        <f>IF(AQ199="7",BH199,0)</f>
        <v>0</v>
      </c>
      <c r="AE199" s="131">
        <f>IF(AQ199="7",BI199,0)</f>
        <v>0</v>
      </c>
      <c r="AF199" s="131">
        <f>IF(AQ199="2",BH199,0)</f>
        <v>0</v>
      </c>
      <c r="AG199" s="131">
        <f>IF(AQ199="2",BI199,0)</f>
        <v>0</v>
      </c>
      <c r="AH199" s="131">
        <f>IF(AQ199="0",BJ199,0)</f>
        <v>0</v>
      </c>
      <c r="AI199" s="115" t="s">
        <v>837</v>
      </c>
      <c r="AJ199" s="131">
        <f>IF(AN199=0,J199,0)</f>
        <v>0</v>
      </c>
      <c r="AK199" s="131">
        <f>IF(AN199=12,J199,0)</f>
        <v>0</v>
      </c>
      <c r="AL199" s="131">
        <f>IF(AN199=21,J199,0)</f>
        <v>0</v>
      </c>
      <c r="AN199" s="131">
        <v>21</v>
      </c>
      <c r="AO199" s="131">
        <f>G199*0</f>
        <v>0</v>
      </c>
      <c r="AP199" s="131">
        <f>G199*(1-0)</f>
        <v>0</v>
      </c>
      <c r="AQ199" s="132" t="s">
        <v>56</v>
      </c>
      <c r="AV199" s="131">
        <f>AW199+AX199</f>
        <v>0</v>
      </c>
      <c r="AW199" s="131">
        <f>F199*AO199</f>
        <v>0</v>
      </c>
      <c r="AX199" s="131">
        <f>F199*AP199</f>
        <v>0</v>
      </c>
      <c r="AY199" s="132" t="s">
        <v>127</v>
      </c>
      <c r="AZ199" s="132" t="s">
        <v>839</v>
      </c>
      <c r="BA199" s="115" t="s">
        <v>840</v>
      </c>
      <c r="BC199" s="131">
        <f>AW199+AX199</f>
        <v>0</v>
      </c>
      <c r="BD199" s="131">
        <f>G199/(100-BE199)*100</f>
        <v>0</v>
      </c>
      <c r="BE199" s="131">
        <v>0</v>
      </c>
      <c r="BF199" s="131">
        <f>199</f>
        <v>199</v>
      </c>
      <c r="BH199" s="131">
        <f>F199*AO199</f>
        <v>0</v>
      </c>
      <c r="BI199" s="131">
        <f>F199*AP199</f>
        <v>0</v>
      </c>
      <c r="BJ199" s="131">
        <f>F199*G199</f>
        <v>0</v>
      </c>
      <c r="BK199" s="131"/>
      <c r="BL199" s="131">
        <v>17</v>
      </c>
      <c r="BW199" s="131">
        <v>21</v>
      </c>
      <c r="BX199" s="133" t="s">
        <v>789</v>
      </c>
    </row>
    <row r="200" spans="1:76" x14ac:dyDescent="0.25">
      <c r="A200" s="123" t="s">
        <v>53</v>
      </c>
      <c r="B200" s="124" t="s">
        <v>167</v>
      </c>
      <c r="C200" s="272" t="s">
        <v>794</v>
      </c>
      <c r="D200" s="273"/>
      <c r="E200" s="125" t="s">
        <v>9</v>
      </c>
      <c r="F200" s="125" t="s">
        <v>9</v>
      </c>
      <c r="G200" s="125" t="s">
        <v>9</v>
      </c>
      <c r="H200" s="110">
        <f>SUM(H201:H201)</f>
        <v>0</v>
      </c>
      <c r="I200" s="110">
        <f>SUM(I201:I201)</f>
        <v>0</v>
      </c>
      <c r="J200" s="110">
        <f>SUM(J201:J201)</f>
        <v>0</v>
      </c>
      <c r="K200" s="126" t="s">
        <v>53</v>
      </c>
      <c r="AI200" s="115" t="s">
        <v>837</v>
      </c>
      <c r="AS200" s="110">
        <f>SUM(AJ201:AJ201)</f>
        <v>0</v>
      </c>
      <c r="AT200" s="110">
        <f>SUM(AK201:AK201)</f>
        <v>0</v>
      </c>
      <c r="AU200" s="110">
        <f>SUM(AL201:AL201)</f>
        <v>0</v>
      </c>
    </row>
    <row r="201" spans="1:76" x14ac:dyDescent="0.25">
      <c r="A201" s="134" t="s">
        <v>869</v>
      </c>
      <c r="B201" s="135" t="s">
        <v>795</v>
      </c>
      <c r="C201" s="270" t="s">
        <v>796</v>
      </c>
      <c r="D201" s="271"/>
      <c r="E201" s="135" t="s">
        <v>79</v>
      </c>
      <c r="F201" s="131">
        <v>9.1199999999999992</v>
      </c>
      <c r="G201" s="179">
        <v>0</v>
      </c>
      <c r="H201" s="131">
        <f>F201*AO201</f>
        <v>0</v>
      </c>
      <c r="I201" s="131">
        <f>F201*AP201</f>
        <v>0</v>
      </c>
      <c r="J201" s="131">
        <f>F201*G201</f>
        <v>0</v>
      </c>
      <c r="K201" s="136" t="s">
        <v>60</v>
      </c>
      <c r="Z201" s="131">
        <f>IF(AQ201="5",BJ201,0)</f>
        <v>0</v>
      </c>
      <c r="AB201" s="131">
        <f>IF(AQ201="1",BH201,0)</f>
        <v>0</v>
      </c>
      <c r="AC201" s="131">
        <f>IF(AQ201="1",BI201,0)</f>
        <v>0</v>
      </c>
      <c r="AD201" s="131">
        <f>IF(AQ201="7",BH201,0)</f>
        <v>0</v>
      </c>
      <c r="AE201" s="131">
        <f>IF(AQ201="7",BI201,0)</f>
        <v>0</v>
      </c>
      <c r="AF201" s="131">
        <f>IF(AQ201="2",BH201,0)</f>
        <v>0</v>
      </c>
      <c r="AG201" s="131">
        <f>IF(AQ201="2",BI201,0)</f>
        <v>0</v>
      </c>
      <c r="AH201" s="131">
        <f>IF(AQ201="0",BJ201,0)</f>
        <v>0</v>
      </c>
      <c r="AI201" s="115" t="s">
        <v>837</v>
      </c>
      <c r="AJ201" s="131">
        <f>IF(AN201=0,J201,0)</f>
        <v>0</v>
      </c>
      <c r="AK201" s="131">
        <f>IF(AN201=12,J201,0)</f>
        <v>0</v>
      </c>
      <c r="AL201" s="131">
        <f>IF(AN201=21,J201,0)</f>
        <v>0</v>
      </c>
      <c r="AN201" s="131">
        <v>21</v>
      </c>
      <c r="AO201" s="131">
        <f>G201*0.483679283</f>
        <v>0</v>
      </c>
      <c r="AP201" s="131">
        <f>G201*(1-0.483679283)</f>
        <v>0</v>
      </c>
      <c r="AQ201" s="132" t="s">
        <v>56</v>
      </c>
      <c r="AV201" s="131">
        <f>AW201+AX201</f>
        <v>0</v>
      </c>
      <c r="AW201" s="131">
        <f>F201*AO201</f>
        <v>0</v>
      </c>
      <c r="AX201" s="131">
        <f>F201*AP201</f>
        <v>0</v>
      </c>
      <c r="AY201" s="132" t="s">
        <v>172</v>
      </c>
      <c r="AZ201" s="132" t="s">
        <v>870</v>
      </c>
      <c r="BA201" s="115" t="s">
        <v>840</v>
      </c>
      <c r="BC201" s="131">
        <f>AW201+AX201</f>
        <v>0</v>
      </c>
      <c r="BD201" s="131">
        <f>G201/(100-BE201)*100</f>
        <v>0</v>
      </c>
      <c r="BE201" s="131">
        <v>0</v>
      </c>
      <c r="BF201" s="131">
        <f>201</f>
        <v>201</v>
      </c>
      <c r="BH201" s="131">
        <f>F201*AO201</f>
        <v>0</v>
      </c>
      <c r="BI201" s="131">
        <f>F201*AP201</f>
        <v>0</v>
      </c>
      <c r="BJ201" s="131">
        <f>F201*G201</f>
        <v>0</v>
      </c>
      <c r="BK201" s="131"/>
      <c r="BL201" s="131">
        <v>45</v>
      </c>
      <c r="BW201" s="131">
        <v>21</v>
      </c>
      <c r="BX201" s="133" t="s">
        <v>796</v>
      </c>
    </row>
    <row r="202" spans="1:76" x14ac:dyDescent="0.25">
      <c r="A202" s="123" t="s">
        <v>53</v>
      </c>
      <c r="B202" s="124" t="s">
        <v>220</v>
      </c>
      <c r="C202" s="272" t="s">
        <v>871</v>
      </c>
      <c r="D202" s="273"/>
      <c r="E202" s="125" t="s">
        <v>9</v>
      </c>
      <c r="F202" s="125" t="s">
        <v>9</v>
      </c>
      <c r="G202" s="125" t="s">
        <v>9</v>
      </c>
      <c r="H202" s="110">
        <f>SUM(H203:H203)</f>
        <v>0</v>
      </c>
      <c r="I202" s="110">
        <f>SUM(I203:I203)</f>
        <v>0</v>
      </c>
      <c r="J202" s="110">
        <f>SUM(J203:J203)</f>
        <v>0</v>
      </c>
      <c r="K202" s="126" t="s">
        <v>53</v>
      </c>
      <c r="AI202" s="115" t="s">
        <v>837</v>
      </c>
      <c r="AS202" s="110">
        <f>SUM(AJ203:AJ203)</f>
        <v>0</v>
      </c>
      <c r="AT202" s="110">
        <f>SUM(AK203:AK203)</f>
        <v>0</v>
      </c>
      <c r="AU202" s="110">
        <f>SUM(AL203:AL203)</f>
        <v>0</v>
      </c>
    </row>
    <row r="203" spans="1:76" ht="25.5" x14ac:dyDescent="0.25">
      <c r="A203" s="134" t="s">
        <v>872</v>
      </c>
      <c r="B203" s="135" t="s">
        <v>873</v>
      </c>
      <c r="C203" s="270" t="s">
        <v>874</v>
      </c>
      <c r="D203" s="271"/>
      <c r="E203" s="135" t="s">
        <v>59</v>
      </c>
      <c r="F203" s="131">
        <v>6</v>
      </c>
      <c r="G203" s="179">
        <v>0</v>
      </c>
      <c r="H203" s="131">
        <f>F203*AO203</f>
        <v>0</v>
      </c>
      <c r="I203" s="131">
        <f>F203*AP203</f>
        <v>0</v>
      </c>
      <c r="J203" s="131">
        <f>F203*G203</f>
        <v>0</v>
      </c>
      <c r="K203" s="136" t="s">
        <v>60</v>
      </c>
      <c r="Z203" s="131">
        <f>IF(AQ203="5",BJ203,0)</f>
        <v>0</v>
      </c>
      <c r="AB203" s="131">
        <f>IF(AQ203="1",BH203,0)</f>
        <v>0</v>
      </c>
      <c r="AC203" s="131">
        <f>IF(AQ203="1",BI203,0)</f>
        <v>0</v>
      </c>
      <c r="AD203" s="131">
        <f>IF(AQ203="7",BH203,0)</f>
        <v>0</v>
      </c>
      <c r="AE203" s="131">
        <f>IF(AQ203="7",BI203,0)</f>
        <v>0</v>
      </c>
      <c r="AF203" s="131">
        <f>IF(AQ203="2",BH203,0)</f>
        <v>0</v>
      </c>
      <c r="AG203" s="131">
        <f>IF(AQ203="2",BI203,0)</f>
        <v>0</v>
      </c>
      <c r="AH203" s="131">
        <f>IF(AQ203="0",BJ203,0)</f>
        <v>0</v>
      </c>
      <c r="AI203" s="115" t="s">
        <v>837</v>
      </c>
      <c r="AJ203" s="131">
        <f>IF(AN203=0,J203,0)</f>
        <v>0</v>
      </c>
      <c r="AK203" s="131">
        <f>IF(AN203=12,J203,0)</f>
        <v>0</v>
      </c>
      <c r="AL203" s="131">
        <f>IF(AN203=21,J203,0)</f>
        <v>0</v>
      </c>
      <c r="AN203" s="131">
        <v>21</v>
      </c>
      <c r="AO203" s="131">
        <f>G203*0.132133746</f>
        <v>0</v>
      </c>
      <c r="AP203" s="131">
        <f>G203*(1-0.132133746)</f>
        <v>0</v>
      </c>
      <c r="AQ203" s="132" t="s">
        <v>56</v>
      </c>
      <c r="AV203" s="131">
        <f>AW203+AX203</f>
        <v>0</v>
      </c>
      <c r="AW203" s="131">
        <f>F203*AO203</f>
        <v>0</v>
      </c>
      <c r="AX203" s="131">
        <f>F203*AP203</f>
        <v>0</v>
      </c>
      <c r="AY203" s="132" t="s">
        <v>875</v>
      </c>
      <c r="AZ203" s="132" t="s">
        <v>870</v>
      </c>
      <c r="BA203" s="115" t="s">
        <v>840</v>
      </c>
      <c r="BC203" s="131">
        <f>AW203+AX203</f>
        <v>0</v>
      </c>
      <c r="BD203" s="131">
        <f>G203/(100-BE203)*100</f>
        <v>0</v>
      </c>
      <c r="BE203" s="131">
        <v>0</v>
      </c>
      <c r="BF203" s="131">
        <f>203</f>
        <v>203</v>
      </c>
      <c r="BH203" s="131">
        <f>F203*AO203</f>
        <v>0</v>
      </c>
      <c r="BI203" s="131">
        <f>F203*AP203</f>
        <v>0</v>
      </c>
      <c r="BJ203" s="131">
        <f>F203*G203</f>
        <v>0</v>
      </c>
      <c r="BK203" s="131"/>
      <c r="BL203" s="131">
        <v>46</v>
      </c>
      <c r="BW203" s="131">
        <v>21</v>
      </c>
      <c r="BX203" s="133" t="s">
        <v>874</v>
      </c>
    </row>
    <row r="204" spans="1:76" x14ac:dyDescent="0.25">
      <c r="A204" s="123" t="s">
        <v>53</v>
      </c>
      <c r="B204" s="124" t="s">
        <v>373</v>
      </c>
      <c r="C204" s="272" t="s">
        <v>798</v>
      </c>
      <c r="D204" s="273"/>
      <c r="E204" s="125" t="s">
        <v>9</v>
      </c>
      <c r="F204" s="125" t="s">
        <v>9</v>
      </c>
      <c r="G204" s="125" t="s">
        <v>9</v>
      </c>
      <c r="H204" s="110">
        <f>SUM(H205:H206)</f>
        <v>0</v>
      </c>
      <c r="I204" s="110">
        <f>SUM(I205:I206)</f>
        <v>0</v>
      </c>
      <c r="J204" s="110">
        <f>SUM(J205:J206)</f>
        <v>0</v>
      </c>
      <c r="K204" s="126" t="s">
        <v>53</v>
      </c>
      <c r="AI204" s="115" t="s">
        <v>837</v>
      </c>
      <c r="AS204" s="110">
        <f>SUM(AJ205:AJ206)</f>
        <v>0</v>
      </c>
      <c r="AT204" s="110">
        <f>SUM(AK205:AK206)</f>
        <v>0</v>
      </c>
      <c r="AU204" s="110">
        <f>SUM(AL205:AL206)</f>
        <v>0</v>
      </c>
    </row>
    <row r="205" spans="1:76" x14ac:dyDescent="0.25">
      <c r="A205" s="134" t="s">
        <v>876</v>
      </c>
      <c r="B205" s="135" t="s">
        <v>877</v>
      </c>
      <c r="C205" s="270" t="s">
        <v>878</v>
      </c>
      <c r="D205" s="271"/>
      <c r="E205" s="135" t="s">
        <v>67</v>
      </c>
      <c r="F205" s="131">
        <v>48</v>
      </c>
      <c r="G205" s="179">
        <v>0</v>
      </c>
      <c r="H205" s="131">
        <f>F205*AO205</f>
        <v>0</v>
      </c>
      <c r="I205" s="131">
        <f>F205*AP205</f>
        <v>0</v>
      </c>
      <c r="J205" s="131">
        <f>F205*G205</f>
        <v>0</v>
      </c>
      <c r="K205" s="136" t="s">
        <v>60</v>
      </c>
      <c r="Z205" s="131">
        <f>IF(AQ205="5",BJ205,0)</f>
        <v>0</v>
      </c>
      <c r="AB205" s="131">
        <f>IF(AQ205="1",BH205,0)</f>
        <v>0</v>
      </c>
      <c r="AC205" s="131">
        <f>IF(AQ205="1",BI205,0)</f>
        <v>0</v>
      </c>
      <c r="AD205" s="131">
        <f>IF(AQ205="7",BH205,0)</f>
        <v>0</v>
      </c>
      <c r="AE205" s="131">
        <f>IF(AQ205="7",BI205,0)</f>
        <v>0</v>
      </c>
      <c r="AF205" s="131">
        <f>IF(AQ205="2",BH205,0)</f>
        <v>0</v>
      </c>
      <c r="AG205" s="131">
        <f>IF(AQ205="2",BI205,0)</f>
        <v>0</v>
      </c>
      <c r="AH205" s="131">
        <f>IF(AQ205="0",BJ205,0)</f>
        <v>0</v>
      </c>
      <c r="AI205" s="115" t="s">
        <v>837</v>
      </c>
      <c r="AJ205" s="131">
        <f>IF(AN205=0,J205,0)</f>
        <v>0</v>
      </c>
      <c r="AK205" s="131">
        <f>IF(AN205=12,J205,0)</f>
        <v>0</v>
      </c>
      <c r="AL205" s="131">
        <f>IF(AN205=21,J205,0)</f>
        <v>0</v>
      </c>
      <c r="AN205" s="131">
        <v>21</v>
      </c>
      <c r="AO205" s="131">
        <f>G205*0.006300813</f>
        <v>0</v>
      </c>
      <c r="AP205" s="131">
        <f>G205*(1-0.006300813)</f>
        <v>0</v>
      </c>
      <c r="AQ205" s="132" t="s">
        <v>56</v>
      </c>
      <c r="AV205" s="131">
        <f>AW205+AX205</f>
        <v>0</v>
      </c>
      <c r="AW205" s="131">
        <f>F205*AO205</f>
        <v>0</v>
      </c>
      <c r="AX205" s="131">
        <f>F205*AP205</f>
        <v>0</v>
      </c>
      <c r="AY205" s="132" t="s">
        <v>801</v>
      </c>
      <c r="AZ205" s="132" t="s">
        <v>879</v>
      </c>
      <c r="BA205" s="115" t="s">
        <v>840</v>
      </c>
      <c r="BC205" s="131">
        <f>AW205+AX205</f>
        <v>0</v>
      </c>
      <c r="BD205" s="131">
        <f>G205/(100-BE205)*100</f>
        <v>0</v>
      </c>
      <c r="BE205" s="131">
        <v>0</v>
      </c>
      <c r="BF205" s="131">
        <f>205</f>
        <v>205</v>
      </c>
      <c r="BH205" s="131">
        <f>F205*AO205</f>
        <v>0</v>
      </c>
      <c r="BI205" s="131">
        <f>F205*AP205</f>
        <v>0</v>
      </c>
      <c r="BJ205" s="131">
        <f>F205*G205</f>
        <v>0</v>
      </c>
      <c r="BK205" s="131"/>
      <c r="BL205" s="131">
        <v>87</v>
      </c>
      <c r="BW205" s="131">
        <v>21</v>
      </c>
      <c r="BX205" s="133" t="s">
        <v>878</v>
      </c>
    </row>
    <row r="206" spans="1:76" x14ac:dyDescent="0.25">
      <c r="A206" s="134" t="s">
        <v>880</v>
      </c>
      <c r="B206" s="135" t="s">
        <v>881</v>
      </c>
      <c r="C206" s="270" t="s">
        <v>882</v>
      </c>
      <c r="D206" s="271"/>
      <c r="E206" s="135" t="s">
        <v>164</v>
      </c>
      <c r="F206" s="131">
        <v>2</v>
      </c>
      <c r="G206" s="179">
        <v>0</v>
      </c>
      <c r="H206" s="131">
        <f>F206*AO206</f>
        <v>0</v>
      </c>
      <c r="I206" s="131">
        <f>F206*AP206</f>
        <v>0</v>
      </c>
      <c r="J206" s="131">
        <f>F206*G206</f>
        <v>0</v>
      </c>
      <c r="K206" s="136" t="s">
        <v>60</v>
      </c>
      <c r="Z206" s="131">
        <f>IF(AQ206="5",BJ206,0)</f>
        <v>0</v>
      </c>
      <c r="AB206" s="131">
        <f>IF(AQ206="1",BH206,0)</f>
        <v>0</v>
      </c>
      <c r="AC206" s="131">
        <f>IF(AQ206="1",BI206,0)</f>
        <v>0</v>
      </c>
      <c r="AD206" s="131">
        <f>IF(AQ206="7",BH206,0)</f>
        <v>0</v>
      </c>
      <c r="AE206" s="131">
        <f>IF(AQ206="7",BI206,0)</f>
        <v>0</v>
      </c>
      <c r="AF206" s="131">
        <f>IF(AQ206="2",BH206,0)</f>
        <v>0</v>
      </c>
      <c r="AG206" s="131">
        <f>IF(AQ206="2",BI206,0)</f>
        <v>0</v>
      </c>
      <c r="AH206" s="131">
        <f>IF(AQ206="0",BJ206,0)</f>
        <v>0</v>
      </c>
      <c r="AI206" s="115" t="s">
        <v>837</v>
      </c>
      <c r="AJ206" s="131">
        <f>IF(AN206=0,J206,0)</f>
        <v>0</v>
      </c>
      <c r="AK206" s="131">
        <f>IF(AN206=12,J206,0)</f>
        <v>0</v>
      </c>
      <c r="AL206" s="131">
        <f>IF(AN206=21,J206,0)</f>
        <v>0</v>
      </c>
      <c r="AN206" s="131">
        <v>21</v>
      </c>
      <c r="AO206" s="131">
        <f>G206*0.013146853</f>
        <v>0</v>
      </c>
      <c r="AP206" s="131">
        <f>G206*(1-0.013146853)</f>
        <v>0</v>
      </c>
      <c r="AQ206" s="132" t="s">
        <v>56</v>
      </c>
      <c r="AV206" s="131">
        <f>AW206+AX206</f>
        <v>0</v>
      </c>
      <c r="AW206" s="131">
        <f>F206*AO206</f>
        <v>0</v>
      </c>
      <c r="AX206" s="131">
        <f>F206*AP206</f>
        <v>0</v>
      </c>
      <c r="AY206" s="132" t="s">
        <v>801</v>
      </c>
      <c r="AZ206" s="132" t="s">
        <v>879</v>
      </c>
      <c r="BA206" s="115" t="s">
        <v>840</v>
      </c>
      <c r="BC206" s="131">
        <f>AW206+AX206</f>
        <v>0</v>
      </c>
      <c r="BD206" s="131">
        <f>G206/(100-BE206)*100</f>
        <v>0</v>
      </c>
      <c r="BE206" s="131">
        <v>0</v>
      </c>
      <c r="BF206" s="131">
        <f>206</f>
        <v>206</v>
      </c>
      <c r="BH206" s="131">
        <f>F206*AO206</f>
        <v>0</v>
      </c>
      <c r="BI206" s="131">
        <f>F206*AP206</f>
        <v>0</v>
      </c>
      <c r="BJ206" s="131">
        <f>F206*G206</f>
        <v>0</v>
      </c>
      <c r="BK206" s="131"/>
      <c r="BL206" s="131">
        <v>87</v>
      </c>
      <c r="BW206" s="131">
        <v>21</v>
      </c>
      <c r="BX206" s="133" t="s">
        <v>882</v>
      </c>
    </row>
    <row r="207" spans="1:76" x14ac:dyDescent="0.25">
      <c r="A207" s="123" t="s">
        <v>53</v>
      </c>
      <c r="B207" s="124" t="s">
        <v>255</v>
      </c>
      <c r="C207" s="272" t="s">
        <v>715</v>
      </c>
      <c r="D207" s="273"/>
      <c r="E207" s="125" t="s">
        <v>9</v>
      </c>
      <c r="F207" s="125" t="s">
        <v>9</v>
      </c>
      <c r="G207" s="125" t="s">
        <v>9</v>
      </c>
      <c r="H207" s="110">
        <f>SUM(H208:H212)</f>
        <v>0</v>
      </c>
      <c r="I207" s="110">
        <f>SUM(I208:I212)</f>
        <v>0</v>
      </c>
      <c r="J207" s="110">
        <f>SUM(J208:J212)</f>
        <v>0</v>
      </c>
      <c r="K207" s="126" t="s">
        <v>53</v>
      </c>
      <c r="AI207" s="115" t="s">
        <v>837</v>
      </c>
      <c r="AS207" s="110">
        <f>SUM(AJ208:AJ212)</f>
        <v>0</v>
      </c>
      <c r="AT207" s="110">
        <f>SUM(AK208:AK212)</f>
        <v>0</v>
      </c>
      <c r="AU207" s="110">
        <f>SUM(AL208:AL212)</f>
        <v>0</v>
      </c>
    </row>
    <row r="208" spans="1:76" x14ac:dyDescent="0.25">
      <c r="A208" s="134" t="s">
        <v>883</v>
      </c>
      <c r="B208" s="135" t="s">
        <v>721</v>
      </c>
      <c r="C208" s="270" t="s">
        <v>722</v>
      </c>
      <c r="D208" s="271"/>
      <c r="E208" s="135" t="s">
        <v>164</v>
      </c>
      <c r="F208" s="131">
        <v>2</v>
      </c>
      <c r="G208" s="179">
        <v>0</v>
      </c>
      <c r="H208" s="131">
        <f>F208*AO208</f>
        <v>0</v>
      </c>
      <c r="I208" s="131">
        <f>F208*AP208</f>
        <v>0</v>
      </c>
      <c r="J208" s="131">
        <f>F208*G208</f>
        <v>0</v>
      </c>
      <c r="K208" s="136" t="s">
        <v>60</v>
      </c>
      <c r="Z208" s="131">
        <f>IF(AQ208="5",BJ208,0)</f>
        <v>0</v>
      </c>
      <c r="AB208" s="131">
        <f>IF(AQ208="1",BH208,0)</f>
        <v>0</v>
      </c>
      <c r="AC208" s="131">
        <f>IF(AQ208="1",BI208,0)</f>
        <v>0</v>
      </c>
      <c r="AD208" s="131">
        <f>IF(AQ208="7",BH208,0)</f>
        <v>0</v>
      </c>
      <c r="AE208" s="131">
        <f>IF(AQ208="7",BI208,0)</f>
        <v>0</v>
      </c>
      <c r="AF208" s="131">
        <f>IF(AQ208="2",BH208,0)</f>
        <v>0</v>
      </c>
      <c r="AG208" s="131">
        <f>IF(AQ208="2",BI208,0)</f>
        <v>0</v>
      </c>
      <c r="AH208" s="131">
        <f>IF(AQ208="0",BJ208,0)</f>
        <v>0</v>
      </c>
      <c r="AI208" s="115" t="s">
        <v>837</v>
      </c>
      <c r="AJ208" s="131">
        <f>IF(AN208=0,J208,0)</f>
        <v>0</v>
      </c>
      <c r="AK208" s="131">
        <f>IF(AN208=12,J208,0)</f>
        <v>0</v>
      </c>
      <c r="AL208" s="131">
        <f>IF(AN208=21,J208,0)</f>
        <v>0</v>
      </c>
      <c r="AN208" s="131">
        <v>21</v>
      </c>
      <c r="AO208" s="131">
        <f>G208*0</f>
        <v>0</v>
      </c>
      <c r="AP208" s="131">
        <f>G208*(1-0)</f>
        <v>0</v>
      </c>
      <c r="AQ208" s="132" t="s">
        <v>56</v>
      </c>
      <c r="AV208" s="131">
        <f>AW208+AX208</f>
        <v>0</v>
      </c>
      <c r="AW208" s="131">
        <f>F208*AO208</f>
        <v>0</v>
      </c>
      <c r="AX208" s="131">
        <f>F208*AP208</f>
        <v>0</v>
      </c>
      <c r="AY208" s="132" t="s">
        <v>260</v>
      </c>
      <c r="AZ208" s="132" t="s">
        <v>879</v>
      </c>
      <c r="BA208" s="115" t="s">
        <v>840</v>
      </c>
      <c r="BC208" s="131">
        <f>AW208+AX208</f>
        <v>0</v>
      </c>
      <c r="BD208" s="131">
        <f>G208/(100-BE208)*100</f>
        <v>0</v>
      </c>
      <c r="BE208" s="131">
        <v>0</v>
      </c>
      <c r="BF208" s="131">
        <f>208</f>
        <v>208</v>
      </c>
      <c r="BH208" s="131">
        <f>F208*AO208</f>
        <v>0</v>
      </c>
      <c r="BI208" s="131">
        <f>F208*AP208</f>
        <v>0</v>
      </c>
      <c r="BJ208" s="131">
        <f>F208*G208</f>
        <v>0</v>
      </c>
      <c r="BK208" s="131"/>
      <c r="BL208" s="131">
        <v>89</v>
      </c>
      <c r="BW208" s="131">
        <v>21</v>
      </c>
      <c r="BX208" s="133" t="s">
        <v>722</v>
      </c>
    </row>
    <row r="209" spans="1:76" x14ac:dyDescent="0.25">
      <c r="A209" s="134" t="s">
        <v>884</v>
      </c>
      <c r="B209" s="135" t="s">
        <v>806</v>
      </c>
      <c r="C209" s="270" t="s">
        <v>807</v>
      </c>
      <c r="D209" s="271"/>
      <c r="E209" s="135" t="s">
        <v>164</v>
      </c>
      <c r="F209" s="131">
        <v>2</v>
      </c>
      <c r="G209" s="179">
        <v>0</v>
      </c>
      <c r="H209" s="131">
        <f>F209*AO209</f>
        <v>0</v>
      </c>
      <c r="I209" s="131">
        <f>F209*AP209</f>
        <v>0</v>
      </c>
      <c r="J209" s="131">
        <f>F209*G209</f>
        <v>0</v>
      </c>
      <c r="K209" s="136" t="s">
        <v>60</v>
      </c>
      <c r="Z209" s="131">
        <f>IF(AQ209="5",BJ209,0)</f>
        <v>0</v>
      </c>
      <c r="AB209" s="131">
        <f>IF(AQ209="1",BH209,0)</f>
        <v>0</v>
      </c>
      <c r="AC209" s="131">
        <f>IF(AQ209="1",BI209,0)</f>
        <v>0</v>
      </c>
      <c r="AD209" s="131">
        <f>IF(AQ209="7",BH209,0)</f>
        <v>0</v>
      </c>
      <c r="AE209" s="131">
        <f>IF(AQ209="7",BI209,0)</f>
        <v>0</v>
      </c>
      <c r="AF209" s="131">
        <f>IF(AQ209="2",BH209,0)</f>
        <v>0</v>
      </c>
      <c r="AG209" s="131">
        <f>IF(AQ209="2",BI209,0)</f>
        <v>0</v>
      </c>
      <c r="AH209" s="131">
        <f>IF(AQ209="0",BJ209,0)</f>
        <v>0</v>
      </c>
      <c r="AI209" s="115" t="s">
        <v>837</v>
      </c>
      <c r="AJ209" s="131">
        <f>IF(AN209=0,J209,0)</f>
        <v>0</v>
      </c>
      <c r="AK209" s="131">
        <f>IF(AN209=12,J209,0)</f>
        <v>0</v>
      </c>
      <c r="AL209" s="131">
        <f>IF(AN209=21,J209,0)</f>
        <v>0</v>
      </c>
      <c r="AN209" s="131">
        <v>21</v>
      </c>
      <c r="AO209" s="131">
        <f>G209*0</f>
        <v>0</v>
      </c>
      <c r="AP209" s="131">
        <f>G209*(1-0)</f>
        <v>0</v>
      </c>
      <c r="AQ209" s="132" t="s">
        <v>56</v>
      </c>
      <c r="AV209" s="131">
        <f>AW209+AX209</f>
        <v>0</v>
      </c>
      <c r="AW209" s="131">
        <f>F209*AO209</f>
        <v>0</v>
      </c>
      <c r="AX209" s="131">
        <f>F209*AP209</f>
        <v>0</v>
      </c>
      <c r="AY209" s="132" t="s">
        <v>260</v>
      </c>
      <c r="AZ209" s="132" t="s">
        <v>879</v>
      </c>
      <c r="BA209" s="115" t="s">
        <v>840</v>
      </c>
      <c r="BC209" s="131">
        <f>AW209+AX209</f>
        <v>0</v>
      </c>
      <c r="BD209" s="131">
        <f>G209/(100-BE209)*100</f>
        <v>0</v>
      </c>
      <c r="BE209" s="131">
        <v>0</v>
      </c>
      <c r="BF209" s="131">
        <f>209</f>
        <v>209</v>
      </c>
      <c r="BH209" s="131">
        <f>F209*AO209</f>
        <v>0</v>
      </c>
      <c r="BI209" s="131">
        <f>F209*AP209</f>
        <v>0</v>
      </c>
      <c r="BJ209" s="131">
        <f>F209*G209</f>
        <v>0</v>
      </c>
      <c r="BK209" s="131"/>
      <c r="BL209" s="131">
        <v>89</v>
      </c>
      <c r="BW209" s="131">
        <v>21</v>
      </c>
      <c r="BX209" s="133" t="s">
        <v>807</v>
      </c>
    </row>
    <row r="210" spans="1:76" x14ac:dyDescent="0.25">
      <c r="A210" s="134" t="s">
        <v>885</v>
      </c>
      <c r="B210" s="135" t="s">
        <v>725</v>
      </c>
      <c r="C210" s="270" t="s">
        <v>726</v>
      </c>
      <c r="D210" s="271"/>
      <c r="E210" s="135" t="s">
        <v>164</v>
      </c>
      <c r="F210" s="131">
        <v>2</v>
      </c>
      <c r="G210" s="179">
        <v>0</v>
      </c>
      <c r="H210" s="131">
        <f>F210*AO210</f>
        <v>0</v>
      </c>
      <c r="I210" s="131">
        <f>F210*AP210</f>
        <v>0</v>
      </c>
      <c r="J210" s="131">
        <f>F210*G210</f>
        <v>0</v>
      </c>
      <c r="K210" s="136" t="s">
        <v>60</v>
      </c>
      <c r="Z210" s="131">
        <f>IF(AQ210="5",BJ210,0)</f>
        <v>0</v>
      </c>
      <c r="AB210" s="131">
        <f>IF(AQ210="1",BH210,0)</f>
        <v>0</v>
      </c>
      <c r="AC210" s="131">
        <f>IF(AQ210="1",BI210,0)</f>
        <v>0</v>
      </c>
      <c r="AD210" s="131">
        <f>IF(AQ210="7",BH210,0)</f>
        <v>0</v>
      </c>
      <c r="AE210" s="131">
        <f>IF(AQ210="7",BI210,0)</f>
        <v>0</v>
      </c>
      <c r="AF210" s="131">
        <f>IF(AQ210="2",BH210,0)</f>
        <v>0</v>
      </c>
      <c r="AG210" s="131">
        <f>IF(AQ210="2",BI210,0)</f>
        <v>0</v>
      </c>
      <c r="AH210" s="131">
        <f>IF(AQ210="0",BJ210,0)</f>
        <v>0</v>
      </c>
      <c r="AI210" s="115" t="s">
        <v>837</v>
      </c>
      <c r="AJ210" s="131">
        <f>IF(AN210=0,J210,0)</f>
        <v>0</v>
      </c>
      <c r="AK210" s="131">
        <f>IF(AN210=12,J210,0)</f>
        <v>0</v>
      </c>
      <c r="AL210" s="131">
        <f>IF(AN210=21,J210,0)</f>
        <v>0</v>
      </c>
      <c r="AN210" s="131">
        <v>21</v>
      </c>
      <c r="AO210" s="131">
        <f>G210*0.00977221</f>
        <v>0</v>
      </c>
      <c r="AP210" s="131">
        <f>G210*(1-0.00977221)</f>
        <v>0</v>
      </c>
      <c r="AQ210" s="132" t="s">
        <v>56</v>
      </c>
      <c r="AV210" s="131">
        <f>AW210+AX210</f>
        <v>0</v>
      </c>
      <c r="AW210" s="131">
        <f>F210*AO210</f>
        <v>0</v>
      </c>
      <c r="AX210" s="131">
        <f>F210*AP210</f>
        <v>0</v>
      </c>
      <c r="AY210" s="132" t="s">
        <v>260</v>
      </c>
      <c r="AZ210" s="132" t="s">
        <v>879</v>
      </c>
      <c r="BA210" s="115" t="s">
        <v>840</v>
      </c>
      <c r="BC210" s="131">
        <f>AW210+AX210</f>
        <v>0</v>
      </c>
      <c r="BD210" s="131">
        <f>G210/(100-BE210)*100</f>
        <v>0</v>
      </c>
      <c r="BE210" s="131">
        <v>0</v>
      </c>
      <c r="BF210" s="131">
        <f>210</f>
        <v>210</v>
      </c>
      <c r="BH210" s="131">
        <f>F210*AO210</f>
        <v>0</v>
      </c>
      <c r="BI210" s="131">
        <f>F210*AP210</f>
        <v>0</v>
      </c>
      <c r="BJ210" s="131">
        <f>F210*G210</f>
        <v>0</v>
      </c>
      <c r="BK210" s="131"/>
      <c r="BL210" s="131">
        <v>89</v>
      </c>
      <c r="BW210" s="131">
        <v>21</v>
      </c>
      <c r="BX210" s="133" t="s">
        <v>726</v>
      </c>
    </row>
    <row r="211" spans="1:76" x14ac:dyDescent="0.25">
      <c r="A211" s="134" t="s">
        <v>886</v>
      </c>
      <c r="B211" s="135" t="s">
        <v>723</v>
      </c>
      <c r="C211" s="270" t="s">
        <v>724</v>
      </c>
      <c r="D211" s="271"/>
      <c r="E211" s="135" t="s">
        <v>164</v>
      </c>
      <c r="F211" s="131">
        <v>2</v>
      </c>
      <c r="G211" s="179">
        <v>0</v>
      </c>
      <c r="H211" s="131">
        <f>F211*AO211</f>
        <v>0</v>
      </c>
      <c r="I211" s="131">
        <f>F211*AP211</f>
        <v>0</v>
      </c>
      <c r="J211" s="131">
        <f>F211*G211</f>
        <v>0</v>
      </c>
      <c r="K211" s="136" t="s">
        <v>60</v>
      </c>
      <c r="Z211" s="131">
        <f>IF(AQ211="5",BJ211,0)</f>
        <v>0</v>
      </c>
      <c r="AB211" s="131">
        <f>IF(AQ211="1",BH211,0)</f>
        <v>0</v>
      </c>
      <c r="AC211" s="131">
        <f>IF(AQ211="1",BI211,0)</f>
        <v>0</v>
      </c>
      <c r="AD211" s="131">
        <f>IF(AQ211="7",BH211,0)</f>
        <v>0</v>
      </c>
      <c r="AE211" s="131">
        <f>IF(AQ211="7",BI211,0)</f>
        <v>0</v>
      </c>
      <c r="AF211" s="131">
        <f>IF(AQ211="2",BH211,0)</f>
        <v>0</v>
      </c>
      <c r="AG211" s="131">
        <f>IF(AQ211="2",BI211,0)</f>
        <v>0</v>
      </c>
      <c r="AH211" s="131">
        <f>IF(AQ211="0",BJ211,0)</f>
        <v>0</v>
      </c>
      <c r="AI211" s="115" t="s">
        <v>837</v>
      </c>
      <c r="AJ211" s="131">
        <f>IF(AN211=0,J211,0)</f>
        <v>0</v>
      </c>
      <c r="AK211" s="131">
        <f>IF(AN211=12,J211,0)</f>
        <v>0</v>
      </c>
      <c r="AL211" s="131">
        <f>IF(AN211=21,J211,0)</f>
        <v>0</v>
      </c>
      <c r="AN211" s="131">
        <v>21</v>
      </c>
      <c r="AO211" s="131">
        <f>G211*0</f>
        <v>0</v>
      </c>
      <c r="AP211" s="131">
        <f>G211*(1-0)</f>
        <v>0</v>
      </c>
      <c r="AQ211" s="132" t="s">
        <v>56</v>
      </c>
      <c r="AV211" s="131">
        <f>AW211+AX211</f>
        <v>0</v>
      </c>
      <c r="AW211" s="131">
        <f>F211*AO211</f>
        <v>0</v>
      </c>
      <c r="AX211" s="131">
        <f>F211*AP211</f>
        <v>0</v>
      </c>
      <c r="AY211" s="132" t="s">
        <v>260</v>
      </c>
      <c r="AZ211" s="132" t="s">
        <v>879</v>
      </c>
      <c r="BA211" s="115" t="s">
        <v>840</v>
      </c>
      <c r="BC211" s="131">
        <f>AW211+AX211</f>
        <v>0</v>
      </c>
      <c r="BD211" s="131">
        <f>G211/(100-BE211)*100</f>
        <v>0</v>
      </c>
      <c r="BE211" s="131">
        <v>0</v>
      </c>
      <c r="BF211" s="131">
        <f>211</f>
        <v>211</v>
      </c>
      <c r="BH211" s="131">
        <f>F211*AO211</f>
        <v>0</v>
      </c>
      <c r="BI211" s="131">
        <f>F211*AP211</f>
        <v>0</v>
      </c>
      <c r="BJ211" s="131">
        <f>F211*G211</f>
        <v>0</v>
      </c>
      <c r="BK211" s="131"/>
      <c r="BL211" s="131">
        <v>89</v>
      </c>
      <c r="BW211" s="131">
        <v>21</v>
      </c>
      <c r="BX211" s="133" t="s">
        <v>724</v>
      </c>
    </row>
    <row r="212" spans="1:76" ht="25.5" x14ac:dyDescent="0.25">
      <c r="A212" s="134" t="s">
        <v>887</v>
      </c>
      <c r="B212" s="135" t="s">
        <v>808</v>
      </c>
      <c r="C212" s="270" t="s">
        <v>888</v>
      </c>
      <c r="D212" s="271"/>
      <c r="E212" s="135" t="s">
        <v>79</v>
      </c>
      <c r="F212" s="131">
        <v>1</v>
      </c>
      <c r="G212" s="179">
        <v>0</v>
      </c>
      <c r="H212" s="131">
        <f>F212*AO212</f>
        <v>0</v>
      </c>
      <c r="I212" s="131">
        <f>F212*AP212</f>
        <v>0</v>
      </c>
      <c r="J212" s="131">
        <f>F212*G212</f>
        <v>0</v>
      </c>
      <c r="K212" s="136" t="s">
        <v>60</v>
      </c>
      <c r="Z212" s="131">
        <f>IF(AQ212="5",BJ212,0)</f>
        <v>0</v>
      </c>
      <c r="AB212" s="131">
        <f>IF(AQ212="1",BH212,0)</f>
        <v>0</v>
      </c>
      <c r="AC212" s="131">
        <f>IF(AQ212="1",BI212,0)</f>
        <v>0</v>
      </c>
      <c r="AD212" s="131">
        <f>IF(AQ212="7",BH212,0)</f>
        <v>0</v>
      </c>
      <c r="AE212" s="131">
        <f>IF(AQ212="7",BI212,0)</f>
        <v>0</v>
      </c>
      <c r="AF212" s="131">
        <f>IF(AQ212="2",BH212,0)</f>
        <v>0</v>
      </c>
      <c r="AG212" s="131">
        <f>IF(AQ212="2",BI212,0)</f>
        <v>0</v>
      </c>
      <c r="AH212" s="131">
        <f>IF(AQ212="0",BJ212,0)</f>
        <v>0</v>
      </c>
      <c r="AI212" s="115" t="s">
        <v>837</v>
      </c>
      <c r="AJ212" s="131">
        <f>IF(AN212=0,J212,0)</f>
        <v>0</v>
      </c>
      <c r="AK212" s="131">
        <f>IF(AN212=12,J212,0)</f>
        <v>0</v>
      </c>
      <c r="AL212" s="131">
        <f>IF(AN212=21,J212,0)</f>
        <v>0</v>
      </c>
      <c r="AN212" s="131">
        <v>21</v>
      </c>
      <c r="AO212" s="131">
        <f>G212*0.84313413</f>
        <v>0</v>
      </c>
      <c r="AP212" s="131">
        <f>G212*(1-0.84313413)</f>
        <v>0</v>
      </c>
      <c r="AQ212" s="132" t="s">
        <v>56</v>
      </c>
      <c r="AV212" s="131">
        <f>AW212+AX212</f>
        <v>0</v>
      </c>
      <c r="AW212" s="131">
        <f>F212*AO212</f>
        <v>0</v>
      </c>
      <c r="AX212" s="131">
        <f>F212*AP212</f>
        <v>0</v>
      </c>
      <c r="AY212" s="132" t="s">
        <v>260</v>
      </c>
      <c r="AZ212" s="132" t="s">
        <v>879</v>
      </c>
      <c r="BA212" s="115" t="s">
        <v>840</v>
      </c>
      <c r="BC212" s="131">
        <f>AW212+AX212</f>
        <v>0</v>
      </c>
      <c r="BD212" s="131">
        <f>G212/(100-BE212)*100</f>
        <v>0</v>
      </c>
      <c r="BE212" s="131">
        <v>0</v>
      </c>
      <c r="BF212" s="131">
        <f>212</f>
        <v>212</v>
      </c>
      <c r="BH212" s="131">
        <f>F212*AO212</f>
        <v>0</v>
      </c>
      <c r="BI212" s="131">
        <f>F212*AP212</f>
        <v>0</v>
      </c>
      <c r="BJ212" s="131">
        <f>F212*G212</f>
        <v>0</v>
      </c>
      <c r="BK212" s="131"/>
      <c r="BL212" s="131">
        <v>89</v>
      </c>
      <c r="BW212" s="131">
        <v>21</v>
      </c>
      <c r="BX212" s="133" t="s">
        <v>888</v>
      </c>
    </row>
    <row r="213" spans="1:76" x14ac:dyDescent="0.25">
      <c r="A213" s="123" t="s">
        <v>53</v>
      </c>
      <c r="B213" s="124" t="s">
        <v>736</v>
      </c>
      <c r="C213" s="272" t="s">
        <v>737</v>
      </c>
      <c r="D213" s="273"/>
      <c r="E213" s="125" t="s">
        <v>9</v>
      </c>
      <c r="F213" s="125" t="s">
        <v>9</v>
      </c>
      <c r="G213" s="125" t="s">
        <v>9</v>
      </c>
      <c r="H213" s="110">
        <f>SUM(H214:H214)</f>
        <v>0</v>
      </c>
      <c r="I213" s="110">
        <f>SUM(I214:I214)</f>
        <v>0</v>
      </c>
      <c r="J213" s="110">
        <f>SUM(J214:J214)</f>
        <v>0</v>
      </c>
      <c r="K213" s="126" t="s">
        <v>53</v>
      </c>
      <c r="AI213" s="115" t="s">
        <v>837</v>
      </c>
      <c r="AS213" s="110">
        <f>SUM(AJ214:AJ214)</f>
        <v>0</v>
      </c>
      <c r="AT213" s="110">
        <f>SUM(AK214:AK214)</f>
        <v>0</v>
      </c>
      <c r="AU213" s="110">
        <f>SUM(AL214:AL214)</f>
        <v>0</v>
      </c>
    </row>
    <row r="214" spans="1:76" x14ac:dyDescent="0.25">
      <c r="A214" s="134" t="s">
        <v>676</v>
      </c>
      <c r="B214" s="135" t="s">
        <v>738</v>
      </c>
      <c r="C214" s="270" t="s">
        <v>739</v>
      </c>
      <c r="D214" s="271"/>
      <c r="E214" s="135" t="s">
        <v>122</v>
      </c>
      <c r="F214" s="131">
        <v>101.3</v>
      </c>
      <c r="G214" s="179">
        <v>0</v>
      </c>
      <c r="H214" s="131">
        <f>F214*AO214</f>
        <v>0</v>
      </c>
      <c r="I214" s="131">
        <f>F214*AP214</f>
        <v>0</v>
      </c>
      <c r="J214" s="131">
        <f>F214*G214</f>
        <v>0</v>
      </c>
      <c r="K214" s="136" t="s">
        <v>711</v>
      </c>
      <c r="Z214" s="131">
        <f>IF(AQ214="5",BJ214,0)</f>
        <v>0</v>
      </c>
      <c r="AB214" s="131">
        <f>IF(AQ214="1",BH214,0)</f>
        <v>0</v>
      </c>
      <c r="AC214" s="131">
        <f>IF(AQ214="1",BI214,0)</f>
        <v>0</v>
      </c>
      <c r="AD214" s="131">
        <f>IF(AQ214="7",BH214,0)</f>
        <v>0</v>
      </c>
      <c r="AE214" s="131">
        <f>IF(AQ214="7",BI214,0)</f>
        <v>0</v>
      </c>
      <c r="AF214" s="131">
        <f>IF(AQ214="2",BH214,0)</f>
        <v>0</v>
      </c>
      <c r="AG214" s="131">
        <f>IF(AQ214="2",BI214,0)</f>
        <v>0</v>
      </c>
      <c r="AH214" s="131">
        <f>IF(AQ214="0",BJ214,0)</f>
        <v>0</v>
      </c>
      <c r="AI214" s="115" t="s">
        <v>837</v>
      </c>
      <c r="AJ214" s="131">
        <f>IF(AN214=0,J214,0)</f>
        <v>0</v>
      </c>
      <c r="AK214" s="131">
        <f>IF(AN214=12,J214,0)</f>
        <v>0</v>
      </c>
      <c r="AL214" s="131">
        <f>IF(AN214=21,J214,0)</f>
        <v>0</v>
      </c>
      <c r="AN214" s="131">
        <v>21</v>
      </c>
      <c r="AO214" s="131">
        <f>G214*0</f>
        <v>0</v>
      </c>
      <c r="AP214" s="131">
        <f>G214*(1-0)</f>
        <v>0</v>
      </c>
      <c r="AQ214" s="132" t="s">
        <v>76</v>
      </c>
      <c r="AV214" s="131">
        <f>AW214+AX214</f>
        <v>0</v>
      </c>
      <c r="AW214" s="131">
        <f>F214*AO214</f>
        <v>0</v>
      </c>
      <c r="AX214" s="131">
        <f>F214*AP214</f>
        <v>0</v>
      </c>
      <c r="AY214" s="132" t="s">
        <v>740</v>
      </c>
      <c r="AZ214" s="132" t="s">
        <v>889</v>
      </c>
      <c r="BA214" s="115" t="s">
        <v>840</v>
      </c>
      <c r="BC214" s="131">
        <f>AW214+AX214</f>
        <v>0</v>
      </c>
      <c r="BD214" s="131">
        <f>G214/(100-BE214)*100</f>
        <v>0</v>
      </c>
      <c r="BE214" s="131">
        <v>0</v>
      </c>
      <c r="BF214" s="131">
        <f>214</f>
        <v>214</v>
      </c>
      <c r="BH214" s="131">
        <f>F214*AO214</f>
        <v>0</v>
      </c>
      <c r="BI214" s="131">
        <f>F214*AP214</f>
        <v>0</v>
      </c>
      <c r="BJ214" s="131">
        <f>F214*G214</f>
        <v>0</v>
      </c>
      <c r="BK214" s="131"/>
      <c r="BL214" s="131"/>
      <c r="BW214" s="131">
        <v>21</v>
      </c>
      <c r="BX214" s="133" t="s">
        <v>739</v>
      </c>
    </row>
    <row r="215" spans="1:76" x14ac:dyDescent="0.25">
      <c r="A215" s="123" t="s">
        <v>53</v>
      </c>
      <c r="B215" s="124" t="s">
        <v>338</v>
      </c>
      <c r="C215" s="272" t="s">
        <v>339</v>
      </c>
      <c r="D215" s="273"/>
      <c r="E215" s="125" t="s">
        <v>9</v>
      </c>
      <c r="F215" s="125" t="s">
        <v>9</v>
      </c>
      <c r="G215" s="125" t="s">
        <v>9</v>
      </c>
      <c r="H215" s="110">
        <f>SUM(H216:H223)</f>
        <v>0</v>
      </c>
      <c r="I215" s="110">
        <f>SUM(I216:I223)</f>
        <v>0</v>
      </c>
      <c r="J215" s="110">
        <f>SUM(J216:J223)</f>
        <v>0</v>
      </c>
      <c r="K215" s="126" t="s">
        <v>53</v>
      </c>
      <c r="AI215" s="115" t="s">
        <v>837</v>
      </c>
      <c r="AS215" s="110">
        <f>SUM(AJ216:AJ223)</f>
        <v>0</v>
      </c>
      <c r="AT215" s="110">
        <f>SUM(AK216:AK223)</f>
        <v>0</v>
      </c>
      <c r="AU215" s="110">
        <f>SUM(AL216:AL223)</f>
        <v>0</v>
      </c>
    </row>
    <row r="216" spans="1:76" ht="25.5" x14ac:dyDescent="0.25">
      <c r="A216" s="134" t="s">
        <v>890</v>
      </c>
      <c r="B216" s="135" t="s">
        <v>891</v>
      </c>
      <c r="C216" s="270" t="s">
        <v>892</v>
      </c>
      <c r="D216" s="271"/>
      <c r="E216" s="135" t="s">
        <v>164</v>
      </c>
      <c r="F216" s="131">
        <v>8</v>
      </c>
      <c r="G216" s="179">
        <v>0</v>
      </c>
      <c r="H216" s="131">
        <f t="shared" ref="H216:H223" si="160">F216*AO216</f>
        <v>0</v>
      </c>
      <c r="I216" s="131">
        <f t="shared" ref="I216:I223" si="161">F216*AP216</f>
        <v>0</v>
      </c>
      <c r="J216" s="131">
        <f t="shared" ref="J216:J223" si="162">F216*G216</f>
        <v>0</v>
      </c>
      <c r="K216" s="136" t="s">
        <v>60</v>
      </c>
      <c r="Z216" s="131">
        <f t="shared" ref="Z216:Z223" si="163">IF(AQ216="5",BJ216,0)</f>
        <v>0</v>
      </c>
      <c r="AB216" s="131">
        <f t="shared" ref="AB216:AB223" si="164">IF(AQ216="1",BH216,0)</f>
        <v>0</v>
      </c>
      <c r="AC216" s="131">
        <f t="shared" ref="AC216:AC223" si="165">IF(AQ216="1",BI216,0)</f>
        <v>0</v>
      </c>
      <c r="AD216" s="131">
        <f t="shared" ref="AD216:AD223" si="166">IF(AQ216="7",BH216,0)</f>
        <v>0</v>
      </c>
      <c r="AE216" s="131">
        <f t="shared" ref="AE216:AE223" si="167">IF(AQ216="7",BI216,0)</f>
        <v>0</v>
      </c>
      <c r="AF216" s="131">
        <f t="shared" ref="AF216:AF223" si="168">IF(AQ216="2",BH216,0)</f>
        <v>0</v>
      </c>
      <c r="AG216" s="131">
        <f t="shared" ref="AG216:AG223" si="169">IF(AQ216="2",BI216,0)</f>
        <v>0</v>
      </c>
      <c r="AH216" s="131">
        <f t="shared" ref="AH216:AH223" si="170">IF(AQ216="0",BJ216,0)</f>
        <v>0</v>
      </c>
      <c r="AI216" s="115" t="s">
        <v>837</v>
      </c>
      <c r="AJ216" s="131">
        <f t="shared" ref="AJ216:AJ223" si="171">IF(AN216=0,J216,0)</f>
        <v>0</v>
      </c>
      <c r="AK216" s="131">
        <f t="shared" ref="AK216:AK223" si="172">IF(AN216=12,J216,0)</f>
        <v>0</v>
      </c>
      <c r="AL216" s="131">
        <f t="shared" ref="AL216:AL223" si="173">IF(AN216=21,J216,0)</f>
        <v>0</v>
      </c>
      <c r="AN216" s="131">
        <v>21</v>
      </c>
      <c r="AO216" s="131">
        <f t="shared" ref="AO216:AO223" si="174">G216*1</f>
        <v>0</v>
      </c>
      <c r="AP216" s="131">
        <f t="shared" ref="AP216:AP223" si="175">G216*(1-1)</f>
        <v>0</v>
      </c>
      <c r="AQ216" s="132" t="s">
        <v>343</v>
      </c>
      <c r="AV216" s="131">
        <f t="shared" ref="AV216:AV223" si="176">AW216+AX216</f>
        <v>0</v>
      </c>
      <c r="AW216" s="131">
        <f t="shared" ref="AW216:AW223" si="177">F216*AO216</f>
        <v>0</v>
      </c>
      <c r="AX216" s="131">
        <f t="shared" ref="AX216:AX223" si="178">F216*AP216</f>
        <v>0</v>
      </c>
      <c r="AY216" s="132" t="s">
        <v>344</v>
      </c>
      <c r="AZ216" s="132" t="s">
        <v>893</v>
      </c>
      <c r="BA216" s="115" t="s">
        <v>840</v>
      </c>
      <c r="BC216" s="131">
        <f t="shared" ref="BC216:BC223" si="179">AW216+AX216</f>
        <v>0</v>
      </c>
      <c r="BD216" s="131">
        <f t="shared" ref="BD216:BD223" si="180">G216/(100-BE216)*100</f>
        <v>0</v>
      </c>
      <c r="BE216" s="131">
        <v>0</v>
      </c>
      <c r="BF216" s="131">
        <f>216</f>
        <v>216</v>
      </c>
      <c r="BH216" s="131">
        <f t="shared" ref="BH216:BH223" si="181">F216*AO216</f>
        <v>0</v>
      </c>
      <c r="BI216" s="131">
        <f t="shared" ref="BI216:BI223" si="182">F216*AP216</f>
        <v>0</v>
      </c>
      <c r="BJ216" s="131">
        <f t="shared" ref="BJ216:BJ223" si="183">F216*G216</f>
        <v>0</v>
      </c>
      <c r="BK216" s="131"/>
      <c r="BL216" s="131"/>
      <c r="BW216" s="131">
        <v>21</v>
      </c>
      <c r="BX216" s="133" t="s">
        <v>892</v>
      </c>
    </row>
    <row r="217" spans="1:76" x14ac:dyDescent="0.25">
      <c r="A217" s="134" t="s">
        <v>572</v>
      </c>
      <c r="B217" s="135" t="s">
        <v>894</v>
      </c>
      <c r="C217" s="270" t="s">
        <v>895</v>
      </c>
      <c r="D217" s="271"/>
      <c r="E217" s="135" t="s">
        <v>164</v>
      </c>
      <c r="F217" s="131">
        <v>2</v>
      </c>
      <c r="G217" s="179">
        <v>0</v>
      </c>
      <c r="H217" s="131">
        <f t="shared" si="160"/>
        <v>0</v>
      </c>
      <c r="I217" s="131">
        <f t="shared" si="161"/>
        <v>0</v>
      </c>
      <c r="J217" s="131">
        <f t="shared" si="162"/>
        <v>0</v>
      </c>
      <c r="K217" s="136" t="s">
        <v>60</v>
      </c>
      <c r="Z217" s="131">
        <f t="shared" si="163"/>
        <v>0</v>
      </c>
      <c r="AB217" s="131">
        <f t="shared" si="164"/>
        <v>0</v>
      </c>
      <c r="AC217" s="131">
        <f t="shared" si="165"/>
        <v>0</v>
      </c>
      <c r="AD217" s="131">
        <f t="shared" si="166"/>
        <v>0</v>
      </c>
      <c r="AE217" s="131">
        <f t="shared" si="167"/>
        <v>0</v>
      </c>
      <c r="AF217" s="131">
        <f t="shared" si="168"/>
        <v>0</v>
      </c>
      <c r="AG217" s="131">
        <f t="shared" si="169"/>
        <v>0</v>
      </c>
      <c r="AH217" s="131">
        <f t="shared" si="170"/>
        <v>0</v>
      </c>
      <c r="AI217" s="115" t="s">
        <v>837</v>
      </c>
      <c r="AJ217" s="131">
        <f t="shared" si="171"/>
        <v>0</v>
      </c>
      <c r="AK217" s="131">
        <f t="shared" si="172"/>
        <v>0</v>
      </c>
      <c r="AL217" s="131">
        <f t="shared" si="173"/>
        <v>0</v>
      </c>
      <c r="AN217" s="131">
        <v>21</v>
      </c>
      <c r="AO217" s="131">
        <f t="shared" si="174"/>
        <v>0</v>
      </c>
      <c r="AP217" s="131">
        <f t="shared" si="175"/>
        <v>0</v>
      </c>
      <c r="AQ217" s="132" t="s">
        <v>343</v>
      </c>
      <c r="AV217" s="131">
        <f t="shared" si="176"/>
        <v>0</v>
      </c>
      <c r="AW217" s="131">
        <f t="shared" si="177"/>
        <v>0</v>
      </c>
      <c r="AX217" s="131">
        <f t="shared" si="178"/>
        <v>0</v>
      </c>
      <c r="AY217" s="132" t="s">
        <v>344</v>
      </c>
      <c r="AZ217" s="132" t="s">
        <v>893</v>
      </c>
      <c r="BA217" s="115" t="s">
        <v>840</v>
      </c>
      <c r="BC217" s="131">
        <f t="shared" si="179"/>
        <v>0</v>
      </c>
      <c r="BD217" s="131">
        <f t="shared" si="180"/>
        <v>0</v>
      </c>
      <c r="BE217" s="131">
        <v>0</v>
      </c>
      <c r="BF217" s="131">
        <f>217</f>
        <v>217</v>
      </c>
      <c r="BH217" s="131">
        <f t="shared" si="181"/>
        <v>0</v>
      </c>
      <c r="BI217" s="131">
        <f t="shared" si="182"/>
        <v>0</v>
      </c>
      <c r="BJ217" s="131">
        <f t="shared" si="183"/>
        <v>0</v>
      </c>
      <c r="BK217" s="131"/>
      <c r="BL217" s="131"/>
      <c r="BW217" s="131">
        <v>21</v>
      </c>
      <c r="BX217" s="133" t="s">
        <v>895</v>
      </c>
    </row>
    <row r="218" spans="1:76" x14ac:dyDescent="0.25">
      <c r="A218" s="134" t="s">
        <v>896</v>
      </c>
      <c r="B218" s="135" t="s">
        <v>818</v>
      </c>
      <c r="C218" s="270" t="s">
        <v>819</v>
      </c>
      <c r="D218" s="271"/>
      <c r="E218" s="135" t="s">
        <v>164</v>
      </c>
      <c r="F218" s="131">
        <v>3</v>
      </c>
      <c r="G218" s="179">
        <v>0</v>
      </c>
      <c r="H218" s="131">
        <f t="shared" si="160"/>
        <v>0</v>
      </c>
      <c r="I218" s="131">
        <f t="shared" si="161"/>
        <v>0</v>
      </c>
      <c r="J218" s="131">
        <f t="shared" si="162"/>
        <v>0</v>
      </c>
      <c r="K218" s="136" t="s">
        <v>60</v>
      </c>
      <c r="Z218" s="131">
        <f t="shared" si="163"/>
        <v>0</v>
      </c>
      <c r="AB218" s="131">
        <f t="shared" si="164"/>
        <v>0</v>
      </c>
      <c r="AC218" s="131">
        <f t="shared" si="165"/>
        <v>0</v>
      </c>
      <c r="AD218" s="131">
        <f t="shared" si="166"/>
        <v>0</v>
      </c>
      <c r="AE218" s="131">
        <f t="shared" si="167"/>
        <v>0</v>
      </c>
      <c r="AF218" s="131">
        <f t="shared" si="168"/>
        <v>0</v>
      </c>
      <c r="AG218" s="131">
        <f t="shared" si="169"/>
        <v>0</v>
      </c>
      <c r="AH218" s="131">
        <f t="shared" si="170"/>
        <v>0</v>
      </c>
      <c r="AI218" s="115" t="s">
        <v>837</v>
      </c>
      <c r="AJ218" s="131">
        <f t="shared" si="171"/>
        <v>0</v>
      </c>
      <c r="AK218" s="131">
        <f t="shared" si="172"/>
        <v>0</v>
      </c>
      <c r="AL218" s="131">
        <f t="shared" si="173"/>
        <v>0</v>
      </c>
      <c r="AN218" s="131">
        <v>21</v>
      </c>
      <c r="AO218" s="131">
        <f t="shared" si="174"/>
        <v>0</v>
      </c>
      <c r="AP218" s="131">
        <f t="shared" si="175"/>
        <v>0</v>
      </c>
      <c r="AQ218" s="132" t="s">
        <v>343</v>
      </c>
      <c r="AV218" s="131">
        <f t="shared" si="176"/>
        <v>0</v>
      </c>
      <c r="AW218" s="131">
        <f t="shared" si="177"/>
        <v>0</v>
      </c>
      <c r="AX218" s="131">
        <f t="shared" si="178"/>
        <v>0</v>
      </c>
      <c r="AY218" s="132" t="s">
        <v>344</v>
      </c>
      <c r="AZ218" s="132" t="s">
        <v>893</v>
      </c>
      <c r="BA218" s="115" t="s">
        <v>840</v>
      </c>
      <c r="BC218" s="131">
        <f t="shared" si="179"/>
        <v>0</v>
      </c>
      <c r="BD218" s="131">
        <f t="shared" si="180"/>
        <v>0</v>
      </c>
      <c r="BE218" s="131">
        <v>0</v>
      </c>
      <c r="BF218" s="131">
        <f>218</f>
        <v>218</v>
      </c>
      <c r="BH218" s="131">
        <f t="shared" si="181"/>
        <v>0</v>
      </c>
      <c r="BI218" s="131">
        <f t="shared" si="182"/>
        <v>0</v>
      </c>
      <c r="BJ218" s="131">
        <f t="shared" si="183"/>
        <v>0</v>
      </c>
      <c r="BK218" s="131"/>
      <c r="BL218" s="131"/>
      <c r="BW218" s="131">
        <v>21</v>
      </c>
      <c r="BX218" s="133" t="s">
        <v>819</v>
      </c>
    </row>
    <row r="219" spans="1:76" x14ac:dyDescent="0.25">
      <c r="A219" s="134" t="s">
        <v>897</v>
      </c>
      <c r="B219" s="135" t="s">
        <v>820</v>
      </c>
      <c r="C219" s="270" t="s">
        <v>898</v>
      </c>
      <c r="D219" s="271"/>
      <c r="E219" s="135" t="s">
        <v>164</v>
      </c>
      <c r="F219" s="131">
        <v>2</v>
      </c>
      <c r="G219" s="179">
        <v>0</v>
      </c>
      <c r="H219" s="131">
        <f t="shared" si="160"/>
        <v>0</v>
      </c>
      <c r="I219" s="131">
        <f t="shared" si="161"/>
        <v>0</v>
      </c>
      <c r="J219" s="131">
        <f t="shared" si="162"/>
        <v>0</v>
      </c>
      <c r="K219" s="136" t="s">
        <v>60</v>
      </c>
      <c r="Z219" s="131">
        <f t="shared" si="163"/>
        <v>0</v>
      </c>
      <c r="AB219" s="131">
        <f t="shared" si="164"/>
        <v>0</v>
      </c>
      <c r="AC219" s="131">
        <f t="shared" si="165"/>
        <v>0</v>
      </c>
      <c r="AD219" s="131">
        <f t="shared" si="166"/>
        <v>0</v>
      </c>
      <c r="AE219" s="131">
        <f t="shared" si="167"/>
        <v>0</v>
      </c>
      <c r="AF219" s="131">
        <f t="shared" si="168"/>
        <v>0</v>
      </c>
      <c r="AG219" s="131">
        <f t="shared" si="169"/>
        <v>0</v>
      </c>
      <c r="AH219" s="131">
        <f t="shared" si="170"/>
        <v>0</v>
      </c>
      <c r="AI219" s="115" t="s">
        <v>837</v>
      </c>
      <c r="AJ219" s="131">
        <f t="shared" si="171"/>
        <v>0</v>
      </c>
      <c r="AK219" s="131">
        <f t="shared" si="172"/>
        <v>0</v>
      </c>
      <c r="AL219" s="131">
        <f t="shared" si="173"/>
        <v>0</v>
      </c>
      <c r="AN219" s="131">
        <v>21</v>
      </c>
      <c r="AO219" s="131">
        <f t="shared" si="174"/>
        <v>0</v>
      </c>
      <c r="AP219" s="131">
        <f t="shared" si="175"/>
        <v>0</v>
      </c>
      <c r="AQ219" s="132" t="s">
        <v>343</v>
      </c>
      <c r="AV219" s="131">
        <f t="shared" si="176"/>
        <v>0</v>
      </c>
      <c r="AW219" s="131">
        <f t="shared" si="177"/>
        <v>0</v>
      </c>
      <c r="AX219" s="131">
        <f t="shared" si="178"/>
        <v>0</v>
      </c>
      <c r="AY219" s="132" t="s">
        <v>344</v>
      </c>
      <c r="AZ219" s="132" t="s">
        <v>893</v>
      </c>
      <c r="BA219" s="115" t="s">
        <v>840</v>
      </c>
      <c r="BC219" s="131">
        <f t="shared" si="179"/>
        <v>0</v>
      </c>
      <c r="BD219" s="131">
        <f t="shared" si="180"/>
        <v>0</v>
      </c>
      <c r="BE219" s="131">
        <v>0</v>
      </c>
      <c r="BF219" s="131">
        <f>219</f>
        <v>219</v>
      </c>
      <c r="BH219" s="131">
        <f t="shared" si="181"/>
        <v>0</v>
      </c>
      <c r="BI219" s="131">
        <f t="shared" si="182"/>
        <v>0</v>
      </c>
      <c r="BJ219" s="131">
        <f t="shared" si="183"/>
        <v>0</v>
      </c>
      <c r="BK219" s="131"/>
      <c r="BL219" s="131"/>
      <c r="BW219" s="131">
        <v>21</v>
      </c>
      <c r="BX219" s="133" t="s">
        <v>898</v>
      </c>
    </row>
    <row r="220" spans="1:76" x14ac:dyDescent="0.25">
      <c r="A220" s="134" t="s">
        <v>899</v>
      </c>
      <c r="B220" s="135" t="s">
        <v>822</v>
      </c>
      <c r="C220" s="270" t="s">
        <v>823</v>
      </c>
      <c r="D220" s="271"/>
      <c r="E220" s="135" t="s">
        <v>164</v>
      </c>
      <c r="F220" s="131">
        <v>2</v>
      </c>
      <c r="G220" s="179">
        <v>0</v>
      </c>
      <c r="H220" s="131">
        <f t="shared" si="160"/>
        <v>0</v>
      </c>
      <c r="I220" s="131">
        <f t="shared" si="161"/>
        <v>0</v>
      </c>
      <c r="J220" s="131">
        <f t="shared" si="162"/>
        <v>0</v>
      </c>
      <c r="K220" s="136" t="s">
        <v>60</v>
      </c>
      <c r="Z220" s="131">
        <f t="shared" si="163"/>
        <v>0</v>
      </c>
      <c r="AB220" s="131">
        <f t="shared" si="164"/>
        <v>0</v>
      </c>
      <c r="AC220" s="131">
        <f t="shared" si="165"/>
        <v>0</v>
      </c>
      <c r="AD220" s="131">
        <f t="shared" si="166"/>
        <v>0</v>
      </c>
      <c r="AE220" s="131">
        <f t="shared" si="167"/>
        <v>0</v>
      </c>
      <c r="AF220" s="131">
        <f t="shared" si="168"/>
        <v>0</v>
      </c>
      <c r="AG220" s="131">
        <f t="shared" si="169"/>
        <v>0</v>
      </c>
      <c r="AH220" s="131">
        <f t="shared" si="170"/>
        <v>0</v>
      </c>
      <c r="AI220" s="115" t="s">
        <v>837</v>
      </c>
      <c r="AJ220" s="131">
        <f t="shared" si="171"/>
        <v>0</v>
      </c>
      <c r="AK220" s="131">
        <f t="shared" si="172"/>
        <v>0</v>
      </c>
      <c r="AL220" s="131">
        <f t="shared" si="173"/>
        <v>0</v>
      </c>
      <c r="AN220" s="131">
        <v>21</v>
      </c>
      <c r="AO220" s="131">
        <f t="shared" si="174"/>
        <v>0</v>
      </c>
      <c r="AP220" s="131">
        <f t="shared" si="175"/>
        <v>0</v>
      </c>
      <c r="AQ220" s="132" t="s">
        <v>343</v>
      </c>
      <c r="AV220" s="131">
        <f t="shared" si="176"/>
        <v>0</v>
      </c>
      <c r="AW220" s="131">
        <f t="shared" si="177"/>
        <v>0</v>
      </c>
      <c r="AX220" s="131">
        <f t="shared" si="178"/>
        <v>0</v>
      </c>
      <c r="AY220" s="132" t="s">
        <v>344</v>
      </c>
      <c r="AZ220" s="132" t="s">
        <v>893</v>
      </c>
      <c r="BA220" s="115" t="s">
        <v>840</v>
      </c>
      <c r="BC220" s="131">
        <f t="shared" si="179"/>
        <v>0</v>
      </c>
      <c r="BD220" s="131">
        <f t="shared" si="180"/>
        <v>0</v>
      </c>
      <c r="BE220" s="131">
        <v>0</v>
      </c>
      <c r="BF220" s="131">
        <f>220</f>
        <v>220</v>
      </c>
      <c r="BH220" s="131">
        <f t="shared" si="181"/>
        <v>0</v>
      </c>
      <c r="BI220" s="131">
        <f t="shared" si="182"/>
        <v>0</v>
      </c>
      <c r="BJ220" s="131">
        <f t="shared" si="183"/>
        <v>0</v>
      </c>
      <c r="BK220" s="131"/>
      <c r="BL220" s="131"/>
      <c r="BW220" s="131">
        <v>21</v>
      </c>
      <c r="BX220" s="133" t="s">
        <v>823</v>
      </c>
    </row>
    <row r="221" spans="1:76" x14ac:dyDescent="0.25">
      <c r="A221" s="134" t="s">
        <v>900</v>
      </c>
      <c r="B221" s="135" t="s">
        <v>746</v>
      </c>
      <c r="C221" s="270" t="s">
        <v>747</v>
      </c>
      <c r="D221" s="271"/>
      <c r="E221" s="135" t="s">
        <v>164</v>
      </c>
      <c r="F221" s="131">
        <v>2</v>
      </c>
      <c r="G221" s="179">
        <v>0</v>
      </c>
      <c r="H221" s="131">
        <f t="shared" si="160"/>
        <v>0</v>
      </c>
      <c r="I221" s="131">
        <f t="shared" si="161"/>
        <v>0</v>
      </c>
      <c r="J221" s="131">
        <f t="shared" si="162"/>
        <v>0</v>
      </c>
      <c r="K221" s="136" t="s">
        <v>60</v>
      </c>
      <c r="Z221" s="131">
        <f t="shared" si="163"/>
        <v>0</v>
      </c>
      <c r="AB221" s="131">
        <f t="shared" si="164"/>
        <v>0</v>
      </c>
      <c r="AC221" s="131">
        <f t="shared" si="165"/>
        <v>0</v>
      </c>
      <c r="AD221" s="131">
        <f t="shared" si="166"/>
        <v>0</v>
      </c>
      <c r="AE221" s="131">
        <f t="shared" si="167"/>
        <v>0</v>
      </c>
      <c r="AF221" s="131">
        <f t="shared" si="168"/>
        <v>0</v>
      </c>
      <c r="AG221" s="131">
        <f t="shared" si="169"/>
        <v>0</v>
      </c>
      <c r="AH221" s="131">
        <f t="shared" si="170"/>
        <v>0</v>
      </c>
      <c r="AI221" s="115" t="s">
        <v>837</v>
      </c>
      <c r="AJ221" s="131">
        <f t="shared" si="171"/>
        <v>0</v>
      </c>
      <c r="AK221" s="131">
        <f t="shared" si="172"/>
        <v>0</v>
      </c>
      <c r="AL221" s="131">
        <f t="shared" si="173"/>
        <v>0</v>
      </c>
      <c r="AN221" s="131">
        <v>21</v>
      </c>
      <c r="AO221" s="131">
        <f t="shared" si="174"/>
        <v>0</v>
      </c>
      <c r="AP221" s="131">
        <f t="shared" si="175"/>
        <v>0</v>
      </c>
      <c r="AQ221" s="132" t="s">
        <v>343</v>
      </c>
      <c r="AV221" s="131">
        <f t="shared" si="176"/>
        <v>0</v>
      </c>
      <c r="AW221" s="131">
        <f t="shared" si="177"/>
        <v>0</v>
      </c>
      <c r="AX221" s="131">
        <f t="shared" si="178"/>
        <v>0</v>
      </c>
      <c r="AY221" s="132" t="s">
        <v>344</v>
      </c>
      <c r="AZ221" s="132" t="s">
        <v>893</v>
      </c>
      <c r="BA221" s="115" t="s">
        <v>840</v>
      </c>
      <c r="BC221" s="131">
        <f t="shared" si="179"/>
        <v>0</v>
      </c>
      <c r="BD221" s="131">
        <f t="shared" si="180"/>
        <v>0</v>
      </c>
      <c r="BE221" s="131">
        <v>0</v>
      </c>
      <c r="BF221" s="131">
        <f>221</f>
        <v>221</v>
      </c>
      <c r="BH221" s="131">
        <f t="shared" si="181"/>
        <v>0</v>
      </c>
      <c r="BI221" s="131">
        <f t="shared" si="182"/>
        <v>0</v>
      </c>
      <c r="BJ221" s="131">
        <f t="shared" si="183"/>
        <v>0</v>
      </c>
      <c r="BK221" s="131"/>
      <c r="BL221" s="131"/>
      <c r="BW221" s="131">
        <v>21</v>
      </c>
      <c r="BX221" s="133" t="s">
        <v>747</v>
      </c>
    </row>
    <row r="222" spans="1:76" x14ac:dyDescent="0.25">
      <c r="A222" s="134" t="s">
        <v>585</v>
      </c>
      <c r="B222" s="135" t="s">
        <v>750</v>
      </c>
      <c r="C222" s="270" t="s">
        <v>751</v>
      </c>
      <c r="D222" s="271"/>
      <c r="E222" s="135" t="s">
        <v>164</v>
      </c>
      <c r="F222" s="131">
        <v>2</v>
      </c>
      <c r="G222" s="179">
        <v>0</v>
      </c>
      <c r="H222" s="131">
        <f t="shared" si="160"/>
        <v>0</v>
      </c>
      <c r="I222" s="131">
        <f t="shared" si="161"/>
        <v>0</v>
      </c>
      <c r="J222" s="131">
        <f t="shared" si="162"/>
        <v>0</v>
      </c>
      <c r="K222" s="136" t="s">
        <v>60</v>
      </c>
      <c r="Z222" s="131">
        <f t="shared" si="163"/>
        <v>0</v>
      </c>
      <c r="AB222" s="131">
        <f t="shared" si="164"/>
        <v>0</v>
      </c>
      <c r="AC222" s="131">
        <f t="shared" si="165"/>
        <v>0</v>
      </c>
      <c r="AD222" s="131">
        <f t="shared" si="166"/>
        <v>0</v>
      </c>
      <c r="AE222" s="131">
        <f t="shared" si="167"/>
        <v>0</v>
      </c>
      <c r="AF222" s="131">
        <f t="shared" si="168"/>
        <v>0</v>
      </c>
      <c r="AG222" s="131">
        <f t="shared" si="169"/>
        <v>0</v>
      </c>
      <c r="AH222" s="131">
        <f t="shared" si="170"/>
        <v>0</v>
      </c>
      <c r="AI222" s="115" t="s">
        <v>837</v>
      </c>
      <c r="AJ222" s="131">
        <f t="shared" si="171"/>
        <v>0</v>
      </c>
      <c r="AK222" s="131">
        <f t="shared" si="172"/>
        <v>0</v>
      </c>
      <c r="AL222" s="131">
        <f t="shared" si="173"/>
        <v>0</v>
      </c>
      <c r="AN222" s="131">
        <v>21</v>
      </c>
      <c r="AO222" s="131">
        <f t="shared" si="174"/>
        <v>0</v>
      </c>
      <c r="AP222" s="131">
        <f t="shared" si="175"/>
        <v>0</v>
      </c>
      <c r="AQ222" s="132" t="s">
        <v>343</v>
      </c>
      <c r="AV222" s="131">
        <f t="shared" si="176"/>
        <v>0</v>
      </c>
      <c r="AW222" s="131">
        <f t="shared" si="177"/>
        <v>0</v>
      </c>
      <c r="AX222" s="131">
        <f t="shared" si="178"/>
        <v>0</v>
      </c>
      <c r="AY222" s="132" t="s">
        <v>344</v>
      </c>
      <c r="AZ222" s="132" t="s">
        <v>893</v>
      </c>
      <c r="BA222" s="115" t="s">
        <v>840</v>
      </c>
      <c r="BC222" s="131">
        <f t="shared" si="179"/>
        <v>0</v>
      </c>
      <c r="BD222" s="131">
        <f t="shared" si="180"/>
        <v>0</v>
      </c>
      <c r="BE222" s="131">
        <v>0</v>
      </c>
      <c r="BF222" s="131">
        <f>222</f>
        <v>222</v>
      </c>
      <c r="BH222" s="131">
        <f t="shared" si="181"/>
        <v>0</v>
      </c>
      <c r="BI222" s="131">
        <f t="shared" si="182"/>
        <v>0</v>
      </c>
      <c r="BJ222" s="131">
        <f t="shared" si="183"/>
        <v>0</v>
      </c>
      <c r="BK222" s="131"/>
      <c r="BL222" s="131"/>
      <c r="BW222" s="131">
        <v>21</v>
      </c>
      <c r="BX222" s="133" t="s">
        <v>751</v>
      </c>
    </row>
    <row r="223" spans="1:76" x14ac:dyDescent="0.25">
      <c r="A223" s="134" t="s">
        <v>901</v>
      </c>
      <c r="B223" s="135" t="s">
        <v>829</v>
      </c>
      <c r="C223" s="270" t="s">
        <v>830</v>
      </c>
      <c r="D223" s="271"/>
      <c r="E223" s="135" t="s">
        <v>831</v>
      </c>
      <c r="F223" s="131">
        <v>53.82</v>
      </c>
      <c r="G223" s="179">
        <v>0</v>
      </c>
      <c r="H223" s="131">
        <f t="shared" si="160"/>
        <v>0</v>
      </c>
      <c r="I223" s="131">
        <f t="shared" si="161"/>
        <v>0</v>
      </c>
      <c r="J223" s="131">
        <f t="shared" si="162"/>
        <v>0</v>
      </c>
      <c r="K223" s="136" t="s">
        <v>60</v>
      </c>
      <c r="Z223" s="131">
        <f t="shared" si="163"/>
        <v>0</v>
      </c>
      <c r="AB223" s="131">
        <f t="shared" si="164"/>
        <v>0</v>
      </c>
      <c r="AC223" s="131">
        <f t="shared" si="165"/>
        <v>0</v>
      </c>
      <c r="AD223" s="131">
        <f t="shared" si="166"/>
        <v>0</v>
      </c>
      <c r="AE223" s="131">
        <f t="shared" si="167"/>
        <v>0</v>
      </c>
      <c r="AF223" s="131">
        <f t="shared" si="168"/>
        <v>0</v>
      </c>
      <c r="AG223" s="131">
        <f t="shared" si="169"/>
        <v>0</v>
      </c>
      <c r="AH223" s="131">
        <f t="shared" si="170"/>
        <v>0</v>
      </c>
      <c r="AI223" s="115" t="s">
        <v>837</v>
      </c>
      <c r="AJ223" s="131">
        <f t="shared" si="171"/>
        <v>0</v>
      </c>
      <c r="AK223" s="131">
        <f t="shared" si="172"/>
        <v>0</v>
      </c>
      <c r="AL223" s="131">
        <f t="shared" si="173"/>
        <v>0</v>
      </c>
      <c r="AN223" s="131">
        <v>21</v>
      </c>
      <c r="AO223" s="131">
        <f t="shared" si="174"/>
        <v>0</v>
      </c>
      <c r="AP223" s="131">
        <f t="shared" si="175"/>
        <v>0</v>
      </c>
      <c r="AQ223" s="132" t="s">
        <v>343</v>
      </c>
      <c r="AV223" s="131">
        <f t="shared" si="176"/>
        <v>0</v>
      </c>
      <c r="AW223" s="131">
        <f t="shared" si="177"/>
        <v>0</v>
      </c>
      <c r="AX223" s="131">
        <f t="shared" si="178"/>
        <v>0</v>
      </c>
      <c r="AY223" s="132" t="s">
        <v>344</v>
      </c>
      <c r="AZ223" s="132" t="s">
        <v>893</v>
      </c>
      <c r="BA223" s="115" t="s">
        <v>840</v>
      </c>
      <c r="BC223" s="131">
        <f t="shared" si="179"/>
        <v>0</v>
      </c>
      <c r="BD223" s="131">
        <f t="shared" si="180"/>
        <v>0</v>
      </c>
      <c r="BE223" s="131">
        <v>0</v>
      </c>
      <c r="BF223" s="131">
        <f>223</f>
        <v>223</v>
      </c>
      <c r="BH223" s="131">
        <f t="shared" si="181"/>
        <v>0</v>
      </c>
      <c r="BI223" s="131">
        <f t="shared" si="182"/>
        <v>0</v>
      </c>
      <c r="BJ223" s="131">
        <f t="shared" si="183"/>
        <v>0</v>
      </c>
      <c r="BK223" s="131"/>
      <c r="BL223" s="131"/>
      <c r="BW223" s="131">
        <v>21</v>
      </c>
      <c r="BX223" s="133" t="s">
        <v>830</v>
      </c>
    </row>
    <row r="224" spans="1:76" x14ac:dyDescent="0.25">
      <c r="A224" s="123" t="s">
        <v>53</v>
      </c>
      <c r="B224" s="124" t="s">
        <v>409</v>
      </c>
      <c r="C224" s="272" t="s">
        <v>410</v>
      </c>
      <c r="D224" s="273"/>
      <c r="E224" s="125" t="s">
        <v>9</v>
      </c>
      <c r="F224" s="125" t="s">
        <v>9</v>
      </c>
      <c r="G224" s="125" t="s">
        <v>9</v>
      </c>
      <c r="H224" s="110">
        <f>H225+H227+H229</f>
        <v>0</v>
      </c>
      <c r="I224" s="110">
        <f>I225+I227+I229</f>
        <v>0</v>
      </c>
      <c r="J224" s="110">
        <f>J225+J227+J229</f>
        <v>0</v>
      </c>
      <c r="K224" s="126" t="s">
        <v>53</v>
      </c>
      <c r="AI224" s="115" t="s">
        <v>837</v>
      </c>
    </row>
    <row r="225" spans="1:76" x14ac:dyDescent="0.25">
      <c r="A225" s="123" t="s">
        <v>53</v>
      </c>
      <c r="B225" s="124" t="s">
        <v>411</v>
      </c>
      <c r="C225" s="272" t="s">
        <v>412</v>
      </c>
      <c r="D225" s="273"/>
      <c r="E225" s="125" t="s">
        <v>9</v>
      </c>
      <c r="F225" s="125" t="s">
        <v>9</v>
      </c>
      <c r="G225" s="125" t="s">
        <v>9</v>
      </c>
      <c r="H225" s="110">
        <f>SUM(H226:H226)</f>
        <v>0</v>
      </c>
      <c r="I225" s="110">
        <f>SUM(I226:I226)</f>
        <v>0</v>
      </c>
      <c r="J225" s="110">
        <f>SUM(J226:J226)</f>
        <v>0</v>
      </c>
      <c r="K225" s="126" t="s">
        <v>53</v>
      </c>
      <c r="AI225" s="115" t="s">
        <v>837</v>
      </c>
      <c r="AS225" s="110">
        <f>SUM(AJ226:AJ226)</f>
        <v>0</v>
      </c>
      <c r="AT225" s="110">
        <f>SUM(AK226:AK226)</f>
        <v>0</v>
      </c>
      <c r="AU225" s="110">
        <f>SUM(AL226:AL226)</f>
        <v>0</v>
      </c>
    </row>
    <row r="226" spans="1:76" x14ac:dyDescent="0.25">
      <c r="A226" s="134" t="s">
        <v>650</v>
      </c>
      <c r="B226" s="135" t="s">
        <v>414</v>
      </c>
      <c r="C226" s="270" t="s">
        <v>415</v>
      </c>
      <c r="D226" s="271"/>
      <c r="E226" s="135" t="s">
        <v>416</v>
      </c>
      <c r="F226" s="131">
        <v>1</v>
      </c>
      <c r="G226" s="179">
        <v>0</v>
      </c>
      <c r="H226" s="131">
        <f>F226*AO226</f>
        <v>0</v>
      </c>
      <c r="I226" s="131">
        <f>F226*AP226</f>
        <v>0</v>
      </c>
      <c r="J226" s="131">
        <f>F226*G226</f>
        <v>0</v>
      </c>
      <c r="K226" s="136" t="s">
        <v>53</v>
      </c>
      <c r="Z226" s="131">
        <f>IF(AQ226="5",BJ226,0)</f>
        <v>0</v>
      </c>
      <c r="AB226" s="131">
        <f>IF(AQ226="1",BH226,0)</f>
        <v>0</v>
      </c>
      <c r="AC226" s="131">
        <f>IF(AQ226="1",BI226,0)</f>
        <v>0</v>
      </c>
      <c r="AD226" s="131">
        <f>IF(AQ226="7",BH226,0)</f>
        <v>0</v>
      </c>
      <c r="AE226" s="131">
        <f>IF(AQ226="7",BI226,0)</f>
        <v>0</v>
      </c>
      <c r="AF226" s="131">
        <f>IF(AQ226="2",BH226,0)</f>
        <v>0</v>
      </c>
      <c r="AG226" s="131">
        <f>IF(AQ226="2",BI226,0)</f>
        <v>0</v>
      </c>
      <c r="AH226" s="131">
        <f>IF(AQ226="0",BJ226,0)</f>
        <v>0</v>
      </c>
      <c r="AI226" s="115" t="s">
        <v>837</v>
      </c>
      <c r="AJ226" s="131">
        <f>IF(AN226=0,J226,0)</f>
        <v>0</v>
      </c>
      <c r="AK226" s="131">
        <f>IF(AN226=12,J226,0)</f>
        <v>0</v>
      </c>
      <c r="AL226" s="131">
        <f>IF(AN226=21,J226,0)</f>
        <v>0</v>
      </c>
      <c r="AN226" s="131">
        <v>21</v>
      </c>
      <c r="AO226" s="131">
        <f>G226*0</f>
        <v>0</v>
      </c>
      <c r="AP226" s="131">
        <f>G226*(1-0)</f>
        <v>0</v>
      </c>
      <c r="AQ226" s="132" t="s">
        <v>405</v>
      </c>
      <c r="AV226" s="131">
        <f>AW226+AX226</f>
        <v>0</v>
      </c>
      <c r="AW226" s="131">
        <f>F226*AO226</f>
        <v>0</v>
      </c>
      <c r="AX226" s="131">
        <f>F226*AP226</f>
        <v>0</v>
      </c>
      <c r="AY226" s="132" t="s">
        <v>417</v>
      </c>
      <c r="AZ226" s="132" t="s">
        <v>902</v>
      </c>
      <c r="BA226" s="115" t="s">
        <v>840</v>
      </c>
      <c r="BC226" s="131">
        <f>AW226+AX226</f>
        <v>0</v>
      </c>
      <c r="BD226" s="131">
        <f>G226/(100-BE226)*100</f>
        <v>0</v>
      </c>
      <c r="BE226" s="131">
        <v>0</v>
      </c>
      <c r="BF226" s="131">
        <f>226</f>
        <v>226</v>
      </c>
      <c r="BH226" s="131">
        <f>F226*AO226</f>
        <v>0</v>
      </c>
      <c r="BI226" s="131">
        <f>F226*AP226</f>
        <v>0</v>
      </c>
      <c r="BJ226" s="131">
        <f>F226*G226</f>
        <v>0</v>
      </c>
      <c r="BK226" s="131"/>
      <c r="BL226" s="131"/>
      <c r="BM226" s="131">
        <f>F226*G226</f>
        <v>0</v>
      </c>
      <c r="BW226" s="131">
        <v>21</v>
      </c>
      <c r="BX226" s="133" t="s">
        <v>415</v>
      </c>
    </row>
    <row r="227" spans="1:76" x14ac:dyDescent="0.25">
      <c r="A227" s="123" t="s">
        <v>53</v>
      </c>
      <c r="B227" s="124" t="s">
        <v>419</v>
      </c>
      <c r="C227" s="272" t="s">
        <v>420</v>
      </c>
      <c r="D227" s="273"/>
      <c r="E227" s="125" t="s">
        <v>9</v>
      </c>
      <c r="F227" s="125" t="s">
        <v>9</v>
      </c>
      <c r="G227" s="125" t="s">
        <v>9</v>
      </c>
      <c r="H227" s="110">
        <f>SUM(H228:H228)</f>
        <v>0</v>
      </c>
      <c r="I227" s="110">
        <f>SUM(I228:I228)</f>
        <v>0</v>
      </c>
      <c r="J227" s="110">
        <f>SUM(J228:J228)</f>
        <v>0</v>
      </c>
      <c r="K227" s="126" t="s">
        <v>53</v>
      </c>
      <c r="AI227" s="115" t="s">
        <v>837</v>
      </c>
      <c r="AS227" s="110">
        <f>SUM(AJ228:AJ228)</f>
        <v>0</v>
      </c>
      <c r="AT227" s="110">
        <f>SUM(AK228:AK228)</f>
        <v>0</v>
      </c>
      <c r="AU227" s="110">
        <f>SUM(AL228:AL228)</f>
        <v>0</v>
      </c>
    </row>
    <row r="228" spans="1:76" x14ac:dyDescent="0.25">
      <c r="A228" s="134" t="s">
        <v>903</v>
      </c>
      <c r="B228" s="135" t="s">
        <v>422</v>
      </c>
      <c r="C228" s="270" t="s">
        <v>420</v>
      </c>
      <c r="D228" s="271"/>
      <c r="E228" s="135" t="s">
        <v>416</v>
      </c>
      <c r="F228" s="131">
        <v>1</v>
      </c>
      <c r="G228" s="179">
        <v>0</v>
      </c>
      <c r="H228" s="131">
        <f>F228*AO228</f>
        <v>0</v>
      </c>
      <c r="I228" s="131">
        <f>F228*AP228</f>
        <v>0</v>
      </c>
      <c r="J228" s="131">
        <f>F228*G228</f>
        <v>0</v>
      </c>
      <c r="K228" s="136" t="s">
        <v>53</v>
      </c>
      <c r="Z228" s="131">
        <f>IF(AQ228="5",BJ228,0)</f>
        <v>0</v>
      </c>
      <c r="AB228" s="131">
        <f>IF(AQ228="1",BH228,0)</f>
        <v>0</v>
      </c>
      <c r="AC228" s="131">
        <f>IF(AQ228="1",BI228,0)</f>
        <v>0</v>
      </c>
      <c r="AD228" s="131">
        <f>IF(AQ228="7",BH228,0)</f>
        <v>0</v>
      </c>
      <c r="AE228" s="131">
        <f>IF(AQ228="7",BI228,0)</f>
        <v>0</v>
      </c>
      <c r="AF228" s="131">
        <f>IF(AQ228="2",BH228,0)</f>
        <v>0</v>
      </c>
      <c r="AG228" s="131">
        <f>IF(AQ228="2",BI228,0)</f>
        <v>0</v>
      </c>
      <c r="AH228" s="131">
        <f>IF(AQ228="0",BJ228,0)</f>
        <v>0</v>
      </c>
      <c r="AI228" s="115" t="s">
        <v>837</v>
      </c>
      <c r="AJ228" s="131">
        <f>IF(AN228=0,J228,0)</f>
        <v>0</v>
      </c>
      <c r="AK228" s="131">
        <f>IF(AN228=12,J228,0)</f>
        <v>0</v>
      </c>
      <c r="AL228" s="131">
        <f>IF(AN228=21,J228,0)</f>
        <v>0</v>
      </c>
      <c r="AN228" s="131">
        <v>21</v>
      </c>
      <c r="AO228" s="131">
        <f>G228*0</f>
        <v>0</v>
      </c>
      <c r="AP228" s="131">
        <f>G228*(1-0)</f>
        <v>0</v>
      </c>
      <c r="AQ228" s="132" t="s">
        <v>405</v>
      </c>
      <c r="AV228" s="131">
        <f>AW228+AX228</f>
        <v>0</v>
      </c>
      <c r="AW228" s="131">
        <f>F228*AO228</f>
        <v>0</v>
      </c>
      <c r="AX228" s="131">
        <f>F228*AP228</f>
        <v>0</v>
      </c>
      <c r="AY228" s="132" t="s">
        <v>423</v>
      </c>
      <c r="AZ228" s="132" t="s">
        <v>902</v>
      </c>
      <c r="BA228" s="115" t="s">
        <v>840</v>
      </c>
      <c r="BC228" s="131">
        <f>AW228+AX228</f>
        <v>0</v>
      </c>
      <c r="BD228" s="131">
        <f>G228/(100-BE228)*100</f>
        <v>0</v>
      </c>
      <c r="BE228" s="131">
        <v>0</v>
      </c>
      <c r="BF228" s="131">
        <f>228</f>
        <v>228</v>
      </c>
      <c r="BH228" s="131">
        <f>F228*AO228</f>
        <v>0</v>
      </c>
      <c r="BI228" s="131">
        <f>F228*AP228</f>
        <v>0</v>
      </c>
      <c r="BJ228" s="131">
        <f>F228*G228</f>
        <v>0</v>
      </c>
      <c r="BK228" s="131"/>
      <c r="BL228" s="131"/>
      <c r="BO228" s="131">
        <f>F228*G228</f>
        <v>0</v>
      </c>
      <c r="BW228" s="131">
        <v>21</v>
      </c>
      <c r="BX228" s="133" t="s">
        <v>420</v>
      </c>
    </row>
    <row r="229" spans="1:76" x14ac:dyDescent="0.25">
      <c r="A229" s="123" t="s">
        <v>53</v>
      </c>
      <c r="B229" s="124" t="s">
        <v>424</v>
      </c>
      <c r="C229" s="272" t="s">
        <v>425</v>
      </c>
      <c r="D229" s="273"/>
      <c r="E229" s="125" t="s">
        <v>9</v>
      </c>
      <c r="F229" s="125" t="s">
        <v>9</v>
      </c>
      <c r="G229" s="125" t="s">
        <v>9</v>
      </c>
      <c r="H229" s="110">
        <f>SUM(H230:H230)</f>
        <v>0</v>
      </c>
      <c r="I229" s="110">
        <f>SUM(I230:I230)</f>
        <v>0</v>
      </c>
      <c r="J229" s="110">
        <f>SUM(J230:J230)</f>
        <v>0</v>
      </c>
      <c r="K229" s="126" t="s">
        <v>53</v>
      </c>
      <c r="AI229" s="115" t="s">
        <v>837</v>
      </c>
      <c r="AS229" s="110">
        <f>SUM(AJ230:AJ230)</f>
        <v>0</v>
      </c>
      <c r="AT229" s="110">
        <f>SUM(AK230:AK230)</f>
        <v>0</v>
      </c>
      <c r="AU229" s="110">
        <f>SUM(AL230:AL230)</f>
        <v>0</v>
      </c>
    </row>
    <row r="230" spans="1:76" x14ac:dyDescent="0.25">
      <c r="A230" s="134" t="s">
        <v>904</v>
      </c>
      <c r="B230" s="135" t="s">
        <v>427</v>
      </c>
      <c r="C230" s="270" t="s">
        <v>428</v>
      </c>
      <c r="D230" s="271"/>
      <c r="E230" s="135" t="s">
        <v>416</v>
      </c>
      <c r="F230" s="131">
        <v>1</v>
      </c>
      <c r="G230" s="179">
        <v>0</v>
      </c>
      <c r="H230" s="131">
        <f>F230*AO230</f>
        <v>0</v>
      </c>
      <c r="I230" s="131">
        <f>F230*AP230</f>
        <v>0</v>
      </c>
      <c r="J230" s="131">
        <f>F230*G230</f>
        <v>0</v>
      </c>
      <c r="K230" s="136" t="s">
        <v>53</v>
      </c>
      <c r="Z230" s="131">
        <f>IF(AQ230="5",BJ230,0)</f>
        <v>0</v>
      </c>
      <c r="AB230" s="131">
        <f>IF(AQ230="1",BH230,0)</f>
        <v>0</v>
      </c>
      <c r="AC230" s="131">
        <f>IF(AQ230="1",BI230,0)</f>
        <v>0</v>
      </c>
      <c r="AD230" s="131">
        <f>IF(AQ230="7",BH230,0)</f>
        <v>0</v>
      </c>
      <c r="AE230" s="131">
        <f>IF(AQ230="7",BI230,0)</f>
        <v>0</v>
      </c>
      <c r="AF230" s="131">
        <f>IF(AQ230="2",BH230,0)</f>
        <v>0</v>
      </c>
      <c r="AG230" s="131">
        <f>IF(AQ230="2",BI230,0)</f>
        <v>0</v>
      </c>
      <c r="AH230" s="131">
        <f>IF(AQ230="0",BJ230,0)</f>
        <v>0</v>
      </c>
      <c r="AI230" s="115" t="s">
        <v>837</v>
      </c>
      <c r="AJ230" s="131">
        <f>IF(AN230=0,J230,0)</f>
        <v>0</v>
      </c>
      <c r="AK230" s="131">
        <f>IF(AN230=12,J230,0)</f>
        <v>0</v>
      </c>
      <c r="AL230" s="131">
        <f>IF(AN230=21,J230,0)</f>
        <v>0</v>
      </c>
      <c r="AN230" s="131">
        <v>21</v>
      </c>
      <c r="AO230" s="131">
        <f>G230*0</f>
        <v>0</v>
      </c>
      <c r="AP230" s="131">
        <f>G230*(1-0)</f>
        <v>0</v>
      </c>
      <c r="AQ230" s="132" t="s">
        <v>405</v>
      </c>
      <c r="AV230" s="131">
        <f>AW230+AX230</f>
        <v>0</v>
      </c>
      <c r="AW230" s="131">
        <f>F230*AO230</f>
        <v>0</v>
      </c>
      <c r="AX230" s="131">
        <f>F230*AP230</f>
        <v>0</v>
      </c>
      <c r="AY230" s="132" t="s">
        <v>429</v>
      </c>
      <c r="AZ230" s="132" t="s">
        <v>902</v>
      </c>
      <c r="BA230" s="115" t="s">
        <v>840</v>
      </c>
      <c r="BC230" s="131">
        <f>AW230+AX230</f>
        <v>0</v>
      </c>
      <c r="BD230" s="131">
        <f>G230/(100-BE230)*100</f>
        <v>0</v>
      </c>
      <c r="BE230" s="131">
        <v>0</v>
      </c>
      <c r="BF230" s="131">
        <f>230</f>
        <v>230</v>
      </c>
      <c r="BH230" s="131">
        <f>F230*AO230</f>
        <v>0</v>
      </c>
      <c r="BI230" s="131">
        <f>F230*AP230</f>
        <v>0</v>
      </c>
      <c r="BJ230" s="131">
        <f>F230*G230</f>
        <v>0</v>
      </c>
      <c r="BK230" s="131"/>
      <c r="BL230" s="131"/>
      <c r="BR230" s="131">
        <f>F230*G230</f>
        <v>0</v>
      </c>
      <c r="BW230" s="131">
        <v>21</v>
      </c>
      <c r="BX230" s="133" t="s">
        <v>428</v>
      </c>
    </row>
    <row r="231" spans="1:76" x14ac:dyDescent="0.25">
      <c r="A231" s="123" t="s">
        <v>53</v>
      </c>
      <c r="B231" s="124" t="s">
        <v>53</v>
      </c>
      <c r="C231" s="272" t="s">
        <v>905</v>
      </c>
      <c r="D231" s="273"/>
      <c r="E231" s="125" t="s">
        <v>9</v>
      </c>
      <c r="F231" s="125" t="s">
        <v>9</v>
      </c>
      <c r="G231" s="125" t="s">
        <v>9</v>
      </c>
      <c r="H231" s="110">
        <f>H232+H235+H237+H240+H243+H248+H252+H254+H257+H264+H266+H278+H280+H282</f>
        <v>0</v>
      </c>
      <c r="I231" s="110">
        <f>I232+I235+I237+I240+I243+I248+I252+I254+I257+I264+I266+I278+I280+I282</f>
        <v>0</v>
      </c>
      <c r="J231" s="110">
        <f>J232+J235+J237+J240+J243+J248+J252+J254+J257+J264+J266+J278+J280+J282</f>
        <v>0</v>
      </c>
      <c r="K231" s="126" t="s">
        <v>53</v>
      </c>
    </row>
    <row r="232" spans="1:76" x14ac:dyDescent="0.25">
      <c r="A232" s="123" t="s">
        <v>53</v>
      </c>
      <c r="B232" s="124" t="s">
        <v>54</v>
      </c>
      <c r="C232" s="272" t="s">
        <v>55</v>
      </c>
      <c r="D232" s="273"/>
      <c r="E232" s="125" t="s">
        <v>9</v>
      </c>
      <c r="F232" s="125" t="s">
        <v>9</v>
      </c>
      <c r="G232" s="125" t="s">
        <v>9</v>
      </c>
      <c r="H232" s="110">
        <f>SUM(H233:H234)</f>
        <v>0</v>
      </c>
      <c r="I232" s="110">
        <f>SUM(I233:I234)</f>
        <v>0</v>
      </c>
      <c r="J232" s="110">
        <f>SUM(J233:J234)</f>
        <v>0</v>
      </c>
      <c r="K232" s="126" t="s">
        <v>53</v>
      </c>
      <c r="AI232" s="115" t="s">
        <v>906</v>
      </c>
      <c r="AS232" s="110">
        <f>SUM(AJ233:AJ234)</f>
        <v>0</v>
      </c>
      <c r="AT232" s="110">
        <f>SUM(AK233:AK234)</f>
        <v>0</v>
      </c>
      <c r="AU232" s="110">
        <f>SUM(AL233:AL234)</f>
        <v>0</v>
      </c>
    </row>
    <row r="233" spans="1:76" x14ac:dyDescent="0.25">
      <c r="A233" s="134" t="s">
        <v>907</v>
      </c>
      <c r="B233" s="135" t="s">
        <v>703</v>
      </c>
      <c r="C233" s="270" t="s">
        <v>704</v>
      </c>
      <c r="D233" s="271"/>
      <c r="E233" s="135" t="s">
        <v>705</v>
      </c>
      <c r="F233" s="131">
        <v>1</v>
      </c>
      <c r="G233" s="179">
        <v>0</v>
      </c>
      <c r="H233" s="131">
        <f>F233*AO233</f>
        <v>0</v>
      </c>
      <c r="I233" s="131">
        <f>F233*AP233</f>
        <v>0</v>
      </c>
      <c r="J233" s="131">
        <f>F233*G233</f>
        <v>0</v>
      </c>
      <c r="K233" s="136" t="s">
        <v>60</v>
      </c>
      <c r="Z233" s="131">
        <f>IF(AQ233="5",BJ233,0)</f>
        <v>0</v>
      </c>
      <c r="AB233" s="131">
        <f>IF(AQ233="1",BH233,0)</f>
        <v>0</v>
      </c>
      <c r="AC233" s="131">
        <f>IF(AQ233="1",BI233,0)</f>
        <v>0</v>
      </c>
      <c r="AD233" s="131">
        <f>IF(AQ233="7",BH233,0)</f>
        <v>0</v>
      </c>
      <c r="AE233" s="131">
        <f>IF(AQ233="7",BI233,0)</f>
        <v>0</v>
      </c>
      <c r="AF233" s="131">
        <f>IF(AQ233="2",BH233,0)</f>
        <v>0</v>
      </c>
      <c r="AG233" s="131">
        <f>IF(AQ233="2",BI233,0)</f>
        <v>0</v>
      </c>
      <c r="AH233" s="131">
        <f>IF(AQ233="0",BJ233,0)</f>
        <v>0</v>
      </c>
      <c r="AI233" s="115" t="s">
        <v>906</v>
      </c>
      <c r="AJ233" s="131">
        <f>IF(AN233=0,J233,0)</f>
        <v>0</v>
      </c>
      <c r="AK233" s="131">
        <f>IF(AN233=12,J233,0)</f>
        <v>0</v>
      </c>
      <c r="AL233" s="131">
        <f>IF(AN233=21,J233,0)</f>
        <v>0</v>
      </c>
      <c r="AN233" s="131">
        <v>21</v>
      </c>
      <c r="AO233" s="131">
        <f>G233*0</f>
        <v>0</v>
      </c>
      <c r="AP233" s="131">
        <f>G233*(1-0)</f>
        <v>0</v>
      </c>
      <c r="AQ233" s="132" t="s">
        <v>56</v>
      </c>
      <c r="AV233" s="131">
        <f>AW233+AX233</f>
        <v>0</v>
      </c>
      <c r="AW233" s="131">
        <f>F233*AO233</f>
        <v>0</v>
      </c>
      <c r="AX233" s="131">
        <f>F233*AP233</f>
        <v>0</v>
      </c>
      <c r="AY233" s="132" t="s">
        <v>61</v>
      </c>
      <c r="AZ233" s="132" t="s">
        <v>908</v>
      </c>
      <c r="BA233" s="115" t="s">
        <v>909</v>
      </c>
      <c r="BC233" s="131">
        <f>AW233+AX233</f>
        <v>0</v>
      </c>
      <c r="BD233" s="131">
        <f>G233/(100-BE233)*100</f>
        <v>0</v>
      </c>
      <c r="BE233" s="131">
        <v>0</v>
      </c>
      <c r="BF233" s="131">
        <f>233</f>
        <v>233</v>
      </c>
      <c r="BH233" s="131">
        <f>F233*AO233</f>
        <v>0</v>
      </c>
      <c r="BI233" s="131">
        <f>F233*AP233</f>
        <v>0</v>
      </c>
      <c r="BJ233" s="131">
        <f>F233*G233</f>
        <v>0</v>
      </c>
      <c r="BK233" s="131"/>
      <c r="BL233" s="131">
        <v>11</v>
      </c>
      <c r="BW233" s="131">
        <v>21</v>
      </c>
      <c r="BX233" s="133" t="s">
        <v>704</v>
      </c>
    </row>
    <row r="234" spans="1:76" x14ac:dyDescent="0.25">
      <c r="A234" s="134" t="s">
        <v>910</v>
      </c>
      <c r="B234" s="135" t="s">
        <v>911</v>
      </c>
      <c r="C234" s="270" t="s">
        <v>912</v>
      </c>
      <c r="D234" s="271"/>
      <c r="E234" s="135" t="s">
        <v>67</v>
      </c>
      <c r="F234" s="131">
        <v>2</v>
      </c>
      <c r="G234" s="179">
        <v>0</v>
      </c>
      <c r="H234" s="131">
        <f>F234*AO234</f>
        <v>0</v>
      </c>
      <c r="I234" s="131">
        <f>F234*AP234</f>
        <v>0</v>
      </c>
      <c r="J234" s="131">
        <f>F234*G234</f>
        <v>0</v>
      </c>
      <c r="K234" s="136" t="s">
        <v>60</v>
      </c>
      <c r="Z234" s="131">
        <f>IF(AQ234="5",BJ234,0)</f>
        <v>0</v>
      </c>
      <c r="AB234" s="131">
        <f>IF(AQ234="1",BH234,0)</f>
        <v>0</v>
      </c>
      <c r="AC234" s="131">
        <f>IF(AQ234="1",BI234,0)</f>
        <v>0</v>
      </c>
      <c r="AD234" s="131">
        <f>IF(AQ234="7",BH234,0)</f>
        <v>0</v>
      </c>
      <c r="AE234" s="131">
        <f>IF(AQ234="7",BI234,0)</f>
        <v>0</v>
      </c>
      <c r="AF234" s="131">
        <f>IF(AQ234="2",BH234,0)</f>
        <v>0</v>
      </c>
      <c r="AG234" s="131">
        <f>IF(AQ234="2",BI234,0)</f>
        <v>0</v>
      </c>
      <c r="AH234" s="131">
        <f>IF(AQ234="0",BJ234,0)</f>
        <v>0</v>
      </c>
      <c r="AI234" s="115" t="s">
        <v>906</v>
      </c>
      <c r="AJ234" s="131">
        <f>IF(AN234=0,J234,0)</f>
        <v>0</v>
      </c>
      <c r="AK234" s="131">
        <f>IF(AN234=12,J234,0)</f>
        <v>0</v>
      </c>
      <c r="AL234" s="131">
        <f>IF(AN234=21,J234,0)</f>
        <v>0</v>
      </c>
      <c r="AN234" s="131">
        <v>21</v>
      </c>
      <c r="AO234" s="131">
        <f>G234*0.270554622</f>
        <v>0</v>
      </c>
      <c r="AP234" s="131">
        <f>G234*(1-0.270554622)</f>
        <v>0</v>
      </c>
      <c r="AQ234" s="132" t="s">
        <v>56</v>
      </c>
      <c r="AV234" s="131">
        <f>AW234+AX234</f>
        <v>0</v>
      </c>
      <c r="AW234" s="131">
        <f>F234*AO234</f>
        <v>0</v>
      </c>
      <c r="AX234" s="131">
        <f>F234*AP234</f>
        <v>0</v>
      </c>
      <c r="AY234" s="132" t="s">
        <v>61</v>
      </c>
      <c r="AZ234" s="132" t="s">
        <v>908</v>
      </c>
      <c r="BA234" s="115" t="s">
        <v>909</v>
      </c>
      <c r="BC234" s="131">
        <f>AW234+AX234</f>
        <v>0</v>
      </c>
      <c r="BD234" s="131">
        <f>G234/(100-BE234)*100</f>
        <v>0</v>
      </c>
      <c r="BE234" s="131">
        <v>0</v>
      </c>
      <c r="BF234" s="131">
        <f>234</f>
        <v>234</v>
      </c>
      <c r="BH234" s="131">
        <f>F234*AO234</f>
        <v>0</v>
      </c>
      <c r="BI234" s="131">
        <f>F234*AP234</f>
        <v>0</v>
      </c>
      <c r="BJ234" s="131">
        <f>F234*G234</f>
        <v>0</v>
      </c>
      <c r="BK234" s="131"/>
      <c r="BL234" s="131">
        <v>11</v>
      </c>
      <c r="BW234" s="131">
        <v>21</v>
      </c>
      <c r="BX234" s="133" t="s">
        <v>912</v>
      </c>
    </row>
    <row r="235" spans="1:76" x14ac:dyDescent="0.25">
      <c r="A235" s="123" t="s">
        <v>53</v>
      </c>
      <c r="B235" s="124" t="s">
        <v>74</v>
      </c>
      <c r="C235" s="272" t="s">
        <v>75</v>
      </c>
      <c r="D235" s="273"/>
      <c r="E235" s="125" t="s">
        <v>9</v>
      </c>
      <c r="F235" s="125" t="s">
        <v>9</v>
      </c>
      <c r="G235" s="125" t="s">
        <v>9</v>
      </c>
      <c r="H235" s="110">
        <f>SUM(H236:H236)</f>
        <v>0</v>
      </c>
      <c r="I235" s="110">
        <f>SUM(I236:I236)</f>
        <v>0</v>
      </c>
      <c r="J235" s="110">
        <f>SUM(J236:J236)</f>
        <v>0</v>
      </c>
      <c r="K235" s="126" t="s">
        <v>53</v>
      </c>
      <c r="AI235" s="115" t="s">
        <v>906</v>
      </c>
      <c r="AS235" s="110">
        <f>SUM(AJ236:AJ236)</f>
        <v>0</v>
      </c>
      <c r="AT235" s="110">
        <f>SUM(AK236:AK236)</f>
        <v>0</v>
      </c>
      <c r="AU235" s="110">
        <f>SUM(AL236:AL236)</f>
        <v>0</v>
      </c>
    </row>
    <row r="236" spans="1:76" x14ac:dyDescent="0.25">
      <c r="A236" s="134" t="s">
        <v>913</v>
      </c>
      <c r="B236" s="135" t="s">
        <v>914</v>
      </c>
      <c r="C236" s="270" t="s">
        <v>915</v>
      </c>
      <c r="D236" s="271"/>
      <c r="E236" s="135" t="s">
        <v>79</v>
      </c>
      <c r="F236" s="131">
        <v>4.16</v>
      </c>
      <c r="G236" s="179">
        <v>0</v>
      </c>
      <c r="H236" s="131">
        <f>F236*AO236</f>
        <v>0</v>
      </c>
      <c r="I236" s="131">
        <f>F236*AP236</f>
        <v>0</v>
      </c>
      <c r="J236" s="131">
        <f>F236*G236</f>
        <v>0</v>
      </c>
      <c r="K236" s="136" t="s">
        <v>60</v>
      </c>
      <c r="Z236" s="131">
        <f>IF(AQ236="5",BJ236,0)</f>
        <v>0</v>
      </c>
      <c r="AB236" s="131">
        <f>IF(AQ236="1",BH236,0)</f>
        <v>0</v>
      </c>
      <c r="AC236" s="131">
        <f>IF(AQ236="1",BI236,0)</f>
        <v>0</v>
      </c>
      <c r="AD236" s="131">
        <f>IF(AQ236="7",BH236,0)</f>
        <v>0</v>
      </c>
      <c r="AE236" s="131">
        <f>IF(AQ236="7",BI236,0)</f>
        <v>0</v>
      </c>
      <c r="AF236" s="131">
        <f>IF(AQ236="2",BH236,0)</f>
        <v>0</v>
      </c>
      <c r="AG236" s="131">
        <f>IF(AQ236="2",BI236,0)</f>
        <v>0</v>
      </c>
      <c r="AH236" s="131">
        <f>IF(AQ236="0",BJ236,0)</f>
        <v>0</v>
      </c>
      <c r="AI236" s="115" t="s">
        <v>906</v>
      </c>
      <c r="AJ236" s="131">
        <f>IF(AN236=0,J236,0)</f>
        <v>0</v>
      </c>
      <c r="AK236" s="131">
        <f>IF(AN236=12,J236,0)</f>
        <v>0</v>
      </c>
      <c r="AL236" s="131">
        <f>IF(AN236=21,J236,0)</f>
        <v>0</v>
      </c>
      <c r="AN236" s="131">
        <v>21</v>
      </c>
      <c r="AO236" s="131">
        <f>G236*0</f>
        <v>0</v>
      </c>
      <c r="AP236" s="131">
        <f>G236*(1-0)</f>
        <v>0</v>
      </c>
      <c r="AQ236" s="132" t="s">
        <v>56</v>
      </c>
      <c r="AV236" s="131">
        <f>AW236+AX236</f>
        <v>0</v>
      </c>
      <c r="AW236" s="131">
        <f>F236*AO236</f>
        <v>0</v>
      </c>
      <c r="AX236" s="131">
        <f>F236*AP236</f>
        <v>0</v>
      </c>
      <c r="AY236" s="132" t="s">
        <v>80</v>
      </c>
      <c r="AZ236" s="132" t="s">
        <v>908</v>
      </c>
      <c r="BA236" s="115" t="s">
        <v>909</v>
      </c>
      <c r="BC236" s="131">
        <f>AW236+AX236</f>
        <v>0</v>
      </c>
      <c r="BD236" s="131">
        <f>G236/(100-BE236)*100</f>
        <v>0</v>
      </c>
      <c r="BE236" s="131">
        <v>0</v>
      </c>
      <c r="BF236" s="131">
        <f>236</f>
        <v>236</v>
      </c>
      <c r="BH236" s="131">
        <f>F236*AO236</f>
        <v>0</v>
      </c>
      <c r="BI236" s="131">
        <f>F236*AP236</f>
        <v>0</v>
      </c>
      <c r="BJ236" s="131">
        <f>F236*G236</f>
        <v>0</v>
      </c>
      <c r="BK236" s="131"/>
      <c r="BL236" s="131">
        <v>12</v>
      </c>
      <c r="BW236" s="131">
        <v>21</v>
      </c>
      <c r="BX236" s="133" t="s">
        <v>915</v>
      </c>
    </row>
    <row r="237" spans="1:76" x14ac:dyDescent="0.25">
      <c r="A237" s="123" t="s">
        <v>53</v>
      </c>
      <c r="B237" s="124" t="s">
        <v>96</v>
      </c>
      <c r="C237" s="272" t="s">
        <v>97</v>
      </c>
      <c r="D237" s="273"/>
      <c r="E237" s="125" t="s">
        <v>9</v>
      </c>
      <c r="F237" s="125" t="s">
        <v>9</v>
      </c>
      <c r="G237" s="125" t="s">
        <v>9</v>
      </c>
      <c r="H237" s="110">
        <f>SUM(H238:H239)</f>
        <v>0</v>
      </c>
      <c r="I237" s="110">
        <f>SUM(I238:I239)</f>
        <v>0</v>
      </c>
      <c r="J237" s="110">
        <f>SUM(J238:J239)</f>
        <v>0</v>
      </c>
      <c r="K237" s="126" t="s">
        <v>53</v>
      </c>
      <c r="AI237" s="115" t="s">
        <v>906</v>
      </c>
      <c r="AS237" s="110">
        <f>SUM(AJ238:AJ239)</f>
        <v>0</v>
      </c>
      <c r="AT237" s="110">
        <f>SUM(AK238:AK239)</f>
        <v>0</v>
      </c>
      <c r="AU237" s="110">
        <f>SUM(AL238:AL239)</f>
        <v>0</v>
      </c>
    </row>
    <row r="238" spans="1:76" x14ac:dyDescent="0.25">
      <c r="A238" s="134" t="s">
        <v>916</v>
      </c>
      <c r="B238" s="135" t="s">
        <v>775</v>
      </c>
      <c r="C238" s="270" t="s">
        <v>776</v>
      </c>
      <c r="D238" s="271"/>
      <c r="E238" s="135" t="s">
        <v>79</v>
      </c>
      <c r="F238" s="131">
        <v>39.1</v>
      </c>
      <c r="G238" s="179">
        <v>0</v>
      </c>
      <c r="H238" s="131">
        <f>F238*AO238</f>
        <v>0</v>
      </c>
      <c r="I238" s="131">
        <f>F238*AP238</f>
        <v>0</v>
      </c>
      <c r="J238" s="131">
        <f>F238*G238</f>
        <v>0</v>
      </c>
      <c r="K238" s="136" t="s">
        <v>60</v>
      </c>
      <c r="Z238" s="131">
        <f>IF(AQ238="5",BJ238,0)</f>
        <v>0</v>
      </c>
      <c r="AB238" s="131">
        <f>IF(AQ238="1",BH238,0)</f>
        <v>0</v>
      </c>
      <c r="AC238" s="131">
        <f>IF(AQ238="1",BI238,0)</f>
        <v>0</v>
      </c>
      <c r="AD238" s="131">
        <f>IF(AQ238="7",BH238,0)</f>
        <v>0</v>
      </c>
      <c r="AE238" s="131">
        <f>IF(AQ238="7",BI238,0)</f>
        <v>0</v>
      </c>
      <c r="AF238" s="131">
        <f>IF(AQ238="2",BH238,0)</f>
        <v>0</v>
      </c>
      <c r="AG238" s="131">
        <f>IF(AQ238="2",BI238,0)</f>
        <v>0</v>
      </c>
      <c r="AH238" s="131">
        <f>IF(AQ238="0",BJ238,0)</f>
        <v>0</v>
      </c>
      <c r="AI238" s="115" t="s">
        <v>906</v>
      </c>
      <c r="AJ238" s="131">
        <f>IF(AN238=0,J238,0)</f>
        <v>0</v>
      </c>
      <c r="AK238" s="131">
        <f>IF(AN238=12,J238,0)</f>
        <v>0</v>
      </c>
      <c r="AL238" s="131">
        <f>IF(AN238=21,J238,0)</f>
        <v>0</v>
      </c>
      <c r="AN238" s="131">
        <v>21</v>
      </c>
      <c r="AO238" s="131">
        <f>G238*0</f>
        <v>0</v>
      </c>
      <c r="AP238" s="131">
        <f>G238*(1-0)</f>
        <v>0</v>
      </c>
      <c r="AQ238" s="132" t="s">
        <v>56</v>
      </c>
      <c r="AV238" s="131">
        <f>AW238+AX238</f>
        <v>0</v>
      </c>
      <c r="AW238" s="131">
        <f>F238*AO238</f>
        <v>0</v>
      </c>
      <c r="AX238" s="131">
        <f>F238*AP238</f>
        <v>0</v>
      </c>
      <c r="AY238" s="132" t="s">
        <v>100</v>
      </c>
      <c r="AZ238" s="132" t="s">
        <v>908</v>
      </c>
      <c r="BA238" s="115" t="s">
        <v>909</v>
      </c>
      <c r="BC238" s="131">
        <f>AW238+AX238</f>
        <v>0</v>
      </c>
      <c r="BD238" s="131">
        <f>G238/(100-BE238)*100</f>
        <v>0</v>
      </c>
      <c r="BE238" s="131">
        <v>0</v>
      </c>
      <c r="BF238" s="131">
        <f>238</f>
        <v>238</v>
      </c>
      <c r="BH238" s="131">
        <f>F238*AO238</f>
        <v>0</v>
      </c>
      <c r="BI238" s="131">
        <f>F238*AP238</f>
        <v>0</v>
      </c>
      <c r="BJ238" s="131">
        <f>F238*G238</f>
        <v>0</v>
      </c>
      <c r="BK238" s="131"/>
      <c r="BL238" s="131">
        <v>13</v>
      </c>
      <c r="BW238" s="131">
        <v>21</v>
      </c>
      <c r="BX238" s="133" t="s">
        <v>776</v>
      </c>
    </row>
    <row r="239" spans="1:76" x14ac:dyDescent="0.25">
      <c r="A239" s="134" t="s">
        <v>917</v>
      </c>
      <c r="B239" s="135" t="s">
        <v>777</v>
      </c>
      <c r="C239" s="270" t="s">
        <v>778</v>
      </c>
      <c r="D239" s="271"/>
      <c r="E239" s="135" t="s">
        <v>79</v>
      </c>
      <c r="F239" s="131">
        <v>58.66</v>
      </c>
      <c r="G239" s="179">
        <v>0</v>
      </c>
      <c r="H239" s="131">
        <f>F239*AO239</f>
        <v>0</v>
      </c>
      <c r="I239" s="131">
        <f>F239*AP239</f>
        <v>0</v>
      </c>
      <c r="J239" s="131">
        <f>F239*G239</f>
        <v>0</v>
      </c>
      <c r="K239" s="136" t="s">
        <v>60</v>
      </c>
      <c r="Z239" s="131">
        <f>IF(AQ239="5",BJ239,0)</f>
        <v>0</v>
      </c>
      <c r="AB239" s="131">
        <f>IF(AQ239="1",BH239,0)</f>
        <v>0</v>
      </c>
      <c r="AC239" s="131">
        <f>IF(AQ239="1",BI239,0)</f>
        <v>0</v>
      </c>
      <c r="AD239" s="131">
        <f>IF(AQ239="7",BH239,0)</f>
        <v>0</v>
      </c>
      <c r="AE239" s="131">
        <f>IF(AQ239="7",BI239,0)</f>
        <v>0</v>
      </c>
      <c r="AF239" s="131">
        <f>IF(AQ239="2",BH239,0)</f>
        <v>0</v>
      </c>
      <c r="AG239" s="131">
        <f>IF(AQ239="2",BI239,0)</f>
        <v>0</v>
      </c>
      <c r="AH239" s="131">
        <f>IF(AQ239="0",BJ239,0)</f>
        <v>0</v>
      </c>
      <c r="AI239" s="115" t="s">
        <v>906</v>
      </c>
      <c r="AJ239" s="131">
        <f>IF(AN239=0,J239,0)</f>
        <v>0</v>
      </c>
      <c r="AK239" s="131">
        <f>IF(AN239=12,J239,0)</f>
        <v>0</v>
      </c>
      <c r="AL239" s="131">
        <f>IF(AN239=21,J239,0)</f>
        <v>0</v>
      </c>
      <c r="AN239" s="131">
        <v>21</v>
      </c>
      <c r="AO239" s="131">
        <f>G239*0</f>
        <v>0</v>
      </c>
      <c r="AP239" s="131">
        <f>G239*(1-0)</f>
        <v>0</v>
      </c>
      <c r="AQ239" s="132" t="s">
        <v>56</v>
      </c>
      <c r="AV239" s="131">
        <f>AW239+AX239</f>
        <v>0</v>
      </c>
      <c r="AW239" s="131">
        <f>F239*AO239</f>
        <v>0</v>
      </c>
      <c r="AX239" s="131">
        <f>F239*AP239</f>
        <v>0</v>
      </c>
      <c r="AY239" s="132" t="s">
        <v>100</v>
      </c>
      <c r="AZ239" s="132" t="s">
        <v>908</v>
      </c>
      <c r="BA239" s="115" t="s">
        <v>909</v>
      </c>
      <c r="BC239" s="131">
        <f>AW239+AX239</f>
        <v>0</v>
      </c>
      <c r="BD239" s="131">
        <f>G239/(100-BE239)*100</f>
        <v>0</v>
      </c>
      <c r="BE239" s="131">
        <v>0</v>
      </c>
      <c r="BF239" s="131">
        <f>239</f>
        <v>239</v>
      </c>
      <c r="BH239" s="131">
        <f>F239*AO239</f>
        <v>0</v>
      </c>
      <c r="BI239" s="131">
        <f>F239*AP239</f>
        <v>0</v>
      </c>
      <c r="BJ239" s="131">
        <f>F239*G239</f>
        <v>0</v>
      </c>
      <c r="BK239" s="131"/>
      <c r="BL239" s="131">
        <v>13</v>
      </c>
      <c r="BW239" s="131">
        <v>21</v>
      </c>
      <c r="BX239" s="133" t="s">
        <v>778</v>
      </c>
    </row>
    <row r="240" spans="1:76" x14ac:dyDescent="0.25">
      <c r="A240" s="123" t="s">
        <v>53</v>
      </c>
      <c r="B240" s="124" t="s">
        <v>111</v>
      </c>
      <c r="C240" s="272" t="s">
        <v>779</v>
      </c>
      <c r="D240" s="273"/>
      <c r="E240" s="125" t="s">
        <v>9</v>
      </c>
      <c r="F240" s="125" t="s">
        <v>9</v>
      </c>
      <c r="G240" s="125" t="s">
        <v>9</v>
      </c>
      <c r="H240" s="110">
        <f>SUM(H241:H242)</f>
        <v>0</v>
      </c>
      <c r="I240" s="110">
        <f>SUM(I241:I242)</f>
        <v>0</v>
      </c>
      <c r="J240" s="110">
        <f>SUM(J241:J242)</f>
        <v>0</v>
      </c>
      <c r="K240" s="126" t="s">
        <v>53</v>
      </c>
      <c r="AI240" s="115" t="s">
        <v>906</v>
      </c>
      <c r="AS240" s="110">
        <f>SUM(AJ241:AJ242)</f>
        <v>0</v>
      </c>
      <c r="AT240" s="110">
        <f>SUM(AK241:AK242)</f>
        <v>0</v>
      </c>
      <c r="AU240" s="110">
        <f>SUM(AL241:AL242)</f>
        <v>0</v>
      </c>
    </row>
    <row r="241" spans="1:76" x14ac:dyDescent="0.25">
      <c r="A241" s="134" t="s">
        <v>918</v>
      </c>
      <c r="B241" s="135" t="s">
        <v>780</v>
      </c>
      <c r="C241" s="270" t="s">
        <v>781</v>
      </c>
      <c r="D241" s="271"/>
      <c r="E241" s="135" t="s">
        <v>59</v>
      </c>
      <c r="F241" s="131">
        <v>94</v>
      </c>
      <c r="G241" s="179">
        <v>0</v>
      </c>
      <c r="H241" s="131">
        <f>F241*AO241</f>
        <v>0</v>
      </c>
      <c r="I241" s="131">
        <f>F241*AP241</f>
        <v>0</v>
      </c>
      <c r="J241" s="131">
        <f>F241*G241</f>
        <v>0</v>
      </c>
      <c r="K241" s="136" t="s">
        <v>60</v>
      </c>
      <c r="Z241" s="131">
        <f>IF(AQ241="5",BJ241,0)</f>
        <v>0</v>
      </c>
      <c r="AB241" s="131">
        <f>IF(AQ241="1",BH241,0)</f>
        <v>0</v>
      </c>
      <c r="AC241" s="131">
        <f>IF(AQ241="1",BI241,0)</f>
        <v>0</v>
      </c>
      <c r="AD241" s="131">
        <f>IF(AQ241="7",BH241,0)</f>
        <v>0</v>
      </c>
      <c r="AE241" s="131">
        <f>IF(AQ241="7",BI241,0)</f>
        <v>0</v>
      </c>
      <c r="AF241" s="131">
        <f>IF(AQ241="2",BH241,0)</f>
        <v>0</v>
      </c>
      <c r="AG241" s="131">
        <f>IF(AQ241="2",BI241,0)</f>
        <v>0</v>
      </c>
      <c r="AH241" s="131">
        <f>IF(AQ241="0",BJ241,0)</f>
        <v>0</v>
      </c>
      <c r="AI241" s="115" t="s">
        <v>906</v>
      </c>
      <c r="AJ241" s="131">
        <f>IF(AN241=0,J241,0)</f>
        <v>0</v>
      </c>
      <c r="AK241" s="131">
        <f>IF(AN241=12,J241,0)</f>
        <v>0</v>
      </c>
      <c r="AL241" s="131">
        <f>IF(AN241=21,J241,0)</f>
        <v>0</v>
      </c>
      <c r="AN241" s="131">
        <v>21</v>
      </c>
      <c r="AO241" s="131">
        <f>G241*0.091290323</f>
        <v>0</v>
      </c>
      <c r="AP241" s="131">
        <f>G241*(1-0.091290323)</f>
        <v>0</v>
      </c>
      <c r="AQ241" s="132" t="s">
        <v>56</v>
      </c>
      <c r="AV241" s="131">
        <f>AW241+AX241</f>
        <v>0</v>
      </c>
      <c r="AW241" s="131">
        <f>F241*AO241</f>
        <v>0</v>
      </c>
      <c r="AX241" s="131">
        <f>F241*AP241</f>
        <v>0</v>
      </c>
      <c r="AY241" s="132" t="s">
        <v>782</v>
      </c>
      <c r="AZ241" s="132" t="s">
        <v>908</v>
      </c>
      <c r="BA241" s="115" t="s">
        <v>909</v>
      </c>
      <c r="BC241" s="131">
        <f>AW241+AX241</f>
        <v>0</v>
      </c>
      <c r="BD241" s="131">
        <f>G241/(100-BE241)*100</f>
        <v>0</v>
      </c>
      <c r="BE241" s="131">
        <v>0</v>
      </c>
      <c r="BF241" s="131">
        <f>241</f>
        <v>241</v>
      </c>
      <c r="BH241" s="131">
        <f>F241*AO241</f>
        <v>0</v>
      </c>
      <c r="BI241" s="131">
        <f>F241*AP241</f>
        <v>0</v>
      </c>
      <c r="BJ241" s="131">
        <f>F241*G241</f>
        <v>0</v>
      </c>
      <c r="BK241" s="131"/>
      <c r="BL241" s="131">
        <v>15</v>
      </c>
      <c r="BW241" s="131">
        <v>21</v>
      </c>
      <c r="BX241" s="133" t="s">
        <v>781</v>
      </c>
    </row>
    <row r="242" spans="1:76" x14ac:dyDescent="0.25">
      <c r="A242" s="134" t="s">
        <v>919</v>
      </c>
      <c r="B242" s="135" t="s">
        <v>783</v>
      </c>
      <c r="C242" s="270" t="s">
        <v>784</v>
      </c>
      <c r="D242" s="271"/>
      <c r="E242" s="135" t="s">
        <v>59</v>
      </c>
      <c r="F242" s="131">
        <v>94</v>
      </c>
      <c r="G242" s="179">
        <v>0</v>
      </c>
      <c r="H242" s="131">
        <f>F242*AO242</f>
        <v>0</v>
      </c>
      <c r="I242" s="131">
        <f>F242*AP242</f>
        <v>0</v>
      </c>
      <c r="J242" s="131">
        <f>F242*G242</f>
        <v>0</v>
      </c>
      <c r="K242" s="136" t="s">
        <v>60</v>
      </c>
      <c r="Z242" s="131">
        <f>IF(AQ242="5",BJ242,0)</f>
        <v>0</v>
      </c>
      <c r="AB242" s="131">
        <f>IF(AQ242="1",BH242,0)</f>
        <v>0</v>
      </c>
      <c r="AC242" s="131">
        <f>IF(AQ242="1",BI242,0)</f>
        <v>0</v>
      </c>
      <c r="AD242" s="131">
        <f>IF(AQ242="7",BH242,0)</f>
        <v>0</v>
      </c>
      <c r="AE242" s="131">
        <f>IF(AQ242="7",BI242,0)</f>
        <v>0</v>
      </c>
      <c r="AF242" s="131">
        <f>IF(AQ242="2",BH242,0)</f>
        <v>0</v>
      </c>
      <c r="AG242" s="131">
        <f>IF(AQ242="2",BI242,0)</f>
        <v>0</v>
      </c>
      <c r="AH242" s="131">
        <f>IF(AQ242="0",BJ242,0)</f>
        <v>0</v>
      </c>
      <c r="AI242" s="115" t="s">
        <v>906</v>
      </c>
      <c r="AJ242" s="131">
        <f>IF(AN242=0,J242,0)</f>
        <v>0</v>
      </c>
      <c r="AK242" s="131">
        <f>IF(AN242=12,J242,0)</f>
        <v>0</v>
      </c>
      <c r="AL242" s="131">
        <f>IF(AN242=21,J242,0)</f>
        <v>0</v>
      </c>
      <c r="AN242" s="131">
        <v>21</v>
      </c>
      <c r="AO242" s="131">
        <f>G242*0</f>
        <v>0</v>
      </c>
      <c r="AP242" s="131">
        <f>G242*(1-0)</f>
        <v>0</v>
      </c>
      <c r="AQ242" s="132" t="s">
        <v>56</v>
      </c>
      <c r="AV242" s="131">
        <f>AW242+AX242</f>
        <v>0</v>
      </c>
      <c r="AW242" s="131">
        <f>F242*AO242</f>
        <v>0</v>
      </c>
      <c r="AX242" s="131">
        <f>F242*AP242</f>
        <v>0</v>
      </c>
      <c r="AY242" s="132" t="s">
        <v>782</v>
      </c>
      <c r="AZ242" s="132" t="s">
        <v>908</v>
      </c>
      <c r="BA242" s="115" t="s">
        <v>909</v>
      </c>
      <c r="BC242" s="131">
        <f>AW242+AX242</f>
        <v>0</v>
      </c>
      <c r="BD242" s="131">
        <f>G242/(100-BE242)*100</f>
        <v>0</v>
      </c>
      <c r="BE242" s="131">
        <v>0</v>
      </c>
      <c r="BF242" s="131">
        <f>242</f>
        <v>242</v>
      </c>
      <c r="BH242" s="131">
        <f>F242*AO242</f>
        <v>0</v>
      </c>
      <c r="BI242" s="131">
        <f>F242*AP242</f>
        <v>0</v>
      </c>
      <c r="BJ242" s="131">
        <f>F242*G242</f>
        <v>0</v>
      </c>
      <c r="BK242" s="131"/>
      <c r="BL242" s="131">
        <v>15</v>
      </c>
      <c r="BW242" s="131">
        <v>21</v>
      </c>
      <c r="BX242" s="133" t="s">
        <v>784</v>
      </c>
    </row>
    <row r="243" spans="1:76" x14ac:dyDescent="0.25">
      <c r="A243" s="123" t="s">
        <v>53</v>
      </c>
      <c r="B243" s="124" t="s">
        <v>101</v>
      </c>
      <c r="C243" s="272" t="s">
        <v>102</v>
      </c>
      <c r="D243" s="273"/>
      <c r="E243" s="125" t="s">
        <v>9</v>
      </c>
      <c r="F243" s="125" t="s">
        <v>9</v>
      </c>
      <c r="G243" s="125" t="s">
        <v>9</v>
      </c>
      <c r="H243" s="110">
        <f>SUM(H244:H247)</f>
        <v>0</v>
      </c>
      <c r="I243" s="110">
        <f>SUM(I244:I247)</f>
        <v>0</v>
      </c>
      <c r="J243" s="110">
        <f>SUM(J244:J247)</f>
        <v>0</v>
      </c>
      <c r="K243" s="126" t="s">
        <v>53</v>
      </c>
      <c r="AI243" s="115" t="s">
        <v>906</v>
      </c>
      <c r="AS243" s="110">
        <f>SUM(AJ244:AJ247)</f>
        <v>0</v>
      </c>
      <c r="AT243" s="110">
        <f>SUM(AK244:AK247)</f>
        <v>0</v>
      </c>
      <c r="AU243" s="110">
        <f>SUM(AL244:AL247)</f>
        <v>0</v>
      </c>
    </row>
    <row r="244" spans="1:76" x14ac:dyDescent="0.25">
      <c r="A244" s="134" t="s">
        <v>920</v>
      </c>
      <c r="B244" s="135" t="s">
        <v>921</v>
      </c>
      <c r="C244" s="270" t="s">
        <v>922</v>
      </c>
      <c r="D244" s="271"/>
      <c r="E244" s="135" t="s">
        <v>79</v>
      </c>
      <c r="F244" s="131">
        <v>4.16</v>
      </c>
      <c r="G244" s="179">
        <v>0</v>
      </c>
      <c r="H244" s="131">
        <f>F244*AO244</f>
        <v>0</v>
      </c>
      <c r="I244" s="131">
        <f>F244*AP244</f>
        <v>0</v>
      </c>
      <c r="J244" s="131">
        <f>F244*G244</f>
        <v>0</v>
      </c>
      <c r="K244" s="136" t="s">
        <v>60</v>
      </c>
      <c r="Z244" s="131">
        <f>IF(AQ244="5",BJ244,0)</f>
        <v>0</v>
      </c>
      <c r="AB244" s="131">
        <f>IF(AQ244="1",BH244,0)</f>
        <v>0</v>
      </c>
      <c r="AC244" s="131">
        <f>IF(AQ244="1",BI244,0)</f>
        <v>0</v>
      </c>
      <c r="AD244" s="131">
        <f>IF(AQ244="7",BH244,0)</f>
        <v>0</v>
      </c>
      <c r="AE244" s="131">
        <f>IF(AQ244="7",BI244,0)</f>
        <v>0</v>
      </c>
      <c r="AF244" s="131">
        <f>IF(AQ244="2",BH244,0)</f>
        <v>0</v>
      </c>
      <c r="AG244" s="131">
        <f>IF(AQ244="2",BI244,0)</f>
        <v>0</v>
      </c>
      <c r="AH244" s="131">
        <f>IF(AQ244="0",BJ244,0)</f>
        <v>0</v>
      </c>
      <c r="AI244" s="115" t="s">
        <v>906</v>
      </c>
      <c r="AJ244" s="131">
        <f>IF(AN244=0,J244,0)</f>
        <v>0</v>
      </c>
      <c r="AK244" s="131">
        <f>IF(AN244=12,J244,0)</f>
        <v>0</v>
      </c>
      <c r="AL244" s="131">
        <f>IF(AN244=21,J244,0)</f>
        <v>0</v>
      </c>
      <c r="AN244" s="131">
        <v>21</v>
      </c>
      <c r="AO244" s="131">
        <f>G244*0</f>
        <v>0</v>
      </c>
      <c r="AP244" s="131">
        <f>G244*(1-0)</f>
        <v>0</v>
      </c>
      <c r="AQ244" s="132" t="s">
        <v>56</v>
      </c>
      <c r="AV244" s="131">
        <f>AW244+AX244</f>
        <v>0</v>
      </c>
      <c r="AW244" s="131">
        <f>F244*AO244</f>
        <v>0</v>
      </c>
      <c r="AX244" s="131">
        <f>F244*AP244</f>
        <v>0</v>
      </c>
      <c r="AY244" s="132" t="s">
        <v>105</v>
      </c>
      <c r="AZ244" s="132" t="s">
        <v>908</v>
      </c>
      <c r="BA244" s="115" t="s">
        <v>909</v>
      </c>
      <c r="BC244" s="131">
        <f>AW244+AX244</f>
        <v>0</v>
      </c>
      <c r="BD244" s="131">
        <f>G244/(100-BE244)*100</f>
        <v>0</v>
      </c>
      <c r="BE244" s="131">
        <v>0</v>
      </c>
      <c r="BF244" s="131">
        <f>244</f>
        <v>244</v>
      </c>
      <c r="BH244" s="131">
        <f>F244*AO244</f>
        <v>0</v>
      </c>
      <c r="BI244" s="131">
        <f>F244*AP244</f>
        <v>0</v>
      </c>
      <c r="BJ244" s="131">
        <f>F244*G244</f>
        <v>0</v>
      </c>
      <c r="BK244" s="131"/>
      <c r="BL244" s="131">
        <v>16</v>
      </c>
      <c r="BW244" s="131">
        <v>21</v>
      </c>
      <c r="BX244" s="133" t="s">
        <v>922</v>
      </c>
    </row>
    <row r="245" spans="1:76" x14ac:dyDescent="0.25">
      <c r="A245" s="134" t="s">
        <v>923</v>
      </c>
      <c r="B245" s="135" t="s">
        <v>114</v>
      </c>
      <c r="C245" s="270" t="s">
        <v>785</v>
      </c>
      <c r="D245" s="271"/>
      <c r="E245" s="135" t="s">
        <v>79</v>
      </c>
      <c r="F245" s="131">
        <v>39.33</v>
      </c>
      <c r="G245" s="179">
        <v>0</v>
      </c>
      <c r="H245" s="131">
        <f>F245*AO245</f>
        <v>0</v>
      </c>
      <c r="I245" s="131">
        <f>F245*AP245</f>
        <v>0</v>
      </c>
      <c r="J245" s="131">
        <f>F245*G245</f>
        <v>0</v>
      </c>
      <c r="K245" s="136" t="s">
        <v>60</v>
      </c>
      <c r="Z245" s="131">
        <f>IF(AQ245="5",BJ245,0)</f>
        <v>0</v>
      </c>
      <c r="AB245" s="131">
        <f>IF(AQ245="1",BH245,0)</f>
        <v>0</v>
      </c>
      <c r="AC245" s="131">
        <f>IF(AQ245="1",BI245,0)</f>
        <v>0</v>
      </c>
      <c r="AD245" s="131">
        <f>IF(AQ245="7",BH245,0)</f>
        <v>0</v>
      </c>
      <c r="AE245" s="131">
        <f>IF(AQ245="7",BI245,0)</f>
        <v>0</v>
      </c>
      <c r="AF245" s="131">
        <f>IF(AQ245="2",BH245,0)</f>
        <v>0</v>
      </c>
      <c r="AG245" s="131">
        <f>IF(AQ245="2",BI245,0)</f>
        <v>0</v>
      </c>
      <c r="AH245" s="131">
        <f>IF(AQ245="0",BJ245,0)</f>
        <v>0</v>
      </c>
      <c r="AI245" s="115" t="s">
        <v>906</v>
      </c>
      <c r="AJ245" s="131">
        <f>IF(AN245=0,J245,0)</f>
        <v>0</v>
      </c>
      <c r="AK245" s="131">
        <f>IF(AN245=12,J245,0)</f>
        <v>0</v>
      </c>
      <c r="AL245" s="131">
        <f>IF(AN245=21,J245,0)</f>
        <v>0</v>
      </c>
      <c r="AN245" s="131">
        <v>21</v>
      </c>
      <c r="AO245" s="131">
        <f>G245*0</f>
        <v>0</v>
      </c>
      <c r="AP245" s="131">
        <f>G245*(1-0)</f>
        <v>0</v>
      </c>
      <c r="AQ245" s="132" t="s">
        <v>56</v>
      </c>
      <c r="AV245" s="131">
        <f>AW245+AX245</f>
        <v>0</v>
      </c>
      <c r="AW245" s="131">
        <f>F245*AO245</f>
        <v>0</v>
      </c>
      <c r="AX245" s="131">
        <f>F245*AP245</f>
        <v>0</v>
      </c>
      <c r="AY245" s="132" t="s">
        <v>105</v>
      </c>
      <c r="AZ245" s="132" t="s">
        <v>908</v>
      </c>
      <c r="BA245" s="115" t="s">
        <v>909</v>
      </c>
      <c r="BC245" s="131">
        <f>AW245+AX245</f>
        <v>0</v>
      </c>
      <c r="BD245" s="131">
        <f>G245/(100-BE245)*100</f>
        <v>0</v>
      </c>
      <c r="BE245" s="131">
        <v>0</v>
      </c>
      <c r="BF245" s="131">
        <f>245</f>
        <v>245</v>
      </c>
      <c r="BH245" s="131">
        <f>F245*AO245</f>
        <v>0</v>
      </c>
      <c r="BI245" s="131">
        <f>F245*AP245</f>
        <v>0</v>
      </c>
      <c r="BJ245" s="131">
        <f>F245*G245</f>
        <v>0</v>
      </c>
      <c r="BK245" s="131"/>
      <c r="BL245" s="131">
        <v>16</v>
      </c>
      <c r="BW245" s="131">
        <v>21</v>
      </c>
      <c r="BX245" s="133" t="s">
        <v>785</v>
      </c>
    </row>
    <row r="246" spans="1:76" x14ac:dyDescent="0.25">
      <c r="A246" s="134" t="s">
        <v>924</v>
      </c>
      <c r="B246" s="135" t="s">
        <v>117</v>
      </c>
      <c r="C246" s="270" t="s">
        <v>118</v>
      </c>
      <c r="D246" s="271"/>
      <c r="E246" s="135" t="s">
        <v>79</v>
      </c>
      <c r="F246" s="131">
        <v>393.3</v>
      </c>
      <c r="G246" s="179">
        <v>0</v>
      </c>
      <c r="H246" s="131">
        <f>F246*AO246</f>
        <v>0</v>
      </c>
      <c r="I246" s="131">
        <f>F246*AP246</f>
        <v>0</v>
      </c>
      <c r="J246" s="131">
        <f>F246*G246</f>
        <v>0</v>
      </c>
      <c r="K246" s="136" t="s">
        <v>60</v>
      </c>
      <c r="Z246" s="131">
        <f>IF(AQ246="5",BJ246,0)</f>
        <v>0</v>
      </c>
      <c r="AB246" s="131">
        <f>IF(AQ246="1",BH246,0)</f>
        <v>0</v>
      </c>
      <c r="AC246" s="131">
        <f>IF(AQ246="1",BI246,0)</f>
        <v>0</v>
      </c>
      <c r="AD246" s="131">
        <f>IF(AQ246="7",BH246,0)</f>
        <v>0</v>
      </c>
      <c r="AE246" s="131">
        <f>IF(AQ246="7",BI246,0)</f>
        <v>0</v>
      </c>
      <c r="AF246" s="131">
        <f>IF(AQ246="2",BH246,0)</f>
        <v>0</v>
      </c>
      <c r="AG246" s="131">
        <f>IF(AQ246="2",BI246,0)</f>
        <v>0</v>
      </c>
      <c r="AH246" s="131">
        <f>IF(AQ246="0",BJ246,0)</f>
        <v>0</v>
      </c>
      <c r="AI246" s="115" t="s">
        <v>906</v>
      </c>
      <c r="AJ246" s="131">
        <f>IF(AN246=0,J246,0)</f>
        <v>0</v>
      </c>
      <c r="AK246" s="131">
        <f>IF(AN246=12,J246,0)</f>
        <v>0</v>
      </c>
      <c r="AL246" s="131">
        <f>IF(AN246=21,J246,0)</f>
        <v>0</v>
      </c>
      <c r="AN246" s="131">
        <v>21</v>
      </c>
      <c r="AO246" s="131">
        <f>G246*0</f>
        <v>0</v>
      </c>
      <c r="AP246" s="131">
        <f>G246*(1-0)</f>
        <v>0</v>
      </c>
      <c r="AQ246" s="132" t="s">
        <v>56</v>
      </c>
      <c r="AV246" s="131">
        <f>AW246+AX246</f>
        <v>0</v>
      </c>
      <c r="AW246" s="131">
        <f>F246*AO246</f>
        <v>0</v>
      </c>
      <c r="AX246" s="131">
        <f>F246*AP246</f>
        <v>0</v>
      </c>
      <c r="AY246" s="132" t="s">
        <v>105</v>
      </c>
      <c r="AZ246" s="132" t="s">
        <v>908</v>
      </c>
      <c r="BA246" s="115" t="s">
        <v>909</v>
      </c>
      <c r="BC246" s="131">
        <f>AW246+AX246</f>
        <v>0</v>
      </c>
      <c r="BD246" s="131">
        <f>G246/(100-BE246)*100</f>
        <v>0</v>
      </c>
      <c r="BE246" s="131">
        <v>0</v>
      </c>
      <c r="BF246" s="131">
        <f>246</f>
        <v>246</v>
      </c>
      <c r="BH246" s="131">
        <f>F246*AO246</f>
        <v>0</v>
      </c>
      <c r="BI246" s="131">
        <f>F246*AP246</f>
        <v>0</v>
      </c>
      <c r="BJ246" s="131">
        <f>F246*G246</f>
        <v>0</v>
      </c>
      <c r="BK246" s="131"/>
      <c r="BL246" s="131">
        <v>16</v>
      </c>
      <c r="BW246" s="131">
        <v>21</v>
      </c>
      <c r="BX246" s="133" t="s">
        <v>118</v>
      </c>
    </row>
    <row r="247" spans="1:76" x14ac:dyDescent="0.25">
      <c r="A247" s="134" t="s">
        <v>925</v>
      </c>
      <c r="B247" s="135" t="s">
        <v>120</v>
      </c>
      <c r="C247" s="270" t="s">
        <v>121</v>
      </c>
      <c r="D247" s="271"/>
      <c r="E247" s="135" t="s">
        <v>122</v>
      </c>
      <c r="F247" s="131">
        <v>70.790000000000006</v>
      </c>
      <c r="G247" s="179">
        <v>0</v>
      </c>
      <c r="H247" s="131">
        <f>F247*AO247</f>
        <v>0</v>
      </c>
      <c r="I247" s="131">
        <f>F247*AP247</f>
        <v>0</v>
      </c>
      <c r="J247" s="131">
        <f>F247*G247</f>
        <v>0</v>
      </c>
      <c r="K247" s="136" t="s">
        <v>60</v>
      </c>
      <c r="Z247" s="131">
        <f>IF(AQ247="5",BJ247,0)</f>
        <v>0</v>
      </c>
      <c r="AB247" s="131">
        <f>IF(AQ247="1",BH247,0)</f>
        <v>0</v>
      </c>
      <c r="AC247" s="131">
        <f>IF(AQ247="1",BI247,0)</f>
        <v>0</v>
      </c>
      <c r="AD247" s="131">
        <f>IF(AQ247="7",BH247,0)</f>
        <v>0</v>
      </c>
      <c r="AE247" s="131">
        <f>IF(AQ247="7",BI247,0)</f>
        <v>0</v>
      </c>
      <c r="AF247" s="131">
        <f>IF(AQ247="2",BH247,0)</f>
        <v>0</v>
      </c>
      <c r="AG247" s="131">
        <f>IF(AQ247="2",BI247,0)</f>
        <v>0</v>
      </c>
      <c r="AH247" s="131">
        <f>IF(AQ247="0",BJ247,0)</f>
        <v>0</v>
      </c>
      <c r="AI247" s="115" t="s">
        <v>906</v>
      </c>
      <c r="AJ247" s="131">
        <f>IF(AN247=0,J247,0)</f>
        <v>0</v>
      </c>
      <c r="AK247" s="131">
        <f>IF(AN247=12,J247,0)</f>
        <v>0</v>
      </c>
      <c r="AL247" s="131">
        <f>IF(AN247=21,J247,0)</f>
        <v>0</v>
      </c>
      <c r="AN247" s="131">
        <v>21</v>
      </c>
      <c r="AO247" s="131">
        <f>G247*0</f>
        <v>0</v>
      </c>
      <c r="AP247" s="131">
        <f>G247*(1-0)</f>
        <v>0</v>
      </c>
      <c r="AQ247" s="132" t="s">
        <v>56</v>
      </c>
      <c r="AV247" s="131">
        <f>AW247+AX247</f>
        <v>0</v>
      </c>
      <c r="AW247" s="131">
        <f>F247*AO247</f>
        <v>0</v>
      </c>
      <c r="AX247" s="131">
        <f>F247*AP247</f>
        <v>0</v>
      </c>
      <c r="AY247" s="132" t="s">
        <v>105</v>
      </c>
      <c r="AZ247" s="132" t="s">
        <v>908</v>
      </c>
      <c r="BA247" s="115" t="s">
        <v>909</v>
      </c>
      <c r="BC247" s="131">
        <f>AW247+AX247</f>
        <v>0</v>
      </c>
      <c r="BD247" s="131">
        <f>G247/(100-BE247)*100</f>
        <v>0</v>
      </c>
      <c r="BE247" s="131">
        <v>0</v>
      </c>
      <c r="BF247" s="131">
        <f>247</f>
        <v>247</v>
      </c>
      <c r="BH247" s="131">
        <f>F247*AO247</f>
        <v>0</v>
      </c>
      <c r="BI247" s="131">
        <f>F247*AP247</f>
        <v>0</v>
      </c>
      <c r="BJ247" s="131">
        <f>F247*G247</f>
        <v>0</v>
      </c>
      <c r="BK247" s="131"/>
      <c r="BL247" s="131">
        <v>16</v>
      </c>
      <c r="BW247" s="131">
        <v>21</v>
      </c>
      <c r="BX247" s="133" t="s">
        <v>121</v>
      </c>
    </row>
    <row r="248" spans="1:76" x14ac:dyDescent="0.25">
      <c r="A248" s="123" t="s">
        <v>53</v>
      </c>
      <c r="B248" s="124" t="s">
        <v>116</v>
      </c>
      <c r="C248" s="272" t="s">
        <v>123</v>
      </c>
      <c r="D248" s="273"/>
      <c r="E248" s="125" t="s">
        <v>9</v>
      </c>
      <c r="F248" s="125" t="s">
        <v>9</v>
      </c>
      <c r="G248" s="125" t="s">
        <v>9</v>
      </c>
      <c r="H248" s="110">
        <f>SUM(H249:H251)</f>
        <v>0</v>
      </c>
      <c r="I248" s="110">
        <f>SUM(I249:I251)</f>
        <v>0</v>
      </c>
      <c r="J248" s="110">
        <f>SUM(J249:J251)</f>
        <v>0</v>
      </c>
      <c r="K248" s="126" t="s">
        <v>53</v>
      </c>
      <c r="AI248" s="115" t="s">
        <v>906</v>
      </c>
      <c r="AS248" s="110">
        <f>SUM(AJ249:AJ251)</f>
        <v>0</v>
      </c>
      <c r="AT248" s="110">
        <f>SUM(AK249:AK251)</f>
        <v>0</v>
      </c>
      <c r="AU248" s="110">
        <f>SUM(AL249:AL251)</f>
        <v>0</v>
      </c>
    </row>
    <row r="249" spans="1:76" x14ac:dyDescent="0.25">
      <c r="A249" s="134" t="s">
        <v>926</v>
      </c>
      <c r="B249" s="135" t="s">
        <v>129</v>
      </c>
      <c r="C249" s="270" t="s">
        <v>130</v>
      </c>
      <c r="D249" s="271"/>
      <c r="E249" s="135" t="s">
        <v>79</v>
      </c>
      <c r="F249" s="131">
        <v>58.43</v>
      </c>
      <c r="G249" s="179">
        <v>0</v>
      </c>
      <c r="H249" s="131">
        <f>F249*AO249</f>
        <v>0</v>
      </c>
      <c r="I249" s="131">
        <f>F249*AP249</f>
        <v>0</v>
      </c>
      <c r="J249" s="131">
        <f>F249*G249</f>
        <v>0</v>
      </c>
      <c r="K249" s="136" t="s">
        <v>60</v>
      </c>
      <c r="Z249" s="131">
        <f>IF(AQ249="5",BJ249,0)</f>
        <v>0</v>
      </c>
      <c r="AB249" s="131">
        <f>IF(AQ249="1",BH249,0)</f>
        <v>0</v>
      </c>
      <c r="AC249" s="131">
        <f>IF(AQ249="1",BI249,0)</f>
        <v>0</v>
      </c>
      <c r="AD249" s="131">
        <f>IF(AQ249="7",BH249,0)</f>
        <v>0</v>
      </c>
      <c r="AE249" s="131">
        <f>IF(AQ249="7",BI249,0)</f>
        <v>0</v>
      </c>
      <c r="AF249" s="131">
        <f>IF(AQ249="2",BH249,0)</f>
        <v>0</v>
      </c>
      <c r="AG249" s="131">
        <f>IF(AQ249="2",BI249,0)</f>
        <v>0</v>
      </c>
      <c r="AH249" s="131">
        <f>IF(AQ249="0",BJ249,0)</f>
        <v>0</v>
      </c>
      <c r="AI249" s="115" t="s">
        <v>906</v>
      </c>
      <c r="AJ249" s="131">
        <f>IF(AN249=0,J249,0)</f>
        <v>0</v>
      </c>
      <c r="AK249" s="131">
        <f>IF(AN249=12,J249,0)</f>
        <v>0</v>
      </c>
      <c r="AL249" s="131">
        <f>IF(AN249=21,J249,0)</f>
        <v>0</v>
      </c>
      <c r="AN249" s="131">
        <v>21</v>
      </c>
      <c r="AO249" s="131">
        <f>G249*0</f>
        <v>0</v>
      </c>
      <c r="AP249" s="131">
        <f>G249*(1-0)</f>
        <v>0</v>
      </c>
      <c r="AQ249" s="132" t="s">
        <v>56</v>
      </c>
      <c r="AV249" s="131">
        <f>AW249+AX249</f>
        <v>0</v>
      </c>
      <c r="AW249" s="131">
        <f>F249*AO249</f>
        <v>0</v>
      </c>
      <c r="AX249" s="131">
        <f>F249*AP249</f>
        <v>0</v>
      </c>
      <c r="AY249" s="132" t="s">
        <v>127</v>
      </c>
      <c r="AZ249" s="132" t="s">
        <v>908</v>
      </c>
      <c r="BA249" s="115" t="s">
        <v>909</v>
      </c>
      <c r="BC249" s="131">
        <f>AW249+AX249</f>
        <v>0</v>
      </c>
      <c r="BD249" s="131">
        <f>G249/(100-BE249)*100</f>
        <v>0</v>
      </c>
      <c r="BE249" s="131">
        <v>0</v>
      </c>
      <c r="BF249" s="131">
        <f>249</f>
        <v>249</v>
      </c>
      <c r="BH249" s="131">
        <f>F249*AO249</f>
        <v>0</v>
      </c>
      <c r="BI249" s="131">
        <f>F249*AP249</f>
        <v>0</v>
      </c>
      <c r="BJ249" s="131">
        <f>F249*G249</f>
        <v>0</v>
      </c>
      <c r="BK249" s="131"/>
      <c r="BL249" s="131">
        <v>17</v>
      </c>
      <c r="BW249" s="131">
        <v>21</v>
      </c>
      <c r="BX249" s="133" t="s">
        <v>130</v>
      </c>
    </row>
    <row r="250" spans="1:76" x14ac:dyDescent="0.25">
      <c r="A250" s="134" t="s">
        <v>927</v>
      </c>
      <c r="B250" s="135" t="s">
        <v>786</v>
      </c>
      <c r="C250" s="270" t="s">
        <v>787</v>
      </c>
      <c r="D250" s="271"/>
      <c r="E250" s="135" t="s">
        <v>79</v>
      </c>
      <c r="F250" s="131">
        <v>19.350000000000001</v>
      </c>
      <c r="G250" s="179">
        <v>0</v>
      </c>
      <c r="H250" s="131">
        <f>F250*AO250</f>
        <v>0</v>
      </c>
      <c r="I250" s="131">
        <f>F250*AP250</f>
        <v>0</v>
      </c>
      <c r="J250" s="131">
        <f>F250*G250</f>
        <v>0</v>
      </c>
      <c r="K250" s="136" t="s">
        <v>60</v>
      </c>
      <c r="Z250" s="131">
        <f>IF(AQ250="5",BJ250,0)</f>
        <v>0</v>
      </c>
      <c r="AB250" s="131">
        <f>IF(AQ250="1",BH250,0)</f>
        <v>0</v>
      </c>
      <c r="AC250" s="131">
        <f>IF(AQ250="1",BI250,0)</f>
        <v>0</v>
      </c>
      <c r="AD250" s="131">
        <f>IF(AQ250="7",BH250,0)</f>
        <v>0</v>
      </c>
      <c r="AE250" s="131">
        <f>IF(AQ250="7",BI250,0)</f>
        <v>0</v>
      </c>
      <c r="AF250" s="131">
        <f>IF(AQ250="2",BH250,0)</f>
        <v>0</v>
      </c>
      <c r="AG250" s="131">
        <f>IF(AQ250="2",BI250,0)</f>
        <v>0</v>
      </c>
      <c r="AH250" s="131">
        <f>IF(AQ250="0",BJ250,0)</f>
        <v>0</v>
      </c>
      <c r="AI250" s="115" t="s">
        <v>906</v>
      </c>
      <c r="AJ250" s="131">
        <f>IF(AN250=0,J250,0)</f>
        <v>0</v>
      </c>
      <c r="AK250" s="131">
        <f>IF(AN250=12,J250,0)</f>
        <v>0</v>
      </c>
      <c r="AL250" s="131">
        <f>IF(AN250=21,J250,0)</f>
        <v>0</v>
      </c>
      <c r="AN250" s="131">
        <v>21</v>
      </c>
      <c r="AO250" s="131">
        <f>G250*0</f>
        <v>0</v>
      </c>
      <c r="AP250" s="131">
        <f>G250*(1-0)</f>
        <v>0</v>
      </c>
      <c r="AQ250" s="132" t="s">
        <v>56</v>
      </c>
      <c r="AV250" s="131">
        <f>AW250+AX250</f>
        <v>0</v>
      </c>
      <c r="AW250" s="131">
        <f>F250*AO250</f>
        <v>0</v>
      </c>
      <c r="AX250" s="131">
        <f>F250*AP250</f>
        <v>0</v>
      </c>
      <c r="AY250" s="132" t="s">
        <v>127</v>
      </c>
      <c r="AZ250" s="132" t="s">
        <v>908</v>
      </c>
      <c r="BA250" s="115" t="s">
        <v>909</v>
      </c>
      <c r="BC250" s="131">
        <f>AW250+AX250</f>
        <v>0</v>
      </c>
      <c r="BD250" s="131">
        <f>G250/(100-BE250)*100</f>
        <v>0</v>
      </c>
      <c r="BE250" s="131">
        <v>0</v>
      </c>
      <c r="BF250" s="131">
        <f>250</f>
        <v>250</v>
      </c>
      <c r="BH250" s="131">
        <f>F250*AO250</f>
        <v>0</v>
      </c>
      <c r="BI250" s="131">
        <f>F250*AP250</f>
        <v>0</v>
      </c>
      <c r="BJ250" s="131">
        <f>F250*G250</f>
        <v>0</v>
      </c>
      <c r="BK250" s="131"/>
      <c r="BL250" s="131">
        <v>17</v>
      </c>
      <c r="BW250" s="131">
        <v>21</v>
      </c>
      <c r="BX250" s="133" t="s">
        <v>787</v>
      </c>
    </row>
    <row r="251" spans="1:76" x14ac:dyDescent="0.25">
      <c r="A251" s="134" t="s">
        <v>928</v>
      </c>
      <c r="B251" s="135" t="s">
        <v>788</v>
      </c>
      <c r="C251" s="270" t="s">
        <v>789</v>
      </c>
      <c r="D251" s="271"/>
      <c r="E251" s="135" t="s">
        <v>79</v>
      </c>
      <c r="F251" s="131">
        <v>39.33</v>
      </c>
      <c r="G251" s="179">
        <v>0</v>
      </c>
      <c r="H251" s="131">
        <f>F251*AO251</f>
        <v>0</v>
      </c>
      <c r="I251" s="131">
        <f>F251*AP251</f>
        <v>0</v>
      </c>
      <c r="J251" s="131">
        <f>F251*G251</f>
        <v>0</v>
      </c>
      <c r="K251" s="136" t="s">
        <v>60</v>
      </c>
      <c r="Z251" s="131">
        <f>IF(AQ251="5",BJ251,0)</f>
        <v>0</v>
      </c>
      <c r="AB251" s="131">
        <f>IF(AQ251="1",BH251,0)</f>
        <v>0</v>
      </c>
      <c r="AC251" s="131">
        <f>IF(AQ251="1",BI251,0)</f>
        <v>0</v>
      </c>
      <c r="AD251" s="131">
        <f>IF(AQ251="7",BH251,0)</f>
        <v>0</v>
      </c>
      <c r="AE251" s="131">
        <f>IF(AQ251="7",BI251,0)</f>
        <v>0</v>
      </c>
      <c r="AF251" s="131">
        <f>IF(AQ251="2",BH251,0)</f>
        <v>0</v>
      </c>
      <c r="AG251" s="131">
        <f>IF(AQ251="2",BI251,0)</f>
        <v>0</v>
      </c>
      <c r="AH251" s="131">
        <f>IF(AQ251="0",BJ251,0)</f>
        <v>0</v>
      </c>
      <c r="AI251" s="115" t="s">
        <v>906</v>
      </c>
      <c r="AJ251" s="131">
        <f>IF(AN251=0,J251,0)</f>
        <v>0</v>
      </c>
      <c r="AK251" s="131">
        <f>IF(AN251=12,J251,0)</f>
        <v>0</v>
      </c>
      <c r="AL251" s="131">
        <f>IF(AN251=21,J251,0)</f>
        <v>0</v>
      </c>
      <c r="AN251" s="131">
        <v>21</v>
      </c>
      <c r="AO251" s="131">
        <f>G251*0</f>
        <v>0</v>
      </c>
      <c r="AP251" s="131">
        <f>G251*(1-0)</f>
        <v>0</v>
      </c>
      <c r="AQ251" s="132" t="s">
        <v>56</v>
      </c>
      <c r="AV251" s="131">
        <f>AW251+AX251</f>
        <v>0</v>
      </c>
      <c r="AW251" s="131">
        <f>F251*AO251</f>
        <v>0</v>
      </c>
      <c r="AX251" s="131">
        <f>F251*AP251</f>
        <v>0</v>
      </c>
      <c r="AY251" s="132" t="s">
        <v>127</v>
      </c>
      <c r="AZ251" s="132" t="s">
        <v>908</v>
      </c>
      <c r="BA251" s="115" t="s">
        <v>909</v>
      </c>
      <c r="BC251" s="131">
        <f>AW251+AX251</f>
        <v>0</v>
      </c>
      <c r="BD251" s="131">
        <f>G251/(100-BE251)*100</f>
        <v>0</v>
      </c>
      <c r="BE251" s="131">
        <v>0</v>
      </c>
      <c r="BF251" s="131">
        <f>251</f>
        <v>251</v>
      </c>
      <c r="BH251" s="131">
        <f>F251*AO251</f>
        <v>0</v>
      </c>
      <c r="BI251" s="131">
        <f>F251*AP251</f>
        <v>0</v>
      </c>
      <c r="BJ251" s="131">
        <f>F251*G251</f>
        <v>0</v>
      </c>
      <c r="BK251" s="131"/>
      <c r="BL251" s="131">
        <v>17</v>
      </c>
      <c r="BW251" s="131">
        <v>21</v>
      </c>
      <c r="BX251" s="133" t="s">
        <v>789</v>
      </c>
    </row>
    <row r="252" spans="1:76" x14ac:dyDescent="0.25">
      <c r="A252" s="123" t="s">
        <v>53</v>
      </c>
      <c r="B252" s="124" t="s">
        <v>167</v>
      </c>
      <c r="C252" s="272" t="s">
        <v>794</v>
      </c>
      <c r="D252" s="273"/>
      <c r="E252" s="125" t="s">
        <v>9</v>
      </c>
      <c r="F252" s="125" t="s">
        <v>9</v>
      </c>
      <c r="G252" s="125" t="s">
        <v>9</v>
      </c>
      <c r="H252" s="110">
        <f>SUM(H253:H253)</f>
        <v>0</v>
      </c>
      <c r="I252" s="110">
        <f>SUM(I253:I253)</f>
        <v>0</v>
      </c>
      <c r="J252" s="110">
        <f>SUM(J253:J253)</f>
        <v>0</v>
      </c>
      <c r="K252" s="126" t="s">
        <v>53</v>
      </c>
      <c r="AI252" s="115" t="s">
        <v>906</v>
      </c>
      <c r="AS252" s="110">
        <f>SUM(AJ253:AJ253)</f>
        <v>0</v>
      </c>
      <c r="AT252" s="110">
        <f>SUM(AK253:AK253)</f>
        <v>0</v>
      </c>
      <c r="AU252" s="110">
        <f>SUM(AL253:AL253)</f>
        <v>0</v>
      </c>
    </row>
    <row r="253" spans="1:76" x14ac:dyDescent="0.25">
      <c r="A253" s="134" t="s">
        <v>929</v>
      </c>
      <c r="B253" s="135" t="s">
        <v>795</v>
      </c>
      <c r="C253" s="270" t="s">
        <v>796</v>
      </c>
      <c r="D253" s="271"/>
      <c r="E253" s="135" t="s">
        <v>79</v>
      </c>
      <c r="F253" s="131">
        <v>8.93</v>
      </c>
      <c r="G253" s="179">
        <v>0</v>
      </c>
      <c r="H253" s="131">
        <f>F253*AO253</f>
        <v>0</v>
      </c>
      <c r="I253" s="131">
        <f>F253*AP253</f>
        <v>0</v>
      </c>
      <c r="J253" s="131">
        <f>F253*G253</f>
        <v>0</v>
      </c>
      <c r="K253" s="136" t="s">
        <v>60</v>
      </c>
      <c r="Z253" s="131">
        <f>IF(AQ253="5",BJ253,0)</f>
        <v>0</v>
      </c>
      <c r="AB253" s="131">
        <f>IF(AQ253="1",BH253,0)</f>
        <v>0</v>
      </c>
      <c r="AC253" s="131">
        <f>IF(AQ253="1",BI253,0)</f>
        <v>0</v>
      </c>
      <c r="AD253" s="131">
        <f>IF(AQ253="7",BH253,0)</f>
        <v>0</v>
      </c>
      <c r="AE253" s="131">
        <f>IF(AQ253="7",BI253,0)</f>
        <v>0</v>
      </c>
      <c r="AF253" s="131">
        <f>IF(AQ253="2",BH253,0)</f>
        <v>0</v>
      </c>
      <c r="AG253" s="131">
        <f>IF(AQ253="2",BI253,0)</f>
        <v>0</v>
      </c>
      <c r="AH253" s="131">
        <f>IF(AQ253="0",BJ253,0)</f>
        <v>0</v>
      </c>
      <c r="AI253" s="115" t="s">
        <v>906</v>
      </c>
      <c r="AJ253" s="131">
        <f>IF(AN253=0,J253,0)</f>
        <v>0</v>
      </c>
      <c r="AK253" s="131">
        <f>IF(AN253=12,J253,0)</f>
        <v>0</v>
      </c>
      <c r="AL253" s="131">
        <f>IF(AN253=21,J253,0)</f>
        <v>0</v>
      </c>
      <c r="AN253" s="131">
        <v>21</v>
      </c>
      <c r="AO253" s="131">
        <f>G253*0.483679351</f>
        <v>0</v>
      </c>
      <c r="AP253" s="131">
        <f>G253*(1-0.483679351)</f>
        <v>0</v>
      </c>
      <c r="AQ253" s="132" t="s">
        <v>56</v>
      </c>
      <c r="AV253" s="131">
        <f>AW253+AX253</f>
        <v>0</v>
      </c>
      <c r="AW253" s="131">
        <f>F253*AO253</f>
        <v>0</v>
      </c>
      <c r="AX253" s="131">
        <f>F253*AP253</f>
        <v>0</v>
      </c>
      <c r="AY253" s="132" t="s">
        <v>172</v>
      </c>
      <c r="AZ253" s="132" t="s">
        <v>930</v>
      </c>
      <c r="BA253" s="115" t="s">
        <v>909</v>
      </c>
      <c r="BC253" s="131">
        <f>AW253+AX253</f>
        <v>0</v>
      </c>
      <c r="BD253" s="131">
        <f>G253/(100-BE253)*100</f>
        <v>0</v>
      </c>
      <c r="BE253" s="131">
        <v>0</v>
      </c>
      <c r="BF253" s="131">
        <f>253</f>
        <v>253</v>
      </c>
      <c r="BH253" s="131">
        <f>F253*AO253</f>
        <v>0</v>
      </c>
      <c r="BI253" s="131">
        <f>F253*AP253</f>
        <v>0</v>
      </c>
      <c r="BJ253" s="131">
        <f>F253*G253</f>
        <v>0</v>
      </c>
      <c r="BK253" s="131"/>
      <c r="BL253" s="131">
        <v>45</v>
      </c>
      <c r="BW253" s="131">
        <v>21</v>
      </c>
      <c r="BX253" s="133" t="s">
        <v>796</v>
      </c>
    </row>
    <row r="254" spans="1:76" x14ac:dyDescent="0.25">
      <c r="A254" s="123" t="s">
        <v>53</v>
      </c>
      <c r="B254" s="124" t="s">
        <v>373</v>
      </c>
      <c r="C254" s="272" t="s">
        <v>798</v>
      </c>
      <c r="D254" s="273"/>
      <c r="E254" s="125" t="s">
        <v>9</v>
      </c>
      <c r="F254" s="125" t="s">
        <v>9</v>
      </c>
      <c r="G254" s="125" t="s">
        <v>9</v>
      </c>
      <c r="H254" s="110">
        <f>SUM(H255:H256)</f>
        <v>0</v>
      </c>
      <c r="I254" s="110">
        <f>SUM(I255:I256)</f>
        <v>0</v>
      </c>
      <c r="J254" s="110">
        <f>SUM(J255:J256)</f>
        <v>0</v>
      </c>
      <c r="K254" s="126" t="s">
        <v>53</v>
      </c>
      <c r="AI254" s="115" t="s">
        <v>906</v>
      </c>
      <c r="AS254" s="110">
        <f>SUM(AJ255:AJ256)</f>
        <v>0</v>
      </c>
      <c r="AT254" s="110">
        <f>SUM(AK255:AK256)</f>
        <v>0</v>
      </c>
      <c r="AU254" s="110">
        <f>SUM(AL255:AL256)</f>
        <v>0</v>
      </c>
    </row>
    <row r="255" spans="1:76" x14ac:dyDescent="0.25">
      <c r="A255" s="134" t="s">
        <v>931</v>
      </c>
      <c r="B255" s="135" t="s">
        <v>799</v>
      </c>
      <c r="C255" s="270" t="s">
        <v>932</v>
      </c>
      <c r="D255" s="271"/>
      <c r="E255" s="135" t="s">
        <v>67</v>
      </c>
      <c r="F255" s="131">
        <v>47</v>
      </c>
      <c r="G255" s="179">
        <v>0</v>
      </c>
      <c r="H255" s="131">
        <f>F255*AO255</f>
        <v>0</v>
      </c>
      <c r="I255" s="131">
        <f>F255*AP255</f>
        <v>0</v>
      </c>
      <c r="J255" s="131">
        <f>F255*G255</f>
        <v>0</v>
      </c>
      <c r="K255" s="136" t="s">
        <v>60</v>
      </c>
      <c r="Z255" s="131">
        <f>IF(AQ255="5",BJ255,0)</f>
        <v>0</v>
      </c>
      <c r="AB255" s="131">
        <f>IF(AQ255="1",BH255,0)</f>
        <v>0</v>
      </c>
      <c r="AC255" s="131">
        <f>IF(AQ255="1",BI255,0)</f>
        <v>0</v>
      </c>
      <c r="AD255" s="131">
        <f>IF(AQ255="7",BH255,0)</f>
        <v>0</v>
      </c>
      <c r="AE255" s="131">
        <f>IF(AQ255="7",BI255,0)</f>
        <v>0</v>
      </c>
      <c r="AF255" s="131">
        <f>IF(AQ255="2",BH255,0)</f>
        <v>0</v>
      </c>
      <c r="AG255" s="131">
        <f>IF(AQ255="2",BI255,0)</f>
        <v>0</v>
      </c>
      <c r="AH255" s="131">
        <f>IF(AQ255="0",BJ255,0)</f>
        <v>0</v>
      </c>
      <c r="AI255" s="115" t="s">
        <v>906</v>
      </c>
      <c r="AJ255" s="131">
        <f>IF(AN255=0,J255,0)</f>
        <v>0</v>
      </c>
      <c r="AK255" s="131">
        <f>IF(AN255=12,J255,0)</f>
        <v>0</v>
      </c>
      <c r="AL255" s="131">
        <f>IF(AN255=21,J255,0)</f>
        <v>0</v>
      </c>
      <c r="AN255" s="131">
        <v>21</v>
      </c>
      <c r="AO255" s="131">
        <f>G255*0.007439446</f>
        <v>0</v>
      </c>
      <c r="AP255" s="131">
        <f>G255*(1-0.007439446)</f>
        <v>0</v>
      </c>
      <c r="AQ255" s="132" t="s">
        <v>56</v>
      </c>
      <c r="AV255" s="131">
        <f>AW255+AX255</f>
        <v>0</v>
      </c>
      <c r="AW255" s="131">
        <f>F255*AO255</f>
        <v>0</v>
      </c>
      <c r="AX255" s="131">
        <f>F255*AP255</f>
        <v>0</v>
      </c>
      <c r="AY255" s="132" t="s">
        <v>801</v>
      </c>
      <c r="AZ255" s="132" t="s">
        <v>933</v>
      </c>
      <c r="BA255" s="115" t="s">
        <v>909</v>
      </c>
      <c r="BC255" s="131">
        <f>AW255+AX255</f>
        <v>0</v>
      </c>
      <c r="BD255" s="131">
        <f>G255/(100-BE255)*100</f>
        <v>0</v>
      </c>
      <c r="BE255" s="131">
        <v>0</v>
      </c>
      <c r="BF255" s="131">
        <f>255</f>
        <v>255</v>
      </c>
      <c r="BH255" s="131">
        <f>F255*AO255</f>
        <v>0</v>
      </c>
      <c r="BI255" s="131">
        <f>F255*AP255</f>
        <v>0</v>
      </c>
      <c r="BJ255" s="131">
        <f>F255*G255</f>
        <v>0</v>
      </c>
      <c r="BK255" s="131"/>
      <c r="BL255" s="131">
        <v>87</v>
      </c>
      <c r="BW255" s="131">
        <v>21</v>
      </c>
      <c r="BX255" s="133" t="s">
        <v>932</v>
      </c>
    </row>
    <row r="256" spans="1:76" x14ac:dyDescent="0.25">
      <c r="A256" s="134" t="s">
        <v>934</v>
      </c>
      <c r="B256" s="135" t="s">
        <v>803</v>
      </c>
      <c r="C256" s="270" t="s">
        <v>935</v>
      </c>
      <c r="D256" s="271"/>
      <c r="E256" s="135" t="s">
        <v>164</v>
      </c>
      <c r="F256" s="131">
        <v>2</v>
      </c>
      <c r="G256" s="179">
        <v>0</v>
      </c>
      <c r="H256" s="131">
        <f>F256*AO256</f>
        <v>0</v>
      </c>
      <c r="I256" s="131">
        <f>F256*AP256</f>
        <v>0</v>
      </c>
      <c r="J256" s="131">
        <f>F256*G256</f>
        <v>0</v>
      </c>
      <c r="K256" s="136" t="s">
        <v>60</v>
      </c>
      <c r="Z256" s="131">
        <f>IF(AQ256="5",BJ256,0)</f>
        <v>0</v>
      </c>
      <c r="AB256" s="131">
        <f>IF(AQ256="1",BH256,0)</f>
        <v>0</v>
      </c>
      <c r="AC256" s="131">
        <f>IF(AQ256="1",BI256,0)</f>
        <v>0</v>
      </c>
      <c r="AD256" s="131">
        <f>IF(AQ256="7",BH256,0)</f>
        <v>0</v>
      </c>
      <c r="AE256" s="131">
        <f>IF(AQ256="7",BI256,0)</f>
        <v>0</v>
      </c>
      <c r="AF256" s="131">
        <f>IF(AQ256="2",BH256,0)</f>
        <v>0</v>
      </c>
      <c r="AG256" s="131">
        <f>IF(AQ256="2",BI256,0)</f>
        <v>0</v>
      </c>
      <c r="AH256" s="131">
        <f>IF(AQ256="0",BJ256,0)</f>
        <v>0</v>
      </c>
      <c r="AI256" s="115" t="s">
        <v>906</v>
      </c>
      <c r="AJ256" s="131">
        <f>IF(AN256=0,J256,0)</f>
        <v>0</v>
      </c>
      <c r="AK256" s="131">
        <f>IF(AN256=12,J256,0)</f>
        <v>0</v>
      </c>
      <c r="AL256" s="131">
        <f>IF(AN256=21,J256,0)</f>
        <v>0</v>
      </c>
      <c r="AN256" s="131">
        <v>21</v>
      </c>
      <c r="AO256" s="131">
        <f>G256*0.010466102</f>
        <v>0</v>
      </c>
      <c r="AP256" s="131">
        <f>G256*(1-0.010466102)</f>
        <v>0</v>
      </c>
      <c r="AQ256" s="132" t="s">
        <v>56</v>
      </c>
      <c r="AV256" s="131">
        <f>AW256+AX256</f>
        <v>0</v>
      </c>
      <c r="AW256" s="131">
        <f>F256*AO256</f>
        <v>0</v>
      </c>
      <c r="AX256" s="131">
        <f>F256*AP256</f>
        <v>0</v>
      </c>
      <c r="AY256" s="132" t="s">
        <v>801</v>
      </c>
      <c r="AZ256" s="132" t="s">
        <v>933</v>
      </c>
      <c r="BA256" s="115" t="s">
        <v>909</v>
      </c>
      <c r="BC256" s="131">
        <f>AW256+AX256</f>
        <v>0</v>
      </c>
      <c r="BD256" s="131">
        <f>G256/(100-BE256)*100</f>
        <v>0</v>
      </c>
      <c r="BE256" s="131">
        <v>0</v>
      </c>
      <c r="BF256" s="131">
        <f>256</f>
        <v>256</v>
      </c>
      <c r="BH256" s="131">
        <f>F256*AO256</f>
        <v>0</v>
      </c>
      <c r="BI256" s="131">
        <f>F256*AP256</f>
        <v>0</v>
      </c>
      <c r="BJ256" s="131">
        <f>F256*G256</f>
        <v>0</v>
      </c>
      <c r="BK256" s="131"/>
      <c r="BL256" s="131">
        <v>87</v>
      </c>
      <c r="BW256" s="131">
        <v>21</v>
      </c>
      <c r="BX256" s="133" t="s">
        <v>935</v>
      </c>
    </row>
    <row r="257" spans="1:76" x14ac:dyDescent="0.25">
      <c r="A257" s="123" t="s">
        <v>53</v>
      </c>
      <c r="B257" s="124" t="s">
        <v>255</v>
      </c>
      <c r="C257" s="272" t="s">
        <v>715</v>
      </c>
      <c r="D257" s="273"/>
      <c r="E257" s="125" t="s">
        <v>9</v>
      </c>
      <c r="F257" s="125" t="s">
        <v>9</v>
      </c>
      <c r="G257" s="125" t="s">
        <v>9</v>
      </c>
      <c r="H257" s="110">
        <f>SUM(H258:H263)</f>
        <v>0</v>
      </c>
      <c r="I257" s="110">
        <f>SUM(I258:I263)</f>
        <v>0</v>
      </c>
      <c r="J257" s="110">
        <f>SUM(J258:J263)</f>
        <v>0</v>
      </c>
      <c r="K257" s="126" t="s">
        <v>53</v>
      </c>
      <c r="AI257" s="115" t="s">
        <v>906</v>
      </c>
      <c r="AS257" s="110">
        <f>SUM(AJ258:AJ263)</f>
        <v>0</v>
      </c>
      <c r="AT257" s="110">
        <f>SUM(AK258:AK263)</f>
        <v>0</v>
      </c>
      <c r="AU257" s="110">
        <f>SUM(AL258:AL263)</f>
        <v>0</v>
      </c>
    </row>
    <row r="258" spans="1:76" x14ac:dyDescent="0.25">
      <c r="A258" s="134" t="s">
        <v>936</v>
      </c>
      <c r="B258" s="135" t="s">
        <v>937</v>
      </c>
      <c r="C258" s="270" t="s">
        <v>938</v>
      </c>
      <c r="D258" s="271"/>
      <c r="E258" s="135" t="s">
        <v>164</v>
      </c>
      <c r="F258" s="131">
        <v>2</v>
      </c>
      <c r="G258" s="179">
        <v>0</v>
      </c>
      <c r="H258" s="131">
        <f t="shared" ref="H258:H263" si="184">F258*AO258</f>
        <v>0</v>
      </c>
      <c r="I258" s="131">
        <f t="shared" ref="I258:I263" si="185">F258*AP258</f>
        <v>0</v>
      </c>
      <c r="J258" s="131">
        <f t="shared" ref="J258:J263" si="186">F258*G258</f>
        <v>0</v>
      </c>
      <c r="K258" s="136" t="s">
        <v>939</v>
      </c>
      <c r="Z258" s="131">
        <f t="shared" ref="Z258:Z263" si="187">IF(AQ258="5",BJ258,0)</f>
        <v>0</v>
      </c>
      <c r="AB258" s="131">
        <f t="shared" ref="AB258:AB263" si="188">IF(AQ258="1",BH258,0)</f>
        <v>0</v>
      </c>
      <c r="AC258" s="131">
        <f t="shared" ref="AC258:AC263" si="189">IF(AQ258="1",BI258,0)</f>
        <v>0</v>
      </c>
      <c r="AD258" s="131">
        <f t="shared" ref="AD258:AD263" si="190">IF(AQ258="7",BH258,0)</f>
        <v>0</v>
      </c>
      <c r="AE258" s="131">
        <f t="shared" ref="AE258:AE263" si="191">IF(AQ258="7",BI258,0)</f>
        <v>0</v>
      </c>
      <c r="AF258" s="131">
        <f t="shared" ref="AF258:AF263" si="192">IF(AQ258="2",BH258,0)</f>
        <v>0</v>
      </c>
      <c r="AG258" s="131">
        <f t="shared" ref="AG258:AG263" si="193">IF(AQ258="2",BI258,0)</f>
        <v>0</v>
      </c>
      <c r="AH258" s="131">
        <f t="shared" ref="AH258:AH263" si="194">IF(AQ258="0",BJ258,0)</f>
        <v>0</v>
      </c>
      <c r="AI258" s="115" t="s">
        <v>906</v>
      </c>
      <c r="AJ258" s="131">
        <f t="shared" ref="AJ258:AJ263" si="195">IF(AN258=0,J258,0)</f>
        <v>0</v>
      </c>
      <c r="AK258" s="131">
        <f t="shared" ref="AK258:AK263" si="196">IF(AN258=12,J258,0)</f>
        <v>0</v>
      </c>
      <c r="AL258" s="131">
        <f t="shared" ref="AL258:AL263" si="197">IF(AN258=21,J258,0)</f>
        <v>0</v>
      </c>
      <c r="AN258" s="131">
        <v>21</v>
      </c>
      <c r="AO258" s="131">
        <f>G258*0</f>
        <v>0</v>
      </c>
      <c r="AP258" s="131">
        <f>G258*(1-0)</f>
        <v>0</v>
      </c>
      <c r="AQ258" s="132" t="s">
        <v>56</v>
      </c>
      <c r="AV258" s="131">
        <f t="shared" ref="AV258:AV263" si="198">AW258+AX258</f>
        <v>0</v>
      </c>
      <c r="AW258" s="131">
        <f t="shared" ref="AW258:AW263" si="199">F258*AO258</f>
        <v>0</v>
      </c>
      <c r="AX258" s="131">
        <f t="shared" ref="AX258:AX263" si="200">F258*AP258</f>
        <v>0</v>
      </c>
      <c r="AY258" s="132" t="s">
        <v>260</v>
      </c>
      <c r="AZ258" s="132" t="s">
        <v>933</v>
      </c>
      <c r="BA258" s="115" t="s">
        <v>909</v>
      </c>
      <c r="BC258" s="131">
        <f t="shared" ref="BC258:BC263" si="201">AW258+AX258</f>
        <v>0</v>
      </c>
      <c r="BD258" s="131">
        <f t="shared" ref="BD258:BD263" si="202">G258/(100-BE258)*100</f>
        <v>0</v>
      </c>
      <c r="BE258" s="131">
        <v>0</v>
      </c>
      <c r="BF258" s="131">
        <f>258</f>
        <v>258</v>
      </c>
      <c r="BH258" s="131">
        <f t="shared" ref="BH258:BH263" si="203">F258*AO258</f>
        <v>0</v>
      </c>
      <c r="BI258" s="131">
        <f t="shared" ref="BI258:BI263" si="204">F258*AP258</f>
        <v>0</v>
      </c>
      <c r="BJ258" s="131">
        <f t="shared" ref="BJ258:BJ263" si="205">F258*G258</f>
        <v>0</v>
      </c>
      <c r="BK258" s="131"/>
      <c r="BL258" s="131">
        <v>89</v>
      </c>
      <c r="BW258" s="131">
        <v>21</v>
      </c>
      <c r="BX258" s="133" t="s">
        <v>938</v>
      </c>
    </row>
    <row r="259" spans="1:76" x14ac:dyDescent="0.25">
      <c r="A259" s="134" t="s">
        <v>940</v>
      </c>
      <c r="B259" s="135" t="s">
        <v>721</v>
      </c>
      <c r="C259" s="270" t="s">
        <v>722</v>
      </c>
      <c r="D259" s="271"/>
      <c r="E259" s="135" t="s">
        <v>164</v>
      </c>
      <c r="F259" s="131">
        <v>2</v>
      </c>
      <c r="G259" s="179">
        <v>0</v>
      </c>
      <c r="H259" s="131">
        <f t="shared" si="184"/>
        <v>0</v>
      </c>
      <c r="I259" s="131">
        <f t="shared" si="185"/>
        <v>0</v>
      </c>
      <c r="J259" s="131">
        <f t="shared" si="186"/>
        <v>0</v>
      </c>
      <c r="K259" s="136" t="s">
        <v>60</v>
      </c>
      <c r="Z259" s="131">
        <f t="shared" si="187"/>
        <v>0</v>
      </c>
      <c r="AB259" s="131">
        <f t="shared" si="188"/>
        <v>0</v>
      </c>
      <c r="AC259" s="131">
        <f t="shared" si="189"/>
        <v>0</v>
      </c>
      <c r="AD259" s="131">
        <f t="shared" si="190"/>
        <v>0</v>
      </c>
      <c r="AE259" s="131">
        <f t="shared" si="191"/>
        <v>0</v>
      </c>
      <c r="AF259" s="131">
        <f t="shared" si="192"/>
        <v>0</v>
      </c>
      <c r="AG259" s="131">
        <f t="shared" si="193"/>
        <v>0</v>
      </c>
      <c r="AH259" s="131">
        <f t="shared" si="194"/>
        <v>0</v>
      </c>
      <c r="AI259" s="115" t="s">
        <v>906</v>
      </c>
      <c r="AJ259" s="131">
        <f t="shared" si="195"/>
        <v>0</v>
      </c>
      <c r="AK259" s="131">
        <f t="shared" si="196"/>
        <v>0</v>
      </c>
      <c r="AL259" s="131">
        <f t="shared" si="197"/>
        <v>0</v>
      </c>
      <c r="AN259" s="131">
        <v>21</v>
      </c>
      <c r="AO259" s="131">
        <f>G259*0</f>
        <v>0</v>
      </c>
      <c r="AP259" s="131">
        <f>G259*(1-0)</f>
        <v>0</v>
      </c>
      <c r="AQ259" s="132" t="s">
        <v>56</v>
      </c>
      <c r="AV259" s="131">
        <f t="shared" si="198"/>
        <v>0</v>
      </c>
      <c r="AW259" s="131">
        <f t="shared" si="199"/>
        <v>0</v>
      </c>
      <c r="AX259" s="131">
        <f t="shared" si="200"/>
        <v>0</v>
      </c>
      <c r="AY259" s="132" t="s">
        <v>260</v>
      </c>
      <c r="AZ259" s="132" t="s">
        <v>933</v>
      </c>
      <c r="BA259" s="115" t="s">
        <v>909</v>
      </c>
      <c r="BC259" s="131">
        <f t="shared" si="201"/>
        <v>0</v>
      </c>
      <c r="BD259" s="131">
        <f t="shared" si="202"/>
        <v>0</v>
      </c>
      <c r="BE259" s="131">
        <v>0</v>
      </c>
      <c r="BF259" s="131">
        <f>259</f>
        <v>259</v>
      </c>
      <c r="BH259" s="131">
        <f t="shared" si="203"/>
        <v>0</v>
      </c>
      <c r="BI259" s="131">
        <f t="shared" si="204"/>
        <v>0</v>
      </c>
      <c r="BJ259" s="131">
        <f t="shared" si="205"/>
        <v>0</v>
      </c>
      <c r="BK259" s="131"/>
      <c r="BL259" s="131">
        <v>89</v>
      </c>
      <c r="BW259" s="131">
        <v>21</v>
      </c>
      <c r="BX259" s="133" t="s">
        <v>722</v>
      </c>
    </row>
    <row r="260" spans="1:76" x14ac:dyDescent="0.25">
      <c r="A260" s="134" t="s">
        <v>941</v>
      </c>
      <c r="B260" s="135" t="s">
        <v>806</v>
      </c>
      <c r="C260" s="270" t="s">
        <v>807</v>
      </c>
      <c r="D260" s="271"/>
      <c r="E260" s="135" t="s">
        <v>164</v>
      </c>
      <c r="F260" s="131">
        <v>2</v>
      </c>
      <c r="G260" s="179">
        <v>0</v>
      </c>
      <c r="H260" s="131">
        <f t="shared" si="184"/>
        <v>0</v>
      </c>
      <c r="I260" s="131">
        <f t="shared" si="185"/>
        <v>0</v>
      </c>
      <c r="J260" s="131">
        <f t="shared" si="186"/>
        <v>0</v>
      </c>
      <c r="K260" s="136" t="s">
        <v>60</v>
      </c>
      <c r="Z260" s="131">
        <f t="shared" si="187"/>
        <v>0</v>
      </c>
      <c r="AB260" s="131">
        <f t="shared" si="188"/>
        <v>0</v>
      </c>
      <c r="AC260" s="131">
        <f t="shared" si="189"/>
        <v>0</v>
      </c>
      <c r="AD260" s="131">
        <f t="shared" si="190"/>
        <v>0</v>
      </c>
      <c r="AE260" s="131">
        <f t="shared" si="191"/>
        <v>0</v>
      </c>
      <c r="AF260" s="131">
        <f t="shared" si="192"/>
        <v>0</v>
      </c>
      <c r="AG260" s="131">
        <f t="shared" si="193"/>
        <v>0</v>
      </c>
      <c r="AH260" s="131">
        <f t="shared" si="194"/>
        <v>0</v>
      </c>
      <c r="AI260" s="115" t="s">
        <v>906</v>
      </c>
      <c r="AJ260" s="131">
        <f t="shared" si="195"/>
        <v>0</v>
      </c>
      <c r="AK260" s="131">
        <f t="shared" si="196"/>
        <v>0</v>
      </c>
      <c r="AL260" s="131">
        <f t="shared" si="197"/>
        <v>0</v>
      </c>
      <c r="AN260" s="131">
        <v>21</v>
      </c>
      <c r="AO260" s="131">
        <f>G260*0</f>
        <v>0</v>
      </c>
      <c r="AP260" s="131">
        <f>G260*(1-0)</f>
        <v>0</v>
      </c>
      <c r="AQ260" s="132" t="s">
        <v>56</v>
      </c>
      <c r="AV260" s="131">
        <f t="shared" si="198"/>
        <v>0</v>
      </c>
      <c r="AW260" s="131">
        <f t="shared" si="199"/>
        <v>0</v>
      </c>
      <c r="AX260" s="131">
        <f t="shared" si="200"/>
        <v>0</v>
      </c>
      <c r="AY260" s="132" t="s">
        <v>260</v>
      </c>
      <c r="AZ260" s="132" t="s">
        <v>933</v>
      </c>
      <c r="BA260" s="115" t="s">
        <v>909</v>
      </c>
      <c r="BC260" s="131">
        <f t="shared" si="201"/>
        <v>0</v>
      </c>
      <c r="BD260" s="131">
        <f t="shared" si="202"/>
        <v>0</v>
      </c>
      <c r="BE260" s="131">
        <v>0</v>
      </c>
      <c r="BF260" s="131">
        <f>260</f>
        <v>260</v>
      </c>
      <c r="BH260" s="131">
        <f t="shared" si="203"/>
        <v>0</v>
      </c>
      <c r="BI260" s="131">
        <f t="shared" si="204"/>
        <v>0</v>
      </c>
      <c r="BJ260" s="131">
        <f t="shared" si="205"/>
        <v>0</v>
      </c>
      <c r="BK260" s="131"/>
      <c r="BL260" s="131">
        <v>89</v>
      </c>
      <c r="BW260" s="131">
        <v>21</v>
      </c>
      <c r="BX260" s="133" t="s">
        <v>807</v>
      </c>
    </row>
    <row r="261" spans="1:76" x14ac:dyDescent="0.25">
      <c r="A261" s="134" t="s">
        <v>600</v>
      </c>
      <c r="B261" s="135" t="s">
        <v>942</v>
      </c>
      <c r="C261" s="270" t="s">
        <v>943</v>
      </c>
      <c r="D261" s="271"/>
      <c r="E261" s="135" t="s">
        <v>164</v>
      </c>
      <c r="F261" s="131">
        <v>2</v>
      </c>
      <c r="G261" s="179">
        <v>0</v>
      </c>
      <c r="H261" s="131">
        <f t="shared" si="184"/>
        <v>0</v>
      </c>
      <c r="I261" s="131">
        <f t="shared" si="185"/>
        <v>0</v>
      </c>
      <c r="J261" s="131">
        <f t="shared" si="186"/>
        <v>0</v>
      </c>
      <c r="K261" s="136" t="s">
        <v>60</v>
      </c>
      <c r="Z261" s="131">
        <f t="shared" si="187"/>
        <v>0</v>
      </c>
      <c r="AB261" s="131">
        <f t="shared" si="188"/>
        <v>0</v>
      </c>
      <c r="AC261" s="131">
        <f t="shared" si="189"/>
        <v>0</v>
      </c>
      <c r="AD261" s="131">
        <f t="shared" si="190"/>
        <v>0</v>
      </c>
      <c r="AE261" s="131">
        <f t="shared" si="191"/>
        <v>0</v>
      </c>
      <c r="AF261" s="131">
        <f t="shared" si="192"/>
        <v>0</v>
      </c>
      <c r="AG261" s="131">
        <f t="shared" si="193"/>
        <v>0</v>
      </c>
      <c r="AH261" s="131">
        <f t="shared" si="194"/>
        <v>0</v>
      </c>
      <c r="AI261" s="115" t="s">
        <v>906</v>
      </c>
      <c r="AJ261" s="131">
        <f t="shared" si="195"/>
        <v>0</v>
      </c>
      <c r="AK261" s="131">
        <f t="shared" si="196"/>
        <v>0</v>
      </c>
      <c r="AL261" s="131">
        <f t="shared" si="197"/>
        <v>0</v>
      </c>
      <c r="AN261" s="131">
        <v>21</v>
      </c>
      <c r="AO261" s="131">
        <f>G261*0.017492087</f>
        <v>0</v>
      </c>
      <c r="AP261" s="131">
        <f>G261*(1-0.017492087)</f>
        <v>0</v>
      </c>
      <c r="AQ261" s="132" t="s">
        <v>56</v>
      </c>
      <c r="AV261" s="131">
        <f t="shared" si="198"/>
        <v>0</v>
      </c>
      <c r="AW261" s="131">
        <f t="shared" si="199"/>
        <v>0</v>
      </c>
      <c r="AX261" s="131">
        <f t="shared" si="200"/>
        <v>0</v>
      </c>
      <c r="AY261" s="132" t="s">
        <v>260</v>
      </c>
      <c r="AZ261" s="132" t="s">
        <v>933</v>
      </c>
      <c r="BA261" s="115" t="s">
        <v>909</v>
      </c>
      <c r="BC261" s="131">
        <f t="shared" si="201"/>
        <v>0</v>
      </c>
      <c r="BD261" s="131">
        <f t="shared" si="202"/>
        <v>0</v>
      </c>
      <c r="BE261" s="131">
        <v>0</v>
      </c>
      <c r="BF261" s="131">
        <f>261</f>
        <v>261</v>
      </c>
      <c r="BH261" s="131">
        <f t="shared" si="203"/>
        <v>0</v>
      </c>
      <c r="BI261" s="131">
        <f t="shared" si="204"/>
        <v>0</v>
      </c>
      <c r="BJ261" s="131">
        <f t="shared" si="205"/>
        <v>0</v>
      </c>
      <c r="BK261" s="131"/>
      <c r="BL261" s="131">
        <v>89</v>
      </c>
      <c r="BW261" s="131">
        <v>21</v>
      </c>
      <c r="BX261" s="133" t="s">
        <v>943</v>
      </c>
    </row>
    <row r="262" spans="1:76" x14ac:dyDescent="0.25">
      <c r="A262" s="134" t="s">
        <v>944</v>
      </c>
      <c r="B262" s="135" t="s">
        <v>723</v>
      </c>
      <c r="C262" s="270" t="s">
        <v>724</v>
      </c>
      <c r="D262" s="271"/>
      <c r="E262" s="135" t="s">
        <v>164</v>
      </c>
      <c r="F262" s="131">
        <v>4</v>
      </c>
      <c r="G262" s="179">
        <v>0</v>
      </c>
      <c r="H262" s="131">
        <f t="shared" si="184"/>
        <v>0</v>
      </c>
      <c r="I262" s="131">
        <f t="shared" si="185"/>
        <v>0</v>
      </c>
      <c r="J262" s="131">
        <f t="shared" si="186"/>
        <v>0</v>
      </c>
      <c r="K262" s="136" t="s">
        <v>60</v>
      </c>
      <c r="Z262" s="131">
        <f t="shared" si="187"/>
        <v>0</v>
      </c>
      <c r="AB262" s="131">
        <f t="shared" si="188"/>
        <v>0</v>
      </c>
      <c r="AC262" s="131">
        <f t="shared" si="189"/>
        <v>0</v>
      </c>
      <c r="AD262" s="131">
        <f t="shared" si="190"/>
        <v>0</v>
      </c>
      <c r="AE262" s="131">
        <f t="shared" si="191"/>
        <v>0</v>
      </c>
      <c r="AF262" s="131">
        <f t="shared" si="192"/>
        <v>0</v>
      </c>
      <c r="AG262" s="131">
        <f t="shared" si="193"/>
        <v>0</v>
      </c>
      <c r="AH262" s="131">
        <f t="shared" si="194"/>
        <v>0</v>
      </c>
      <c r="AI262" s="115" t="s">
        <v>906</v>
      </c>
      <c r="AJ262" s="131">
        <f t="shared" si="195"/>
        <v>0</v>
      </c>
      <c r="AK262" s="131">
        <f t="shared" si="196"/>
        <v>0</v>
      </c>
      <c r="AL262" s="131">
        <f t="shared" si="197"/>
        <v>0</v>
      </c>
      <c r="AN262" s="131">
        <v>21</v>
      </c>
      <c r="AO262" s="131">
        <f>G262*0</f>
        <v>0</v>
      </c>
      <c r="AP262" s="131">
        <f>G262*(1-0)</f>
        <v>0</v>
      </c>
      <c r="AQ262" s="132" t="s">
        <v>56</v>
      </c>
      <c r="AV262" s="131">
        <f t="shared" si="198"/>
        <v>0</v>
      </c>
      <c r="AW262" s="131">
        <f t="shared" si="199"/>
        <v>0</v>
      </c>
      <c r="AX262" s="131">
        <f t="shared" si="200"/>
        <v>0</v>
      </c>
      <c r="AY262" s="132" t="s">
        <v>260</v>
      </c>
      <c r="AZ262" s="132" t="s">
        <v>933</v>
      </c>
      <c r="BA262" s="115" t="s">
        <v>909</v>
      </c>
      <c r="BC262" s="131">
        <f t="shared" si="201"/>
        <v>0</v>
      </c>
      <c r="BD262" s="131">
        <f t="shared" si="202"/>
        <v>0</v>
      </c>
      <c r="BE262" s="131">
        <v>0</v>
      </c>
      <c r="BF262" s="131">
        <f>262</f>
        <v>262</v>
      </c>
      <c r="BH262" s="131">
        <f t="shared" si="203"/>
        <v>0</v>
      </c>
      <c r="BI262" s="131">
        <f t="shared" si="204"/>
        <v>0</v>
      </c>
      <c r="BJ262" s="131">
        <f t="shared" si="205"/>
        <v>0</v>
      </c>
      <c r="BK262" s="131"/>
      <c r="BL262" s="131">
        <v>89</v>
      </c>
      <c r="BW262" s="131">
        <v>21</v>
      </c>
      <c r="BX262" s="133" t="s">
        <v>724</v>
      </c>
    </row>
    <row r="263" spans="1:76" x14ac:dyDescent="0.25">
      <c r="A263" s="134" t="s">
        <v>945</v>
      </c>
      <c r="B263" s="135" t="s">
        <v>946</v>
      </c>
      <c r="C263" s="270" t="s">
        <v>947</v>
      </c>
      <c r="D263" s="271"/>
      <c r="E263" s="135" t="s">
        <v>948</v>
      </c>
      <c r="F263" s="131">
        <v>2</v>
      </c>
      <c r="G263" s="179">
        <v>0</v>
      </c>
      <c r="H263" s="131">
        <f t="shared" si="184"/>
        <v>0</v>
      </c>
      <c r="I263" s="131">
        <f t="shared" si="185"/>
        <v>0</v>
      </c>
      <c r="J263" s="131">
        <f t="shared" si="186"/>
        <v>0</v>
      </c>
      <c r="K263" s="136" t="s">
        <v>60</v>
      </c>
      <c r="Z263" s="131">
        <f t="shared" si="187"/>
        <v>0</v>
      </c>
      <c r="AB263" s="131">
        <f t="shared" si="188"/>
        <v>0</v>
      </c>
      <c r="AC263" s="131">
        <f t="shared" si="189"/>
        <v>0</v>
      </c>
      <c r="AD263" s="131">
        <f t="shared" si="190"/>
        <v>0</v>
      </c>
      <c r="AE263" s="131">
        <f t="shared" si="191"/>
        <v>0</v>
      </c>
      <c r="AF263" s="131">
        <f t="shared" si="192"/>
        <v>0</v>
      </c>
      <c r="AG263" s="131">
        <f t="shared" si="193"/>
        <v>0</v>
      </c>
      <c r="AH263" s="131">
        <f t="shared" si="194"/>
        <v>0</v>
      </c>
      <c r="AI263" s="115" t="s">
        <v>906</v>
      </c>
      <c r="AJ263" s="131">
        <f t="shared" si="195"/>
        <v>0</v>
      </c>
      <c r="AK263" s="131">
        <f t="shared" si="196"/>
        <v>0</v>
      </c>
      <c r="AL263" s="131">
        <f t="shared" si="197"/>
        <v>0</v>
      </c>
      <c r="AN263" s="131">
        <v>21</v>
      </c>
      <c r="AO263" s="131">
        <f>G263*0.283677778</f>
        <v>0</v>
      </c>
      <c r="AP263" s="131">
        <f>G263*(1-0.283677778)</f>
        <v>0</v>
      </c>
      <c r="AQ263" s="132" t="s">
        <v>56</v>
      </c>
      <c r="AV263" s="131">
        <f t="shared" si="198"/>
        <v>0</v>
      </c>
      <c r="AW263" s="131">
        <f t="shared" si="199"/>
        <v>0</v>
      </c>
      <c r="AX263" s="131">
        <f t="shared" si="200"/>
        <v>0</v>
      </c>
      <c r="AY263" s="132" t="s">
        <v>260</v>
      </c>
      <c r="AZ263" s="132" t="s">
        <v>933</v>
      </c>
      <c r="BA263" s="115" t="s">
        <v>909</v>
      </c>
      <c r="BC263" s="131">
        <f t="shared" si="201"/>
        <v>0</v>
      </c>
      <c r="BD263" s="131">
        <f t="shared" si="202"/>
        <v>0</v>
      </c>
      <c r="BE263" s="131">
        <v>0</v>
      </c>
      <c r="BF263" s="131">
        <f>263</f>
        <v>263</v>
      </c>
      <c r="BH263" s="131">
        <f t="shared" si="203"/>
        <v>0</v>
      </c>
      <c r="BI263" s="131">
        <f t="shared" si="204"/>
        <v>0</v>
      </c>
      <c r="BJ263" s="131">
        <f t="shared" si="205"/>
        <v>0</v>
      </c>
      <c r="BK263" s="131"/>
      <c r="BL263" s="131">
        <v>89</v>
      </c>
      <c r="BW263" s="131">
        <v>21</v>
      </c>
      <c r="BX263" s="133" t="s">
        <v>947</v>
      </c>
    </row>
    <row r="264" spans="1:76" x14ac:dyDescent="0.25">
      <c r="A264" s="123" t="s">
        <v>53</v>
      </c>
      <c r="B264" s="124" t="s">
        <v>736</v>
      </c>
      <c r="C264" s="272" t="s">
        <v>737</v>
      </c>
      <c r="D264" s="273"/>
      <c r="E264" s="125" t="s">
        <v>9</v>
      </c>
      <c r="F264" s="125" t="s">
        <v>9</v>
      </c>
      <c r="G264" s="125" t="s">
        <v>9</v>
      </c>
      <c r="H264" s="110">
        <f>SUM(H265:H265)</f>
        <v>0</v>
      </c>
      <c r="I264" s="110">
        <f>SUM(I265:I265)</f>
        <v>0</v>
      </c>
      <c r="J264" s="110">
        <f>SUM(J265:J265)</f>
        <v>0</v>
      </c>
      <c r="K264" s="126" t="s">
        <v>53</v>
      </c>
      <c r="AI264" s="115" t="s">
        <v>906</v>
      </c>
      <c r="AS264" s="110">
        <f>SUM(AJ265:AJ265)</f>
        <v>0</v>
      </c>
      <c r="AT264" s="110">
        <f>SUM(AK265:AK265)</f>
        <v>0</v>
      </c>
      <c r="AU264" s="110">
        <f>SUM(AL265:AL265)</f>
        <v>0</v>
      </c>
    </row>
    <row r="265" spans="1:76" x14ac:dyDescent="0.25">
      <c r="A265" s="134" t="s">
        <v>949</v>
      </c>
      <c r="B265" s="135" t="s">
        <v>738</v>
      </c>
      <c r="C265" s="270" t="s">
        <v>739</v>
      </c>
      <c r="D265" s="271"/>
      <c r="E265" s="135" t="s">
        <v>122</v>
      </c>
      <c r="F265" s="131">
        <v>51.91</v>
      </c>
      <c r="G265" s="179">
        <v>0</v>
      </c>
      <c r="H265" s="131">
        <f>F265*AO265</f>
        <v>0</v>
      </c>
      <c r="I265" s="131">
        <f>F265*AP265</f>
        <v>0</v>
      </c>
      <c r="J265" s="131">
        <f>F265*G265</f>
        <v>0</v>
      </c>
      <c r="K265" s="136" t="s">
        <v>711</v>
      </c>
      <c r="Z265" s="131">
        <f>IF(AQ265="5",BJ265,0)</f>
        <v>0</v>
      </c>
      <c r="AB265" s="131">
        <f>IF(AQ265="1",BH265,0)</f>
        <v>0</v>
      </c>
      <c r="AC265" s="131">
        <f>IF(AQ265="1",BI265,0)</f>
        <v>0</v>
      </c>
      <c r="AD265" s="131">
        <f>IF(AQ265="7",BH265,0)</f>
        <v>0</v>
      </c>
      <c r="AE265" s="131">
        <f>IF(AQ265="7",BI265,0)</f>
        <v>0</v>
      </c>
      <c r="AF265" s="131">
        <f>IF(AQ265="2",BH265,0)</f>
        <v>0</v>
      </c>
      <c r="AG265" s="131">
        <f>IF(AQ265="2",BI265,0)</f>
        <v>0</v>
      </c>
      <c r="AH265" s="131">
        <f>IF(AQ265="0",BJ265,0)</f>
        <v>0</v>
      </c>
      <c r="AI265" s="115" t="s">
        <v>906</v>
      </c>
      <c r="AJ265" s="131">
        <f>IF(AN265=0,J265,0)</f>
        <v>0</v>
      </c>
      <c r="AK265" s="131">
        <f>IF(AN265=12,J265,0)</f>
        <v>0</v>
      </c>
      <c r="AL265" s="131">
        <f>IF(AN265=21,J265,0)</f>
        <v>0</v>
      </c>
      <c r="AN265" s="131">
        <v>21</v>
      </c>
      <c r="AO265" s="131">
        <f>G265*0</f>
        <v>0</v>
      </c>
      <c r="AP265" s="131">
        <f>G265*(1-0)</f>
        <v>0</v>
      </c>
      <c r="AQ265" s="132" t="s">
        <v>76</v>
      </c>
      <c r="AV265" s="131">
        <f>AW265+AX265</f>
        <v>0</v>
      </c>
      <c r="AW265" s="131">
        <f>F265*AO265</f>
        <v>0</v>
      </c>
      <c r="AX265" s="131">
        <f>F265*AP265</f>
        <v>0</v>
      </c>
      <c r="AY265" s="132" t="s">
        <v>740</v>
      </c>
      <c r="AZ265" s="132" t="s">
        <v>950</v>
      </c>
      <c r="BA265" s="115" t="s">
        <v>909</v>
      </c>
      <c r="BC265" s="131">
        <f>AW265+AX265</f>
        <v>0</v>
      </c>
      <c r="BD265" s="131">
        <f>G265/(100-BE265)*100</f>
        <v>0</v>
      </c>
      <c r="BE265" s="131">
        <v>0</v>
      </c>
      <c r="BF265" s="131">
        <f>265</f>
        <v>265</v>
      </c>
      <c r="BH265" s="131">
        <f>F265*AO265</f>
        <v>0</v>
      </c>
      <c r="BI265" s="131">
        <f>F265*AP265</f>
        <v>0</v>
      </c>
      <c r="BJ265" s="131">
        <f>F265*G265</f>
        <v>0</v>
      </c>
      <c r="BK265" s="131"/>
      <c r="BL265" s="131"/>
      <c r="BW265" s="131">
        <v>21</v>
      </c>
      <c r="BX265" s="133" t="s">
        <v>739</v>
      </c>
    </row>
    <row r="266" spans="1:76" x14ac:dyDescent="0.25">
      <c r="A266" s="123" t="s">
        <v>53</v>
      </c>
      <c r="B266" s="124" t="s">
        <v>338</v>
      </c>
      <c r="C266" s="272" t="s">
        <v>339</v>
      </c>
      <c r="D266" s="273"/>
      <c r="E266" s="125" t="s">
        <v>9</v>
      </c>
      <c r="F266" s="125" t="s">
        <v>9</v>
      </c>
      <c r="G266" s="125" t="s">
        <v>9</v>
      </c>
      <c r="H266" s="110">
        <f>SUM(H267:H276)</f>
        <v>0</v>
      </c>
      <c r="I266" s="110">
        <f>SUM(I267:I276)</f>
        <v>0</v>
      </c>
      <c r="J266" s="110">
        <f>SUM(J267:J276)</f>
        <v>0</v>
      </c>
      <c r="K266" s="126" t="s">
        <v>53</v>
      </c>
      <c r="AI266" s="115" t="s">
        <v>906</v>
      </c>
      <c r="AS266" s="110">
        <f>SUM(AJ267:AJ276)</f>
        <v>0</v>
      </c>
      <c r="AT266" s="110">
        <f>SUM(AK267:AK276)</f>
        <v>0</v>
      </c>
      <c r="AU266" s="110">
        <f>SUM(AL267:AL276)</f>
        <v>0</v>
      </c>
    </row>
    <row r="267" spans="1:76" ht="25.5" x14ac:dyDescent="0.25">
      <c r="A267" s="134" t="s">
        <v>951</v>
      </c>
      <c r="B267" s="135" t="s">
        <v>952</v>
      </c>
      <c r="C267" s="270" t="s">
        <v>953</v>
      </c>
      <c r="D267" s="271"/>
      <c r="E267" s="135" t="s">
        <v>164</v>
      </c>
      <c r="F267" s="131">
        <v>8</v>
      </c>
      <c r="G267" s="179">
        <v>0</v>
      </c>
      <c r="H267" s="131">
        <f t="shared" ref="H267:H276" si="206">F267*AO267</f>
        <v>0</v>
      </c>
      <c r="I267" s="131">
        <f t="shared" ref="I267:I276" si="207">F267*AP267</f>
        <v>0</v>
      </c>
      <c r="J267" s="131">
        <f t="shared" ref="J267:J276" si="208">F267*G267</f>
        <v>0</v>
      </c>
      <c r="K267" s="136" t="s">
        <v>60</v>
      </c>
      <c r="Z267" s="131">
        <f t="shared" ref="Z267:Z276" si="209">IF(AQ267="5",BJ267,0)</f>
        <v>0</v>
      </c>
      <c r="AB267" s="131">
        <f t="shared" ref="AB267:AB276" si="210">IF(AQ267="1",BH267,0)</f>
        <v>0</v>
      </c>
      <c r="AC267" s="131">
        <f t="shared" ref="AC267:AC276" si="211">IF(AQ267="1",BI267,0)</f>
        <v>0</v>
      </c>
      <c r="AD267" s="131">
        <f t="shared" ref="AD267:AD276" si="212">IF(AQ267="7",BH267,0)</f>
        <v>0</v>
      </c>
      <c r="AE267" s="131">
        <f t="shared" ref="AE267:AE276" si="213">IF(AQ267="7",BI267,0)</f>
        <v>0</v>
      </c>
      <c r="AF267" s="131">
        <f t="shared" ref="AF267:AF276" si="214">IF(AQ267="2",BH267,0)</f>
        <v>0</v>
      </c>
      <c r="AG267" s="131">
        <f t="shared" ref="AG267:AG276" si="215">IF(AQ267="2",BI267,0)</f>
        <v>0</v>
      </c>
      <c r="AH267" s="131">
        <f t="shared" ref="AH267:AH276" si="216">IF(AQ267="0",BJ267,0)</f>
        <v>0</v>
      </c>
      <c r="AI267" s="115" t="s">
        <v>906</v>
      </c>
      <c r="AJ267" s="131">
        <f t="shared" ref="AJ267:AJ276" si="217">IF(AN267=0,J267,0)</f>
        <v>0</v>
      </c>
      <c r="AK267" s="131">
        <f t="shared" ref="AK267:AK276" si="218">IF(AN267=12,J267,0)</f>
        <v>0</v>
      </c>
      <c r="AL267" s="131">
        <f t="shared" ref="AL267:AL276" si="219">IF(AN267=21,J267,0)</f>
        <v>0</v>
      </c>
      <c r="AN267" s="131">
        <v>21</v>
      </c>
      <c r="AO267" s="131">
        <f t="shared" ref="AO267:AO276" si="220">G267*1</f>
        <v>0</v>
      </c>
      <c r="AP267" s="131">
        <f t="shared" ref="AP267:AP276" si="221">G267*(1-1)</f>
        <v>0</v>
      </c>
      <c r="AQ267" s="132" t="s">
        <v>343</v>
      </c>
      <c r="AV267" s="131">
        <f t="shared" ref="AV267:AV276" si="222">AW267+AX267</f>
        <v>0</v>
      </c>
      <c r="AW267" s="131">
        <f t="shared" ref="AW267:AW276" si="223">F267*AO267</f>
        <v>0</v>
      </c>
      <c r="AX267" s="131">
        <f t="shared" ref="AX267:AX276" si="224">F267*AP267</f>
        <v>0</v>
      </c>
      <c r="AY267" s="132" t="s">
        <v>344</v>
      </c>
      <c r="AZ267" s="132" t="s">
        <v>954</v>
      </c>
      <c r="BA267" s="115" t="s">
        <v>909</v>
      </c>
      <c r="BC267" s="131">
        <f t="shared" ref="BC267:BC276" si="225">AW267+AX267</f>
        <v>0</v>
      </c>
      <c r="BD267" s="131">
        <f t="shared" ref="BD267:BD276" si="226">G267/(100-BE267)*100</f>
        <v>0</v>
      </c>
      <c r="BE267" s="131">
        <v>0</v>
      </c>
      <c r="BF267" s="131">
        <f>267</f>
        <v>267</v>
      </c>
      <c r="BH267" s="131">
        <f t="shared" ref="BH267:BH276" si="227">F267*AO267</f>
        <v>0</v>
      </c>
      <c r="BI267" s="131">
        <f t="shared" ref="BI267:BI276" si="228">F267*AP267</f>
        <v>0</v>
      </c>
      <c r="BJ267" s="131">
        <f t="shared" ref="BJ267:BJ276" si="229">F267*G267</f>
        <v>0</v>
      </c>
      <c r="BK267" s="131"/>
      <c r="BL267" s="131"/>
      <c r="BW267" s="131">
        <v>21</v>
      </c>
      <c r="BX267" s="133" t="s">
        <v>953</v>
      </c>
    </row>
    <row r="268" spans="1:76" x14ac:dyDescent="0.25">
      <c r="A268" s="134" t="s">
        <v>955</v>
      </c>
      <c r="B268" s="135" t="s">
        <v>956</v>
      </c>
      <c r="C268" s="270" t="s">
        <v>957</v>
      </c>
      <c r="D268" s="271"/>
      <c r="E268" s="135" t="s">
        <v>164</v>
      </c>
      <c r="F268" s="131">
        <v>2</v>
      </c>
      <c r="G268" s="179">
        <v>0</v>
      </c>
      <c r="H268" s="131">
        <f t="shared" si="206"/>
        <v>0</v>
      </c>
      <c r="I268" s="131">
        <f t="shared" si="207"/>
        <v>0</v>
      </c>
      <c r="J268" s="131">
        <f t="shared" si="208"/>
        <v>0</v>
      </c>
      <c r="K268" s="136" t="s">
        <v>60</v>
      </c>
      <c r="Z268" s="131">
        <f t="shared" si="209"/>
        <v>0</v>
      </c>
      <c r="AB268" s="131">
        <f t="shared" si="210"/>
        <v>0</v>
      </c>
      <c r="AC268" s="131">
        <f t="shared" si="211"/>
        <v>0</v>
      </c>
      <c r="AD268" s="131">
        <f t="shared" si="212"/>
        <v>0</v>
      </c>
      <c r="AE268" s="131">
        <f t="shared" si="213"/>
        <v>0</v>
      </c>
      <c r="AF268" s="131">
        <f t="shared" si="214"/>
        <v>0</v>
      </c>
      <c r="AG268" s="131">
        <f t="shared" si="215"/>
        <v>0</v>
      </c>
      <c r="AH268" s="131">
        <f t="shared" si="216"/>
        <v>0</v>
      </c>
      <c r="AI268" s="115" t="s">
        <v>906</v>
      </c>
      <c r="AJ268" s="131">
        <f t="shared" si="217"/>
        <v>0</v>
      </c>
      <c r="AK268" s="131">
        <f t="shared" si="218"/>
        <v>0</v>
      </c>
      <c r="AL268" s="131">
        <f t="shared" si="219"/>
        <v>0</v>
      </c>
      <c r="AN268" s="131">
        <v>21</v>
      </c>
      <c r="AO268" s="131">
        <f t="shared" si="220"/>
        <v>0</v>
      </c>
      <c r="AP268" s="131">
        <f t="shared" si="221"/>
        <v>0</v>
      </c>
      <c r="AQ268" s="132" t="s">
        <v>343</v>
      </c>
      <c r="AV268" s="131">
        <f t="shared" si="222"/>
        <v>0</v>
      </c>
      <c r="AW268" s="131">
        <f t="shared" si="223"/>
        <v>0</v>
      </c>
      <c r="AX268" s="131">
        <f t="shared" si="224"/>
        <v>0</v>
      </c>
      <c r="AY268" s="132" t="s">
        <v>344</v>
      </c>
      <c r="AZ268" s="132" t="s">
        <v>954</v>
      </c>
      <c r="BA268" s="115" t="s">
        <v>909</v>
      </c>
      <c r="BC268" s="131">
        <f t="shared" si="225"/>
        <v>0</v>
      </c>
      <c r="BD268" s="131">
        <f t="shared" si="226"/>
        <v>0</v>
      </c>
      <c r="BE268" s="131">
        <v>0</v>
      </c>
      <c r="BF268" s="131">
        <f>268</f>
        <v>268</v>
      </c>
      <c r="BH268" s="131">
        <f t="shared" si="227"/>
        <v>0</v>
      </c>
      <c r="BI268" s="131">
        <f t="shared" si="228"/>
        <v>0</v>
      </c>
      <c r="BJ268" s="131">
        <f t="shared" si="229"/>
        <v>0</v>
      </c>
      <c r="BK268" s="131"/>
      <c r="BL268" s="131"/>
      <c r="BW268" s="131">
        <v>21</v>
      </c>
      <c r="BX268" s="133" t="s">
        <v>957</v>
      </c>
    </row>
    <row r="269" spans="1:76" x14ac:dyDescent="0.25">
      <c r="A269" s="134" t="s">
        <v>958</v>
      </c>
      <c r="B269" s="135" t="s">
        <v>818</v>
      </c>
      <c r="C269" s="270" t="s">
        <v>819</v>
      </c>
      <c r="D269" s="271"/>
      <c r="E269" s="135" t="s">
        <v>164</v>
      </c>
      <c r="F269" s="131">
        <v>3</v>
      </c>
      <c r="G269" s="179">
        <v>0</v>
      </c>
      <c r="H269" s="131">
        <f t="shared" si="206"/>
        <v>0</v>
      </c>
      <c r="I269" s="131">
        <f t="shared" si="207"/>
        <v>0</v>
      </c>
      <c r="J269" s="131">
        <f t="shared" si="208"/>
        <v>0</v>
      </c>
      <c r="K269" s="136" t="s">
        <v>60</v>
      </c>
      <c r="Z269" s="131">
        <f t="shared" si="209"/>
        <v>0</v>
      </c>
      <c r="AB269" s="131">
        <f t="shared" si="210"/>
        <v>0</v>
      </c>
      <c r="AC269" s="131">
        <f t="shared" si="211"/>
        <v>0</v>
      </c>
      <c r="AD269" s="131">
        <f t="shared" si="212"/>
        <v>0</v>
      </c>
      <c r="AE269" s="131">
        <f t="shared" si="213"/>
        <v>0</v>
      </c>
      <c r="AF269" s="131">
        <f t="shared" si="214"/>
        <v>0</v>
      </c>
      <c r="AG269" s="131">
        <f t="shared" si="215"/>
        <v>0</v>
      </c>
      <c r="AH269" s="131">
        <f t="shared" si="216"/>
        <v>0</v>
      </c>
      <c r="AI269" s="115" t="s">
        <v>906</v>
      </c>
      <c r="AJ269" s="131">
        <f t="shared" si="217"/>
        <v>0</v>
      </c>
      <c r="AK269" s="131">
        <f t="shared" si="218"/>
        <v>0</v>
      </c>
      <c r="AL269" s="131">
        <f t="shared" si="219"/>
        <v>0</v>
      </c>
      <c r="AN269" s="131">
        <v>21</v>
      </c>
      <c r="AO269" s="131">
        <f t="shared" si="220"/>
        <v>0</v>
      </c>
      <c r="AP269" s="131">
        <f t="shared" si="221"/>
        <v>0</v>
      </c>
      <c r="AQ269" s="132" t="s">
        <v>343</v>
      </c>
      <c r="AV269" s="131">
        <f t="shared" si="222"/>
        <v>0</v>
      </c>
      <c r="AW269" s="131">
        <f t="shared" si="223"/>
        <v>0</v>
      </c>
      <c r="AX269" s="131">
        <f t="shared" si="224"/>
        <v>0</v>
      </c>
      <c r="AY269" s="132" t="s">
        <v>344</v>
      </c>
      <c r="AZ269" s="132" t="s">
        <v>954</v>
      </c>
      <c r="BA269" s="115" t="s">
        <v>909</v>
      </c>
      <c r="BC269" s="131">
        <f t="shared" si="225"/>
        <v>0</v>
      </c>
      <c r="BD269" s="131">
        <f t="shared" si="226"/>
        <v>0</v>
      </c>
      <c r="BE269" s="131">
        <v>0</v>
      </c>
      <c r="BF269" s="131">
        <f>269</f>
        <v>269</v>
      </c>
      <c r="BH269" s="131">
        <f t="shared" si="227"/>
        <v>0</v>
      </c>
      <c r="BI269" s="131">
        <f t="shared" si="228"/>
        <v>0</v>
      </c>
      <c r="BJ269" s="131">
        <f t="shared" si="229"/>
        <v>0</v>
      </c>
      <c r="BK269" s="131"/>
      <c r="BL269" s="131"/>
      <c r="BW269" s="131">
        <v>21</v>
      </c>
      <c r="BX269" s="133" t="s">
        <v>819</v>
      </c>
    </row>
    <row r="270" spans="1:76" x14ac:dyDescent="0.25">
      <c r="A270" s="134" t="s">
        <v>959</v>
      </c>
      <c r="B270" s="135" t="s">
        <v>820</v>
      </c>
      <c r="C270" s="270" t="s">
        <v>960</v>
      </c>
      <c r="D270" s="271"/>
      <c r="E270" s="135" t="s">
        <v>164</v>
      </c>
      <c r="F270" s="131">
        <v>2</v>
      </c>
      <c r="G270" s="179">
        <v>0</v>
      </c>
      <c r="H270" s="131">
        <f t="shared" si="206"/>
        <v>0</v>
      </c>
      <c r="I270" s="131">
        <f t="shared" si="207"/>
        <v>0</v>
      </c>
      <c r="J270" s="131">
        <f t="shared" si="208"/>
        <v>0</v>
      </c>
      <c r="K270" s="136" t="s">
        <v>60</v>
      </c>
      <c r="Z270" s="131">
        <f t="shared" si="209"/>
        <v>0</v>
      </c>
      <c r="AB270" s="131">
        <f t="shared" si="210"/>
        <v>0</v>
      </c>
      <c r="AC270" s="131">
        <f t="shared" si="211"/>
        <v>0</v>
      </c>
      <c r="AD270" s="131">
        <f t="shared" si="212"/>
        <v>0</v>
      </c>
      <c r="AE270" s="131">
        <f t="shared" si="213"/>
        <v>0</v>
      </c>
      <c r="AF270" s="131">
        <f t="shared" si="214"/>
        <v>0</v>
      </c>
      <c r="AG270" s="131">
        <f t="shared" si="215"/>
        <v>0</v>
      </c>
      <c r="AH270" s="131">
        <f t="shared" si="216"/>
        <v>0</v>
      </c>
      <c r="AI270" s="115" t="s">
        <v>906</v>
      </c>
      <c r="AJ270" s="131">
        <f t="shared" si="217"/>
        <v>0</v>
      </c>
      <c r="AK270" s="131">
        <f t="shared" si="218"/>
        <v>0</v>
      </c>
      <c r="AL270" s="131">
        <f t="shared" si="219"/>
        <v>0</v>
      </c>
      <c r="AN270" s="131">
        <v>21</v>
      </c>
      <c r="AO270" s="131">
        <f t="shared" si="220"/>
        <v>0</v>
      </c>
      <c r="AP270" s="131">
        <f t="shared" si="221"/>
        <v>0</v>
      </c>
      <c r="AQ270" s="132" t="s">
        <v>343</v>
      </c>
      <c r="AV270" s="131">
        <f t="shared" si="222"/>
        <v>0</v>
      </c>
      <c r="AW270" s="131">
        <f t="shared" si="223"/>
        <v>0</v>
      </c>
      <c r="AX270" s="131">
        <f t="shared" si="224"/>
        <v>0</v>
      </c>
      <c r="AY270" s="132" t="s">
        <v>344</v>
      </c>
      <c r="AZ270" s="132" t="s">
        <v>954</v>
      </c>
      <c r="BA270" s="115" t="s">
        <v>909</v>
      </c>
      <c r="BC270" s="131">
        <f t="shared" si="225"/>
        <v>0</v>
      </c>
      <c r="BD270" s="131">
        <f t="shared" si="226"/>
        <v>0</v>
      </c>
      <c r="BE270" s="131">
        <v>0</v>
      </c>
      <c r="BF270" s="131">
        <f>270</f>
        <v>270</v>
      </c>
      <c r="BH270" s="131">
        <f t="shared" si="227"/>
        <v>0</v>
      </c>
      <c r="BI270" s="131">
        <f t="shared" si="228"/>
        <v>0</v>
      </c>
      <c r="BJ270" s="131">
        <f t="shared" si="229"/>
        <v>0</v>
      </c>
      <c r="BK270" s="131"/>
      <c r="BL270" s="131"/>
      <c r="BW270" s="131">
        <v>21</v>
      </c>
      <c r="BX270" s="133" t="s">
        <v>960</v>
      </c>
    </row>
    <row r="271" spans="1:76" x14ac:dyDescent="0.25">
      <c r="A271" s="134" t="s">
        <v>961</v>
      </c>
      <c r="B271" s="135" t="s">
        <v>962</v>
      </c>
      <c r="C271" s="270" t="s">
        <v>963</v>
      </c>
      <c r="D271" s="271"/>
      <c r="E271" s="135" t="s">
        <v>164</v>
      </c>
      <c r="F271" s="131">
        <v>2</v>
      </c>
      <c r="G271" s="179">
        <v>0</v>
      </c>
      <c r="H271" s="131">
        <f t="shared" si="206"/>
        <v>0</v>
      </c>
      <c r="I271" s="131">
        <f t="shared" si="207"/>
        <v>0</v>
      </c>
      <c r="J271" s="131">
        <f t="shared" si="208"/>
        <v>0</v>
      </c>
      <c r="K271" s="136" t="s">
        <v>60</v>
      </c>
      <c r="Z271" s="131">
        <f t="shared" si="209"/>
        <v>0</v>
      </c>
      <c r="AB271" s="131">
        <f t="shared" si="210"/>
        <v>0</v>
      </c>
      <c r="AC271" s="131">
        <f t="shared" si="211"/>
        <v>0</v>
      </c>
      <c r="AD271" s="131">
        <f t="shared" si="212"/>
        <v>0</v>
      </c>
      <c r="AE271" s="131">
        <f t="shared" si="213"/>
        <v>0</v>
      </c>
      <c r="AF271" s="131">
        <f t="shared" si="214"/>
        <v>0</v>
      </c>
      <c r="AG271" s="131">
        <f t="shared" si="215"/>
        <v>0</v>
      </c>
      <c r="AH271" s="131">
        <f t="shared" si="216"/>
        <v>0</v>
      </c>
      <c r="AI271" s="115" t="s">
        <v>906</v>
      </c>
      <c r="AJ271" s="131">
        <f t="shared" si="217"/>
        <v>0</v>
      </c>
      <c r="AK271" s="131">
        <f t="shared" si="218"/>
        <v>0</v>
      </c>
      <c r="AL271" s="131">
        <f t="shared" si="219"/>
        <v>0</v>
      </c>
      <c r="AN271" s="131">
        <v>21</v>
      </c>
      <c r="AO271" s="131">
        <f t="shared" si="220"/>
        <v>0</v>
      </c>
      <c r="AP271" s="131">
        <f t="shared" si="221"/>
        <v>0</v>
      </c>
      <c r="AQ271" s="132" t="s">
        <v>343</v>
      </c>
      <c r="AV271" s="131">
        <f t="shared" si="222"/>
        <v>0</v>
      </c>
      <c r="AW271" s="131">
        <f t="shared" si="223"/>
        <v>0</v>
      </c>
      <c r="AX271" s="131">
        <f t="shared" si="224"/>
        <v>0</v>
      </c>
      <c r="AY271" s="132" t="s">
        <v>344</v>
      </c>
      <c r="AZ271" s="132" t="s">
        <v>954</v>
      </c>
      <c r="BA271" s="115" t="s">
        <v>909</v>
      </c>
      <c r="BC271" s="131">
        <f t="shared" si="225"/>
        <v>0</v>
      </c>
      <c r="BD271" s="131">
        <f t="shared" si="226"/>
        <v>0</v>
      </c>
      <c r="BE271" s="131">
        <v>0</v>
      </c>
      <c r="BF271" s="131">
        <f>271</f>
        <v>271</v>
      </c>
      <c r="BH271" s="131">
        <f t="shared" si="227"/>
        <v>0</v>
      </c>
      <c r="BI271" s="131">
        <f t="shared" si="228"/>
        <v>0</v>
      </c>
      <c r="BJ271" s="131">
        <f t="shared" si="229"/>
        <v>0</v>
      </c>
      <c r="BK271" s="131"/>
      <c r="BL271" s="131"/>
      <c r="BW271" s="131">
        <v>21</v>
      </c>
      <c r="BX271" s="133" t="s">
        <v>963</v>
      </c>
    </row>
    <row r="272" spans="1:76" x14ac:dyDescent="0.25">
      <c r="A272" s="134" t="s">
        <v>964</v>
      </c>
      <c r="B272" s="135" t="s">
        <v>822</v>
      </c>
      <c r="C272" s="270" t="s">
        <v>823</v>
      </c>
      <c r="D272" s="271"/>
      <c r="E272" s="135" t="s">
        <v>164</v>
      </c>
      <c r="F272" s="131">
        <v>2</v>
      </c>
      <c r="G272" s="179">
        <v>0</v>
      </c>
      <c r="H272" s="131">
        <f t="shared" si="206"/>
        <v>0</v>
      </c>
      <c r="I272" s="131">
        <f t="shared" si="207"/>
        <v>0</v>
      </c>
      <c r="J272" s="131">
        <f t="shared" si="208"/>
        <v>0</v>
      </c>
      <c r="K272" s="136" t="s">
        <v>60</v>
      </c>
      <c r="Z272" s="131">
        <f t="shared" si="209"/>
        <v>0</v>
      </c>
      <c r="AB272" s="131">
        <f t="shared" si="210"/>
        <v>0</v>
      </c>
      <c r="AC272" s="131">
        <f t="shared" si="211"/>
        <v>0</v>
      </c>
      <c r="AD272" s="131">
        <f t="shared" si="212"/>
        <v>0</v>
      </c>
      <c r="AE272" s="131">
        <f t="shared" si="213"/>
        <v>0</v>
      </c>
      <c r="AF272" s="131">
        <f t="shared" si="214"/>
        <v>0</v>
      </c>
      <c r="AG272" s="131">
        <f t="shared" si="215"/>
        <v>0</v>
      </c>
      <c r="AH272" s="131">
        <f t="shared" si="216"/>
        <v>0</v>
      </c>
      <c r="AI272" s="115" t="s">
        <v>906</v>
      </c>
      <c r="AJ272" s="131">
        <f t="shared" si="217"/>
        <v>0</v>
      </c>
      <c r="AK272" s="131">
        <f t="shared" si="218"/>
        <v>0</v>
      </c>
      <c r="AL272" s="131">
        <f t="shared" si="219"/>
        <v>0</v>
      </c>
      <c r="AN272" s="131">
        <v>21</v>
      </c>
      <c r="AO272" s="131">
        <f t="shared" si="220"/>
        <v>0</v>
      </c>
      <c r="AP272" s="131">
        <f t="shared" si="221"/>
        <v>0</v>
      </c>
      <c r="AQ272" s="132" t="s">
        <v>343</v>
      </c>
      <c r="AV272" s="131">
        <f t="shared" si="222"/>
        <v>0</v>
      </c>
      <c r="AW272" s="131">
        <f t="shared" si="223"/>
        <v>0</v>
      </c>
      <c r="AX272" s="131">
        <f t="shared" si="224"/>
        <v>0</v>
      </c>
      <c r="AY272" s="132" t="s">
        <v>344</v>
      </c>
      <c r="AZ272" s="132" t="s">
        <v>954</v>
      </c>
      <c r="BA272" s="115" t="s">
        <v>909</v>
      </c>
      <c r="BC272" s="131">
        <f t="shared" si="225"/>
        <v>0</v>
      </c>
      <c r="BD272" s="131">
        <f t="shared" si="226"/>
        <v>0</v>
      </c>
      <c r="BE272" s="131">
        <v>0</v>
      </c>
      <c r="BF272" s="131">
        <f>272</f>
        <v>272</v>
      </c>
      <c r="BH272" s="131">
        <f t="shared" si="227"/>
        <v>0</v>
      </c>
      <c r="BI272" s="131">
        <f t="shared" si="228"/>
        <v>0</v>
      </c>
      <c r="BJ272" s="131">
        <f t="shared" si="229"/>
        <v>0</v>
      </c>
      <c r="BK272" s="131"/>
      <c r="BL272" s="131"/>
      <c r="BW272" s="131">
        <v>21</v>
      </c>
      <c r="BX272" s="133" t="s">
        <v>823</v>
      </c>
    </row>
    <row r="273" spans="1:76" x14ac:dyDescent="0.25">
      <c r="A273" s="134" t="s">
        <v>965</v>
      </c>
      <c r="B273" s="135" t="s">
        <v>966</v>
      </c>
      <c r="C273" s="270" t="s">
        <v>967</v>
      </c>
      <c r="D273" s="271"/>
      <c r="E273" s="135" t="s">
        <v>164</v>
      </c>
      <c r="F273" s="131">
        <v>2</v>
      </c>
      <c r="G273" s="179">
        <v>0</v>
      </c>
      <c r="H273" s="131">
        <f t="shared" si="206"/>
        <v>0</v>
      </c>
      <c r="I273" s="131">
        <f t="shared" si="207"/>
        <v>0</v>
      </c>
      <c r="J273" s="131">
        <f t="shared" si="208"/>
        <v>0</v>
      </c>
      <c r="K273" s="136" t="s">
        <v>939</v>
      </c>
      <c r="Z273" s="131">
        <f t="shared" si="209"/>
        <v>0</v>
      </c>
      <c r="AB273" s="131">
        <f t="shared" si="210"/>
        <v>0</v>
      </c>
      <c r="AC273" s="131">
        <f t="shared" si="211"/>
        <v>0</v>
      </c>
      <c r="AD273" s="131">
        <f t="shared" si="212"/>
        <v>0</v>
      </c>
      <c r="AE273" s="131">
        <f t="shared" si="213"/>
        <v>0</v>
      </c>
      <c r="AF273" s="131">
        <f t="shared" si="214"/>
        <v>0</v>
      </c>
      <c r="AG273" s="131">
        <f t="shared" si="215"/>
        <v>0</v>
      </c>
      <c r="AH273" s="131">
        <f t="shared" si="216"/>
        <v>0</v>
      </c>
      <c r="AI273" s="115" t="s">
        <v>906</v>
      </c>
      <c r="AJ273" s="131">
        <f t="shared" si="217"/>
        <v>0</v>
      </c>
      <c r="AK273" s="131">
        <f t="shared" si="218"/>
        <v>0</v>
      </c>
      <c r="AL273" s="131">
        <f t="shared" si="219"/>
        <v>0</v>
      </c>
      <c r="AN273" s="131">
        <v>21</v>
      </c>
      <c r="AO273" s="131">
        <f t="shared" si="220"/>
        <v>0</v>
      </c>
      <c r="AP273" s="131">
        <f t="shared" si="221"/>
        <v>0</v>
      </c>
      <c r="AQ273" s="132" t="s">
        <v>343</v>
      </c>
      <c r="AV273" s="131">
        <f t="shared" si="222"/>
        <v>0</v>
      </c>
      <c r="AW273" s="131">
        <f t="shared" si="223"/>
        <v>0</v>
      </c>
      <c r="AX273" s="131">
        <f t="shared" si="224"/>
        <v>0</v>
      </c>
      <c r="AY273" s="132" t="s">
        <v>344</v>
      </c>
      <c r="AZ273" s="132" t="s">
        <v>954</v>
      </c>
      <c r="BA273" s="115" t="s">
        <v>909</v>
      </c>
      <c r="BC273" s="131">
        <f t="shared" si="225"/>
        <v>0</v>
      </c>
      <c r="BD273" s="131">
        <f t="shared" si="226"/>
        <v>0</v>
      </c>
      <c r="BE273" s="131">
        <v>0</v>
      </c>
      <c r="BF273" s="131">
        <f>273</f>
        <v>273</v>
      </c>
      <c r="BH273" s="131">
        <f t="shared" si="227"/>
        <v>0</v>
      </c>
      <c r="BI273" s="131">
        <f t="shared" si="228"/>
        <v>0</v>
      </c>
      <c r="BJ273" s="131">
        <f t="shared" si="229"/>
        <v>0</v>
      </c>
      <c r="BK273" s="131"/>
      <c r="BL273" s="131"/>
      <c r="BW273" s="131">
        <v>21</v>
      </c>
      <c r="BX273" s="133" t="s">
        <v>967</v>
      </c>
    </row>
    <row r="274" spans="1:76" x14ac:dyDescent="0.25">
      <c r="A274" s="134" t="s">
        <v>968</v>
      </c>
      <c r="B274" s="135" t="s">
        <v>826</v>
      </c>
      <c r="C274" s="270" t="s">
        <v>749</v>
      </c>
      <c r="D274" s="271"/>
      <c r="E274" s="135" t="s">
        <v>164</v>
      </c>
      <c r="F274" s="131">
        <v>2</v>
      </c>
      <c r="G274" s="179">
        <v>0</v>
      </c>
      <c r="H274" s="131">
        <f t="shared" si="206"/>
        <v>0</v>
      </c>
      <c r="I274" s="131">
        <f t="shared" si="207"/>
        <v>0</v>
      </c>
      <c r="J274" s="131">
        <f t="shared" si="208"/>
        <v>0</v>
      </c>
      <c r="K274" s="136" t="s">
        <v>60</v>
      </c>
      <c r="Z274" s="131">
        <f t="shared" si="209"/>
        <v>0</v>
      </c>
      <c r="AB274" s="131">
        <f t="shared" si="210"/>
        <v>0</v>
      </c>
      <c r="AC274" s="131">
        <f t="shared" si="211"/>
        <v>0</v>
      </c>
      <c r="AD274" s="131">
        <f t="shared" si="212"/>
        <v>0</v>
      </c>
      <c r="AE274" s="131">
        <f t="shared" si="213"/>
        <v>0</v>
      </c>
      <c r="AF274" s="131">
        <f t="shared" si="214"/>
        <v>0</v>
      </c>
      <c r="AG274" s="131">
        <f t="shared" si="215"/>
        <v>0</v>
      </c>
      <c r="AH274" s="131">
        <f t="shared" si="216"/>
        <v>0</v>
      </c>
      <c r="AI274" s="115" t="s">
        <v>906</v>
      </c>
      <c r="AJ274" s="131">
        <f t="shared" si="217"/>
        <v>0</v>
      </c>
      <c r="AK274" s="131">
        <f t="shared" si="218"/>
        <v>0</v>
      </c>
      <c r="AL274" s="131">
        <f t="shared" si="219"/>
        <v>0</v>
      </c>
      <c r="AN274" s="131">
        <v>21</v>
      </c>
      <c r="AO274" s="131">
        <f t="shared" si="220"/>
        <v>0</v>
      </c>
      <c r="AP274" s="131">
        <f t="shared" si="221"/>
        <v>0</v>
      </c>
      <c r="AQ274" s="132" t="s">
        <v>343</v>
      </c>
      <c r="AV274" s="131">
        <f t="shared" si="222"/>
        <v>0</v>
      </c>
      <c r="AW274" s="131">
        <f t="shared" si="223"/>
        <v>0</v>
      </c>
      <c r="AX274" s="131">
        <f t="shared" si="224"/>
        <v>0</v>
      </c>
      <c r="AY274" s="132" t="s">
        <v>344</v>
      </c>
      <c r="AZ274" s="132" t="s">
        <v>954</v>
      </c>
      <c r="BA274" s="115" t="s">
        <v>909</v>
      </c>
      <c r="BC274" s="131">
        <f t="shared" si="225"/>
        <v>0</v>
      </c>
      <c r="BD274" s="131">
        <f t="shared" si="226"/>
        <v>0</v>
      </c>
      <c r="BE274" s="131">
        <v>0</v>
      </c>
      <c r="BF274" s="131">
        <f>274</f>
        <v>274</v>
      </c>
      <c r="BH274" s="131">
        <f t="shared" si="227"/>
        <v>0</v>
      </c>
      <c r="BI274" s="131">
        <f t="shared" si="228"/>
        <v>0</v>
      </c>
      <c r="BJ274" s="131">
        <f t="shared" si="229"/>
        <v>0</v>
      </c>
      <c r="BK274" s="131"/>
      <c r="BL274" s="131"/>
      <c r="BW274" s="131">
        <v>21</v>
      </c>
      <c r="BX274" s="133" t="s">
        <v>749</v>
      </c>
    </row>
    <row r="275" spans="1:76" x14ac:dyDescent="0.25">
      <c r="A275" s="134" t="s">
        <v>969</v>
      </c>
      <c r="B275" s="135" t="s">
        <v>752</v>
      </c>
      <c r="C275" s="270" t="s">
        <v>753</v>
      </c>
      <c r="D275" s="271"/>
      <c r="E275" s="135" t="s">
        <v>164</v>
      </c>
      <c r="F275" s="131">
        <v>2</v>
      </c>
      <c r="G275" s="179">
        <v>0</v>
      </c>
      <c r="H275" s="131">
        <f t="shared" si="206"/>
        <v>0</v>
      </c>
      <c r="I275" s="131">
        <f t="shared" si="207"/>
        <v>0</v>
      </c>
      <c r="J275" s="131">
        <f t="shared" si="208"/>
        <v>0</v>
      </c>
      <c r="K275" s="136" t="s">
        <v>60</v>
      </c>
      <c r="Z275" s="131">
        <f t="shared" si="209"/>
        <v>0</v>
      </c>
      <c r="AB275" s="131">
        <f t="shared" si="210"/>
        <v>0</v>
      </c>
      <c r="AC275" s="131">
        <f t="shared" si="211"/>
        <v>0</v>
      </c>
      <c r="AD275" s="131">
        <f t="shared" si="212"/>
        <v>0</v>
      </c>
      <c r="AE275" s="131">
        <f t="shared" si="213"/>
        <v>0</v>
      </c>
      <c r="AF275" s="131">
        <f t="shared" si="214"/>
        <v>0</v>
      </c>
      <c r="AG275" s="131">
        <f t="shared" si="215"/>
        <v>0</v>
      </c>
      <c r="AH275" s="131">
        <f t="shared" si="216"/>
        <v>0</v>
      </c>
      <c r="AI275" s="115" t="s">
        <v>906</v>
      </c>
      <c r="AJ275" s="131">
        <f t="shared" si="217"/>
        <v>0</v>
      </c>
      <c r="AK275" s="131">
        <f t="shared" si="218"/>
        <v>0</v>
      </c>
      <c r="AL275" s="131">
        <f t="shared" si="219"/>
        <v>0</v>
      </c>
      <c r="AN275" s="131">
        <v>21</v>
      </c>
      <c r="AO275" s="131">
        <f t="shared" si="220"/>
        <v>0</v>
      </c>
      <c r="AP275" s="131">
        <f t="shared" si="221"/>
        <v>0</v>
      </c>
      <c r="AQ275" s="132" t="s">
        <v>343</v>
      </c>
      <c r="AV275" s="131">
        <f t="shared" si="222"/>
        <v>0</v>
      </c>
      <c r="AW275" s="131">
        <f t="shared" si="223"/>
        <v>0</v>
      </c>
      <c r="AX275" s="131">
        <f t="shared" si="224"/>
        <v>0</v>
      </c>
      <c r="AY275" s="132" t="s">
        <v>344</v>
      </c>
      <c r="AZ275" s="132" t="s">
        <v>954</v>
      </c>
      <c r="BA275" s="115" t="s">
        <v>909</v>
      </c>
      <c r="BC275" s="131">
        <f t="shared" si="225"/>
        <v>0</v>
      </c>
      <c r="BD275" s="131">
        <f t="shared" si="226"/>
        <v>0</v>
      </c>
      <c r="BE275" s="131">
        <v>0</v>
      </c>
      <c r="BF275" s="131">
        <f>275</f>
        <v>275</v>
      </c>
      <c r="BH275" s="131">
        <f t="shared" si="227"/>
        <v>0</v>
      </c>
      <c r="BI275" s="131">
        <f t="shared" si="228"/>
        <v>0</v>
      </c>
      <c r="BJ275" s="131">
        <f t="shared" si="229"/>
        <v>0</v>
      </c>
      <c r="BK275" s="131"/>
      <c r="BL275" s="131"/>
      <c r="BW275" s="131">
        <v>21</v>
      </c>
      <c r="BX275" s="133" t="s">
        <v>753</v>
      </c>
    </row>
    <row r="276" spans="1:76" x14ac:dyDescent="0.25">
      <c r="A276" s="134" t="s">
        <v>970</v>
      </c>
      <c r="B276" s="135" t="s">
        <v>829</v>
      </c>
      <c r="C276" s="270" t="s">
        <v>830</v>
      </c>
      <c r="D276" s="271"/>
      <c r="E276" s="135" t="s">
        <v>831</v>
      </c>
      <c r="F276" s="131">
        <v>34.83</v>
      </c>
      <c r="G276" s="179">
        <v>0</v>
      </c>
      <c r="H276" s="131">
        <f t="shared" si="206"/>
        <v>0</v>
      </c>
      <c r="I276" s="131">
        <f t="shared" si="207"/>
        <v>0</v>
      </c>
      <c r="J276" s="131">
        <f t="shared" si="208"/>
        <v>0</v>
      </c>
      <c r="K276" s="136" t="s">
        <v>60</v>
      </c>
      <c r="Z276" s="131">
        <f t="shared" si="209"/>
        <v>0</v>
      </c>
      <c r="AB276" s="131">
        <f t="shared" si="210"/>
        <v>0</v>
      </c>
      <c r="AC276" s="131">
        <f t="shared" si="211"/>
        <v>0</v>
      </c>
      <c r="AD276" s="131">
        <f t="shared" si="212"/>
        <v>0</v>
      </c>
      <c r="AE276" s="131">
        <f t="shared" si="213"/>
        <v>0</v>
      </c>
      <c r="AF276" s="131">
        <f t="shared" si="214"/>
        <v>0</v>
      </c>
      <c r="AG276" s="131">
        <f t="shared" si="215"/>
        <v>0</v>
      </c>
      <c r="AH276" s="131">
        <f t="shared" si="216"/>
        <v>0</v>
      </c>
      <c r="AI276" s="115" t="s">
        <v>906</v>
      </c>
      <c r="AJ276" s="131">
        <f t="shared" si="217"/>
        <v>0</v>
      </c>
      <c r="AK276" s="131">
        <f t="shared" si="218"/>
        <v>0</v>
      </c>
      <c r="AL276" s="131">
        <f t="shared" si="219"/>
        <v>0</v>
      </c>
      <c r="AN276" s="131">
        <v>21</v>
      </c>
      <c r="AO276" s="131">
        <f t="shared" si="220"/>
        <v>0</v>
      </c>
      <c r="AP276" s="131">
        <f t="shared" si="221"/>
        <v>0</v>
      </c>
      <c r="AQ276" s="132" t="s">
        <v>343</v>
      </c>
      <c r="AV276" s="131">
        <f t="shared" si="222"/>
        <v>0</v>
      </c>
      <c r="AW276" s="131">
        <f t="shared" si="223"/>
        <v>0</v>
      </c>
      <c r="AX276" s="131">
        <f t="shared" si="224"/>
        <v>0</v>
      </c>
      <c r="AY276" s="132" t="s">
        <v>344</v>
      </c>
      <c r="AZ276" s="132" t="s">
        <v>954</v>
      </c>
      <c r="BA276" s="115" t="s">
        <v>909</v>
      </c>
      <c r="BC276" s="131">
        <f t="shared" si="225"/>
        <v>0</v>
      </c>
      <c r="BD276" s="131">
        <f t="shared" si="226"/>
        <v>0</v>
      </c>
      <c r="BE276" s="131">
        <v>0</v>
      </c>
      <c r="BF276" s="131">
        <f>276</f>
        <v>276</v>
      </c>
      <c r="BH276" s="131">
        <f t="shared" si="227"/>
        <v>0</v>
      </c>
      <c r="BI276" s="131">
        <f t="shared" si="228"/>
        <v>0</v>
      </c>
      <c r="BJ276" s="131">
        <f t="shared" si="229"/>
        <v>0</v>
      </c>
      <c r="BK276" s="131"/>
      <c r="BL276" s="131"/>
      <c r="BW276" s="131">
        <v>21</v>
      </c>
      <c r="BX276" s="133" t="s">
        <v>830</v>
      </c>
    </row>
    <row r="277" spans="1:76" x14ac:dyDescent="0.25">
      <c r="A277" s="123" t="s">
        <v>53</v>
      </c>
      <c r="B277" s="124" t="s">
        <v>409</v>
      </c>
      <c r="C277" s="272" t="s">
        <v>410</v>
      </c>
      <c r="D277" s="273"/>
      <c r="E277" s="125" t="s">
        <v>9</v>
      </c>
      <c r="F277" s="125" t="s">
        <v>9</v>
      </c>
      <c r="G277" s="125" t="s">
        <v>9</v>
      </c>
      <c r="H277" s="110">
        <f>H278+H280+H282</f>
        <v>0</v>
      </c>
      <c r="I277" s="110">
        <f>I278+I280+I282</f>
        <v>0</v>
      </c>
      <c r="J277" s="110">
        <f>J278+J280+J282</f>
        <v>0</v>
      </c>
      <c r="K277" s="126" t="s">
        <v>53</v>
      </c>
      <c r="AI277" s="115" t="s">
        <v>906</v>
      </c>
    </row>
    <row r="278" spans="1:76" x14ac:dyDescent="0.25">
      <c r="A278" s="123" t="s">
        <v>53</v>
      </c>
      <c r="B278" s="124" t="s">
        <v>411</v>
      </c>
      <c r="C278" s="272" t="s">
        <v>412</v>
      </c>
      <c r="D278" s="273"/>
      <c r="E278" s="125" t="s">
        <v>9</v>
      </c>
      <c r="F278" s="125" t="s">
        <v>9</v>
      </c>
      <c r="G278" s="125" t="s">
        <v>9</v>
      </c>
      <c r="H278" s="110">
        <f>SUM(H279:H279)</f>
        <v>0</v>
      </c>
      <c r="I278" s="110">
        <f>SUM(I279:I279)</f>
        <v>0</v>
      </c>
      <c r="J278" s="110">
        <f>SUM(J279:J279)</f>
        <v>0</v>
      </c>
      <c r="K278" s="126" t="s">
        <v>53</v>
      </c>
      <c r="AI278" s="115" t="s">
        <v>906</v>
      </c>
      <c r="AS278" s="110">
        <f>SUM(AJ279:AJ279)</f>
        <v>0</v>
      </c>
      <c r="AT278" s="110">
        <f>SUM(AK279:AK279)</f>
        <v>0</v>
      </c>
      <c r="AU278" s="110">
        <f>SUM(AL279:AL279)</f>
        <v>0</v>
      </c>
    </row>
    <row r="279" spans="1:76" x14ac:dyDescent="0.25">
      <c r="A279" s="134" t="s">
        <v>971</v>
      </c>
      <c r="B279" s="135" t="s">
        <v>414</v>
      </c>
      <c r="C279" s="270" t="s">
        <v>415</v>
      </c>
      <c r="D279" s="271"/>
      <c r="E279" s="135" t="s">
        <v>416</v>
      </c>
      <c r="F279" s="131">
        <v>1</v>
      </c>
      <c r="G279" s="179">
        <v>0</v>
      </c>
      <c r="H279" s="131">
        <f>F279*AO279</f>
        <v>0</v>
      </c>
      <c r="I279" s="131">
        <f>F279*AP279</f>
        <v>0</v>
      </c>
      <c r="J279" s="131">
        <f>F279*G279</f>
        <v>0</v>
      </c>
      <c r="K279" s="136" t="s">
        <v>53</v>
      </c>
      <c r="Z279" s="131">
        <f>IF(AQ279="5",BJ279,0)</f>
        <v>0</v>
      </c>
      <c r="AB279" s="131">
        <f>IF(AQ279="1",BH279,0)</f>
        <v>0</v>
      </c>
      <c r="AC279" s="131">
        <f>IF(AQ279="1",BI279,0)</f>
        <v>0</v>
      </c>
      <c r="AD279" s="131">
        <f>IF(AQ279="7",BH279,0)</f>
        <v>0</v>
      </c>
      <c r="AE279" s="131">
        <f>IF(AQ279="7",BI279,0)</f>
        <v>0</v>
      </c>
      <c r="AF279" s="131">
        <f>IF(AQ279="2",BH279,0)</f>
        <v>0</v>
      </c>
      <c r="AG279" s="131">
        <f>IF(AQ279="2",BI279,0)</f>
        <v>0</v>
      </c>
      <c r="AH279" s="131">
        <f>IF(AQ279="0",BJ279,0)</f>
        <v>0</v>
      </c>
      <c r="AI279" s="115" t="s">
        <v>906</v>
      </c>
      <c r="AJ279" s="131">
        <f>IF(AN279=0,J279,0)</f>
        <v>0</v>
      </c>
      <c r="AK279" s="131">
        <f>IF(AN279=12,J279,0)</f>
        <v>0</v>
      </c>
      <c r="AL279" s="131">
        <f>IF(AN279=21,J279,0)</f>
        <v>0</v>
      </c>
      <c r="AN279" s="131">
        <v>21</v>
      </c>
      <c r="AO279" s="131">
        <f>G279*0</f>
        <v>0</v>
      </c>
      <c r="AP279" s="131">
        <f>G279*(1-0)</f>
        <v>0</v>
      </c>
      <c r="AQ279" s="132" t="s">
        <v>405</v>
      </c>
      <c r="AV279" s="131">
        <f>AW279+AX279</f>
        <v>0</v>
      </c>
      <c r="AW279" s="131">
        <f>F279*AO279</f>
        <v>0</v>
      </c>
      <c r="AX279" s="131">
        <f>F279*AP279</f>
        <v>0</v>
      </c>
      <c r="AY279" s="132" t="s">
        <v>417</v>
      </c>
      <c r="AZ279" s="132" t="s">
        <v>972</v>
      </c>
      <c r="BA279" s="115" t="s">
        <v>909</v>
      </c>
      <c r="BC279" s="131">
        <f>AW279+AX279</f>
        <v>0</v>
      </c>
      <c r="BD279" s="131">
        <f>G279/(100-BE279)*100</f>
        <v>0</v>
      </c>
      <c r="BE279" s="131">
        <v>0</v>
      </c>
      <c r="BF279" s="131">
        <f>279</f>
        <v>279</v>
      </c>
      <c r="BH279" s="131">
        <f>F279*AO279</f>
        <v>0</v>
      </c>
      <c r="BI279" s="131">
        <f>F279*AP279</f>
        <v>0</v>
      </c>
      <c r="BJ279" s="131">
        <f>F279*G279</f>
        <v>0</v>
      </c>
      <c r="BK279" s="131"/>
      <c r="BL279" s="131"/>
      <c r="BM279" s="131">
        <f>F279*G279</f>
        <v>0</v>
      </c>
      <c r="BW279" s="131">
        <v>21</v>
      </c>
      <c r="BX279" s="133" t="s">
        <v>415</v>
      </c>
    </row>
    <row r="280" spans="1:76" x14ac:dyDescent="0.25">
      <c r="A280" s="123" t="s">
        <v>53</v>
      </c>
      <c r="B280" s="124" t="s">
        <v>419</v>
      </c>
      <c r="C280" s="272" t="s">
        <v>420</v>
      </c>
      <c r="D280" s="273"/>
      <c r="E280" s="125" t="s">
        <v>9</v>
      </c>
      <c r="F280" s="125" t="s">
        <v>9</v>
      </c>
      <c r="G280" s="125" t="s">
        <v>9</v>
      </c>
      <c r="H280" s="110">
        <f>SUM(H281:H281)</f>
        <v>0</v>
      </c>
      <c r="I280" s="110">
        <f>SUM(I281:I281)</f>
        <v>0</v>
      </c>
      <c r="J280" s="110">
        <f>SUM(J281:J281)</f>
        <v>0</v>
      </c>
      <c r="K280" s="126" t="s">
        <v>53</v>
      </c>
      <c r="AI280" s="115" t="s">
        <v>906</v>
      </c>
      <c r="AS280" s="110">
        <f>SUM(AJ281:AJ281)</f>
        <v>0</v>
      </c>
      <c r="AT280" s="110">
        <f>SUM(AK281:AK281)</f>
        <v>0</v>
      </c>
      <c r="AU280" s="110">
        <f>SUM(AL281:AL281)</f>
        <v>0</v>
      </c>
    </row>
    <row r="281" spans="1:76" x14ac:dyDescent="0.25">
      <c r="A281" s="134" t="s">
        <v>973</v>
      </c>
      <c r="B281" s="135" t="s">
        <v>422</v>
      </c>
      <c r="C281" s="270" t="s">
        <v>420</v>
      </c>
      <c r="D281" s="271"/>
      <c r="E281" s="135" t="s">
        <v>416</v>
      </c>
      <c r="F281" s="131">
        <v>1</v>
      </c>
      <c r="G281" s="179">
        <v>0</v>
      </c>
      <c r="H281" s="131">
        <f>F281*AO281</f>
        <v>0</v>
      </c>
      <c r="I281" s="131">
        <f>F281*AP281</f>
        <v>0</v>
      </c>
      <c r="J281" s="131">
        <f>F281*G281</f>
        <v>0</v>
      </c>
      <c r="K281" s="136" t="s">
        <v>53</v>
      </c>
      <c r="Z281" s="131">
        <f>IF(AQ281="5",BJ281,0)</f>
        <v>0</v>
      </c>
      <c r="AB281" s="131">
        <f>IF(AQ281="1",BH281,0)</f>
        <v>0</v>
      </c>
      <c r="AC281" s="131">
        <f>IF(AQ281="1",BI281,0)</f>
        <v>0</v>
      </c>
      <c r="AD281" s="131">
        <f>IF(AQ281="7",BH281,0)</f>
        <v>0</v>
      </c>
      <c r="AE281" s="131">
        <f>IF(AQ281="7",BI281,0)</f>
        <v>0</v>
      </c>
      <c r="AF281" s="131">
        <f>IF(AQ281="2",BH281,0)</f>
        <v>0</v>
      </c>
      <c r="AG281" s="131">
        <f>IF(AQ281="2",BI281,0)</f>
        <v>0</v>
      </c>
      <c r="AH281" s="131">
        <f>IF(AQ281="0",BJ281,0)</f>
        <v>0</v>
      </c>
      <c r="AI281" s="115" t="s">
        <v>906</v>
      </c>
      <c r="AJ281" s="131">
        <f>IF(AN281=0,J281,0)</f>
        <v>0</v>
      </c>
      <c r="AK281" s="131">
        <f>IF(AN281=12,J281,0)</f>
        <v>0</v>
      </c>
      <c r="AL281" s="131">
        <f>IF(AN281=21,J281,0)</f>
        <v>0</v>
      </c>
      <c r="AN281" s="131">
        <v>21</v>
      </c>
      <c r="AO281" s="131">
        <f>G281*0</f>
        <v>0</v>
      </c>
      <c r="AP281" s="131">
        <f>G281*(1-0)</f>
        <v>0</v>
      </c>
      <c r="AQ281" s="132" t="s">
        <v>405</v>
      </c>
      <c r="AV281" s="131">
        <f>AW281+AX281</f>
        <v>0</v>
      </c>
      <c r="AW281" s="131">
        <f>F281*AO281</f>
        <v>0</v>
      </c>
      <c r="AX281" s="131">
        <f>F281*AP281</f>
        <v>0</v>
      </c>
      <c r="AY281" s="132" t="s">
        <v>423</v>
      </c>
      <c r="AZ281" s="132" t="s">
        <v>972</v>
      </c>
      <c r="BA281" s="115" t="s">
        <v>909</v>
      </c>
      <c r="BC281" s="131">
        <f>AW281+AX281</f>
        <v>0</v>
      </c>
      <c r="BD281" s="131">
        <f>G281/(100-BE281)*100</f>
        <v>0</v>
      </c>
      <c r="BE281" s="131">
        <v>0</v>
      </c>
      <c r="BF281" s="131">
        <f>281</f>
        <v>281</v>
      </c>
      <c r="BH281" s="131">
        <f>F281*AO281</f>
        <v>0</v>
      </c>
      <c r="BI281" s="131">
        <f>F281*AP281</f>
        <v>0</v>
      </c>
      <c r="BJ281" s="131">
        <f>F281*G281</f>
        <v>0</v>
      </c>
      <c r="BK281" s="131"/>
      <c r="BL281" s="131"/>
      <c r="BO281" s="131">
        <f>F281*G281</f>
        <v>0</v>
      </c>
      <c r="BW281" s="131">
        <v>21</v>
      </c>
      <c r="BX281" s="133" t="s">
        <v>420</v>
      </c>
    </row>
    <row r="282" spans="1:76" x14ac:dyDescent="0.25">
      <c r="A282" s="123" t="s">
        <v>53</v>
      </c>
      <c r="B282" s="124" t="s">
        <v>424</v>
      </c>
      <c r="C282" s="272" t="s">
        <v>425</v>
      </c>
      <c r="D282" s="273"/>
      <c r="E282" s="125" t="s">
        <v>9</v>
      </c>
      <c r="F282" s="125" t="s">
        <v>9</v>
      </c>
      <c r="G282" s="125" t="s">
        <v>9</v>
      </c>
      <c r="H282" s="110">
        <f>SUM(H283:H283)</f>
        <v>0</v>
      </c>
      <c r="I282" s="110">
        <f>SUM(I283:I283)</f>
        <v>0</v>
      </c>
      <c r="J282" s="110">
        <f>SUM(J283:J283)</f>
        <v>0</v>
      </c>
      <c r="K282" s="126" t="s">
        <v>53</v>
      </c>
      <c r="AI282" s="115" t="s">
        <v>906</v>
      </c>
      <c r="AS282" s="110">
        <f>SUM(AJ283:AJ283)</f>
        <v>0</v>
      </c>
      <c r="AT282" s="110">
        <f>SUM(AK283:AK283)</f>
        <v>0</v>
      </c>
      <c r="AU282" s="110">
        <f>SUM(AL283:AL283)</f>
        <v>0</v>
      </c>
    </row>
    <row r="283" spans="1:76" x14ac:dyDescent="0.25">
      <c r="A283" s="134" t="s">
        <v>974</v>
      </c>
      <c r="B283" s="135" t="s">
        <v>427</v>
      </c>
      <c r="C283" s="270" t="s">
        <v>428</v>
      </c>
      <c r="D283" s="271"/>
      <c r="E283" s="135" t="s">
        <v>416</v>
      </c>
      <c r="F283" s="131">
        <v>1</v>
      </c>
      <c r="G283" s="179">
        <v>0</v>
      </c>
      <c r="H283" s="131">
        <f>F283*AO283</f>
        <v>0</v>
      </c>
      <c r="I283" s="131">
        <f>F283*AP283</f>
        <v>0</v>
      </c>
      <c r="J283" s="131">
        <f>F283*G283</f>
        <v>0</v>
      </c>
      <c r="K283" s="136" t="s">
        <v>53</v>
      </c>
      <c r="Z283" s="131">
        <f>IF(AQ283="5",BJ283,0)</f>
        <v>0</v>
      </c>
      <c r="AB283" s="131">
        <f>IF(AQ283="1",BH283,0)</f>
        <v>0</v>
      </c>
      <c r="AC283" s="131">
        <f>IF(AQ283="1",BI283,0)</f>
        <v>0</v>
      </c>
      <c r="AD283" s="131">
        <f>IF(AQ283="7",BH283,0)</f>
        <v>0</v>
      </c>
      <c r="AE283" s="131">
        <f>IF(AQ283="7",BI283,0)</f>
        <v>0</v>
      </c>
      <c r="AF283" s="131">
        <f>IF(AQ283="2",BH283,0)</f>
        <v>0</v>
      </c>
      <c r="AG283" s="131">
        <f>IF(AQ283="2",BI283,0)</f>
        <v>0</v>
      </c>
      <c r="AH283" s="131">
        <f>IF(AQ283="0",BJ283,0)</f>
        <v>0</v>
      </c>
      <c r="AI283" s="115" t="s">
        <v>906</v>
      </c>
      <c r="AJ283" s="131">
        <f>IF(AN283=0,J283,0)</f>
        <v>0</v>
      </c>
      <c r="AK283" s="131">
        <f>IF(AN283=12,J283,0)</f>
        <v>0</v>
      </c>
      <c r="AL283" s="131">
        <f>IF(AN283=21,J283,0)</f>
        <v>0</v>
      </c>
      <c r="AN283" s="131">
        <v>21</v>
      </c>
      <c r="AO283" s="131">
        <f>G283*0</f>
        <v>0</v>
      </c>
      <c r="AP283" s="131">
        <f>G283*(1-0)</f>
        <v>0</v>
      </c>
      <c r="AQ283" s="132" t="s">
        <v>405</v>
      </c>
      <c r="AV283" s="131">
        <f>AW283+AX283</f>
        <v>0</v>
      </c>
      <c r="AW283" s="131">
        <f>F283*AO283</f>
        <v>0</v>
      </c>
      <c r="AX283" s="131">
        <f>F283*AP283</f>
        <v>0</v>
      </c>
      <c r="AY283" s="132" t="s">
        <v>429</v>
      </c>
      <c r="AZ283" s="132" t="s">
        <v>972</v>
      </c>
      <c r="BA283" s="115" t="s">
        <v>909</v>
      </c>
      <c r="BC283" s="131">
        <f>AW283+AX283</f>
        <v>0</v>
      </c>
      <c r="BD283" s="131">
        <f>G283/(100-BE283)*100</f>
        <v>0</v>
      </c>
      <c r="BE283" s="131">
        <v>0</v>
      </c>
      <c r="BF283" s="131">
        <f>283</f>
        <v>283</v>
      </c>
      <c r="BH283" s="131">
        <f>F283*AO283</f>
        <v>0</v>
      </c>
      <c r="BI283" s="131">
        <f>F283*AP283</f>
        <v>0</v>
      </c>
      <c r="BJ283" s="131">
        <f>F283*G283</f>
        <v>0</v>
      </c>
      <c r="BK283" s="131"/>
      <c r="BL283" s="131"/>
      <c r="BR283" s="131">
        <f>F283*G283</f>
        <v>0</v>
      </c>
      <c r="BW283" s="131">
        <v>21</v>
      </c>
      <c r="BX283" s="133" t="s">
        <v>428</v>
      </c>
    </row>
    <row r="284" spans="1:76" x14ac:dyDescent="0.25">
      <c r="A284" s="123" t="s">
        <v>53</v>
      </c>
      <c r="B284" s="124" t="s">
        <v>53</v>
      </c>
      <c r="C284" s="272" t="s">
        <v>975</v>
      </c>
      <c r="D284" s="273"/>
      <c r="E284" s="125" t="s">
        <v>9</v>
      </c>
      <c r="F284" s="125" t="s">
        <v>9</v>
      </c>
      <c r="G284" s="125" t="s">
        <v>9</v>
      </c>
      <c r="H284" s="110">
        <f>H285+H291+H293+H296+H299+H306+H310+H312+H317+H319+H322+H330+H332+H334+H351+H353+H355</f>
        <v>0</v>
      </c>
      <c r="I284" s="110">
        <f>I285+I291+I293+I296+I299+I306+I310+I312+I317+I319+I322+I330+I332+I334+I351+I353+I355</f>
        <v>0</v>
      </c>
      <c r="J284" s="110">
        <f>J285+J291+J293+J296+J299+J306+J310+J312+J317+J319+J322+J330+J332+J334+J351+J353+J355</f>
        <v>0</v>
      </c>
      <c r="K284" s="126" t="s">
        <v>53</v>
      </c>
    </row>
    <row r="285" spans="1:76" x14ac:dyDescent="0.25">
      <c r="A285" s="123" t="s">
        <v>53</v>
      </c>
      <c r="B285" s="124" t="s">
        <v>54</v>
      </c>
      <c r="C285" s="272" t="s">
        <v>55</v>
      </c>
      <c r="D285" s="273"/>
      <c r="E285" s="125" t="s">
        <v>9</v>
      </c>
      <c r="F285" s="125" t="s">
        <v>9</v>
      </c>
      <c r="G285" s="125" t="s">
        <v>9</v>
      </c>
      <c r="H285" s="110">
        <f>SUM(H286:H290)</f>
        <v>0</v>
      </c>
      <c r="I285" s="110">
        <f>SUM(I286:I290)</f>
        <v>0</v>
      </c>
      <c r="J285" s="110">
        <f>SUM(J286:J290)</f>
        <v>0</v>
      </c>
      <c r="K285" s="126" t="s">
        <v>53</v>
      </c>
      <c r="AI285" s="115" t="s">
        <v>976</v>
      </c>
      <c r="AS285" s="110">
        <f>SUM(AJ286:AJ290)</f>
        <v>0</v>
      </c>
      <c r="AT285" s="110">
        <f>SUM(AK286:AK290)</f>
        <v>0</v>
      </c>
      <c r="AU285" s="110">
        <f>SUM(AL286:AL290)</f>
        <v>0</v>
      </c>
    </row>
    <row r="286" spans="1:76" x14ac:dyDescent="0.25">
      <c r="A286" s="134" t="s">
        <v>977</v>
      </c>
      <c r="B286" s="135" t="s">
        <v>703</v>
      </c>
      <c r="C286" s="270" t="s">
        <v>704</v>
      </c>
      <c r="D286" s="271"/>
      <c r="E286" s="135" t="s">
        <v>705</v>
      </c>
      <c r="F286" s="131">
        <v>1</v>
      </c>
      <c r="G286" s="179">
        <v>0</v>
      </c>
      <c r="H286" s="131">
        <f>F286*AO286</f>
        <v>0</v>
      </c>
      <c r="I286" s="131">
        <f>F286*AP286</f>
        <v>0</v>
      </c>
      <c r="J286" s="131">
        <f>F286*G286</f>
        <v>0</v>
      </c>
      <c r="K286" s="136" t="s">
        <v>60</v>
      </c>
      <c r="Z286" s="131">
        <f>IF(AQ286="5",BJ286,0)</f>
        <v>0</v>
      </c>
      <c r="AB286" s="131">
        <f>IF(AQ286="1",BH286,0)</f>
        <v>0</v>
      </c>
      <c r="AC286" s="131">
        <f>IF(AQ286="1",BI286,0)</f>
        <v>0</v>
      </c>
      <c r="AD286" s="131">
        <f>IF(AQ286="7",BH286,0)</f>
        <v>0</v>
      </c>
      <c r="AE286" s="131">
        <f>IF(AQ286="7",BI286,0)</f>
        <v>0</v>
      </c>
      <c r="AF286" s="131">
        <f>IF(AQ286="2",BH286,0)</f>
        <v>0</v>
      </c>
      <c r="AG286" s="131">
        <f>IF(AQ286="2",BI286,0)</f>
        <v>0</v>
      </c>
      <c r="AH286" s="131">
        <f>IF(AQ286="0",BJ286,0)</f>
        <v>0</v>
      </c>
      <c r="AI286" s="115" t="s">
        <v>976</v>
      </c>
      <c r="AJ286" s="131">
        <f>IF(AN286=0,J286,0)</f>
        <v>0</v>
      </c>
      <c r="AK286" s="131">
        <f>IF(AN286=12,J286,0)</f>
        <v>0</v>
      </c>
      <c r="AL286" s="131">
        <f>IF(AN286=21,J286,0)</f>
        <v>0</v>
      </c>
      <c r="AN286" s="131">
        <v>21</v>
      </c>
      <c r="AO286" s="131">
        <f>G286*0</f>
        <v>0</v>
      </c>
      <c r="AP286" s="131">
        <f>G286*(1-0)</f>
        <v>0</v>
      </c>
      <c r="AQ286" s="132" t="s">
        <v>56</v>
      </c>
      <c r="AV286" s="131">
        <f>AW286+AX286</f>
        <v>0</v>
      </c>
      <c r="AW286" s="131">
        <f>F286*AO286</f>
        <v>0</v>
      </c>
      <c r="AX286" s="131">
        <f>F286*AP286</f>
        <v>0</v>
      </c>
      <c r="AY286" s="132" t="s">
        <v>61</v>
      </c>
      <c r="AZ286" s="132" t="s">
        <v>978</v>
      </c>
      <c r="BA286" s="115" t="s">
        <v>979</v>
      </c>
      <c r="BC286" s="131">
        <f>AW286+AX286</f>
        <v>0</v>
      </c>
      <c r="BD286" s="131">
        <f>G286/(100-BE286)*100</f>
        <v>0</v>
      </c>
      <c r="BE286" s="131">
        <v>0</v>
      </c>
      <c r="BF286" s="131">
        <f>286</f>
        <v>286</v>
      </c>
      <c r="BH286" s="131">
        <f>F286*AO286</f>
        <v>0</v>
      </c>
      <c r="BI286" s="131">
        <f>F286*AP286</f>
        <v>0</v>
      </c>
      <c r="BJ286" s="131">
        <f>F286*G286</f>
        <v>0</v>
      </c>
      <c r="BK286" s="131"/>
      <c r="BL286" s="131">
        <v>11</v>
      </c>
      <c r="BW286" s="131">
        <v>21</v>
      </c>
      <c r="BX286" s="133" t="s">
        <v>704</v>
      </c>
    </row>
    <row r="287" spans="1:76" x14ac:dyDescent="0.25">
      <c r="A287" s="134" t="s">
        <v>980</v>
      </c>
      <c r="B287" s="135" t="s">
        <v>911</v>
      </c>
      <c r="C287" s="270" t="s">
        <v>912</v>
      </c>
      <c r="D287" s="271"/>
      <c r="E287" s="135" t="s">
        <v>67</v>
      </c>
      <c r="F287" s="131">
        <v>3</v>
      </c>
      <c r="G287" s="179">
        <v>0</v>
      </c>
      <c r="H287" s="131">
        <f>F287*AO287</f>
        <v>0</v>
      </c>
      <c r="I287" s="131">
        <f>F287*AP287</f>
        <v>0</v>
      </c>
      <c r="J287" s="131">
        <f>F287*G287</f>
        <v>0</v>
      </c>
      <c r="K287" s="136" t="s">
        <v>60</v>
      </c>
      <c r="Z287" s="131">
        <f>IF(AQ287="5",BJ287,0)</f>
        <v>0</v>
      </c>
      <c r="AB287" s="131">
        <f>IF(AQ287="1",BH287,0)</f>
        <v>0</v>
      </c>
      <c r="AC287" s="131">
        <f>IF(AQ287="1",BI287,0)</f>
        <v>0</v>
      </c>
      <c r="AD287" s="131">
        <f>IF(AQ287="7",BH287,0)</f>
        <v>0</v>
      </c>
      <c r="AE287" s="131">
        <f>IF(AQ287="7",BI287,0)</f>
        <v>0</v>
      </c>
      <c r="AF287" s="131">
        <f>IF(AQ287="2",BH287,0)</f>
        <v>0</v>
      </c>
      <c r="AG287" s="131">
        <f>IF(AQ287="2",BI287,0)</f>
        <v>0</v>
      </c>
      <c r="AH287" s="131">
        <f>IF(AQ287="0",BJ287,0)</f>
        <v>0</v>
      </c>
      <c r="AI287" s="115" t="s">
        <v>976</v>
      </c>
      <c r="AJ287" s="131">
        <f>IF(AN287=0,J287,0)</f>
        <v>0</v>
      </c>
      <c r="AK287" s="131">
        <f>IF(AN287=12,J287,0)</f>
        <v>0</v>
      </c>
      <c r="AL287" s="131">
        <f>IF(AN287=21,J287,0)</f>
        <v>0</v>
      </c>
      <c r="AN287" s="131">
        <v>21</v>
      </c>
      <c r="AO287" s="131">
        <f>G287*0.270554622</f>
        <v>0</v>
      </c>
      <c r="AP287" s="131">
        <f>G287*(1-0.270554622)</f>
        <v>0</v>
      </c>
      <c r="AQ287" s="132" t="s">
        <v>56</v>
      </c>
      <c r="AV287" s="131">
        <f>AW287+AX287</f>
        <v>0</v>
      </c>
      <c r="AW287" s="131">
        <f>F287*AO287</f>
        <v>0</v>
      </c>
      <c r="AX287" s="131">
        <f>F287*AP287</f>
        <v>0</v>
      </c>
      <c r="AY287" s="132" t="s">
        <v>61</v>
      </c>
      <c r="AZ287" s="132" t="s">
        <v>978</v>
      </c>
      <c r="BA287" s="115" t="s">
        <v>979</v>
      </c>
      <c r="BC287" s="131">
        <f>AW287+AX287</f>
        <v>0</v>
      </c>
      <c r="BD287" s="131">
        <f>G287/(100-BE287)*100</f>
        <v>0</v>
      </c>
      <c r="BE287" s="131">
        <v>0</v>
      </c>
      <c r="BF287" s="131">
        <f>287</f>
        <v>287</v>
      </c>
      <c r="BH287" s="131">
        <f>F287*AO287</f>
        <v>0</v>
      </c>
      <c r="BI287" s="131">
        <f>F287*AP287</f>
        <v>0</v>
      </c>
      <c r="BJ287" s="131">
        <f>F287*G287</f>
        <v>0</v>
      </c>
      <c r="BK287" s="131"/>
      <c r="BL287" s="131">
        <v>11</v>
      </c>
      <c r="BW287" s="131">
        <v>21</v>
      </c>
      <c r="BX287" s="133" t="s">
        <v>912</v>
      </c>
    </row>
    <row r="288" spans="1:76" x14ac:dyDescent="0.25">
      <c r="A288" s="134" t="s">
        <v>981</v>
      </c>
      <c r="B288" s="135" t="s">
        <v>911</v>
      </c>
      <c r="C288" s="270" t="s">
        <v>982</v>
      </c>
      <c r="D288" s="271"/>
      <c r="E288" s="135" t="s">
        <v>67</v>
      </c>
      <c r="F288" s="131">
        <v>6</v>
      </c>
      <c r="G288" s="179">
        <v>0</v>
      </c>
      <c r="H288" s="131">
        <f>F288*AO288</f>
        <v>0</v>
      </c>
      <c r="I288" s="131">
        <f>F288*AP288</f>
        <v>0</v>
      </c>
      <c r="J288" s="131">
        <f>F288*G288</f>
        <v>0</v>
      </c>
      <c r="K288" s="136" t="s">
        <v>60</v>
      </c>
      <c r="Z288" s="131">
        <f>IF(AQ288="5",BJ288,0)</f>
        <v>0</v>
      </c>
      <c r="AB288" s="131">
        <f>IF(AQ288="1",BH288,0)</f>
        <v>0</v>
      </c>
      <c r="AC288" s="131">
        <f>IF(AQ288="1",BI288,0)</f>
        <v>0</v>
      </c>
      <c r="AD288" s="131">
        <f>IF(AQ288="7",BH288,0)</f>
        <v>0</v>
      </c>
      <c r="AE288" s="131">
        <f>IF(AQ288="7",BI288,0)</f>
        <v>0</v>
      </c>
      <c r="AF288" s="131">
        <f>IF(AQ288="2",BH288,0)</f>
        <v>0</v>
      </c>
      <c r="AG288" s="131">
        <f>IF(AQ288="2",BI288,0)</f>
        <v>0</v>
      </c>
      <c r="AH288" s="131">
        <f>IF(AQ288="0",BJ288,0)</f>
        <v>0</v>
      </c>
      <c r="AI288" s="115" t="s">
        <v>976</v>
      </c>
      <c r="AJ288" s="131">
        <f>IF(AN288=0,J288,0)</f>
        <v>0</v>
      </c>
      <c r="AK288" s="131">
        <f>IF(AN288=12,J288,0)</f>
        <v>0</v>
      </c>
      <c r="AL288" s="131">
        <f>IF(AN288=21,J288,0)</f>
        <v>0</v>
      </c>
      <c r="AN288" s="131">
        <v>21</v>
      </c>
      <c r="AO288" s="131">
        <f>G288*0.270554622</f>
        <v>0</v>
      </c>
      <c r="AP288" s="131">
        <f>G288*(1-0.270554622)</f>
        <v>0</v>
      </c>
      <c r="AQ288" s="132" t="s">
        <v>56</v>
      </c>
      <c r="AV288" s="131">
        <f>AW288+AX288</f>
        <v>0</v>
      </c>
      <c r="AW288" s="131">
        <f>F288*AO288</f>
        <v>0</v>
      </c>
      <c r="AX288" s="131">
        <f>F288*AP288</f>
        <v>0</v>
      </c>
      <c r="AY288" s="132" t="s">
        <v>61</v>
      </c>
      <c r="AZ288" s="132" t="s">
        <v>978</v>
      </c>
      <c r="BA288" s="115" t="s">
        <v>979</v>
      </c>
      <c r="BC288" s="131">
        <f>AW288+AX288</f>
        <v>0</v>
      </c>
      <c r="BD288" s="131">
        <f>G288/(100-BE288)*100</f>
        <v>0</v>
      </c>
      <c r="BE288" s="131">
        <v>0</v>
      </c>
      <c r="BF288" s="131">
        <f>288</f>
        <v>288</v>
      </c>
      <c r="BH288" s="131">
        <f>F288*AO288</f>
        <v>0</v>
      </c>
      <c r="BI288" s="131">
        <f>F288*AP288</f>
        <v>0</v>
      </c>
      <c r="BJ288" s="131">
        <f>F288*G288</f>
        <v>0</v>
      </c>
      <c r="BK288" s="131"/>
      <c r="BL288" s="131">
        <v>11</v>
      </c>
      <c r="BW288" s="131">
        <v>21</v>
      </c>
      <c r="BX288" s="133" t="s">
        <v>982</v>
      </c>
    </row>
    <row r="289" spans="1:76" x14ac:dyDescent="0.25">
      <c r="A289" s="134" t="s">
        <v>983</v>
      </c>
      <c r="B289" s="135" t="s">
        <v>911</v>
      </c>
      <c r="C289" s="270" t="s">
        <v>984</v>
      </c>
      <c r="D289" s="271"/>
      <c r="E289" s="135" t="s">
        <v>67</v>
      </c>
      <c r="F289" s="131">
        <v>3</v>
      </c>
      <c r="G289" s="179">
        <v>0</v>
      </c>
      <c r="H289" s="131">
        <f>F289*AO289</f>
        <v>0</v>
      </c>
      <c r="I289" s="131">
        <f>F289*AP289</f>
        <v>0</v>
      </c>
      <c r="J289" s="131">
        <f>F289*G289</f>
        <v>0</v>
      </c>
      <c r="K289" s="136" t="s">
        <v>60</v>
      </c>
      <c r="Z289" s="131">
        <f>IF(AQ289="5",BJ289,0)</f>
        <v>0</v>
      </c>
      <c r="AB289" s="131">
        <f>IF(AQ289="1",BH289,0)</f>
        <v>0</v>
      </c>
      <c r="AC289" s="131">
        <f>IF(AQ289="1",BI289,0)</f>
        <v>0</v>
      </c>
      <c r="AD289" s="131">
        <f>IF(AQ289="7",BH289,0)</f>
        <v>0</v>
      </c>
      <c r="AE289" s="131">
        <f>IF(AQ289="7",BI289,0)</f>
        <v>0</v>
      </c>
      <c r="AF289" s="131">
        <f>IF(AQ289="2",BH289,0)</f>
        <v>0</v>
      </c>
      <c r="AG289" s="131">
        <f>IF(AQ289="2",BI289,0)</f>
        <v>0</v>
      </c>
      <c r="AH289" s="131">
        <f>IF(AQ289="0",BJ289,0)</f>
        <v>0</v>
      </c>
      <c r="AI289" s="115" t="s">
        <v>976</v>
      </c>
      <c r="AJ289" s="131">
        <f>IF(AN289=0,J289,0)</f>
        <v>0</v>
      </c>
      <c r="AK289" s="131">
        <f>IF(AN289=12,J289,0)</f>
        <v>0</v>
      </c>
      <c r="AL289" s="131">
        <f>IF(AN289=21,J289,0)</f>
        <v>0</v>
      </c>
      <c r="AN289" s="131">
        <v>21</v>
      </c>
      <c r="AO289" s="131">
        <f>G289*0.270554622</f>
        <v>0</v>
      </c>
      <c r="AP289" s="131">
        <f>G289*(1-0.270554622)</f>
        <v>0</v>
      </c>
      <c r="AQ289" s="132" t="s">
        <v>56</v>
      </c>
      <c r="AV289" s="131">
        <f>AW289+AX289</f>
        <v>0</v>
      </c>
      <c r="AW289" s="131">
        <f>F289*AO289</f>
        <v>0</v>
      </c>
      <c r="AX289" s="131">
        <f>F289*AP289</f>
        <v>0</v>
      </c>
      <c r="AY289" s="132" t="s">
        <v>61</v>
      </c>
      <c r="AZ289" s="132" t="s">
        <v>978</v>
      </c>
      <c r="BA289" s="115" t="s">
        <v>979</v>
      </c>
      <c r="BC289" s="131">
        <f>AW289+AX289</f>
        <v>0</v>
      </c>
      <c r="BD289" s="131">
        <f>G289/(100-BE289)*100</f>
        <v>0</v>
      </c>
      <c r="BE289" s="131">
        <v>0</v>
      </c>
      <c r="BF289" s="131">
        <f>289</f>
        <v>289</v>
      </c>
      <c r="BH289" s="131">
        <f>F289*AO289</f>
        <v>0</v>
      </c>
      <c r="BI289" s="131">
        <f>F289*AP289</f>
        <v>0</v>
      </c>
      <c r="BJ289" s="131">
        <f>F289*G289</f>
        <v>0</v>
      </c>
      <c r="BK289" s="131"/>
      <c r="BL289" s="131">
        <v>11</v>
      </c>
      <c r="BW289" s="131">
        <v>21</v>
      </c>
      <c r="BX289" s="133" t="s">
        <v>984</v>
      </c>
    </row>
    <row r="290" spans="1:76" x14ac:dyDescent="0.25">
      <c r="A290" s="134" t="s">
        <v>985</v>
      </c>
      <c r="B290" s="135" t="s">
        <v>986</v>
      </c>
      <c r="C290" s="270" t="s">
        <v>987</v>
      </c>
      <c r="D290" s="271"/>
      <c r="E290" s="135" t="s">
        <v>59</v>
      </c>
      <c r="F290" s="131">
        <v>15</v>
      </c>
      <c r="G290" s="179">
        <v>0</v>
      </c>
      <c r="H290" s="131">
        <f>F290*AO290</f>
        <v>0</v>
      </c>
      <c r="I290" s="131">
        <f>F290*AP290</f>
        <v>0</v>
      </c>
      <c r="J290" s="131">
        <f>F290*G290</f>
        <v>0</v>
      </c>
      <c r="K290" s="136" t="s">
        <v>60</v>
      </c>
      <c r="Z290" s="131">
        <f>IF(AQ290="5",BJ290,0)</f>
        <v>0</v>
      </c>
      <c r="AB290" s="131">
        <f>IF(AQ290="1",BH290,0)</f>
        <v>0</v>
      </c>
      <c r="AC290" s="131">
        <f>IF(AQ290="1",BI290,0)</f>
        <v>0</v>
      </c>
      <c r="AD290" s="131">
        <f>IF(AQ290="7",BH290,0)</f>
        <v>0</v>
      </c>
      <c r="AE290" s="131">
        <f>IF(AQ290="7",BI290,0)</f>
        <v>0</v>
      </c>
      <c r="AF290" s="131">
        <f>IF(AQ290="2",BH290,0)</f>
        <v>0</v>
      </c>
      <c r="AG290" s="131">
        <f>IF(AQ290="2",BI290,0)</f>
        <v>0</v>
      </c>
      <c r="AH290" s="131">
        <f>IF(AQ290="0",BJ290,0)</f>
        <v>0</v>
      </c>
      <c r="AI290" s="115" t="s">
        <v>976</v>
      </c>
      <c r="AJ290" s="131">
        <f>IF(AN290=0,J290,0)</f>
        <v>0</v>
      </c>
      <c r="AK290" s="131">
        <f>IF(AN290=12,J290,0)</f>
        <v>0</v>
      </c>
      <c r="AL290" s="131">
        <f>IF(AN290=21,J290,0)</f>
        <v>0</v>
      </c>
      <c r="AN290" s="131">
        <v>21</v>
      </c>
      <c r="AO290" s="131">
        <f>G290*0</f>
        <v>0</v>
      </c>
      <c r="AP290" s="131">
        <f>G290*(1-0)</f>
        <v>0</v>
      </c>
      <c r="AQ290" s="132" t="s">
        <v>56</v>
      </c>
      <c r="AV290" s="131">
        <f>AW290+AX290</f>
        <v>0</v>
      </c>
      <c r="AW290" s="131">
        <f>F290*AO290</f>
        <v>0</v>
      </c>
      <c r="AX290" s="131">
        <f>F290*AP290</f>
        <v>0</v>
      </c>
      <c r="AY290" s="132" t="s">
        <v>61</v>
      </c>
      <c r="AZ290" s="132" t="s">
        <v>978</v>
      </c>
      <c r="BA290" s="115" t="s">
        <v>979</v>
      </c>
      <c r="BC290" s="131">
        <f>AW290+AX290</f>
        <v>0</v>
      </c>
      <c r="BD290" s="131">
        <f>G290/(100-BE290)*100</f>
        <v>0</v>
      </c>
      <c r="BE290" s="131">
        <v>0</v>
      </c>
      <c r="BF290" s="131">
        <f>290</f>
        <v>290</v>
      </c>
      <c r="BH290" s="131">
        <f>F290*AO290</f>
        <v>0</v>
      </c>
      <c r="BI290" s="131">
        <f>F290*AP290</f>
        <v>0</v>
      </c>
      <c r="BJ290" s="131">
        <f>F290*G290</f>
        <v>0</v>
      </c>
      <c r="BK290" s="131"/>
      <c r="BL290" s="131">
        <v>11</v>
      </c>
      <c r="BW290" s="131">
        <v>21</v>
      </c>
      <c r="BX290" s="133" t="s">
        <v>987</v>
      </c>
    </row>
    <row r="291" spans="1:76" x14ac:dyDescent="0.25">
      <c r="A291" s="123" t="s">
        <v>53</v>
      </c>
      <c r="B291" s="124" t="s">
        <v>74</v>
      </c>
      <c r="C291" s="272" t="s">
        <v>75</v>
      </c>
      <c r="D291" s="273"/>
      <c r="E291" s="125" t="s">
        <v>9</v>
      </c>
      <c r="F291" s="125" t="s">
        <v>9</v>
      </c>
      <c r="G291" s="125" t="s">
        <v>9</v>
      </c>
      <c r="H291" s="110">
        <f>SUM(H292:H292)</f>
        <v>0</v>
      </c>
      <c r="I291" s="110">
        <f>SUM(I292:I292)</f>
        <v>0</v>
      </c>
      <c r="J291" s="110">
        <f>SUM(J292:J292)</f>
        <v>0</v>
      </c>
      <c r="K291" s="126" t="s">
        <v>53</v>
      </c>
      <c r="AI291" s="115" t="s">
        <v>976</v>
      </c>
      <c r="AS291" s="110">
        <f>SUM(AJ292:AJ292)</f>
        <v>0</v>
      </c>
      <c r="AT291" s="110">
        <f>SUM(AK292:AK292)</f>
        <v>0</v>
      </c>
      <c r="AU291" s="110">
        <f>SUM(AL292:AL292)</f>
        <v>0</v>
      </c>
    </row>
    <row r="292" spans="1:76" x14ac:dyDescent="0.25">
      <c r="A292" s="134" t="s">
        <v>988</v>
      </c>
      <c r="B292" s="135" t="s">
        <v>914</v>
      </c>
      <c r="C292" s="270" t="s">
        <v>915</v>
      </c>
      <c r="D292" s="271"/>
      <c r="E292" s="135" t="s">
        <v>79</v>
      </c>
      <c r="F292" s="131">
        <v>24.96</v>
      </c>
      <c r="G292" s="179">
        <v>0</v>
      </c>
      <c r="H292" s="131">
        <f>F292*AO292</f>
        <v>0</v>
      </c>
      <c r="I292" s="131">
        <f>F292*AP292</f>
        <v>0</v>
      </c>
      <c r="J292" s="131">
        <f>F292*G292</f>
        <v>0</v>
      </c>
      <c r="K292" s="136" t="s">
        <v>60</v>
      </c>
      <c r="Z292" s="131">
        <f>IF(AQ292="5",BJ292,0)</f>
        <v>0</v>
      </c>
      <c r="AB292" s="131">
        <f>IF(AQ292="1",BH292,0)</f>
        <v>0</v>
      </c>
      <c r="AC292" s="131">
        <f>IF(AQ292="1",BI292,0)</f>
        <v>0</v>
      </c>
      <c r="AD292" s="131">
        <f>IF(AQ292="7",BH292,0)</f>
        <v>0</v>
      </c>
      <c r="AE292" s="131">
        <f>IF(AQ292="7",BI292,0)</f>
        <v>0</v>
      </c>
      <c r="AF292" s="131">
        <f>IF(AQ292="2",BH292,0)</f>
        <v>0</v>
      </c>
      <c r="AG292" s="131">
        <f>IF(AQ292="2",BI292,0)</f>
        <v>0</v>
      </c>
      <c r="AH292" s="131">
        <f>IF(AQ292="0",BJ292,0)</f>
        <v>0</v>
      </c>
      <c r="AI292" s="115" t="s">
        <v>976</v>
      </c>
      <c r="AJ292" s="131">
        <f>IF(AN292=0,J292,0)</f>
        <v>0</v>
      </c>
      <c r="AK292" s="131">
        <f>IF(AN292=12,J292,0)</f>
        <v>0</v>
      </c>
      <c r="AL292" s="131">
        <f>IF(AN292=21,J292,0)</f>
        <v>0</v>
      </c>
      <c r="AN292" s="131">
        <v>21</v>
      </c>
      <c r="AO292" s="131">
        <f>G292*0</f>
        <v>0</v>
      </c>
      <c r="AP292" s="131">
        <f>G292*(1-0)</f>
        <v>0</v>
      </c>
      <c r="AQ292" s="132" t="s">
        <v>56</v>
      </c>
      <c r="AV292" s="131">
        <f>AW292+AX292</f>
        <v>0</v>
      </c>
      <c r="AW292" s="131">
        <f>F292*AO292</f>
        <v>0</v>
      </c>
      <c r="AX292" s="131">
        <f>F292*AP292</f>
        <v>0</v>
      </c>
      <c r="AY292" s="132" t="s">
        <v>80</v>
      </c>
      <c r="AZ292" s="132" t="s">
        <v>978</v>
      </c>
      <c r="BA292" s="115" t="s">
        <v>979</v>
      </c>
      <c r="BC292" s="131">
        <f>AW292+AX292</f>
        <v>0</v>
      </c>
      <c r="BD292" s="131">
        <f>G292/(100-BE292)*100</f>
        <v>0</v>
      </c>
      <c r="BE292" s="131">
        <v>0</v>
      </c>
      <c r="BF292" s="131">
        <f>292</f>
        <v>292</v>
      </c>
      <c r="BH292" s="131">
        <f>F292*AO292</f>
        <v>0</v>
      </c>
      <c r="BI292" s="131">
        <f>F292*AP292</f>
        <v>0</v>
      </c>
      <c r="BJ292" s="131">
        <f>F292*G292</f>
        <v>0</v>
      </c>
      <c r="BK292" s="131"/>
      <c r="BL292" s="131">
        <v>12</v>
      </c>
      <c r="BW292" s="131">
        <v>21</v>
      </c>
      <c r="BX292" s="133" t="s">
        <v>915</v>
      </c>
    </row>
    <row r="293" spans="1:76" x14ac:dyDescent="0.25">
      <c r="A293" s="123" t="s">
        <v>53</v>
      </c>
      <c r="B293" s="124" t="s">
        <v>96</v>
      </c>
      <c r="C293" s="272" t="s">
        <v>97</v>
      </c>
      <c r="D293" s="273"/>
      <c r="E293" s="125" t="s">
        <v>9</v>
      </c>
      <c r="F293" s="125" t="s">
        <v>9</v>
      </c>
      <c r="G293" s="125" t="s">
        <v>9</v>
      </c>
      <c r="H293" s="110">
        <f>SUM(H294:H295)</f>
        <v>0</v>
      </c>
      <c r="I293" s="110">
        <f>SUM(I294:I295)</f>
        <v>0</v>
      </c>
      <c r="J293" s="110">
        <f>SUM(J294:J295)</f>
        <v>0</v>
      </c>
      <c r="K293" s="126" t="s">
        <v>53</v>
      </c>
      <c r="AI293" s="115" t="s">
        <v>976</v>
      </c>
      <c r="AS293" s="110">
        <f>SUM(AJ294:AJ295)</f>
        <v>0</v>
      </c>
      <c r="AT293" s="110">
        <f>SUM(AK294:AK295)</f>
        <v>0</v>
      </c>
      <c r="AU293" s="110">
        <f>SUM(AL294:AL295)</f>
        <v>0</v>
      </c>
    </row>
    <row r="294" spans="1:76" x14ac:dyDescent="0.25">
      <c r="A294" s="134" t="s">
        <v>989</v>
      </c>
      <c r="B294" s="135" t="s">
        <v>775</v>
      </c>
      <c r="C294" s="270" t="s">
        <v>776</v>
      </c>
      <c r="D294" s="271"/>
      <c r="E294" s="135" t="s">
        <v>79</v>
      </c>
      <c r="F294" s="131">
        <v>90.69</v>
      </c>
      <c r="G294" s="179">
        <v>0</v>
      </c>
      <c r="H294" s="131">
        <f>F294*AO294</f>
        <v>0</v>
      </c>
      <c r="I294" s="131">
        <f>F294*AP294</f>
        <v>0</v>
      </c>
      <c r="J294" s="131">
        <f>F294*G294</f>
        <v>0</v>
      </c>
      <c r="K294" s="136" t="s">
        <v>60</v>
      </c>
      <c r="Z294" s="131">
        <f>IF(AQ294="5",BJ294,0)</f>
        <v>0</v>
      </c>
      <c r="AB294" s="131">
        <f>IF(AQ294="1",BH294,0)</f>
        <v>0</v>
      </c>
      <c r="AC294" s="131">
        <f>IF(AQ294="1",BI294,0)</f>
        <v>0</v>
      </c>
      <c r="AD294" s="131">
        <f>IF(AQ294="7",BH294,0)</f>
        <v>0</v>
      </c>
      <c r="AE294" s="131">
        <f>IF(AQ294="7",BI294,0)</f>
        <v>0</v>
      </c>
      <c r="AF294" s="131">
        <f>IF(AQ294="2",BH294,0)</f>
        <v>0</v>
      </c>
      <c r="AG294" s="131">
        <f>IF(AQ294="2",BI294,0)</f>
        <v>0</v>
      </c>
      <c r="AH294" s="131">
        <f>IF(AQ294="0",BJ294,0)</f>
        <v>0</v>
      </c>
      <c r="AI294" s="115" t="s">
        <v>976</v>
      </c>
      <c r="AJ294" s="131">
        <f>IF(AN294=0,J294,0)</f>
        <v>0</v>
      </c>
      <c r="AK294" s="131">
        <f>IF(AN294=12,J294,0)</f>
        <v>0</v>
      </c>
      <c r="AL294" s="131">
        <f>IF(AN294=21,J294,0)</f>
        <v>0</v>
      </c>
      <c r="AN294" s="131">
        <v>21</v>
      </c>
      <c r="AO294" s="131">
        <f>G294*0</f>
        <v>0</v>
      </c>
      <c r="AP294" s="131">
        <f>G294*(1-0)</f>
        <v>0</v>
      </c>
      <c r="AQ294" s="132" t="s">
        <v>56</v>
      </c>
      <c r="AV294" s="131">
        <f>AW294+AX294</f>
        <v>0</v>
      </c>
      <c r="AW294" s="131">
        <f>F294*AO294</f>
        <v>0</v>
      </c>
      <c r="AX294" s="131">
        <f>F294*AP294</f>
        <v>0</v>
      </c>
      <c r="AY294" s="132" t="s">
        <v>100</v>
      </c>
      <c r="AZ294" s="132" t="s">
        <v>978</v>
      </c>
      <c r="BA294" s="115" t="s">
        <v>979</v>
      </c>
      <c r="BC294" s="131">
        <f>AW294+AX294</f>
        <v>0</v>
      </c>
      <c r="BD294" s="131">
        <f>G294/(100-BE294)*100</f>
        <v>0</v>
      </c>
      <c r="BE294" s="131">
        <v>0</v>
      </c>
      <c r="BF294" s="131">
        <f>294</f>
        <v>294</v>
      </c>
      <c r="BH294" s="131">
        <f>F294*AO294</f>
        <v>0</v>
      </c>
      <c r="BI294" s="131">
        <f>F294*AP294</f>
        <v>0</v>
      </c>
      <c r="BJ294" s="131">
        <f>F294*G294</f>
        <v>0</v>
      </c>
      <c r="BK294" s="131"/>
      <c r="BL294" s="131">
        <v>13</v>
      </c>
      <c r="BW294" s="131">
        <v>21</v>
      </c>
      <c r="BX294" s="133" t="s">
        <v>776</v>
      </c>
    </row>
    <row r="295" spans="1:76" x14ac:dyDescent="0.25">
      <c r="A295" s="134" t="s">
        <v>990</v>
      </c>
      <c r="B295" s="135" t="s">
        <v>777</v>
      </c>
      <c r="C295" s="270" t="s">
        <v>778</v>
      </c>
      <c r="D295" s="271"/>
      <c r="E295" s="135" t="s">
        <v>79</v>
      </c>
      <c r="F295" s="131">
        <v>136.03</v>
      </c>
      <c r="G295" s="179">
        <v>0</v>
      </c>
      <c r="H295" s="131">
        <f>F295*AO295</f>
        <v>0</v>
      </c>
      <c r="I295" s="131">
        <f>F295*AP295</f>
        <v>0</v>
      </c>
      <c r="J295" s="131">
        <f>F295*G295</f>
        <v>0</v>
      </c>
      <c r="K295" s="136" t="s">
        <v>60</v>
      </c>
      <c r="Z295" s="131">
        <f>IF(AQ295="5",BJ295,0)</f>
        <v>0</v>
      </c>
      <c r="AB295" s="131">
        <f>IF(AQ295="1",BH295,0)</f>
        <v>0</v>
      </c>
      <c r="AC295" s="131">
        <f>IF(AQ295="1",BI295,0)</f>
        <v>0</v>
      </c>
      <c r="AD295" s="131">
        <f>IF(AQ295="7",BH295,0)</f>
        <v>0</v>
      </c>
      <c r="AE295" s="131">
        <f>IF(AQ295="7",BI295,0)</f>
        <v>0</v>
      </c>
      <c r="AF295" s="131">
        <f>IF(AQ295="2",BH295,0)</f>
        <v>0</v>
      </c>
      <c r="AG295" s="131">
        <f>IF(AQ295="2",BI295,0)</f>
        <v>0</v>
      </c>
      <c r="AH295" s="131">
        <f>IF(AQ295="0",BJ295,0)</f>
        <v>0</v>
      </c>
      <c r="AI295" s="115" t="s">
        <v>976</v>
      </c>
      <c r="AJ295" s="131">
        <f>IF(AN295=0,J295,0)</f>
        <v>0</v>
      </c>
      <c r="AK295" s="131">
        <f>IF(AN295=12,J295,0)</f>
        <v>0</v>
      </c>
      <c r="AL295" s="131">
        <f>IF(AN295=21,J295,0)</f>
        <v>0</v>
      </c>
      <c r="AN295" s="131">
        <v>21</v>
      </c>
      <c r="AO295" s="131">
        <f>G295*0</f>
        <v>0</v>
      </c>
      <c r="AP295" s="131">
        <f>G295*(1-0)</f>
        <v>0</v>
      </c>
      <c r="AQ295" s="132" t="s">
        <v>56</v>
      </c>
      <c r="AV295" s="131">
        <f>AW295+AX295</f>
        <v>0</v>
      </c>
      <c r="AW295" s="131">
        <f>F295*AO295</f>
        <v>0</v>
      </c>
      <c r="AX295" s="131">
        <f>F295*AP295</f>
        <v>0</v>
      </c>
      <c r="AY295" s="132" t="s">
        <v>100</v>
      </c>
      <c r="AZ295" s="132" t="s">
        <v>978</v>
      </c>
      <c r="BA295" s="115" t="s">
        <v>979</v>
      </c>
      <c r="BC295" s="131">
        <f>AW295+AX295</f>
        <v>0</v>
      </c>
      <c r="BD295" s="131">
        <f>G295/(100-BE295)*100</f>
        <v>0</v>
      </c>
      <c r="BE295" s="131">
        <v>0</v>
      </c>
      <c r="BF295" s="131">
        <f>295</f>
        <v>295</v>
      </c>
      <c r="BH295" s="131">
        <f>F295*AO295</f>
        <v>0</v>
      </c>
      <c r="BI295" s="131">
        <f>F295*AP295</f>
        <v>0</v>
      </c>
      <c r="BJ295" s="131">
        <f>F295*G295</f>
        <v>0</v>
      </c>
      <c r="BK295" s="131"/>
      <c r="BL295" s="131">
        <v>13</v>
      </c>
      <c r="BW295" s="131">
        <v>21</v>
      </c>
      <c r="BX295" s="133" t="s">
        <v>778</v>
      </c>
    </row>
    <row r="296" spans="1:76" x14ac:dyDescent="0.25">
      <c r="A296" s="123" t="s">
        <v>53</v>
      </c>
      <c r="B296" s="124" t="s">
        <v>111</v>
      </c>
      <c r="C296" s="272" t="s">
        <v>779</v>
      </c>
      <c r="D296" s="273"/>
      <c r="E296" s="125" t="s">
        <v>9</v>
      </c>
      <c r="F296" s="125" t="s">
        <v>9</v>
      </c>
      <c r="G296" s="125" t="s">
        <v>9</v>
      </c>
      <c r="H296" s="110">
        <f>SUM(H297:H298)</f>
        <v>0</v>
      </c>
      <c r="I296" s="110">
        <f>SUM(I297:I298)</f>
        <v>0</v>
      </c>
      <c r="J296" s="110">
        <f>SUM(J297:J298)</f>
        <v>0</v>
      </c>
      <c r="K296" s="126" t="s">
        <v>53</v>
      </c>
      <c r="AI296" s="115" t="s">
        <v>976</v>
      </c>
      <c r="AS296" s="110">
        <f>SUM(AJ297:AJ298)</f>
        <v>0</v>
      </c>
      <c r="AT296" s="110">
        <f>SUM(AK297:AK298)</f>
        <v>0</v>
      </c>
      <c r="AU296" s="110">
        <f>SUM(AL297:AL298)</f>
        <v>0</v>
      </c>
    </row>
    <row r="297" spans="1:76" x14ac:dyDescent="0.25">
      <c r="A297" s="134" t="s">
        <v>991</v>
      </c>
      <c r="B297" s="135" t="s">
        <v>780</v>
      </c>
      <c r="C297" s="270" t="s">
        <v>781</v>
      </c>
      <c r="D297" s="271"/>
      <c r="E297" s="135" t="s">
        <v>59</v>
      </c>
      <c r="F297" s="131">
        <v>218</v>
      </c>
      <c r="G297" s="179">
        <v>0</v>
      </c>
      <c r="H297" s="131">
        <f>F297*AO297</f>
        <v>0</v>
      </c>
      <c r="I297" s="131">
        <f>F297*AP297</f>
        <v>0</v>
      </c>
      <c r="J297" s="131">
        <f>F297*G297</f>
        <v>0</v>
      </c>
      <c r="K297" s="136" t="s">
        <v>60</v>
      </c>
      <c r="Z297" s="131">
        <f>IF(AQ297="5",BJ297,0)</f>
        <v>0</v>
      </c>
      <c r="AB297" s="131">
        <f>IF(AQ297="1",BH297,0)</f>
        <v>0</v>
      </c>
      <c r="AC297" s="131">
        <f>IF(AQ297="1",BI297,0)</f>
        <v>0</v>
      </c>
      <c r="AD297" s="131">
        <f>IF(AQ297="7",BH297,0)</f>
        <v>0</v>
      </c>
      <c r="AE297" s="131">
        <f>IF(AQ297="7",BI297,0)</f>
        <v>0</v>
      </c>
      <c r="AF297" s="131">
        <f>IF(AQ297="2",BH297,0)</f>
        <v>0</v>
      </c>
      <c r="AG297" s="131">
        <f>IF(AQ297="2",BI297,0)</f>
        <v>0</v>
      </c>
      <c r="AH297" s="131">
        <f>IF(AQ297="0",BJ297,0)</f>
        <v>0</v>
      </c>
      <c r="AI297" s="115" t="s">
        <v>976</v>
      </c>
      <c r="AJ297" s="131">
        <f>IF(AN297=0,J297,0)</f>
        <v>0</v>
      </c>
      <c r="AK297" s="131">
        <f>IF(AN297=12,J297,0)</f>
        <v>0</v>
      </c>
      <c r="AL297" s="131">
        <f>IF(AN297=21,J297,0)</f>
        <v>0</v>
      </c>
      <c r="AN297" s="131">
        <v>21</v>
      </c>
      <c r="AO297" s="131">
        <f>G297*0.091290323</f>
        <v>0</v>
      </c>
      <c r="AP297" s="131">
        <f>G297*(1-0.091290323)</f>
        <v>0</v>
      </c>
      <c r="AQ297" s="132" t="s">
        <v>56</v>
      </c>
      <c r="AV297" s="131">
        <f>AW297+AX297</f>
        <v>0</v>
      </c>
      <c r="AW297" s="131">
        <f>F297*AO297</f>
        <v>0</v>
      </c>
      <c r="AX297" s="131">
        <f>F297*AP297</f>
        <v>0</v>
      </c>
      <c r="AY297" s="132" t="s">
        <v>782</v>
      </c>
      <c r="AZ297" s="132" t="s">
        <v>978</v>
      </c>
      <c r="BA297" s="115" t="s">
        <v>979</v>
      </c>
      <c r="BC297" s="131">
        <f>AW297+AX297</f>
        <v>0</v>
      </c>
      <c r="BD297" s="131">
        <f>G297/(100-BE297)*100</f>
        <v>0</v>
      </c>
      <c r="BE297" s="131">
        <v>0</v>
      </c>
      <c r="BF297" s="131">
        <f>297</f>
        <v>297</v>
      </c>
      <c r="BH297" s="131">
        <f>F297*AO297</f>
        <v>0</v>
      </c>
      <c r="BI297" s="131">
        <f>F297*AP297</f>
        <v>0</v>
      </c>
      <c r="BJ297" s="131">
        <f>F297*G297</f>
        <v>0</v>
      </c>
      <c r="BK297" s="131"/>
      <c r="BL297" s="131">
        <v>15</v>
      </c>
      <c r="BW297" s="131">
        <v>21</v>
      </c>
      <c r="BX297" s="133" t="s">
        <v>781</v>
      </c>
    </row>
    <row r="298" spans="1:76" x14ac:dyDescent="0.25">
      <c r="A298" s="134" t="s">
        <v>992</v>
      </c>
      <c r="B298" s="135" t="s">
        <v>783</v>
      </c>
      <c r="C298" s="270" t="s">
        <v>784</v>
      </c>
      <c r="D298" s="271"/>
      <c r="E298" s="135" t="s">
        <v>59</v>
      </c>
      <c r="F298" s="131">
        <v>218</v>
      </c>
      <c r="G298" s="179">
        <v>0</v>
      </c>
      <c r="H298" s="131">
        <f>F298*AO298</f>
        <v>0</v>
      </c>
      <c r="I298" s="131">
        <f>F298*AP298</f>
        <v>0</v>
      </c>
      <c r="J298" s="131">
        <f>F298*G298</f>
        <v>0</v>
      </c>
      <c r="K298" s="136" t="s">
        <v>60</v>
      </c>
      <c r="Z298" s="131">
        <f>IF(AQ298="5",BJ298,0)</f>
        <v>0</v>
      </c>
      <c r="AB298" s="131">
        <f>IF(AQ298="1",BH298,0)</f>
        <v>0</v>
      </c>
      <c r="AC298" s="131">
        <f>IF(AQ298="1",BI298,0)</f>
        <v>0</v>
      </c>
      <c r="AD298" s="131">
        <f>IF(AQ298="7",BH298,0)</f>
        <v>0</v>
      </c>
      <c r="AE298" s="131">
        <f>IF(AQ298="7",BI298,0)</f>
        <v>0</v>
      </c>
      <c r="AF298" s="131">
        <f>IF(AQ298="2",BH298,0)</f>
        <v>0</v>
      </c>
      <c r="AG298" s="131">
        <f>IF(AQ298="2",BI298,0)</f>
        <v>0</v>
      </c>
      <c r="AH298" s="131">
        <f>IF(AQ298="0",BJ298,0)</f>
        <v>0</v>
      </c>
      <c r="AI298" s="115" t="s">
        <v>976</v>
      </c>
      <c r="AJ298" s="131">
        <f>IF(AN298=0,J298,0)</f>
        <v>0</v>
      </c>
      <c r="AK298" s="131">
        <f>IF(AN298=12,J298,0)</f>
        <v>0</v>
      </c>
      <c r="AL298" s="131">
        <f>IF(AN298=21,J298,0)</f>
        <v>0</v>
      </c>
      <c r="AN298" s="131">
        <v>21</v>
      </c>
      <c r="AO298" s="131">
        <f>G298*0</f>
        <v>0</v>
      </c>
      <c r="AP298" s="131">
        <f>G298*(1-0)</f>
        <v>0</v>
      </c>
      <c r="AQ298" s="132" t="s">
        <v>56</v>
      </c>
      <c r="AV298" s="131">
        <f>AW298+AX298</f>
        <v>0</v>
      </c>
      <c r="AW298" s="131">
        <f>F298*AO298</f>
        <v>0</v>
      </c>
      <c r="AX298" s="131">
        <f>F298*AP298</f>
        <v>0</v>
      </c>
      <c r="AY298" s="132" t="s">
        <v>782</v>
      </c>
      <c r="AZ298" s="132" t="s">
        <v>978</v>
      </c>
      <c r="BA298" s="115" t="s">
        <v>979</v>
      </c>
      <c r="BC298" s="131">
        <f>AW298+AX298</f>
        <v>0</v>
      </c>
      <c r="BD298" s="131">
        <f>G298/(100-BE298)*100</f>
        <v>0</v>
      </c>
      <c r="BE298" s="131">
        <v>0</v>
      </c>
      <c r="BF298" s="131">
        <f>298</f>
        <v>298</v>
      </c>
      <c r="BH298" s="131">
        <f>F298*AO298</f>
        <v>0</v>
      </c>
      <c r="BI298" s="131">
        <f>F298*AP298</f>
        <v>0</v>
      </c>
      <c r="BJ298" s="131">
        <f>F298*G298</f>
        <v>0</v>
      </c>
      <c r="BK298" s="131"/>
      <c r="BL298" s="131">
        <v>15</v>
      </c>
      <c r="BW298" s="131">
        <v>21</v>
      </c>
      <c r="BX298" s="133" t="s">
        <v>784</v>
      </c>
    </row>
    <row r="299" spans="1:76" x14ac:dyDescent="0.25">
      <c r="A299" s="123" t="s">
        <v>53</v>
      </c>
      <c r="B299" s="124" t="s">
        <v>101</v>
      </c>
      <c r="C299" s="272" t="s">
        <v>102</v>
      </c>
      <c r="D299" s="273"/>
      <c r="E299" s="125" t="s">
        <v>9</v>
      </c>
      <c r="F299" s="125" t="s">
        <v>9</v>
      </c>
      <c r="G299" s="125" t="s">
        <v>9</v>
      </c>
      <c r="H299" s="110">
        <f>SUM(H300:H305)</f>
        <v>0</v>
      </c>
      <c r="I299" s="110">
        <f>SUM(I300:I305)</f>
        <v>0</v>
      </c>
      <c r="J299" s="110">
        <f>SUM(J300:J305)</f>
        <v>0</v>
      </c>
      <c r="K299" s="126" t="s">
        <v>53</v>
      </c>
      <c r="AI299" s="115" t="s">
        <v>976</v>
      </c>
      <c r="AS299" s="110">
        <f>SUM(AJ300:AJ305)</f>
        <v>0</v>
      </c>
      <c r="AT299" s="110">
        <f>SUM(AK300:AK305)</f>
        <v>0</v>
      </c>
      <c r="AU299" s="110">
        <f>SUM(AL300:AL305)</f>
        <v>0</v>
      </c>
    </row>
    <row r="300" spans="1:76" x14ac:dyDescent="0.25">
      <c r="A300" s="134" t="s">
        <v>993</v>
      </c>
      <c r="B300" s="135" t="s">
        <v>921</v>
      </c>
      <c r="C300" s="270" t="s">
        <v>922</v>
      </c>
      <c r="D300" s="271"/>
      <c r="E300" s="135" t="s">
        <v>79</v>
      </c>
      <c r="F300" s="131">
        <v>24.96</v>
      </c>
      <c r="G300" s="179">
        <v>0</v>
      </c>
      <c r="H300" s="131">
        <f t="shared" ref="H300:H305" si="230">F300*AO300</f>
        <v>0</v>
      </c>
      <c r="I300" s="131">
        <f t="shared" ref="I300:I305" si="231">F300*AP300</f>
        <v>0</v>
      </c>
      <c r="J300" s="131">
        <f t="shared" ref="J300:J305" si="232">F300*G300</f>
        <v>0</v>
      </c>
      <c r="K300" s="136" t="s">
        <v>60</v>
      </c>
      <c r="Z300" s="131">
        <f t="shared" ref="Z300:Z305" si="233">IF(AQ300="5",BJ300,0)</f>
        <v>0</v>
      </c>
      <c r="AB300" s="131">
        <f t="shared" ref="AB300:AB305" si="234">IF(AQ300="1",BH300,0)</f>
        <v>0</v>
      </c>
      <c r="AC300" s="131">
        <f t="shared" ref="AC300:AC305" si="235">IF(AQ300="1",BI300,0)</f>
        <v>0</v>
      </c>
      <c r="AD300" s="131">
        <f t="shared" ref="AD300:AD305" si="236">IF(AQ300="7",BH300,0)</f>
        <v>0</v>
      </c>
      <c r="AE300" s="131">
        <f t="shared" ref="AE300:AE305" si="237">IF(AQ300="7",BI300,0)</f>
        <v>0</v>
      </c>
      <c r="AF300" s="131">
        <f t="shared" ref="AF300:AF305" si="238">IF(AQ300="2",BH300,0)</f>
        <v>0</v>
      </c>
      <c r="AG300" s="131">
        <f t="shared" ref="AG300:AG305" si="239">IF(AQ300="2",BI300,0)</f>
        <v>0</v>
      </c>
      <c r="AH300" s="131">
        <f t="shared" ref="AH300:AH305" si="240">IF(AQ300="0",BJ300,0)</f>
        <v>0</v>
      </c>
      <c r="AI300" s="115" t="s">
        <v>976</v>
      </c>
      <c r="AJ300" s="131">
        <f t="shared" ref="AJ300:AJ305" si="241">IF(AN300=0,J300,0)</f>
        <v>0</v>
      </c>
      <c r="AK300" s="131">
        <f t="shared" ref="AK300:AK305" si="242">IF(AN300=12,J300,0)</f>
        <v>0</v>
      </c>
      <c r="AL300" s="131">
        <f t="shared" ref="AL300:AL305" si="243">IF(AN300=21,J300,0)</f>
        <v>0</v>
      </c>
      <c r="AN300" s="131">
        <v>21</v>
      </c>
      <c r="AO300" s="131">
        <f t="shared" ref="AO300:AO305" si="244">G300*0</f>
        <v>0</v>
      </c>
      <c r="AP300" s="131">
        <f t="shared" ref="AP300:AP305" si="245">G300*(1-0)</f>
        <v>0</v>
      </c>
      <c r="AQ300" s="132" t="s">
        <v>56</v>
      </c>
      <c r="AV300" s="131">
        <f t="shared" ref="AV300:AV305" si="246">AW300+AX300</f>
        <v>0</v>
      </c>
      <c r="AW300" s="131">
        <f t="shared" ref="AW300:AW305" si="247">F300*AO300</f>
        <v>0</v>
      </c>
      <c r="AX300" s="131">
        <f t="shared" ref="AX300:AX305" si="248">F300*AP300</f>
        <v>0</v>
      </c>
      <c r="AY300" s="132" t="s">
        <v>105</v>
      </c>
      <c r="AZ300" s="132" t="s">
        <v>978</v>
      </c>
      <c r="BA300" s="115" t="s">
        <v>979</v>
      </c>
      <c r="BC300" s="131">
        <f t="shared" ref="BC300:BC305" si="249">AW300+AX300</f>
        <v>0</v>
      </c>
      <c r="BD300" s="131">
        <f t="shared" ref="BD300:BD305" si="250">G300/(100-BE300)*100</f>
        <v>0</v>
      </c>
      <c r="BE300" s="131">
        <v>0</v>
      </c>
      <c r="BF300" s="131">
        <f>300</f>
        <v>300</v>
      </c>
      <c r="BH300" s="131">
        <f t="shared" ref="BH300:BH305" si="251">F300*AO300</f>
        <v>0</v>
      </c>
      <c r="BI300" s="131">
        <f t="shared" ref="BI300:BI305" si="252">F300*AP300</f>
        <v>0</v>
      </c>
      <c r="BJ300" s="131">
        <f t="shared" ref="BJ300:BJ305" si="253">F300*G300</f>
        <v>0</v>
      </c>
      <c r="BK300" s="131"/>
      <c r="BL300" s="131">
        <v>16</v>
      </c>
      <c r="BW300" s="131">
        <v>21</v>
      </c>
      <c r="BX300" s="133" t="s">
        <v>922</v>
      </c>
    </row>
    <row r="301" spans="1:76" x14ac:dyDescent="0.25">
      <c r="A301" s="134" t="s">
        <v>994</v>
      </c>
      <c r="B301" s="135" t="s">
        <v>114</v>
      </c>
      <c r="C301" s="270" t="s">
        <v>995</v>
      </c>
      <c r="D301" s="271"/>
      <c r="E301" s="135" t="s">
        <v>79</v>
      </c>
      <c r="F301" s="131">
        <v>1.5</v>
      </c>
      <c r="G301" s="179">
        <v>0</v>
      </c>
      <c r="H301" s="131">
        <f t="shared" si="230"/>
        <v>0</v>
      </c>
      <c r="I301" s="131">
        <f t="shared" si="231"/>
        <v>0</v>
      </c>
      <c r="J301" s="131">
        <f t="shared" si="232"/>
        <v>0</v>
      </c>
      <c r="K301" s="136" t="s">
        <v>711</v>
      </c>
      <c r="Z301" s="131">
        <f t="shared" si="233"/>
        <v>0</v>
      </c>
      <c r="AB301" s="131">
        <f t="shared" si="234"/>
        <v>0</v>
      </c>
      <c r="AC301" s="131">
        <f t="shared" si="235"/>
        <v>0</v>
      </c>
      <c r="AD301" s="131">
        <f t="shared" si="236"/>
        <v>0</v>
      </c>
      <c r="AE301" s="131">
        <f t="shared" si="237"/>
        <v>0</v>
      </c>
      <c r="AF301" s="131">
        <f t="shared" si="238"/>
        <v>0</v>
      </c>
      <c r="AG301" s="131">
        <f t="shared" si="239"/>
        <v>0</v>
      </c>
      <c r="AH301" s="131">
        <f t="shared" si="240"/>
        <v>0</v>
      </c>
      <c r="AI301" s="115" t="s">
        <v>976</v>
      </c>
      <c r="AJ301" s="131">
        <f t="shared" si="241"/>
        <v>0</v>
      </c>
      <c r="AK301" s="131">
        <f t="shared" si="242"/>
        <v>0</v>
      </c>
      <c r="AL301" s="131">
        <f t="shared" si="243"/>
        <v>0</v>
      </c>
      <c r="AN301" s="131">
        <v>21</v>
      </c>
      <c r="AO301" s="131">
        <f t="shared" si="244"/>
        <v>0</v>
      </c>
      <c r="AP301" s="131">
        <f t="shared" si="245"/>
        <v>0</v>
      </c>
      <c r="AQ301" s="132" t="s">
        <v>56</v>
      </c>
      <c r="AV301" s="131">
        <f t="shared" si="246"/>
        <v>0</v>
      </c>
      <c r="AW301" s="131">
        <f t="shared" si="247"/>
        <v>0</v>
      </c>
      <c r="AX301" s="131">
        <f t="shared" si="248"/>
        <v>0</v>
      </c>
      <c r="AY301" s="132" t="s">
        <v>105</v>
      </c>
      <c r="AZ301" s="132" t="s">
        <v>978</v>
      </c>
      <c r="BA301" s="115" t="s">
        <v>979</v>
      </c>
      <c r="BC301" s="131">
        <f t="shared" si="249"/>
        <v>0</v>
      </c>
      <c r="BD301" s="131">
        <f t="shared" si="250"/>
        <v>0</v>
      </c>
      <c r="BE301" s="131">
        <v>0</v>
      </c>
      <c r="BF301" s="131">
        <f>301</f>
        <v>301</v>
      </c>
      <c r="BH301" s="131">
        <f t="shared" si="251"/>
        <v>0</v>
      </c>
      <c r="BI301" s="131">
        <f t="shared" si="252"/>
        <v>0</v>
      </c>
      <c r="BJ301" s="131">
        <f t="shared" si="253"/>
        <v>0</v>
      </c>
      <c r="BK301" s="131"/>
      <c r="BL301" s="131">
        <v>16</v>
      </c>
      <c r="BW301" s="131">
        <v>21</v>
      </c>
      <c r="BX301" s="133" t="s">
        <v>995</v>
      </c>
    </row>
    <row r="302" spans="1:76" x14ac:dyDescent="0.25">
      <c r="A302" s="134" t="s">
        <v>996</v>
      </c>
      <c r="B302" s="135" t="s">
        <v>712</v>
      </c>
      <c r="C302" s="270" t="s">
        <v>997</v>
      </c>
      <c r="D302" s="271"/>
      <c r="E302" s="135" t="s">
        <v>122</v>
      </c>
      <c r="F302" s="131">
        <v>3.75</v>
      </c>
      <c r="G302" s="179">
        <v>0</v>
      </c>
      <c r="H302" s="131">
        <f t="shared" si="230"/>
        <v>0</v>
      </c>
      <c r="I302" s="131">
        <f t="shared" si="231"/>
        <v>0</v>
      </c>
      <c r="J302" s="131">
        <f t="shared" si="232"/>
        <v>0</v>
      </c>
      <c r="K302" s="136" t="s">
        <v>711</v>
      </c>
      <c r="Z302" s="131">
        <f t="shared" si="233"/>
        <v>0</v>
      </c>
      <c r="AB302" s="131">
        <f t="shared" si="234"/>
        <v>0</v>
      </c>
      <c r="AC302" s="131">
        <f t="shared" si="235"/>
        <v>0</v>
      </c>
      <c r="AD302" s="131">
        <f t="shared" si="236"/>
        <v>0</v>
      </c>
      <c r="AE302" s="131">
        <f t="shared" si="237"/>
        <v>0</v>
      </c>
      <c r="AF302" s="131">
        <f t="shared" si="238"/>
        <v>0</v>
      </c>
      <c r="AG302" s="131">
        <f t="shared" si="239"/>
        <v>0</v>
      </c>
      <c r="AH302" s="131">
        <f t="shared" si="240"/>
        <v>0</v>
      </c>
      <c r="AI302" s="115" t="s">
        <v>976</v>
      </c>
      <c r="AJ302" s="131">
        <f t="shared" si="241"/>
        <v>0</v>
      </c>
      <c r="AK302" s="131">
        <f t="shared" si="242"/>
        <v>0</v>
      </c>
      <c r="AL302" s="131">
        <f t="shared" si="243"/>
        <v>0</v>
      </c>
      <c r="AN302" s="131">
        <v>21</v>
      </c>
      <c r="AO302" s="131">
        <f t="shared" si="244"/>
        <v>0</v>
      </c>
      <c r="AP302" s="131">
        <f t="shared" si="245"/>
        <v>0</v>
      </c>
      <c r="AQ302" s="132" t="s">
        <v>56</v>
      </c>
      <c r="AV302" s="131">
        <f t="shared" si="246"/>
        <v>0</v>
      </c>
      <c r="AW302" s="131">
        <f t="shared" si="247"/>
        <v>0</v>
      </c>
      <c r="AX302" s="131">
        <f t="shared" si="248"/>
        <v>0</v>
      </c>
      <c r="AY302" s="132" t="s">
        <v>105</v>
      </c>
      <c r="AZ302" s="132" t="s">
        <v>978</v>
      </c>
      <c r="BA302" s="115" t="s">
        <v>979</v>
      </c>
      <c r="BC302" s="131">
        <f t="shared" si="249"/>
        <v>0</v>
      </c>
      <c r="BD302" s="131">
        <f t="shared" si="250"/>
        <v>0</v>
      </c>
      <c r="BE302" s="131">
        <v>0</v>
      </c>
      <c r="BF302" s="131">
        <f>302</f>
        <v>302</v>
      </c>
      <c r="BH302" s="131">
        <f t="shared" si="251"/>
        <v>0</v>
      </c>
      <c r="BI302" s="131">
        <f t="shared" si="252"/>
        <v>0</v>
      </c>
      <c r="BJ302" s="131">
        <f t="shared" si="253"/>
        <v>0</v>
      </c>
      <c r="BK302" s="131"/>
      <c r="BL302" s="131">
        <v>16</v>
      </c>
      <c r="BW302" s="131">
        <v>21</v>
      </c>
      <c r="BX302" s="133" t="s">
        <v>997</v>
      </c>
    </row>
    <row r="303" spans="1:76" x14ac:dyDescent="0.25">
      <c r="A303" s="134" t="s">
        <v>998</v>
      </c>
      <c r="B303" s="135" t="s">
        <v>114</v>
      </c>
      <c r="C303" s="270" t="s">
        <v>785</v>
      </c>
      <c r="D303" s="271"/>
      <c r="E303" s="135" t="s">
        <v>79</v>
      </c>
      <c r="F303" s="131">
        <v>74.430000000000007</v>
      </c>
      <c r="G303" s="179">
        <v>0</v>
      </c>
      <c r="H303" s="131">
        <f t="shared" si="230"/>
        <v>0</v>
      </c>
      <c r="I303" s="131">
        <f t="shared" si="231"/>
        <v>0</v>
      </c>
      <c r="J303" s="131">
        <f t="shared" si="232"/>
        <v>0</v>
      </c>
      <c r="K303" s="136" t="s">
        <v>60</v>
      </c>
      <c r="Z303" s="131">
        <f t="shared" si="233"/>
        <v>0</v>
      </c>
      <c r="AB303" s="131">
        <f t="shared" si="234"/>
        <v>0</v>
      </c>
      <c r="AC303" s="131">
        <f t="shared" si="235"/>
        <v>0</v>
      </c>
      <c r="AD303" s="131">
        <f t="shared" si="236"/>
        <v>0</v>
      </c>
      <c r="AE303" s="131">
        <f t="shared" si="237"/>
        <v>0</v>
      </c>
      <c r="AF303" s="131">
        <f t="shared" si="238"/>
        <v>0</v>
      </c>
      <c r="AG303" s="131">
        <f t="shared" si="239"/>
        <v>0</v>
      </c>
      <c r="AH303" s="131">
        <f t="shared" si="240"/>
        <v>0</v>
      </c>
      <c r="AI303" s="115" t="s">
        <v>976</v>
      </c>
      <c r="AJ303" s="131">
        <f t="shared" si="241"/>
        <v>0</v>
      </c>
      <c r="AK303" s="131">
        <f t="shared" si="242"/>
        <v>0</v>
      </c>
      <c r="AL303" s="131">
        <f t="shared" si="243"/>
        <v>0</v>
      </c>
      <c r="AN303" s="131">
        <v>21</v>
      </c>
      <c r="AO303" s="131">
        <f t="shared" si="244"/>
        <v>0</v>
      </c>
      <c r="AP303" s="131">
        <f t="shared" si="245"/>
        <v>0</v>
      </c>
      <c r="AQ303" s="132" t="s">
        <v>56</v>
      </c>
      <c r="AV303" s="131">
        <f t="shared" si="246"/>
        <v>0</v>
      </c>
      <c r="AW303" s="131">
        <f t="shared" si="247"/>
        <v>0</v>
      </c>
      <c r="AX303" s="131">
        <f t="shared" si="248"/>
        <v>0</v>
      </c>
      <c r="AY303" s="132" t="s">
        <v>105</v>
      </c>
      <c r="AZ303" s="132" t="s">
        <v>978</v>
      </c>
      <c r="BA303" s="115" t="s">
        <v>979</v>
      </c>
      <c r="BC303" s="131">
        <f t="shared" si="249"/>
        <v>0</v>
      </c>
      <c r="BD303" s="131">
        <f t="shared" si="250"/>
        <v>0</v>
      </c>
      <c r="BE303" s="131">
        <v>0</v>
      </c>
      <c r="BF303" s="131">
        <f>303</f>
        <v>303</v>
      </c>
      <c r="BH303" s="131">
        <f t="shared" si="251"/>
        <v>0</v>
      </c>
      <c r="BI303" s="131">
        <f t="shared" si="252"/>
        <v>0</v>
      </c>
      <c r="BJ303" s="131">
        <f t="shared" si="253"/>
        <v>0</v>
      </c>
      <c r="BK303" s="131"/>
      <c r="BL303" s="131">
        <v>16</v>
      </c>
      <c r="BW303" s="131">
        <v>21</v>
      </c>
      <c r="BX303" s="133" t="s">
        <v>785</v>
      </c>
    </row>
    <row r="304" spans="1:76" x14ac:dyDescent="0.25">
      <c r="A304" s="134" t="s">
        <v>999</v>
      </c>
      <c r="B304" s="135" t="s">
        <v>117</v>
      </c>
      <c r="C304" s="270" t="s">
        <v>118</v>
      </c>
      <c r="D304" s="271"/>
      <c r="E304" s="135" t="s">
        <v>79</v>
      </c>
      <c r="F304" s="131">
        <v>744.3</v>
      </c>
      <c r="G304" s="179">
        <v>0</v>
      </c>
      <c r="H304" s="131">
        <f t="shared" si="230"/>
        <v>0</v>
      </c>
      <c r="I304" s="131">
        <f t="shared" si="231"/>
        <v>0</v>
      </c>
      <c r="J304" s="131">
        <f t="shared" si="232"/>
        <v>0</v>
      </c>
      <c r="K304" s="136" t="s">
        <v>60</v>
      </c>
      <c r="Z304" s="131">
        <f t="shared" si="233"/>
        <v>0</v>
      </c>
      <c r="AB304" s="131">
        <f t="shared" si="234"/>
        <v>0</v>
      </c>
      <c r="AC304" s="131">
        <f t="shared" si="235"/>
        <v>0</v>
      </c>
      <c r="AD304" s="131">
        <f t="shared" si="236"/>
        <v>0</v>
      </c>
      <c r="AE304" s="131">
        <f t="shared" si="237"/>
        <v>0</v>
      </c>
      <c r="AF304" s="131">
        <f t="shared" si="238"/>
        <v>0</v>
      </c>
      <c r="AG304" s="131">
        <f t="shared" si="239"/>
        <v>0</v>
      </c>
      <c r="AH304" s="131">
        <f t="shared" si="240"/>
        <v>0</v>
      </c>
      <c r="AI304" s="115" t="s">
        <v>976</v>
      </c>
      <c r="AJ304" s="131">
        <f t="shared" si="241"/>
        <v>0</v>
      </c>
      <c r="AK304" s="131">
        <f t="shared" si="242"/>
        <v>0</v>
      </c>
      <c r="AL304" s="131">
        <f t="shared" si="243"/>
        <v>0</v>
      </c>
      <c r="AN304" s="131">
        <v>21</v>
      </c>
      <c r="AO304" s="131">
        <f t="shared" si="244"/>
        <v>0</v>
      </c>
      <c r="AP304" s="131">
        <f t="shared" si="245"/>
        <v>0</v>
      </c>
      <c r="AQ304" s="132" t="s">
        <v>56</v>
      </c>
      <c r="AV304" s="131">
        <f t="shared" si="246"/>
        <v>0</v>
      </c>
      <c r="AW304" s="131">
        <f t="shared" si="247"/>
        <v>0</v>
      </c>
      <c r="AX304" s="131">
        <f t="shared" si="248"/>
        <v>0</v>
      </c>
      <c r="AY304" s="132" t="s">
        <v>105</v>
      </c>
      <c r="AZ304" s="132" t="s">
        <v>978</v>
      </c>
      <c r="BA304" s="115" t="s">
        <v>979</v>
      </c>
      <c r="BC304" s="131">
        <f t="shared" si="249"/>
        <v>0</v>
      </c>
      <c r="BD304" s="131">
        <f t="shared" si="250"/>
        <v>0</v>
      </c>
      <c r="BE304" s="131">
        <v>0</v>
      </c>
      <c r="BF304" s="131">
        <f>304</f>
        <v>304</v>
      </c>
      <c r="BH304" s="131">
        <f t="shared" si="251"/>
        <v>0</v>
      </c>
      <c r="BI304" s="131">
        <f t="shared" si="252"/>
        <v>0</v>
      </c>
      <c r="BJ304" s="131">
        <f t="shared" si="253"/>
        <v>0</v>
      </c>
      <c r="BK304" s="131"/>
      <c r="BL304" s="131">
        <v>16</v>
      </c>
      <c r="BW304" s="131">
        <v>21</v>
      </c>
      <c r="BX304" s="133" t="s">
        <v>118</v>
      </c>
    </row>
    <row r="305" spans="1:76" x14ac:dyDescent="0.25">
      <c r="A305" s="134" t="s">
        <v>1000</v>
      </c>
      <c r="B305" s="135" t="s">
        <v>120</v>
      </c>
      <c r="C305" s="270" t="s">
        <v>121</v>
      </c>
      <c r="D305" s="271"/>
      <c r="E305" s="135" t="s">
        <v>122</v>
      </c>
      <c r="F305" s="131">
        <v>133.97</v>
      </c>
      <c r="G305" s="179">
        <v>0</v>
      </c>
      <c r="H305" s="131">
        <f t="shared" si="230"/>
        <v>0</v>
      </c>
      <c r="I305" s="131">
        <f t="shared" si="231"/>
        <v>0</v>
      </c>
      <c r="J305" s="131">
        <f t="shared" si="232"/>
        <v>0</v>
      </c>
      <c r="K305" s="136" t="s">
        <v>60</v>
      </c>
      <c r="Z305" s="131">
        <f t="shared" si="233"/>
        <v>0</v>
      </c>
      <c r="AB305" s="131">
        <f t="shared" si="234"/>
        <v>0</v>
      </c>
      <c r="AC305" s="131">
        <f t="shared" si="235"/>
        <v>0</v>
      </c>
      <c r="AD305" s="131">
        <f t="shared" si="236"/>
        <v>0</v>
      </c>
      <c r="AE305" s="131">
        <f t="shared" si="237"/>
        <v>0</v>
      </c>
      <c r="AF305" s="131">
        <f t="shared" si="238"/>
        <v>0</v>
      </c>
      <c r="AG305" s="131">
        <f t="shared" si="239"/>
        <v>0</v>
      </c>
      <c r="AH305" s="131">
        <f t="shared" si="240"/>
        <v>0</v>
      </c>
      <c r="AI305" s="115" t="s">
        <v>976</v>
      </c>
      <c r="AJ305" s="131">
        <f t="shared" si="241"/>
        <v>0</v>
      </c>
      <c r="AK305" s="131">
        <f t="shared" si="242"/>
        <v>0</v>
      </c>
      <c r="AL305" s="131">
        <f t="shared" si="243"/>
        <v>0</v>
      </c>
      <c r="AN305" s="131">
        <v>21</v>
      </c>
      <c r="AO305" s="131">
        <f t="shared" si="244"/>
        <v>0</v>
      </c>
      <c r="AP305" s="131">
        <f t="shared" si="245"/>
        <v>0</v>
      </c>
      <c r="AQ305" s="132" t="s">
        <v>56</v>
      </c>
      <c r="AV305" s="131">
        <f t="shared" si="246"/>
        <v>0</v>
      </c>
      <c r="AW305" s="131">
        <f t="shared" si="247"/>
        <v>0</v>
      </c>
      <c r="AX305" s="131">
        <f t="shared" si="248"/>
        <v>0</v>
      </c>
      <c r="AY305" s="132" t="s">
        <v>105</v>
      </c>
      <c r="AZ305" s="132" t="s">
        <v>978</v>
      </c>
      <c r="BA305" s="115" t="s">
        <v>979</v>
      </c>
      <c r="BC305" s="131">
        <f t="shared" si="249"/>
        <v>0</v>
      </c>
      <c r="BD305" s="131">
        <f t="shared" si="250"/>
        <v>0</v>
      </c>
      <c r="BE305" s="131">
        <v>0</v>
      </c>
      <c r="BF305" s="131">
        <f>305</f>
        <v>305</v>
      </c>
      <c r="BH305" s="131">
        <f t="shared" si="251"/>
        <v>0</v>
      </c>
      <c r="BI305" s="131">
        <f t="shared" si="252"/>
        <v>0</v>
      </c>
      <c r="BJ305" s="131">
        <f t="shared" si="253"/>
        <v>0</v>
      </c>
      <c r="BK305" s="131"/>
      <c r="BL305" s="131">
        <v>16</v>
      </c>
      <c r="BW305" s="131">
        <v>21</v>
      </c>
      <c r="BX305" s="133" t="s">
        <v>121</v>
      </c>
    </row>
    <row r="306" spans="1:76" x14ac:dyDescent="0.25">
      <c r="A306" s="123" t="s">
        <v>53</v>
      </c>
      <c r="B306" s="124" t="s">
        <v>116</v>
      </c>
      <c r="C306" s="272" t="s">
        <v>123</v>
      </c>
      <c r="D306" s="273"/>
      <c r="E306" s="125" t="s">
        <v>9</v>
      </c>
      <c r="F306" s="125" t="s">
        <v>9</v>
      </c>
      <c r="G306" s="125" t="s">
        <v>9</v>
      </c>
      <c r="H306" s="110">
        <f>SUM(H307:H309)</f>
        <v>0</v>
      </c>
      <c r="I306" s="110">
        <f>SUM(I307:I309)</f>
        <v>0</v>
      </c>
      <c r="J306" s="110">
        <f>SUM(J307:J309)</f>
        <v>0</v>
      </c>
      <c r="K306" s="126" t="s">
        <v>53</v>
      </c>
      <c r="AI306" s="115" t="s">
        <v>976</v>
      </c>
      <c r="AS306" s="110">
        <f>SUM(AJ307:AJ309)</f>
        <v>0</v>
      </c>
      <c r="AT306" s="110">
        <f>SUM(AK307:AK309)</f>
        <v>0</v>
      </c>
      <c r="AU306" s="110">
        <f>SUM(AL307:AL309)</f>
        <v>0</v>
      </c>
    </row>
    <row r="307" spans="1:76" x14ac:dyDescent="0.25">
      <c r="A307" s="134" t="s">
        <v>1001</v>
      </c>
      <c r="B307" s="135" t="s">
        <v>129</v>
      </c>
      <c r="C307" s="270" t="s">
        <v>130</v>
      </c>
      <c r="D307" s="271"/>
      <c r="E307" s="135" t="s">
        <v>79</v>
      </c>
      <c r="F307" s="131">
        <v>152.29</v>
      </c>
      <c r="G307" s="179">
        <v>0</v>
      </c>
      <c r="H307" s="131">
        <f>F307*AO307</f>
        <v>0</v>
      </c>
      <c r="I307" s="131">
        <f>F307*AP307</f>
        <v>0</v>
      </c>
      <c r="J307" s="131">
        <f>F307*G307</f>
        <v>0</v>
      </c>
      <c r="K307" s="136" t="s">
        <v>60</v>
      </c>
      <c r="Z307" s="131">
        <f>IF(AQ307="5",BJ307,0)</f>
        <v>0</v>
      </c>
      <c r="AB307" s="131">
        <f>IF(AQ307="1",BH307,0)</f>
        <v>0</v>
      </c>
      <c r="AC307" s="131">
        <f>IF(AQ307="1",BI307,0)</f>
        <v>0</v>
      </c>
      <c r="AD307" s="131">
        <f>IF(AQ307="7",BH307,0)</f>
        <v>0</v>
      </c>
      <c r="AE307" s="131">
        <f>IF(AQ307="7",BI307,0)</f>
        <v>0</v>
      </c>
      <c r="AF307" s="131">
        <f>IF(AQ307="2",BH307,0)</f>
        <v>0</v>
      </c>
      <c r="AG307" s="131">
        <f>IF(AQ307="2",BI307,0)</f>
        <v>0</v>
      </c>
      <c r="AH307" s="131">
        <f>IF(AQ307="0",BJ307,0)</f>
        <v>0</v>
      </c>
      <c r="AI307" s="115" t="s">
        <v>976</v>
      </c>
      <c r="AJ307" s="131">
        <f>IF(AN307=0,J307,0)</f>
        <v>0</v>
      </c>
      <c r="AK307" s="131">
        <f>IF(AN307=12,J307,0)</f>
        <v>0</v>
      </c>
      <c r="AL307" s="131">
        <f>IF(AN307=21,J307,0)</f>
        <v>0</v>
      </c>
      <c r="AN307" s="131">
        <v>21</v>
      </c>
      <c r="AO307" s="131">
        <f>G307*0</f>
        <v>0</v>
      </c>
      <c r="AP307" s="131">
        <f>G307*(1-0)</f>
        <v>0</v>
      </c>
      <c r="AQ307" s="132" t="s">
        <v>56</v>
      </c>
      <c r="AV307" s="131">
        <f>AW307+AX307</f>
        <v>0</v>
      </c>
      <c r="AW307" s="131">
        <f>F307*AO307</f>
        <v>0</v>
      </c>
      <c r="AX307" s="131">
        <f>F307*AP307</f>
        <v>0</v>
      </c>
      <c r="AY307" s="132" t="s">
        <v>127</v>
      </c>
      <c r="AZ307" s="132" t="s">
        <v>978</v>
      </c>
      <c r="BA307" s="115" t="s">
        <v>979</v>
      </c>
      <c r="BC307" s="131">
        <f>AW307+AX307</f>
        <v>0</v>
      </c>
      <c r="BD307" s="131">
        <f>G307/(100-BE307)*100</f>
        <v>0</v>
      </c>
      <c r="BE307" s="131">
        <v>0</v>
      </c>
      <c r="BF307" s="131">
        <f>307</f>
        <v>307</v>
      </c>
      <c r="BH307" s="131">
        <f>F307*AO307</f>
        <v>0</v>
      </c>
      <c r="BI307" s="131">
        <f>F307*AP307</f>
        <v>0</v>
      </c>
      <c r="BJ307" s="131">
        <f>F307*G307</f>
        <v>0</v>
      </c>
      <c r="BK307" s="131"/>
      <c r="BL307" s="131">
        <v>17</v>
      </c>
      <c r="BW307" s="131">
        <v>21</v>
      </c>
      <c r="BX307" s="133" t="s">
        <v>130</v>
      </c>
    </row>
    <row r="308" spans="1:76" x14ac:dyDescent="0.25">
      <c r="A308" s="134" t="s">
        <v>1002</v>
      </c>
      <c r="B308" s="135" t="s">
        <v>786</v>
      </c>
      <c r="C308" s="270" t="s">
        <v>787</v>
      </c>
      <c r="D308" s="271"/>
      <c r="E308" s="135" t="s">
        <v>79</v>
      </c>
      <c r="F308" s="131">
        <v>45.15</v>
      </c>
      <c r="G308" s="179">
        <v>0</v>
      </c>
      <c r="H308" s="131">
        <f>F308*AO308</f>
        <v>0</v>
      </c>
      <c r="I308" s="131">
        <f>F308*AP308</f>
        <v>0</v>
      </c>
      <c r="J308" s="131">
        <f>F308*G308</f>
        <v>0</v>
      </c>
      <c r="K308" s="136" t="s">
        <v>60</v>
      </c>
      <c r="Z308" s="131">
        <f>IF(AQ308="5",BJ308,0)</f>
        <v>0</v>
      </c>
      <c r="AB308" s="131">
        <f>IF(AQ308="1",BH308,0)</f>
        <v>0</v>
      </c>
      <c r="AC308" s="131">
        <f>IF(AQ308="1",BI308,0)</f>
        <v>0</v>
      </c>
      <c r="AD308" s="131">
        <f>IF(AQ308="7",BH308,0)</f>
        <v>0</v>
      </c>
      <c r="AE308" s="131">
        <f>IF(AQ308="7",BI308,0)</f>
        <v>0</v>
      </c>
      <c r="AF308" s="131">
        <f>IF(AQ308="2",BH308,0)</f>
        <v>0</v>
      </c>
      <c r="AG308" s="131">
        <f>IF(AQ308="2",BI308,0)</f>
        <v>0</v>
      </c>
      <c r="AH308" s="131">
        <f>IF(AQ308="0",BJ308,0)</f>
        <v>0</v>
      </c>
      <c r="AI308" s="115" t="s">
        <v>976</v>
      </c>
      <c r="AJ308" s="131">
        <f>IF(AN308=0,J308,0)</f>
        <v>0</v>
      </c>
      <c r="AK308" s="131">
        <f>IF(AN308=12,J308,0)</f>
        <v>0</v>
      </c>
      <c r="AL308" s="131">
        <f>IF(AN308=21,J308,0)</f>
        <v>0</v>
      </c>
      <c r="AN308" s="131">
        <v>21</v>
      </c>
      <c r="AO308" s="131">
        <f>G308*0</f>
        <v>0</v>
      </c>
      <c r="AP308" s="131">
        <f>G308*(1-0)</f>
        <v>0</v>
      </c>
      <c r="AQ308" s="132" t="s">
        <v>56</v>
      </c>
      <c r="AV308" s="131">
        <f>AW308+AX308</f>
        <v>0</v>
      </c>
      <c r="AW308" s="131">
        <f>F308*AO308</f>
        <v>0</v>
      </c>
      <c r="AX308" s="131">
        <f>F308*AP308</f>
        <v>0</v>
      </c>
      <c r="AY308" s="132" t="s">
        <v>127</v>
      </c>
      <c r="AZ308" s="132" t="s">
        <v>978</v>
      </c>
      <c r="BA308" s="115" t="s">
        <v>979</v>
      </c>
      <c r="BC308" s="131">
        <f>AW308+AX308</f>
        <v>0</v>
      </c>
      <c r="BD308" s="131">
        <f>G308/(100-BE308)*100</f>
        <v>0</v>
      </c>
      <c r="BE308" s="131">
        <v>0</v>
      </c>
      <c r="BF308" s="131">
        <f>308</f>
        <v>308</v>
      </c>
      <c r="BH308" s="131">
        <f>F308*AO308</f>
        <v>0</v>
      </c>
      <c r="BI308" s="131">
        <f>F308*AP308</f>
        <v>0</v>
      </c>
      <c r="BJ308" s="131">
        <f>F308*G308</f>
        <v>0</v>
      </c>
      <c r="BK308" s="131"/>
      <c r="BL308" s="131">
        <v>17</v>
      </c>
      <c r="BW308" s="131">
        <v>21</v>
      </c>
      <c r="BX308" s="133" t="s">
        <v>787</v>
      </c>
    </row>
    <row r="309" spans="1:76" x14ac:dyDescent="0.25">
      <c r="A309" s="134" t="s">
        <v>1003</v>
      </c>
      <c r="B309" s="135" t="s">
        <v>788</v>
      </c>
      <c r="C309" s="270" t="s">
        <v>789</v>
      </c>
      <c r="D309" s="271"/>
      <c r="E309" s="135" t="s">
        <v>79</v>
      </c>
      <c r="F309" s="131">
        <v>74.430000000000007</v>
      </c>
      <c r="G309" s="179">
        <v>0</v>
      </c>
      <c r="H309" s="131">
        <f>F309*AO309</f>
        <v>0</v>
      </c>
      <c r="I309" s="131">
        <f>F309*AP309</f>
        <v>0</v>
      </c>
      <c r="J309" s="131">
        <f>F309*G309</f>
        <v>0</v>
      </c>
      <c r="K309" s="136" t="s">
        <v>60</v>
      </c>
      <c r="Z309" s="131">
        <f>IF(AQ309="5",BJ309,0)</f>
        <v>0</v>
      </c>
      <c r="AB309" s="131">
        <f>IF(AQ309="1",BH309,0)</f>
        <v>0</v>
      </c>
      <c r="AC309" s="131">
        <f>IF(AQ309="1",BI309,0)</f>
        <v>0</v>
      </c>
      <c r="AD309" s="131">
        <f>IF(AQ309="7",BH309,0)</f>
        <v>0</v>
      </c>
      <c r="AE309" s="131">
        <f>IF(AQ309="7",BI309,0)</f>
        <v>0</v>
      </c>
      <c r="AF309" s="131">
        <f>IF(AQ309="2",BH309,0)</f>
        <v>0</v>
      </c>
      <c r="AG309" s="131">
        <f>IF(AQ309="2",BI309,0)</f>
        <v>0</v>
      </c>
      <c r="AH309" s="131">
        <f>IF(AQ309="0",BJ309,0)</f>
        <v>0</v>
      </c>
      <c r="AI309" s="115" t="s">
        <v>976</v>
      </c>
      <c r="AJ309" s="131">
        <f>IF(AN309=0,J309,0)</f>
        <v>0</v>
      </c>
      <c r="AK309" s="131">
        <f>IF(AN309=12,J309,0)</f>
        <v>0</v>
      </c>
      <c r="AL309" s="131">
        <f>IF(AN309=21,J309,0)</f>
        <v>0</v>
      </c>
      <c r="AN309" s="131">
        <v>21</v>
      </c>
      <c r="AO309" s="131">
        <f>G309*0</f>
        <v>0</v>
      </c>
      <c r="AP309" s="131">
        <f>G309*(1-0)</f>
        <v>0</v>
      </c>
      <c r="AQ309" s="132" t="s">
        <v>56</v>
      </c>
      <c r="AV309" s="131">
        <f>AW309+AX309</f>
        <v>0</v>
      </c>
      <c r="AW309" s="131">
        <f>F309*AO309</f>
        <v>0</v>
      </c>
      <c r="AX309" s="131">
        <f>F309*AP309</f>
        <v>0</v>
      </c>
      <c r="AY309" s="132" t="s">
        <v>127</v>
      </c>
      <c r="AZ309" s="132" t="s">
        <v>978</v>
      </c>
      <c r="BA309" s="115" t="s">
        <v>979</v>
      </c>
      <c r="BC309" s="131">
        <f>AW309+AX309</f>
        <v>0</v>
      </c>
      <c r="BD309" s="131">
        <f>G309/(100-BE309)*100</f>
        <v>0</v>
      </c>
      <c r="BE309" s="131">
        <v>0</v>
      </c>
      <c r="BF309" s="131">
        <f>309</f>
        <v>309</v>
      </c>
      <c r="BH309" s="131">
        <f>F309*AO309</f>
        <v>0</v>
      </c>
      <c r="BI309" s="131">
        <f>F309*AP309</f>
        <v>0</v>
      </c>
      <c r="BJ309" s="131">
        <f>F309*G309</f>
        <v>0</v>
      </c>
      <c r="BK309" s="131"/>
      <c r="BL309" s="131">
        <v>17</v>
      </c>
      <c r="BW309" s="131">
        <v>21</v>
      </c>
      <c r="BX309" s="133" t="s">
        <v>789</v>
      </c>
    </row>
    <row r="310" spans="1:76" x14ac:dyDescent="0.25">
      <c r="A310" s="123" t="s">
        <v>53</v>
      </c>
      <c r="B310" s="124" t="s">
        <v>167</v>
      </c>
      <c r="C310" s="272" t="s">
        <v>794</v>
      </c>
      <c r="D310" s="273"/>
      <c r="E310" s="125" t="s">
        <v>9</v>
      </c>
      <c r="F310" s="125" t="s">
        <v>9</v>
      </c>
      <c r="G310" s="125" t="s">
        <v>9</v>
      </c>
      <c r="H310" s="110">
        <f>SUM(H311:H311)</f>
        <v>0</v>
      </c>
      <c r="I310" s="110">
        <f>SUM(I311:I311)</f>
        <v>0</v>
      </c>
      <c r="J310" s="110">
        <f>SUM(J311:J311)</f>
        <v>0</v>
      </c>
      <c r="K310" s="126" t="s">
        <v>53</v>
      </c>
      <c r="AI310" s="115" t="s">
        <v>976</v>
      </c>
      <c r="AS310" s="110">
        <f>SUM(AJ311:AJ311)</f>
        <v>0</v>
      </c>
      <c r="AT310" s="110">
        <f>SUM(AK311:AK311)</f>
        <v>0</v>
      </c>
      <c r="AU310" s="110">
        <f>SUM(AL311:AL311)</f>
        <v>0</v>
      </c>
    </row>
    <row r="311" spans="1:76" x14ac:dyDescent="0.25">
      <c r="A311" s="134" t="s">
        <v>1004</v>
      </c>
      <c r="B311" s="135" t="s">
        <v>795</v>
      </c>
      <c r="C311" s="270" t="s">
        <v>796</v>
      </c>
      <c r="D311" s="271"/>
      <c r="E311" s="135" t="s">
        <v>79</v>
      </c>
      <c r="F311" s="131">
        <v>20.71</v>
      </c>
      <c r="G311" s="179">
        <v>0</v>
      </c>
      <c r="H311" s="131">
        <f>F311*AO311</f>
        <v>0</v>
      </c>
      <c r="I311" s="131">
        <f>F311*AP311</f>
        <v>0</v>
      </c>
      <c r="J311" s="131">
        <f>F311*G311</f>
        <v>0</v>
      </c>
      <c r="K311" s="136" t="s">
        <v>60</v>
      </c>
      <c r="Z311" s="131">
        <f>IF(AQ311="5",BJ311,0)</f>
        <v>0</v>
      </c>
      <c r="AB311" s="131">
        <f>IF(AQ311="1",BH311,0)</f>
        <v>0</v>
      </c>
      <c r="AC311" s="131">
        <f>IF(AQ311="1",BI311,0)</f>
        <v>0</v>
      </c>
      <c r="AD311" s="131">
        <f>IF(AQ311="7",BH311,0)</f>
        <v>0</v>
      </c>
      <c r="AE311" s="131">
        <f>IF(AQ311="7",BI311,0)</f>
        <v>0</v>
      </c>
      <c r="AF311" s="131">
        <f>IF(AQ311="2",BH311,0)</f>
        <v>0</v>
      </c>
      <c r="AG311" s="131">
        <f>IF(AQ311="2",BI311,0)</f>
        <v>0</v>
      </c>
      <c r="AH311" s="131">
        <f>IF(AQ311="0",BJ311,0)</f>
        <v>0</v>
      </c>
      <c r="AI311" s="115" t="s">
        <v>976</v>
      </c>
      <c r="AJ311" s="131">
        <f>IF(AN311=0,J311,0)</f>
        <v>0</v>
      </c>
      <c r="AK311" s="131">
        <f>IF(AN311=12,J311,0)</f>
        <v>0</v>
      </c>
      <c r="AL311" s="131">
        <f>IF(AN311=21,J311,0)</f>
        <v>0</v>
      </c>
      <c r="AN311" s="131">
        <v>21</v>
      </c>
      <c r="AO311" s="131">
        <f>G311*0.483679371</f>
        <v>0</v>
      </c>
      <c r="AP311" s="131">
        <f>G311*(1-0.483679371)</f>
        <v>0</v>
      </c>
      <c r="AQ311" s="132" t="s">
        <v>56</v>
      </c>
      <c r="AV311" s="131">
        <f>AW311+AX311</f>
        <v>0</v>
      </c>
      <c r="AW311" s="131">
        <f>F311*AO311</f>
        <v>0</v>
      </c>
      <c r="AX311" s="131">
        <f>F311*AP311</f>
        <v>0</v>
      </c>
      <c r="AY311" s="132" t="s">
        <v>172</v>
      </c>
      <c r="AZ311" s="132" t="s">
        <v>1005</v>
      </c>
      <c r="BA311" s="115" t="s">
        <v>979</v>
      </c>
      <c r="BC311" s="131">
        <f>AW311+AX311</f>
        <v>0</v>
      </c>
      <c r="BD311" s="131">
        <f>G311/(100-BE311)*100</f>
        <v>0</v>
      </c>
      <c r="BE311" s="131">
        <v>0</v>
      </c>
      <c r="BF311" s="131">
        <f>311</f>
        <v>311</v>
      </c>
      <c r="BH311" s="131">
        <f>F311*AO311</f>
        <v>0</v>
      </c>
      <c r="BI311" s="131">
        <f>F311*AP311</f>
        <v>0</v>
      </c>
      <c r="BJ311" s="131">
        <f>F311*G311</f>
        <v>0</v>
      </c>
      <c r="BK311" s="131"/>
      <c r="BL311" s="131">
        <v>45</v>
      </c>
      <c r="BW311" s="131">
        <v>21</v>
      </c>
      <c r="BX311" s="133" t="s">
        <v>796</v>
      </c>
    </row>
    <row r="312" spans="1:76" x14ac:dyDescent="0.25">
      <c r="A312" s="123" t="s">
        <v>53</v>
      </c>
      <c r="B312" s="124" t="s">
        <v>177</v>
      </c>
      <c r="C312" s="272" t="s">
        <v>178</v>
      </c>
      <c r="D312" s="273"/>
      <c r="E312" s="125" t="s">
        <v>9</v>
      </c>
      <c r="F312" s="125" t="s">
        <v>9</v>
      </c>
      <c r="G312" s="125" t="s">
        <v>9</v>
      </c>
      <c r="H312" s="110">
        <f>SUM(H313:H316)</f>
        <v>0</v>
      </c>
      <c r="I312" s="110">
        <f>SUM(I313:I316)</f>
        <v>0</v>
      </c>
      <c r="J312" s="110">
        <f>SUM(J313:J316)</f>
        <v>0</v>
      </c>
      <c r="K312" s="126" t="s">
        <v>53</v>
      </c>
      <c r="AI312" s="115" t="s">
        <v>976</v>
      </c>
      <c r="AS312" s="110">
        <f>SUM(AJ313:AJ316)</f>
        <v>0</v>
      </c>
      <c r="AT312" s="110">
        <f>SUM(AK313:AK316)</f>
        <v>0</v>
      </c>
      <c r="AU312" s="110">
        <f>SUM(AL313:AL316)</f>
        <v>0</v>
      </c>
    </row>
    <row r="313" spans="1:76" x14ac:dyDescent="0.25">
      <c r="A313" s="134" t="s">
        <v>1006</v>
      </c>
      <c r="B313" s="135" t="s">
        <v>1007</v>
      </c>
      <c r="C313" s="270" t="s">
        <v>1008</v>
      </c>
      <c r="D313" s="271"/>
      <c r="E313" s="135" t="s">
        <v>59</v>
      </c>
      <c r="F313" s="131">
        <v>18</v>
      </c>
      <c r="G313" s="179">
        <v>0</v>
      </c>
      <c r="H313" s="131">
        <f>F313*AO313</f>
        <v>0</v>
      </c>
      <c r="I313" s="131">
        <f>F313*AP313</f>
        <v>0</v>
      </c>
      <c r="J313" s="131">
        <f>F313*G313</f>
        <v>0</v>
      </c>
      <c r="K313" s="136" t="s">
        <v>60</v>
      </c>
      <c r="Z313" s="131">
        <f>IF(AQ313="5",BJ313,0)</f>
        <v>0</v>
      </c>
      <c r="AB313" s="131">
        <f>IF(AQ313="1",BH313,0)</f>
        <v>0</v>
      </c>
      <c r="AC313" s="131">
        <f>IF(AQ313="1",BI313,0)</f>
        <v>0</v>
      </c>
      <c r="AD313" s="131">
        <f>IF(AQ313="7",BH313,0)</f>
        <v>0</v>
      </c>
      <c r="AE313" s="131">
        <f>IF(AQ313="7",BI313,0)</f>
        <v>0</v>
      </c>
      <c r="AF313" s="131">
        <f>IF(AQ313="2",BH313,0)</f>
        <v>0</v>
      </c>
      <c r="AG313" s="131">
        <f>IF(AQ313="2",BI313,0)</f>
        <v>0</v>
      </c>
      <c r="AH313" s="131">
        <f>IF(AQ313="0",BJ313,0)</f>
        <v>0</v>
      </c>
      <c r="AI313" s="115" t="s">
        <v>976</v>
      </c>
      <c r="AJ313" s="131">
        <f>IF(AN313=0,J313,0)</f>
        <v>0</v>
      </c>
      <c r="AK313" s="131">
        <f>IF(AN313=12,J313,0)</f>
        <v>0</v>
      </c>
      <c r="AL313" s="131">
        <f>IF(AN313=21,J313,0)</f>
        <v>0</v>
      </c>
      <c r="AN313" s="131">
        <v>21</v>
      </c>
      <c r="AO313" s="131">
        <f>G313*0.854845361</f>
        <v>0</v>
      </c>
      <c r="AP313" s="131">
        <f>G313*(1-0.854845361)</f>
        <v>0</v>
      </c>
      <c r="AQ313" s="132" t="s">
        <v>56</v>
      </c>
      <c r="AV313" s="131">
        <f>AW313+AX313</f>
        <v>0</v>
      </c>
      <c r="AW313" s="131">
        <f>F313*AO313</f>
        <v>0</v>
      </c>
      <c r="AX313" s="131">
        <f>F313*AP313</f>
        <v>0</v>
      </c>
      <c r="AY313" s="132" t="s">
        <v>181</v>
      </c>
      <c r="AZ313" s="132" t="s">
        <v>1009</v>
      </c>
      <c r="BA313" s="115" t="s">
        <v>979</v>
      </c>
      <c r="BC313" s="131">
        <f>AW313+AX313</f>
        <v>0</v>
      </c>
      <c r="BD313" s="131">
        <f>G313/(100-BE313)*100</f>
        <v>0</v>
      </c>
      <c r="BE313" s="131">
        <v>0</v>
      </c>
      <c r="BF313" s="131">
        <f>313</f>
        <v>313</v>
      </c>
      <c r="BH313" s="131">
        <f>F313*AO313</f>
        <v>0</v>
      </c>
      <c r="BI313" s="131">
        <f>F313*AP313</f>
        <v>0</v>
      </c>
      <c r="BJ313" s="131">
        <f>F313*G313</f>
        <v>0</v>
      </c>
      <c r="BK313" s="131"/>
      <c r="BL313" s="131">
        <v>56</v>
      </c>
      <c r="BW313" s="131">
        <v>21</v>
      </c>
      <c r="BX313" s="133" t="s">
        <v>1008</v>
      </c>
    </row>
    <row r="314" spans="1:76" x14ac:dyDescent="0.25">
      <c r="A314" s="134" t="s">
        <v>1010</v>
      </c>
      <c r="B314" s="135" t="s">
        <v>187</v>
      </c>
      <c r="C314" s="270" t="s">
        <v>1011</v>
      </c>
      <c r="D314" s="271"/>
      <c r="E314" s="135" t="s">
        <v>59</v>
      </c>
      <c r="F314" s="131">
        <v>17.25</v>
      </c>
      <c r="G314" s="179">
        <v>0</v>
      </c>
      <c r="H314" s="131">
        <f>F314*AO314</f>
        <v>0</v>
      </c>
      <c r="I314" s="131">
        <f>F314*AP314</f>
        <v>0</v>
      </c>
      <c r="J314" s="131">
        <f>F314*G314</f>
        <v>0</v>
      </c>
      <c r="K314" s="136" t="s">
        <v>60</v>
      </c>
      <c r="Z314" s="131">
        <f>IF(AQ314="5",BJ314,0)</f>
        <v>0</v>
      </c>
      <c r="AB314" s="131">
        <f>IF(AQ314="1",BH314,0)</f>
        <v>0</v>
      </c>
      <c r="AC314" s="131">
        <f>IF(AQ314="1",BI314,0)</f>
        <v>0</v>
      </c>
      <c r="AD314" s="131">
        <f>IF(AQ314="7",BH314,0)</f>
        <v>0</v>
      </c>
      <c r="AE314" s="131">
        <f>IF(AQ314="7",BI314,0)</f>
        <v>0</v>
      </c>
      <c r="AF314" s="131">
        <f>IF(AQ314="2",BH314,0)</f>
        <v>0</v>
      </c>
      <c r="AG314" s="131">
        <f>IF(AQ314="2",BI314,0)</f>
        <v>0</v>
      </c>
      <c r="AH314" s="131">
        <f>IF(AQ314="0",BJ314,0)</f>
        <v>0</v>
      </c>
      <c r="AI314" s="115" t="s">
        <v>976</v>
      </c>
      <c r="AJ314" s="131">
        <f>IF(AN314=0,J314,0)</f>
        <v>0</v>
      </c>
      <c r="AK314" s="131">
        <f>IF(AN314=12,J314,0)</f>
        <v>0</v>
      </c>
      <c r="AL314" s="131">
        <f>IF(AN314=21,J314,0)</f>
        <v>0</v>
      </c>
      <c r="AN314" s="131">
        <v>21</v>
      </c>
      <c r="AO314" s="131">
        <f>G314*0.801143842</f>
        <v>0</v>
      </c>
      <c r="AP314" s="131">
        <f>G314*(1-0.801143842)</f>
        <v>0</v>
      </c>
      <c r="AQ314" s="132" t="s">
        <v>56</v>
      </c>
      <c r="AV314" s="131">
        <f>AW314+AX314</f>
        <v>0</v>
      </c>
      <c r="AW314" s="131">
        <f>F314*AO314</f>
        <v>0</v>
      </c>
      <c r="AX314" s="131">
        <f>F314*AP314</f>
        <v>0</v>
      </c>
      <c r="AY314" s="132" t="s">
        <v>181</v>
      </c>
      <c r="AZ314" s="132" t="s">
        <v>1009</v>
      </c>
      <c r="BA314" s="115" t="s">
        <v>979</v>
      </c>
      <c r="BC314" s="131">
        <f>AW314+AX314</f>
        <v>0</v>
      </c>
      <c r="BD314" s="131">
        <f>G314/(100-BE314)*100</f>
        <v>0</v>
      </c>
      <c r="BE314" s="131">
        <v>0</v>
      </c>
      <c r="BF314" s="131">
        <f>314</f>
        <v>314</v>
      </c>
      <c r="BH314" s="131">
        <f>F314*AO314</f>
        <v>0</v>
      </c>
      <c r="BI314" s="131">
        <f>F314*AP314</f>
        <v>0</v>
      </c>
      <c r="BJ314" s="131">
        <f>F314*G314</f>
        <v>0</v>
      </c>
      <c r="BK314" s="131"/>
      <c r="BL314" s="131">
        <v>56</v>
      </c>
      <c r="BW314" s="131">
        <v>21</v>
      </c>
      <c r="BX314" s="133" t="s">
        <v>1011</v>
      </c>
    </row>
    <row r="315" spans="1:76" x14ac:dyDescent="0.25">
      <c r="A315" s="134" t="s">
        <v>1012</v>
      </c>
      <c r="B315" s="135" t="s">
        <v>187</v>
      </c>
      <c r="C315" s="270" t="s">
        <v>1013</v>
      </c>
      <c r="D315" s="271"/>
      <c r="E315" s="135" t="s">
        <v>59</v>
      </c>
      <c r="F315" s="131">
        <v>16.5</v>
      </c>
      <c r="G315" s="179">
        <v>0</v>
      </c>
      <c r="H315" s="131">
        <f>F315*AO315</f>
        <v>0</v>
      </c>
      <c r="I315" s="131">
        <f>F315*AP315</f>
        <v>0</v>
      </c>
      <c r="J315" s="131">
        <f>F315*G315</f>
        <v>0</v>
      </c>
      <c r="K315" s="136" t="s">
        <v>60</v>
      </c>
      <c r="Z315" s="131">
        <f>IF(AQ315="5",BJ315,0)</f>
        <v>0</v>
      </c>
      <c r="AB315" s="131">
        <f>IF(AQ315="1",BH315,0)</f>
        <v>0</v>
      </c>
      <c r="AC315" s="131">
        <f>IF(AQ315="1",BI315,0)</f>
        <v>0</v>
      </c>
      <c r="AD315" s="131">
        <f>IF(AQ315="7",BH315,0)</f>
        <v>0</v>
      </c>
      <c r="AE315" s="131">
        <f>IF(AQ315="7",BI315,0)</f>
        <v>0</v>
      </c>
      <c r="AF315" s="131">
        <f>IF(AQ315="2",BH315,0)</f>
        <v>0</v>
      </c>
      <c r="AG315" s="131">
        <f>IF(AQ315="2",BI315,0)</f>
        <v>0</v>
      </c>
      <c r="AH315" s="131">
        <f>IF(AQ315="0",BJ315,0)</f>
        <v>0</v>
      </c>
      <c r="AI315" s="115" t="s">
        <v>976</v>
      </c>
      <c r="AJ315" s="131">
        <f>IF(AN315=0,J315,0)</f>
        <v>0</v>
      </c>
      <c r="AK315" s="131">
        <f>IF(AN315=12,J315,0)</f>
        <v>0</v>
      </c>
      <c r="AL315" s="131">
        <f>IF(AN315=21,J315,0)</f>
        <v>0</v>
      </c>
      <c r="AN315" s="131">
        <v>21</v>
      </c>
      <c r="AO315" s="131">
        <f>G315*0.801141071</f>
        <v>0</v>
      </c>
      <c r="AP315" s="131">
        <f>G315*(1-0.801141071)</f>
        <v>0</v>
      </c>
      <c r="AQ315" s="132" t="s">
        <v>56</v>
      </c>
      <c r="AV315" s="131">
        <f>AW315+AX315</f>
        <v>0</v>
      </c>
      <c r="AW315" s="131">
        <f>F315*AO315</f>
        <v>0</v>
      </c>
      <c r="AX315" s="131">
        <f>F315*AP315</f>
        <v>0</v>
      </c>
      <c r="AY315" s="132" t="s">
        <v>181</v>
      </c>
      <c r="AZ315" s="132" t="s">
        <v>1009</v>
      </c>
      <c r="BA315" s="115" t="s">
        <v>979</v>
      </c>
      <c r="BC315" s="131">
        <f>AW315+AX315</f>
        <v>0</v>
      </c>
      <c r="BD315" s="131">
        <f>G315/(100-BE315)*100</f>
        <v>0</v>
      </c>
      <c r="BE315" s="131">
        <v>0</v>
      </c>
      <c r="BF315" s="131">
        <f>315</f>
        <v>315</v>
      </c>
      <c r="BH315" s="131">
        <f>F315*AO315</f>
        <v>0</v>
      </c>
      <c r="BI315" s="131">
        <f>F315*AP315</f>
        <v>0</v>
      </c>
      <c r="BJ315" s="131">
        <f>F315*G315</f>
        <v>0</v>
      </c>
      <c r="BK315" s="131"/>
      <c r="BL315" s="131">
        <v>56</v>
      </c>
      <c r="BW315" s="131">
        <v>21</v>
      </c>
      <c r="BX315" s="133" t="s">
        <v>1013</v>
      </c>
    </row>
    <row r="316" spans="1:76" x14ac:dyDescent="0.25">
      <c r="A316" s="134" t="s">
        <v>1014</v>
      </c>
      <c r="B316" s="135" t="s">
        <v>1015</v>
      </c>
      <c r="C316" s="270" t="s">
        <v>1016</v>
      </c>
      <c r="D316" s="271"/>
      <c r="E316" s="135" t="s">
        <v>59</v>
      </c>
      <c r="F316" s="131">
        <v>15.75</v>
      </c>
      <c r="G316" s="179">
        <v>0</v>
      </c>
      <c r="H316" s="131">
        <f>F316*AO316</f>
        <v>0</v>
      </c>
      <c r="I316" s="131">
        <f>F316*AP316</f>
        <v>0</v>
      </c>
      <c r="J316" s="131">
        <f>F316*G316</f>
        <v>0</v>
      </c>
      <c r="K316" s="136" t="s">
        <v>60</v>
      </c>
      <c r="Z316" s="131">
        <f>IF(AQ316="5",BJ316,0)</f>
        <v>0</v>
      </c>
      <c r="AB316" s="131">
        <f>IF(AQ316="1",BH316,0)</f>
        <v>0</v>
      </c>
      <c r="AC316" s="131">
        <f>IF(AQ316="1",BI316,0)</f>
        <v>0</v>
      </c>
      <c r="AD316" s="131">
        <f>IF(AQ316="7",BH316,0)</f>
        <v>0</v>
      </c>
      <c r="AE316" s="131">
        <f>IF(AQ316="7",BI316,0)</f>
        <v>0</v>
      </c>
      <c r="AF316" s="131">
        <f>IF(AQ316="2",BH316,0)</f>
        <v>0</v>
      </c>
      <c r="AG316" s="131">
        <f>IF(AQ316="2",BI316,0)</f>
        <v>0</v>
      </c>
      <c r="AH316" s="131">
        <f>IF(AQ316="0",BJ316,0)</f>
        <v>0</v>
      </c>
      <c r="AI316" s="115" t="s">
        <v>976</v>
      </c>
      <c r="AJ316" s="131">
        <f>IF(AN316=0,J316,0)</f>
        <v>0</v>
      </c>
      <c r="AK316" s="131">
        <f>IF(AN316=12,J316,0)</f>
        <v>0</v>
      </c>
      <c r="AL316" s="131">
        <f>IF(AN316=21,J316,0)</f>
        <v>0</v>
      </c>
      <c r="AN316" s="131">
        <v>21</v>
      </c>
      <c r="AO316" s="131">
        <f>G316*0.580313723</f>
        <v>0</v>
      </c>
      <c r="AP316" s="131">
        <f>G316*(1-0.580313723)</f>
        <v>0</v>
      </c>
      <c r="AQ316" s="132" t="s">
        <v>56</v>
      </c>
      <c r="AV316" s="131">
        <f>AW316+AX316</f>
        <v>0</v>
      </c>
      <c r="AW316" s="131">
        <f>F316*AO316</f>
        <v>0</v>
      </c>
      <c r="AX316" s="131">
        <f>F316*AP316</f>
        <v>0</v>
      </c>
      <c r="AY316" s="132" t="s">
        <v>181</v>
      </c>
      <c r="AZ316" s="132" t="s">
        <v>1009</v>
      </c>
      <c r="BA316" s="115" t="s">
        <v>979</v>
      </c>
      <c r="BC316" s="131">
        <f>AW316+AX316</f>
        <v>0</v>
      </c>
      <c r="BD316" s="131">
        <f>G316/(100-BE316)*100</f>
        <v>0</v>
      </c>
      <c r="BE316" s="131">
        <v>0</v>
      </c>
      <c r="BF316" s="131">
        <f>316</f>
        <v>316</v>
      </c>
      <c r="BH316" s="131">
        <f>F316*AO316</f>
        <v>0</v>
      </c>
      <c r="BI316" s="131">
        <f>F316*AP316</f>
        <v>0</v>
      </c>
      <c r="BJ316" s="131">
        <f>F316*G316</f>
        <v>0</v>
      </c>
      <c r="BK316" s="131"/>
      <c r="BL316" s="131">
        <v>56</v>
      </c>
      <c r="BW316" s="131">
        <v>21</v>
      </c>
      <c r="BX316" s="133" t="s">
        <v>1016</v>
      </c>
    </row>
    <row r="317" spans="1:76" x14ac:dyDescent="0.25">
      <c r="A317" s="123" t="s">
        <v>53</v>
      </c>
      <c r="B317" s="124" t="s">
        <v>206</v>
      </c>
      <c r="C317" s="272" t="s">
        <v>207</v>
      </c>
      <c r="D317" s="273"/>
      <c r="E317" s="125" t="s">
        <v>9</v>
      </c>
      <c r="F317" s="125" t="s">
        <v>9</v>
      </c>
      <c r="G317" s="125" t="s">
        <v>9</v>
      </c>
      <c r="H317" s="110">
        <f>SUM(H318:H318)</f>
        <v>0</v>
      </c>
      <c r="I317" s="110">
        <f>SUM(I318:I318)</f>
        <v>0</v>
      </c>
      <c r="J317" s="110">
        <f>SUM(J318:J318)</f>
        <v>0</v>
      </c>
      <c r="K317" s="126" t="s">
        <v>53</v>
      </c>
      <c r="AI317" s="115" t="s">
        <v>976</v>
      </c>
      <c r="AS317" s="110">
        <f>SUM(AJ318:AJ318)</f>
        <v>0</v>
      </c>
      <c r="AT317" s="110">
        <f>SUM(AK318:AK318)</f>
        <v>0</v>
      </c>
      <c r="AU317" s="110">
        <f>SUM(AL318:AL318)</f>
        <v>0</v>
      </c>
    </row>
    <row r="318" spans="1:76" x14ac:dyDescent="0.25">
      <c r="A318" s="134" t="s">
        <v>1017</v>
      </c>
      <c r="B318" s="135" t="s">
        <v>213</v>
      </c>
      <c r="C318" s="270" t="s">
        <v>1018</v>
      </c>
      <c r="D318" s="271"/>
      <c r="E318" s="135" t="s">
        <v>59</v>
      </c>
      <c r="F318" s="131">
        <v>15</v>
      </c>
      <c r="G318" s="179">
        <v>0</v>
      </c>
      <c r="H318" s="131">
        <f>F318*AO318</f>
        <v>0</v>
      </c>
      <c r="I318" s="131">
        <f>F318*AP318</f>
        <v>0</v>
      </c>
      <c r="J318" s="131">
        <f>F318*G318</f>
        <v>0</v>
      </c>
      <c r="K318" s="136" t="s">
        <v>60</v>
      </c>
      <c r="Z318" s="131">
        <f>IF(AQ318="5",BJ318,0)</f>
        <v>0</v>
      </c>
      <c r="AB318" s="131">
        <f>IF(AQ318="1",BH318,0)</f>
        <v>0</v>
      </c>
      <c r="AC318" s="131">
        <f>IF(AQ318="1",BI318,0)</f>
        <v>0</v>
      </c>
      <c r="AD318" s="131">
        <f>IF(AQ318="7",BH318,0)</f>
        <v>0</v>
      </c>
      <c r="AE318" s="131">
        <f>IF(AQ318="7",BI318,0)</f>
        <v>0</v>
      </c>
      <c r="AF318" s="131">
        <f>IF(AQ318="2",BH318,0)</f>
        <v>0</v>
      </c>
      <c r="AG318" s="131">
        <f>IF(AQ318="2",BI318,0)</f>
        <v>0</v>
      </c>
      <c r="AH318" s="131">
        <f>IF(AQ318="0",BJ318,0)</f>
        <v>0</v>
      </c>
      <c r="AI318" s="115" t="s">
        <v>976</v>
      </c>
      <c r="AJ318" s="131">
        <f>IF(AN318=0,J318,0)</f>
        <v>0</v>
      </c>
      <c r="AK318" s="131">
        <f>IF(AN318=12,J318,0)</f>
        <v>0</v>
      </c>
      <c r="AL318" s="131">
        <f>IF(AN318=21,J318,0)</f>
        <v>0</v>
      </c>
      <c r="AN318" s="131">
        <v>21</v>
      </c>
      <c r="AO318" s="131">
        <f>G318*0.910397112</f>
        <v>0</v>
      </c>
      <c r="AP318" s="131">
        <f>G318*(1-0.910397112)</f>
        <v>0</v>
      </c>
      <c r="AQ318" s="132" t="s">
        <v>56</v>
      </c>
      <c r="AV318" s="131">
        <f>AW318+AX318</f>
        <v>0</v>
      </c>
      <c r="AW318" s="131">
        <f>F318*AO318</f>
        <v>0</v>
      </c>
      <c r="AX318" s="131">
        <f>F318*AP318</f>
        <v>0</v>
      </c>
      <c r="AY318" s="132" t="s">
        <v>211</v>
      </c>
      <c r="AZ318" s="132" t="s">
        <v>1009</v>
      </c>
      <c r="BA318" s="115" t="s">
        <v>979</v>
      </c>
      <c r="BC318" s="131">
        <f>AW318+AX318</f>
        <v>0</v>
      </c>
      <c r="BD318" s="131">
        <f>G318/(100-BE318)*100</f>
        <v>0</v>
      </c>
      <c r="BE318" s="131">
        <v>0</v>
      </c>
      <c r="BF318" s="131">
        <f>318</f>
        <v>318</v>
      </c>
      <c r="BH318" s="131">
        <f>F318*AO318</f>
        <v>0</v>
      </c>
      <c r="BI318" s="131">
        <f>F318*AP318</f>
        <v>0</v>
      </c>
      <c r="BJ318" s="131">
        <f>F318*G318</f>
        <v>0</v>
      </c>
      <c r="BK318" s="131"/>
      <c r="BL318" s="131">
        <v>57</v>
      </c>
      <c r="BW318" s="131">
        <v>21</v>
      </c>
      <c r="BX318" s="133" t="s">
        <v>1018</v>
      </c>
    </row>
    <row r="319" spans="1:76" x14ac:dyDescent="0.25">
      <c r="A319" s="123" t="s">
        <v>53</v>
      </c>
      <c r="B319" s="124" t="s">
        <v>373</v>
      </c>
      <c r="C319" s="272" t="s">
        <v>798</v>
      </c>
      <c r="D319" s="273"/>
      <c r="E319" s="125" t="s">
        <v>9</v>
      </c>
      <c r="F319" s="125" t="s">
        <v>9</v>
      </c>
      <c r="G319" s="125" t="s">
        <v>9</v>
      </c>
      <c r="H319" s="110">
        <f>SUM(H320:H321)</f>
        <v>0</v>
      </c>
      <c r="I319" s="110">
        <f>SUM(I320:I321)</f>
        <v>0</v>
      </c>
      <c r="J319" s="110">
        <f>SUM(J320:J321)</f>
        <v>0</v>
      </c>
      <c r="K319" s="126" t="s">
        <v>53</v>
      </c>
      <c r="AI319" s="115" t="s">
        <v>976</v>
      </c>
      <c r="AS319" s="110">
        <f>SUM(AJ320:AJ321)</f>
        <v>0</v>
      </c>
      <c r="AT319" s="110">
        <f>SUM(AK320:AK321)</f>
        <v>0</v>
      </c>
      <c r="AU319" s="110">
        <f>SUM(AL320:AL321)</f>
        <v>0</v>
      </c>
    </row>
    <row r="320" spans="1:76" x14ac:dyDescent="0.25">
      <c r="A320" s="134" t="s">
        <v>1019</v>
      </c>
      <c r="B320" s="135" t="s">
        <v>799</v>
      </c>
      <c r="C320" s="270" t="s">
        <v>932</v>
      </c>
      <c r="D320" s="271"/>
      <c r="E320" s="135" t="s">
        <v>67</v>
      </c>
      <c r="F320" s="131">
        <v>109</v>
      </c>
      <c r="G320" s="179">
        <v>0</v>
      </c>
      <c r="H320" s="131">
        <f>F320*AO320</f>
        <v>0</v>
      </c>
      <c r="I320" s="131">
        <f>F320*AP320</f>
        <v>0</v>
      </c>
      <c r="J320" s="131">
        <f>F320*G320</f>
        <v>0</v>
      </c>
      <c r="K320" s="136" t="s">
        <v>60</v>
      </c>
      <c r="Z320" s="131">
        <f>IF(AQ320="5",BJ320,0)</f>
        <v>0</v>
      </c>
      <c r="AB320" s="131">
        <f>IF(AQ320="1",BH320,0)</f>
        <v>0</v>
      </c>
      <c r="AC320" s="131">
        <f>IF(AQ320="1",BI320,0)</f>
        <v>0</v>
      </c>
      <c r="AD320" s="131">
        <f>IF(AQ320="7",BH320,0)</f>
        <v>0</v>
      </c>
      <c r="AE320" s="131">
        <f>IF(AQ320="7",BI320,0)</f>
        <v>0</v>
      </c>
      <c r="AF320" s="131">
        <f>IF(AQ320="2",BH320,0)</f>
        <v>0</v>
      </c>
      <c r="AG320" s="131">
        <f>IF(AQ320="2",BI320,0)</f>
        <v>0</v>
      </c>
      <c r="AH320" s="131">
        <f>IF(AQ320="0",BJ320,0)</f>
        <v>0</v>
      </c>
      <c r="AI320" s="115" t="s">
        <v>976</v>
      </c>
      <c r="AJ320" s="131">
        <f>IF(AN320=0,J320,0)</f>
        <v>0</v>
      </c>
      <c r="AK320" s="131">
        <f>IF(AN320=12,J320,0)</f>
        <v>0</v>
      </c>
      <c r="AL320" s="131">
        <f>IF(AN320=21,J320,0)</f>
        <v>0</v>
      </c>
      <c r="AN320" s="131">
        <v>21</v>
      </c>
      <c r="AO320" s="131">
        <f>G320*0.007439446</f>
        <v>0</v>
      </c>
      <c r="AP320" s="131">
        <f>G320*(1-0.007439446)</f>
        <v>0</v>
      </c>
      <c r="AQ320" s="132" t="s">
        <v>56</v>
      </c>
      <c r="AV320" s="131">
        <f>AW320+AX320</f>
        <v>0</v>
      </c>
      <c r="AW320" s="131">
        <f>F320*AO320</f>
        <v>0</v>
      </c>
      <c r="AX320" s="131">
        <f>F320*AP320</f>
        <v>0</v>
      </c>
      <c r="AY320" s="132" t="s">
        <v>801</v>
      </c>
      <c r="AZ320" s="132" t="s">
        <v>1020</v>
      </c>
      <c r="BA320" s="115" t="s">
        <v>979</v>
      </c>
      <c r="BC320" s="131">
        <f>AW320+AX320</f>
        <v>0</v>
      </c>
      <c r="BD320" s="131">
        <f>G320/(100-BE320)*100</f>
        <v>0</v>
      </c>
      <c r="BE320" s="131">
        <v>0</v>
      </c>
      <c r="BF320" s="131">
        <f>320</f>
        <v>320</v>
      </c>
      <c r="BH320" s="131">
        <f>F320*AO320</f>
        <v>0</v>
      </c>
      <c r="BI320" s="131">
        <f>F320*AP320</f>
        <v>0</v>
      </c>
      <c r="BJ320" s="131">
        <f>F320*G320</f>
        <v>0</v>
      </c>
      <c r="BK320" s="131"/>
      <c r="BL320" s="131">
        <v>87</v>
      </c>
      <c r="BW320" s="131">
        <v>21</v>
      </c>
      <c r="BX320" s="133" t="s">
        <v>932</v>
      </c>
    </row>
    <row r="321" spans="1:76" x14ac:dyDescent="0.25">
      <c r="A321" s="134" t="s">
        <v>1021</v>
      </c>
      <c r="B321" s="135" t="s">
        <v>803</v>
      </c>
      <c r="C321" s="270" t="s">
        <v>935</v>
      </c>
      <c r="D321" s="271"/>
      <c r="E321" s="135" t="s">
        <v>164</v>
      </c>
      <c r="F321" s="131">
        <v>5</v>
      </c>
      <c r="G321" s="179">
        <v>0</v>
      </c>
      <c r="H321" s="131">
        <f>F321*AO321</f>
        <v>0</v>
      </c>
      <c r="I321" s="131">
        <f>F321*AP321</f>
        <v>0</v>
      </c>
      <c r="J321" s="131">
        <f>F321*G321</f>
        <v>0</v>
      </c>
      <c r="K321" s="136" t="s">
        <v>60</v>
      </c>
      <c r="Z321" s="131">
        <f>IF(AQ321="5",BJ321,0)</f>
        <v>0</v>
      </c>
      <c r="AB321" s="131">
        <f>IF(AQ321="1",BH321,0)</f>
        <v>0</v>
      </c>
      <c r="AC321" s="131">
        <f>IF(AQ321="1",BI321,0)</f>
        <v>0</v>
      </c>
      <c r="AD321" s="131">
        <f>IF(AQ321="7",BH321,0)</f>
        <v>0</v>
      </c>
      <c r="AE321" s="131">
        <f>IF(AQ321="7",BI321,0)</f>
        <v>0</v>
      </c>
      <c r="AF321" s="131">
        <f>IF(AQ321="2",BH321,0)</f>
        <v>0</v>
      </c>
      <c r="AG321" s="131">
        <f>IF(AQ321="2",BI321,0)</f>
        <v>0</v>
      </c>
      <c r="AH321" s="131">
        <f>IF(AQ321="0",BJ321,0)</f>
        <v>0</v>
      </c>
      <c r="AI321" s="115" t="s">
        <v>976</v>
      </c>
      <c r="AJ321" s="131">
        <f>IF(AN321=0,J321,0)</f>
        <v>0</v>
      </c>
      <c r="AK321" s="131">
        <f>IF(AN321=12,J321,0)</f>
        <v>0</v>
      </c>
      <c r="AL321" s="131">
        <f>IF(AN321=21,J321,0)</f>
        <v>0</v>
      </c>
      <c r="AN321" s="131">
        <v>21</v>
      </c>
      <c r="AO321" s="131">
        <f>G321*0.010466102</f>
        <v>0</v>
      </c>
      <c r="AP321" s="131">
        <f>G321*(1-0.010466102)</f>
        <v>0</v>
      </c>
      <c r="AQ321" s="132" t="s">
        <v>56</v>
      </c>
      <c r="AV321" s="131">
        <f>AW321+AX321</f>
        <v>0</v>
      </c>
      <c r="AW321" s="131">
        <f>F321*AO321</f>
        <v>0</v>
      </c>
      <c r="AX321" s="131">
        <f>F321*AP321</f>
        <v>0</v>
      </c>
      <c r="AY321" s="132" t="s">
        <v>801</v>
      </c>
      <c r="AZ321" s="132" t="s">
        <v>1020</v>
      </c>
      <c r="BA321" s="115" t="s">
        <v>979</v>
      </c>
      <c r="BC321" s="131">
        <f>AW321+AX321</f>
        <v>0</v>
      </c>
      <c r="BD321" s="131">
        <f>G321/(100-BE321)*100</f>
        <v>0</v>
      </c>
      <c r="BE321" s="131">
        <v>0</v>
      </c>
      <c r="BF321" s="131">
        <f>321</f>
        <v>321</v>
      </c>
      <c r="BH321" s="131">
        <f>F321*AO321</f>
        <v>0</v>
      </c>
      <c r="BI321" s="131">
        <f>F321*AP321</f>
        <v>0</v>
      </c>
      <c r="BJ321" s="131">
        <f>F321*G321</f>
        <v>0</v>
      </c>
      <c r="BK321" s="131"/>
      <c r="BL321" s="131">
        <v>87</v>
      </c>
      <c r="BW321" s="131">
        <v>21</v>
      </c>
      <c r="BX321" s="133" t="s">
        <v>935</v>
      </c>
    </row>
    <row r="322" spans="1:76" x14ac:dyDescent="0.25">
      <c r="A322" s="123" t="s">
        <v>53</v>
      </c>
      <c r="B322" s="124" t="s">
        <v>255</v>
      </c>
      <c r="C322" s="272" t="s">
        <v>715</v>
      </c>
      <c r="D322" s="273"/>
      <c r="E322" s="125" t="s">
        <v>9</v>
      </c>
      <c r="F322" s="125" t="s">
        <v>9</v>
      </c>
      <c r="G322" s="125" t="s">
        <v>9</v>
      </c>
      <c r="H322" s="110">
        <f>SUM(H323:H329)</f>
        <v>0</v>
      </c>
      <c r="I322" s="110">
        <f>SUM(I323:I329)</f>
        <v>0</v>
      </c>
      <c r="J322" s="110">
        <f>SUM(J323:J329)</f>
        <v>0</v>
      </c>
      <c r="K322" s="126" t="s">
        <v>53</v>
      </c>
      <c r="AI322" s="115" t="s">
        <v>976</v>
      </c>
      <c r="AS322" s="110">
        <f>SUM(AJ323:AJ329)</f>
        <v>0</v>
      </c>
      <c r="AT322" s="110">
        <f>SUM(AK323:AK329)</f>
        <v>0</v>
      </c>
      <c r="AU322" s="110">
        <f>SUM(AL323:AL329)</f>
        <v>0</v>
      </c>
    </row>
    <row r="323" spans="1:76" x14ac:dyDescent="0.25">
      <c r="A323" s="134" t="s">
        <v>1022</v>
      </c>
      <c r="B323" s="135" t="s">
        <v>937</v>
      </c>
      <c r="C323" s="270" t="s">
        <v>938</v>
      </c>
      <c r="D323" s="271"/>
      <c r="E323" s="135" t="s">
        <v>164</v>
      </c>
      <c r="F323" s="131">
        <v>4</v>
      </c>
      <c r="G323" s="179">
        <v>0</v>
      </c>
      <c r="H323" s="131">
        <f t="shared" ref="H323:H329" si="254">F323*AO323</f>
        <v>0</v>
      </c>
      <c r="I323" s="131">
        <f t="shared" ref="I323:I329" si="255">F323*AP323</f>
        <v>0</v>
      </c>
      <c r="J323" s="131">
        <f t="shared" ref="J323:J329" si="256">F323*G323</f>
        <v>0</v>
      </c>
      <c r="K323" s="136" t="s">
        <v>939</v>
      </c>
      <c r="Z323" s="131">
        <f t="shared" ref="Z323:Z329" si="257">IF(AQ323="5",BJ323,0)</f>
        <v>0</v>
      </c>
      <c r="AB323" s="131">
        <f t="shared" ref="AB323:AB329" si="258">IF(AQ323="1",BH323,0)</f>
        <v>0</v>
      </c>
      <c r="AC323" s="131">
        <f t="shared" ref="AC323:AC329" si="259">IF(AQ323="1",BI323,0)</f>
        <v>0</v>
      </c>
      <c r="AD323" s="131">
        <f t="shared" ref="AD323:AD329" si="260">IF(AQ323="7",BH323,0)</f>
        <v>0</v>
      </c>
      <c r="AE323" s="131">
        <f t="shared" ref="AE323:AE329" si="261">IF(AQ323="7",BI323,0)</f>
        <v>0</v>
      </c>
      <c r="AF323" s="131">
        <f t="shared" ref="AF323:AF329" si="262">IF(AQ323="2",BH323,0)</f>
        <v>0</v>
      </c>
      <c r="AG323" s="131">
        <f t="shared" ref="AG323:AG329" si="263">IF(AQ323="2",BI323,0)</f>
        <v>0</v>
      </c>
      <c r="AH323" s="131">
        <f t="shared" ref="AH323:AH329" si="264">IF(AQ323="0",BJ323,0)</f>
        <v>0</v>
      </c>
      <c r="AI323" s="115" t="s">
        <v>976</v>
      </c>
      <c r="AJ323" s="131">
        <f t="shared" ref="AJ323:AJ329" si="265">IF(AN323=0,J323,0)</f>
        <v>0</v>
      </c>
      <c r="AK323" s="131">
        <f t="shared" ref="AK323:AK329" si="266">IF(AN323=12,J323,0)</f>
        <v>0</v>
      </c>
      <c r="AL323" s="131">
        <f t="shared" ref="AL323:AL329" si="267">IF(AN323=21,J323,0)</f>
        <v>0</v>
      </c>
      <c r="AN323" s="131">
        <v>21</v>
      </c>
      <c r="AO323" s="131">
        <f>G323*0</f>
        <v>0</v>
      </c>
      <c r="AP323" s="131">
        <f>G323*(1-0)</f>
        <v>0</v>
      </c>
      <c r="AQ323" s="132" t="s">
        <v>56</v>
      </c>
      <c r="AV323" s="131">
        <f t="shared" ref="AV323:AV329" si="268">AW323+AX323</f>
        <v>0</v>
      </c>
      <c r="AW323" s="131">
        <f t="shared" ref="AW323:AW329" si="269">F323*AO323</f>
        <v>0</v>
      </c>
      <c r="AX323" s="131">
        <f t="shared" ref="AX323:AX329" si="270">F323*AP323</f>
        <v>0</v>
      </c>
      <c r="AY323" s="132" t="s">
        <v>260</v>
      </c>
      <c r="AZ323" s="132" t="s">
        <v>1020</v>
      </c>
      <c r="BA323" s="115" t="s">
        <v>979</v>
      </c>
      <c r="BC323" s="131">
        <f t="shared" ref="BC323:BC329" si="271">AW323+AX323</f>
        <v>0</v>
      </c>
      <c r="BD323" s="131">
        <f t="shared" ref="BD323:BD329" si="272">G323/(100-BE323)*100</f>
        <v>0</v>
      </c>
      <c r="BE323" s="131">
        <v>0</v>
      </c>
      <c r="BF323" s="131">
        <f>323</f>
        <v>323</v>
      </c>
      <c r="BH323" s="131">
        <f t="shared" ref="BH323:BH329" si="273">F323*AO323</f>
        <v>0</v>
      </c>
      <c r="BI323" s="131">
        <f t="shared" ref="BI323:BI329" si="274">F323*AP323</f>
        <v>0</v>
      </c>
      <c r="BJ323" s="131">
        <f t="shared" ref="BJ323:BJ329" si="275">F323*G323</f>
        <v>0</v>
      </c>
      <c r="BK323" s="131"/>
      <c r="BL323" s="131">
        <v>89</v>
      </c>
      <c r="BW323" s="131">
        <v>21</v>
      </c>
      <c r="BX323" s="133" t="s">
        <v>938</v>
      </c>
    </row>
    <row r="324" spans="1:76" x14ac:dyDescent="0.25">
      <c r="A324" s="134" t="s">
        <v>1023</v>
      </c>
      <c r="B324" s="135" t="s">
        <v>721</v>
      </c>
      <c r="C324" s="270" t="s">
        <v>722</v>
      </c>
      <c r="D324" s="271"/>
      <c r="E324" s="135" t="s">
        <v>164</v>
      </c>
      <c r="F324" s="131">
        <v>1</v>
      </c>
      <c r="G324" s="179">
        <v>0</v>
      </c>
      <c r="H324" s="131">
        <f t="shared" si="254"/>
        <v>0</v>
      </c>
      <c r="I324" s="131">
        <f t="shared" si="255"/>
        <v>0</v>
      </c>
      <c r="J324" s="131">
        <f t="shared" si="256"/>
        <v>0</v>
      </c>
      <c r="K324" s="136" t="s">
        <v>60</v>
      </c>
      <c r="Z324" s="131">
        <f t="shared" si="257"/>
        <v>0</v>
      </c>
      <c r="AB324" s="131">
        <f t="shared" si="258"/>
        <v>0</v>
      </c>
      <c r="AC324" s="131">
        <f t="shared" si="259"/>
        <v>0</v>
      </c>
      <c r="AD324" s="131">
        <f t="shared" si="260"/>
        <v>0</v>
      </c>
      <c r="AE324" s="131">
        <f t="shared" si="261"/>
        <v>0</v>
      </c>
      <c r="AF324" s="131">
        <f t="shared" si="262"/>
        <v>0</v>
      </c>
      <c r="AG324" s="131">
        <f t="shared" si="263"/>
        <v>0</v>
      </c>
      <c r="AH324" s="131">
        <f t="shared" si="264"/>
        <v>0</v>
      </c>
      <c r="AI324" s="115" t="s">
        <v>976</v>
      </c>
      <c r="AJ324" s="131">
        <f t="shared" si="265"/>
        <v>0</v>
      </c>
      <c r="AK324" s="131">
        <f t="shared" si="266"/>
        <v>0</v>
      </c>
      <c r="AL324" s="131">
        <f t="shared" si="267"/>
        <v>0</v>
      </c>
      <c r="AN324" s="131">
        <v>21</v>
      </c>
      <c r="AO324" s="131">
        <f>G324*0</f>
        <v>0</v>
      </c>
      <c r="AP324" s="131">
        <f>G324*(1-0)</f>
        <v>0</v>
      </c>
      <c r="AQ324" s="132" t="s">
        <v>56</v>
      </c>
      <c r="AV324" s="131">
        <f t="shared" si="268"/>
        <v>0</v>
      </c>
      <c r="AW324" s="131">
        <f t="shared" si="269"/>
        <v>0</v>
      </c>
      <c r="AX324" s="131">
        <f t="shared" si="270"/>
        <v>0</v>
      </c>
      <c r="AY324" s="132" t="s">
        <v>260</v>
      </c>
      <c r="AZ324" s="132" t="s">
        <v>1020</v>
      </c>
      <c r="BA324" s="115" t="s">
        <v>979</v>
      </c>
      <c r="BC324" s="131">
        <f t="shared" si="271"/>
        <v>0</v>
      </c>
      <c r="BD324" s="131">
        <f t="shared" si="272"/>
        <v>0</v>
      </c>
      <c r="BE324" s="131">
        <v>0</v>
      </c>
      <c r="BF324" s="131">
        <f>324</f>
        <v>324</v>
      </c>
      <c r="BH324" s="131">
        <f t="shared" si="273"/>
        <v>0</v>
      </c>
      <c r="BI324" s="131">
        <f t="shared" si="274"/>
        <v>0</v>
      </c>
      <c r="BJ324" s="131">
        <f t="shared" si="275"/>
        <v>0</v>
      </c>
      <c r="BK324" s="131"/>
      <c r="BL324" s="131">
        <v>89</v>
      </c>
      <c r="BW324" s="131">
        <v>21</v>
      </c>
      <c r="BX324" s="133" t="s">
        <v>722</v>
      </c>
    </row>
    <row r="325" spans="1:76" x14ac:dyDescent="0.25">
      <c r="A325" s="134" t="s">
        <v>1024</v>
      </c>
      <c r="B325" s="135" t="s">
        <v>721</v>
      </c>
      <c r="C325" s="270" t="s">
        <v>805</v>
      </c>
      <c r="D325" s="271"/>
      <c r="E325" s="135" t="s">
        <v>164</v>
      </c>
      <c r="F325" s="131">
        <v>3</v>
      </c>
      <c r="G325" s="179">
        <v>0</v>
      </c>
      <c r="H325" s="131">
        <f t="shared" si="254"/>
        <v>0</v>
      </c>
      <c r="I325" s="131">
        <f t="shared" si="255"/>
        <v>0</v>
      </c>
      <c r="J325" s="131">
        <f t="shared" si="256"/>
        <v>0</v>
      </c>
      <c r="K325" s="136" t="s">
        <v>60</v>
      </c>
      <c r="Z325" s="131">
        <f t="shared" si="257"/>
        <v>0</v>
      </c>
      <c r="AB325" s="131">
        <f t="shared" si="258"/>
        <v>0</v>
      </c>
      <c r="AC325" s="131">
        <f t="shared" si="259"/>
        <v>0</v>
      </c>
      <c r="AD325" s="131">
        <f t="shared" si="260"/>
        <v>0</v>
      </c>
      <c r="AE325" s="131">
        <f t="shared" si="261"/>
        <v>0</v>
      </c>
      <c r="AF325" s="131">
        <f t="shared" si="262"/>
        <v>0</v>
      </c>
      <c r="AG325" s="131">
        <f t="shared" si="263"/>
        <v>0</v>
      </c>
      <c r="AH325" s="131">
        <f t="shared" si="264"/>
        <v>0</v>
      </c>
      <c r="AI325" s="115" t="s">
        <v>976</v>
      </c>
      <c r="AJ325" s="131">
        <f t="shared" si="265"/>
        <v>0</v>
      </c>
      <c r="AK325" s="131">
        <f t="shared" si="266"/>
        <v>0</v>
      </c>
      <c r="AL325" s="131">
        <f t="shared" si="267"/>
        <v>0</v>
      </c>
      <c r="AN325" s="131">
        <v>21</v>
      </c>
      <c r="AO325" s="131">
        <f>G325*0</f>
        <v>0</v>
      </c>
      <c r="AP325" s="131">
        <f>G325*(1-0)</f>
        <v>0</v>
      </c>
      <c r="AQ325" s="132" t="s">
        <v>56</v>
      </c>
      <c r="AV325" s="131">
        <f t="shared" si="268"/>
        <v>0</v>
      </c>
      <c r="AW325" s="131">
        <f t="shared" si="269"/>
        <v>0</v>
      </c>
      <c r="AX325" s="131">
        <f t="shared" si="270"/>
        <v>0</v>
      </c>
      <c r="AY325" s="132" t="s">
        <v>260</v>
      </c>
      <c r="AZ325" s="132" t="s">
        <v>1020</v>
      </c>
      <c r="BA325" s="115" t="s">
        <v>979</v>
      </c>
      <c r="BC325" s="131">
        <f t="shared" si="271"/>
        <v>0</v>
      </c>
      <c r="BD325" s="131">
        <f t="shared" si="272"/>
        <v>0</v>
      </c>
      <c r="BE325" s="131">
        <v>0</v>
      </c>
      <c r="BF325" s="131">
        <f>325</f>
        <v>325</v>
      </c>
      <c r="BH325" s="131">
        <f t="shared" si="273"/>
        <v>0</v>
      </c>
      <c r="BI325" s="131">
        <f t="shared" si="274"/>
        <v>0</v>
      </c>
      <c r="BJ325" s="131">
        <f t="shared" si="275"/>
        <v>0</v>
      </c>
      <c r="BK325" s="131"/>
      <c r="BL325" s="131">
        <v>89</v>
      </c>
      <c r="BW325" s="131">
        <v>21</v>
      </c>
      <c r="BX325" s="133" t="s">
        <v>805</v>
      </c>
    </row>
    <row r="326" spans="1:76" x14ac:dyDescent="0.25">
      <c r="A326" s="134" t="s">
        <v>1025</v>
      </c>
      <c r="B326" s="135" t="s">
        <v>806</v>
      </c>
      <c r="C326" s="270" t="s">
        <v>807</v>
      </c>
      <c r="D326" s="271"/>
      <c r="E326" s="135" t="s">
        <v>164</v>
      </c>
      <c r="F326" s="131">
        <v>4</v>
      </c>
      <c r="G326" s="179">
        <v>0</v>
      </c>
      <c r="H326" s="131">
        <f t="shared" si="254"/>
        <v>0</v>
      </c>
      <c r="I326" s="131">
        <f t="shared" si="255"/>
        <v>0</v>
      </c>
      <c r="J326" s="131">
        <f t="shared" si="256"/>
        <v>0</v>
      </c>
      <c r="K326" s="136" t="s">
        <v>60</v>
      </c>
      <c r="Z326" s="131">
        <f t="shared" si="257"/>
        <v>0</v>
      </c>
      <c r="AB326" s="131">
        <f t="shared" si="258"/>
        <v>0</v>
      </c>
      <c r="AC326" s="131">
        <f t="shared" si="259"/>
        <v>0</v>
      </c>
      <c r="AD326" s="131">
        <f t="shared" si="260"/>
        <v>0</v>
      </c>
      <c r="AE326" s="131">
        <f t="shared" si="261"/>
        <v>0</v>
      </c>
      <c r="AF326" s="131">
        <f t="shared" si="262"/>
        <v>0</v>
      </c>
      <c r="AG326" s="131">
        <f t="shared" si="263"/>
        <v>0</v>
      </c>
      <c r="AH326" s="131">
        <f t="shared" si="264"/>
        <v>0</v>
      </c>
      <c r="AI326" s="115" t="s">
        <v>976</v>
      </c>
      <c r="AJ326" s="131">
        <f t="shared" si="265"/>
        <v>0</v>
      </c>
      <c r="AK326" s="131">
        <f t="shared" si="266"/>
        <v>0</v>
      </c>
      <c r="AL326" s="131">
        <f t="shared" si="267"/>
        <v>0</v>
      </c>
      <c r="AN326" s="131">
        <v>21</v>
      </c>
      <c r="AO326" s="131">
        <f>G326*0</f>
        <v>0</v>
      </c>
      <c r="AP326" s="131">
        <f>G326*(1-0)</f>
        <v>0</v>
      </c>
      <c r="AQ326" s="132" t="s">
        <v>56</v>
      </c>
      <c r="AV326" s="131">
        <f t="shared" si="268"/>
        <v>0</v>
      </c>
      <c r="AW326" s="131">
        <f t="shared" si="269"/>
        <v>0</v>
      </c>
      <c r="AX326" s="131">
        <f t="shared" si="270"/>
        <v>0</v>
      </c>
      <c r="AY326" s="132" t="s">
        <v>260</v>
      </c>
      <c r="AZ326" s="132" t="s">
        <v>1020</v>
      </c>
      <c r="BA326" s="115" t="s">
        <v>979</v>
      </c>
      <c r="BC326" s="131">
        <f t="shared" si="271"/>
        <v>0</v>
      </c>
      <c r="BD326" s="131">
        <f t="shared" si="272"/>
        <v>0</v>
      </c>
      <c r="BE326" s="131">
        <v>0</v>
      </c>
      <c r="BF326" s="131">
        <f>326</f>
        <v>326</v>
      </c>
      <c r="BH326" s="131">
        <f t="shared" si="273"/>
        <v>0</v>
      </c>
      <c r="BI326" s="131">
        <f t="shared" si="274"/>
        <v>0</v>
      </c>
      <c r="BJ326" s="131">
        <f t="shared" si="275"/>
        <v>0</v>
      </c>
      <c r="BK326" s="131"/>
      <c r="BL326" s="131">
        <v>89</v>
      </c>
      <c r="BW326" s="131">
        <v>21</v>
      </c>
      <c r="BX326" s="133" t="s">
        <v>807</v>
      </c>
    </row>
    <row r="327" spans="1:76" x14ac:dyDescent="0.25">
      <c r="A327" s="134" t="s">
        <v>1026</v>
      </c>
      <c r="B327" s="135" t="s">
        <v>942</v>
      </c>
      <c r="C327" s="270" t="s">
        <v>943</v>
      </c>
      <c r="D327" s="271"/>
      <c r="E327" s="135" t="s">
        <v>164</v>
      </c>
      <c r="F327" s="131">
        <v>4</v>
      </c>
      <c r="G327" s="179">
        <v>0</v>
      </c>
      <c r="H327" s="131">
        <f t="shared" si="254"/>
        <v>0</v>
      </c>
      <c r="I327" s="131">
        <f t="shared" si="255"/>
        <v>0</v>
      </c>
      <c r="J327" s="131">
        <f t="shared" si="256"/>
        <v>0</v>
      </c>
      <c r="K327" s="136" t="s">
        <v>60</v>
      </c>
      <c r="Z327" s="131">
        <f t="shared" si="257"/>
        <v>0</v>
      </c>
      <c r="AB327" s="131">
        <f t="shared" si="258"/>
        <v>0</v>
      </c>
      <c r="AC327" s="131">
        <f t="shared" si="259"/>
        <v>0</v>
      </c>
      <c r="AD327" s="131">
        <f t="shared" si="260"/>
        <v>0</v>
      </c>
      <c r="AE327" s="131">
        <f t="shared" si="261"/>
        <v>0</v>
      </c>
      <c r="AF327" s="131">
        <f t="shared" si="262"/>
        <v>0</v>
      </c>
      <c r="AG327" s="131">
        <f t="shared" si="263"/>
        <v>0</v>
      </c>
      <c r="AH327" s="131">
        <f t="shared" si="264"/>
        <v>0</v>
      </c>
      <c r="AI327" s="115" t="s">
        <v>976</v>
      </c>
      <c r="AJ327" s="131">
        <f t="shared" si="265"/>
        <v>0</v>
      </c>
      <c r="AK327" s="131">
        <f t="shared" si="266"/>
        <v>0</v>
      </c>
      <c r="AL327" s="131">
        <f t="shared" si="267"/>
        <v>0</v>
      </c>
      <c r="AN327" s="131">
        <v>21</v>
      </c>
      <c r="AO327" s="131">
        <f>G327*0.017492087</f>
        <v>0</v>
      </c>
      <c r="AP327" s="131">
        <f>G327*(1-0.017492087)</f>
        <v>0</v>
      </c>
      <c r="AQ327" s="132" t="s">
        <v>56</v>
      </c>
      <c r="AV327" s="131">
        <f t="shared" si="268"/>
        <v>0</v>
      </c>
      <c r="AW327" s="131">
        <f t="shared" si="269"/>
        <v>0</v>
      </c>
      <c r="AX327" s="131">
        <f t="shared" si="270"/>
        <v>0</v>
      </c>
      <c r="AY327" s="132" t="s">
        <v>260</v>
      </c>
      <c r="AZ327" s="132" t="s">
        <v>1020</v>
      </c>
      <c r="BA327" s="115" t="s">
        <v>979</v>
      </c>
      <c r="BC327" s="131">
        <f t="shared" si="271"/>
        <v>0</v>
      </c>
      <c r="BD327" s="131">
        <f t="shared" si="272"/>
        <v>0</v>
      </c>
      <c r="BE327" s="131">
        <v>0</v>
      </c>
      <c r="BF327" s="131">
        <f>327</f>
        <v>327</v>
      </c>
      <c r="BH327" s="131">
        <f t="shared" si="273"/>
        <v>0</v>
      </c>
      <c r="BI327" s="131">
        <f t="shared" si="274"/>
        <v>0</v>
      </c>
      <c r="BJ327" s="131">
        <f t="shared" si="275"/>
        <v>0</v>
      </c>
      <c r="BK327" s="131"/>
      <c r="BL327" s="131">
        <v>89</v>
      </c>
      <c r="BW327" s="131">
        <v>21</v>
      </c>
      <c r="BX327" s="133" t="s">
        <v>943</v>
      </c>
    </row>
    <row r="328" spans="1:76" x14ac:dyDescent="0.25">
      <c r="A328" s="134" t="s">
        <v>1027</v>
      </c>
      <c r="B328" s="135" t="s">
        <v>723</v>
      </c>
      <c r="C328" s="270" t="s">
        <v>724</v>
      </c>
      <c r="D328" s="271"/>
      <c r="E328" s="135" t="s">
        <v>164</v>
      </c>
      <c r="F328" s="131">
        <v>7</v>
      </c>
      <c r="G328" s="179">
        <v>0</v>
      </c>
      <c r="H328" s="131">
        <f t="shared" si="254"/>
        <v>0</v>
      </c>
      <c r="I328" s="131">
        <f t="shared" si="255"/>
        <v>0</v>
      </c>
      <c r="J328" s="131">
        <f t="shared" si="256"/>
        <v>0</v>
      </c>
      <c r="K328" s="136" t="s">
        <v>60</v>
      </c>
      <c r="Z328" s="131">
        <f t="shared" si="257"/>
        <v>0</v>
      </c>
      <c r="AB328" s="131">
        <f t="shared" si="258"/>
        <v>0</v>
      </c>
      <c r="AC328" s="131">
        <f t="shared" si="259"/>
        <v>0</v>
      </c>
      <c r="AD328" s="131">
        <f t="shared" si="260"/>
        <v>0</v>
      </c>
      <c r="AE328" s="131">
        <f t="shared" si="261"/>
        <v>0</v>
      </c>
      <c r="AF328" s="131">
        <f t="shared" si="262"/>
        <v>0</v>
      </c>
      <c r="AG328" s="131">
        <f t="shared" si="263"/>
        <v>0</v>
      </c>
      <c r="AH328" s="131">
        <f t="shared" si="264"/>
        <v>0</v>
      </c>
      <c r="AI328" s="115" t="s">
        <v>976</v>
      </c>
      <c r="AJ328" s="131">
        <f t="shared" si="265"/>
        <v>0</v>
      </c>
      <c r="AK328" s="131">
        <f t="shared" si="266"/>
        <v>0</v>
      </c>
      <c r="AL328" s="131">
        <f t="shared" si="267"/>
        <v>0</v>
      </c>
      <c r="AN328" s="131">
        <v>21</v>
      </c>
      <c r="AO328" s="131">
        <f>G328*0</f>
        <v>0</v>
      </c>
      <c r="AP328" s="131">
        <f>G328*(1-0)</f>
        <v>0</v>
      </c>
      <c r="AQ328" s="132" t="s">
        <v>56</v>
      </c>
      <c r="AV328" s="131">
        <f t="shared" si="268"/>
        <v>0</v>
      </c>
      <c r="AW328" s="131">
        <f t="shared" si="269"/>
        <v>0</v>
      </c>
      <c r="AX328" s="131">
        <f t="shared" si="270"/>
        <v>0</v>
      </c>
      <c r="AY328" s="132" t="s">
        <v>260</v>
      </c>
      <c r="AZ328" s="132" t="s">
        <v>1020</v>
      </c>
      <c r="BA328" s="115" t="s">
        <v>979</v>
      </c>
      <c r="BC328" s="131">
        <f t="shared" si="271"/>
        <v>0</v>
      </c>
      <c r="BD328" s="131">
        <f t="shared" si="272"/>
        <v>0</v>
      </c>
      <c r="BE328" s="131">
        <v>0</v>
      </c>
      <c r="BF328" s="131">
        <f>328</f>
        <v>328</v>
      </c>
      <c r="BH328" s="131">
        <f t="shared" si="273"/>
        <v>0</v>
      </c>
      <c r="BI328" s="131">
        <f t="shared" si="274"/>
        <v>0</v>
      </c>
      <c r="BJ328" s="131">
        <f t="shared" si="275"/>
        <v>0</v>
      </c>
      <c r="BK328" s="131"/>
      <c r="BL328" s="131">
        <v>89</v>
      </c>
      <c r="BW328" s="131">
        <v>21</v>
      </c>
      <c r="BX328" s="133" t="s">
        <v>724</v>
      </c>
    </row>
    <row r="329" spans="1:76" x14ac:dyDescent="0.25">
      <c r="A329" s="134" t="s">
        <v>1028</v>
      </c>
      <c r="B329" s="135" t="s">
        <v>946</v>
      </c>
      <c r="C329" s="270" t="s">
        <v>947</v>
      </c>
      <c r="D329" s="271"/>
      <c r="E329" s="135" t="s">
        <v>948</v>
      </c>
      <c r="F329" s="131">
        <v>3</v>
      </c>
      <c r="G329" s="179">
        <v>0</v>
      </c>
      <c r="H329" s="131">
        <f t="shared" si="254"/>
        <v>0</v>
      </c>
      <c r="I329" s="131">
        <f t="shared" si="255"/>
        <v>0</v>
      </c>
      <c r="J329" s="131">
        <f t="shared" si="256"/>
        <v>0</v>
      </c>
      <c r="K329" s="136" t="s">
        <v>60</v>
      </c>
      <c r="Z329" s="131">
        <f t="shared" si="257"/>
        <v>0</v>
      </c>
      <c r="AB329" s="131">
        <f t="shared" si="258"/>
        <v>0</v>
      </c>
      <c r="AC329" s="131">
        <f t="shared" si="259"/>
        <v>0</v>
      </c>
      <c r="AD329" s="131">
        <f t="shared" si="260"/>
        <v>0</v>
      </c>
      <c r="AE329" s="131">
        <f t="shared" si="261"/>
        <v>0</v>
      </c>
      <c r="AF329" s="131">
        <f t="shared" si="262"/>
        <v>0</v>
      </c>
      <c r="AG329" s="131">
        <f t="shared" si="263"/>
        <v>0</v>
      </c>
      <c r="AH329" s="131">
        <f t="shared" si="264"/>
        <v>0</v>
      </c>
      <c r="AI329" s="115" t="s">
        <v>976</v>
      </c>
      <c r="AJ329" s="131">
        <f t="shared" si="265"/>
        <v>0</v>
      </c>
      <c r="AK329" s="131">
        <f t="shared" si="266"/>
        <v>0</v>
      </c>
      <c r="AL329" s="131">
        <f t="shared" si="267"/>
        <v>0</v>
      </c>
      <c r="AN329" s="131">
        <v>21</v>
      </c>
      <c r="AO329" s="131">
        <f>G329*0.283677778</f>
        <v>0</v>
      </c>
      <c r="AP329" s="131">
        <f>G329*(1-0.283677778)</f>
        <v>0</v>
      </c>
      <c r="AQ329" s="132" t="s">
        <v>56</v>
      </c>
      <c r="AV329" s="131">
        <f t="shared" si="268"/>
        <v>0</v>
      </c>
      <c r="AW329" s="131">
        <f t="shared" si="269"/>
        <v>0</v>
      </c>
      <c r="AX329" s="131">
        <f t="shared" si="270"/>
        <v>0</v>
      </c>
      <c r="AY329" s="132" t="s">
        <v>260</v>
      </c>
      <c r="AZ329" s="132" t="s">
        <v>1020</v>
      </c>
      <c r="BA329" s="115" t="s">
        <v>979</v>
      </c>
      <c r="BC329" s="131">
        <f t="shared" si="271"/>
        <v>0</v>
      </c>
      <c r="BD329" s="131">
        <f t="shared" si="272"/>
        <v>0</v>
      </c>
      <c r="BE329" s="131">
        <v>0</v>
      </c>
      <c r="BF329" s="131">
        <f>329</f>
        <v>329</v>
      </c>
      <c r="BH329" s="131">
        <f t="shared" si="273"/>
        <v>0</v>
      </c>
      <c r="BI329" s="131">
        <f t="shared" si="274"/>
        <v>0</v>
      </c>
      <c r="BJ329" s="131">
        <f t="shared" si="275"/>
        <v>0</v>
      </c>
      <c r="BK329" s="131"/>
      <c r="BL329" s="131">
        <v>89</v>
      </c>
      <c r="BW329" s="131">
        <v>21</v>
      </c>
      <c r="BX329" s="133" t="s">
        <v>947</v>
      </c>
    </row>
    <row r="330" spans="1:76" x14ac:dyDescent="0.25">
      <c r="A330" s="123" t="s">
        <v>53</v>
      </c>
      <c r="B330" s="124" t="s">
        <v>269</v>
      </c>
      <c r="C330" s="272" t="s">
        <v>270</v>
      </c>
      <c r="D330" s="273"/>
      <c r="E330" s="125" t="s">
        <v>9</v>
      </c>
      <c r="F330" s="125" t="s">
        <v>9</v>
      </c>
      <c r="G330" s="125" t="s">
        <v>9</v>
      </c>
      <c r="H330" s="110">
        <f>SUM(H331:H331)</f>
        <v>0</v>
      </c>
      <c r="I330" s="110">
        <f>SUM(I331:I331)</f>
        <v>0</v>
      </c>
      <c r="J330" s="110">
        <f>SUM(J331:J331)</f>
        <v>0</v>
      </c>
      <c r="K330" s="126" t="s">
        <v>53</v>
      </c>
      <c r="AI330" s="115" t="s">
        <v>976</v>
      </c>
      <c r="AS330" s="110">
        <f>SUM(AJ331:AJ331)</f>
        <v>0</v>
      </c>
      <c r="AT330" s="110">
        <f>SUM(AK331:AK331)</f>
        <v>0</v>
      </c>
      <c r="AU330" s="110">
        <f>SUM(AL331:AL331)</f>
        <v>0</v>
      </c>
    </row>
    <row r="331" spans="1:76" x14ac:dyDescent="0.25">
      <c r="A331" s="134" t="s">
        <v>1029</v>
      </c>
      <c r="B331" s="135" t="s">
        <v>635</v>
      </c>
      <c r="C331" s="270" t="s">
        <v>636</v>
      </c>
      <c r="D331" s="271"/>
      <c r="E331" s="135" t="s">
        <v>67</v>
      </c>
      <c r="F331" s="131">
        <v>14</v>
      </c>
      <c r="G331" s="179">
        <v>0</v>
      </c>
      <c r="H331" s="131">
        <f>F331*AO331</f>
        <v>0</v>
      </c>
      <c r="I331" s="131">
        <f>F331*AP331</f>
        <v>0</v>
      </c>
      <c r="J331" s="131">
        <f>F331*G331</f>
        <v>0</v>
      </c>
      <c r="K331" s="136" t="s">
        <v>60</v>
      </c>
      <c r="Z331" s="131">
        <f>IF(AQ331="5",BJ331,0)</f>
        <v>0</v>
      </c>
      <c r="AB331" s="131">
        <f>IF(AQ331="1",BH331,0)</f>
        <v>0</v>
      </c>
      <c r="AC331" s="131">
        <f>IF(AQ331="1",BI331,0)</f>
        <v>0</v>
      </c>
      <c r="AD331" s="131">
        <f>IF(AQ331="7",BH331,0)</f>
        <v>0</v>
      </c>
      <c r="AE331" s="131">
        <f>IF(AQ331="7",BI331,0)</f>
        <v>0</v>
      </c>
      <c r="AF331" s="131">
        <f>IF(AQ331="2",BH331,0)</f>
        <v>0</v>
      </c>
      <c r="AG331" s="131">
        <f>IF(AQ331="2",BI331,0)</f>
        <v>0</v>
      </c>
      <c r="AH331" s="131">
        <f>IF(AQ331="0",BJ331,0)</f>
        <v>0</v>
      </c>
      <c r="AI331" s="115" t="s">
        <v>976</v>
      </c>
      <c r="AJ331" s="131">
        <f>IF(AN331=0,J331,0)</f>
        <v>0</v>
      </c>
      <c r="AK331" s="131">
        <f>IF(AN331=12,J331,0)</f>
        <v>0</v>
      </c>
      <c r="AL331" s="131">
        <f>IF(AN331=21,J331,0)</f>
        <v>0</v>
      </c>
      <c r="AN331" s="131">
        <v>21</v>
      </c>
      <c r="AO331" s="131">
        <f>G331*0.576800977</f>
        <v>0</v>
      </c>
      <c r="AP331" s="131">
        <f>G331*(1-0.576800977)</f>
        <v>0</v>
      </c>
      <c r="AQ331" s="132" t="s">
        <v>56</v>
      </c>
      <c r="AV331" s="131">
        <f>AW331+AX331</f>
        <v>0</v>
      </c>
      <c r="AW331" s="131">
        <f>F331*AO331</f>
        <v>0</v>
      </c>
      <c r="AX331" s="131">
        <f>F331*AP331</f>
        <v>0</v>
      </c>
      <c r="AY331" s="132" t="s">
        <v>274</v>
      </c>
      <c r="AZ331" s="132" t="s">
        <v>1030</v>
      </c>
      <c r="BA331" s="115" t="s">
        <v>979</v>
      </c>
      <c r="BC331" s="131">
        <f>AW331+AX331</f>
        <v>0</v>
      </c>
      <c r="BD331" s="131">
        <f>G331/(100-BE331)*100</f>
        <v>0</v>
      </c>
      <c r="BE331" s="131">
        <v>0</v>
      </c>
      <c r="BF331" s="131">
        <f>331</f>
        <v>331</v>
      </c>
      <c r="BH331" s="131">
        <f>F331*AO331</f>
        <v>0</v>
      </c>
      <c r="BI331" s="131">
        <f>F331*AP331</f>
        <v>0</v>
      </c>
      <c r="BJ331" s="131">
        <f>F331*G331</f>
        <v>0</v>
      </c>
      <c r="BK331" s="131"/>
      <c r="BL331" s="131">
        <v>91</v>
      </c>
      <c r="BW331" s="131">
        <v>21</v>
      </c>
      <c r="BX331" s="133" t="s">
        <v>636</v>
      </c>
    </row>
    <row r="332" spans="1:76" x14ac:dyDescent="0.25">
      <c r="A332" s="123" t="s">
        <v>53</v>
      </c>
      <c r="B332" s="124" t="s">
        <v>736</v>
      </c>
      <c r="C332" s="272" t="s">
        <v>737</v>
      </c>
      <c r="D332" s="273"/>
      <c r="E332" s="125" t="s">
        <v>9</v>
      </c>
      <c r="F332" s="125" t="s">
        <v>9</v>
      </c>
      <c r="G332" s="125" t="s">
        <v>9</v>
      </c>
      <c r="H332" s="110">
        <f>SUM(H333:H333)</f>
        <v>0</v>
      </c>
      <c r="I332" s="110">
        <f>SUM(I333:I333)</f>
        <v>0</v>
      </c>
      <c r="J332" s="110">
        <f>SUM(J333:J333)</f>
        <v>0</v>
      </c>
      <c r="K332" s="126" t="s">
        <v>53</v>
      </c>
      <c r="AI332" s="115" t="s">
        <v>976</v>
      </c>
      <c r="AS332" s="110">
        <f>SUM(AJ333:AJ333)</f>
        <v>0</v>
      </c>
      <c r="AT332" s="110">
        <f>SUM(AK333:AK333)</f>
        <v>0</v>
      </c>
      <c r="AU332" s="110">
        <f>SUM(AL333:AL333)</f>
        <v>0</v>
      </c>
    </row>
    <row r="333" spans="1:76" x14ac:dyDescent="0.25">
      <c r="A333" s="134" t="s">
        <v>1031</v>
      </c>
      <c r="B333" s="135" t="s">
        <v>738</v>
      </c>
      <c r="C333" s="270" t="s">
        <v>739</v>
      </c>
      <c r="D333" s="271"/>
      <c r="E333" s="135" t="s">
        <v>122</v>
      </c>
      <c r="F333" s="131">
        <v>142.13</v>
      </c>
      <c r="G333" s="179">
        <v>0</v>
      </c>
      <c r="H333" s="131">
        <f>F333*AO333</f>
        <v>0</v>
      </c>
      <c r="I333" s="131">
        <f>F333*AP333</f>
        <v>0</v>
      </c>
      <c r="J333" s="131">
        <f>F333*G333</f>
        <v>0</v>
      </c>
      <c r="K333" s="136" t="s">
        <v>711</v>
      </c>
      <c r="Z333" s="131">
        <f>IF(AQ333="5",BJ333,0)</f>
        <v>0</v>
      </c>
      <c r="AB333" s="131">
        <f>IF(AQ333="1",BH333,0)</f>
        <v>0</v>
      </c>
      <c r="AC333" s="131">
        <f>IF(AQ333="1",BI333,0)</f>
        <v>0</v>
      </c>
      <c r="AD333" s="131">
        <f>IF(AQ333="7",BH333,0)</f>
        <v>0</v>
      </c>
      <c r="AE333" s="131">
        <f>IF(AQ333="7",BI333,0)</f>
        <v>0</v>
      </c>
      <c r="AF333" s="131">
        <f>IF(AQ333="2",BH333,0)</f>
        <v>0</v>
      </c>
      <c r="AG333" s="131">
        <f>IF(AQ333="2",BI333,0)</f>
        <v>0</v>
      </c>
      <c r="AH333" s="131">
        <f>IF(AQ333="0",BJ333,0)</f>
        <v>0</v>
      </c>
      <c r="AI333" s="115" t="s">
        <v>976</v>
      </c>
      <c r="AJ333" s="131">
        <f>IF(AN333=0,J333,0)</f>
        <v>0</v>
      </c>
      <c r="AK333" s="131">
        <f>IF(AN333=12,J333,0)</f>
        <v>0</v>
      </c>
      <c r="AL333" s="131">
        <f>IF(AN333=21,J333,0)</f>
        <v>0</v>
      </c>
      <c r="AN333" s="131">
        <v>21</v>
      </c>
      <c r="AO333" s="131">
        <f>G333*0</f>
        <v>0</v>
      </c>
      <c r="AP333" s="131">
        <f>G333*(1-0)</f>
        <v>0</v>
      </c>
      <c r="AQ333" s="132" t="s">
        <v>76</v>
      </c>
      <c r="AV333" s="131">
        <f>AW333+AX333</f>
        <v>0</v>
      </c>
      <c r="AW333" s="131">
        <f>F333*AO333</f>
        <v>0</v>
      </c>
      <c r="AX333" s="131">
        <f>F333*AP333</f>
        <v>0</v>
      </c>
      <c r="AY333" s="132" t="s">
        <v>740</v>
      </c>
      <c r="AZ333" s="132" t="s">
        <v>1030</v>
      </c>
      <c r="BA333" s="115" t="s">
        <v>979</v>
      </c>
      <c r="BC333" s="131">
        <f>AW333+AX333</f>
        <v>0</v>
      </c>
      <c r="BD333" s="131">
        <f>G333/(100-BE333)*100</f>
        <v>0</v>
      </c>
      <c r="BE333" s="131">
        <v>0</v>
      </c>
      <c r="BF333" s="131">
        <f>333</f>
        <v>333</v>
      </c>
      <c r="BH333" s="131">
        <f>F333*AO333</f>
        <v>0</v>
      </c>
      <c r="BI333" s="131">
        <f>F333*AP333</f>
        <v>0</v>
      </c>
      <c r="BJ333" s="131">
        <f>F333*G333</f>
        <v>0</v>
      </c>
      <c r="BK333" s="131"/>
      <c r="BL333" s="131"/>
      <c r="BW333" s="131">
        <v>21</v>
      </c>
      <c r="BX333" s="133" t="s">
        <v>739</v>
      </c>
    </row>
    <row r="334" spans="1:76" x14ac:dyDescent="0.25">
      <c r="A334" s="123" t="s">
        <v>53</v>
      </c>
      <c r="B334" s="124" t="s">
        <v>338</v>
      </c>
      <c r="C334" s="272" t="s">
        <v>339</v>
      </c>
      <c r="D334" s="273"/>
      <c r="E334" s="125" t="s">
        <v>9</v>
      </c>
      <c r="F334" s="125" t="s">
        <v>9</v>
      </c>
      <c r="G334" s="125" t="s">
        <v>9</v>
      </c>
      <c r="H334" s="110">
        <f>SUM(H335:H349)</f>
        <v>0</v>
      </c>
      <c r="I334" s="110">
        <f>SUM(I335:I349)</f>
        <v>0</v>
      </c>
      <c r="J334" s="110">
        <f>SUM(J335:J349)</f>
        <v>0</v>
      </c>
      <c r="K334" s="126" t="s">
        <v>53</v>
      </c>
      <c r="AI334" s="115" t="s">
        <v>976</v>
      </c>
      <c r="AS334" s="110">
        <f>SUM(AJ335:AJ349)</f>
        <v>0</v>
      </c>
      <c r="AT334" s="110">
        <f>SUM(AK335:AK349)</f>
        <v>0</v>
      </c>
      <c r="AU334" s="110">
        <f>SUM(AL335:AL349)</f>
        <v>0</v>
      </c>
    </row>
    <row r="335" spans="1:76" ht="25.5" x14ac:dyDescent="0.25">
      <c r="A335" s="134" t="s">
        <v>1032</v>
      </c>
      <c r="B335" s="135" t="s">
        <v>952</v>
      </c>
      <c r="C335" s="270" t="s">
        <v>953</v>
      </c>
      <c r="D335" s="271"/>
      <c r="E335" s="135" t="s">
        <v>164</v>
      </c>
      <c r="F335" s="131">
        <v>18</v>
      </c>
      <c r="G335" s="179">
        <v>0</v>
      </c>
      <c r="H335" s="131">
        <f t="shared" ref="H335:H349" si="276">F335*AO335</f>
        <v>0</v>
      </c>
      <c r="I335" s="131">
        <f t="shared" ref="I335:I349" si="277">F335*AP335</f>
        <v>0</v>
      </c>
      <c r="J335" s="131">
        <f t="shared" ref="J335:J349" si="278">F335*G335</f>
        <v>0</v>
      </c>
      <c r="K335" s="136" t="s">
        <v>60</v>
      </c>
      <c r="Z335" s="131">
        <f t="shared" ref="Z335:Z349" si="279">IF(AQ335="5",BJ335,0)</f>
        <v>0</v>
      </c>
      <c r="AB335" s="131">
        <f t="shared" ref="AB335:AB349" si="280">IF(AQ335="1",BH335,0)</f>
        <v>0</v>
      </c>
      <c r="AC335" s="131">
        <f t="shared" ref="AC335:AC349" si="281">IF(AQ335="1",BI335,0)</f>
        <v>0</v>
      </c>
      <c r="AD335" s="131">
        <f t="shared" ref="AD335:AD349" si="282">IF(AQ335="7",BH335,0)</f>
        <v>0</v>
      </c>
      <c r="AE335" s="131">
        <f t="shared" ref="AE335:AE349" si="283">IF(AQ335="7",BI335,0)</f>
        <v>0</v>
      </c>
      <c r="AF335" s="131">
        <f t="shared" ref="AF335:AF349" si="284">IF(AQ335="2",BH335,0)</f>
        <v>0</v>
      </c>
      <c r="AG335" s="131">
        <f t="shared" ref="AG335:AG349" si="285">IF(AQ335="2",BI335,0)</f>
        <v>0</v>
      </c>
      <c r="AH335" s="131">
        <f t="shared" ref="AH335:AH349" si="286">IF(AQ335="0",BJ335,0)</f>
        <v>0</v>
      </c>
      <c r="AI335" s="115" t="s">
        <v>976</v>
      </c>
      <c r="AJ335" s="131">
        <f t="shared" ref="AJ335:AJ349" si="287">IF(AN335=0,J335,0)</f>
        <v>0</v>
      </c>
      <c r="AK335" s="131">
        <f t="shared" ref="AK335:AK349" si="288">IF(AN335=12,J335,0)</f>
        <v>0</v>
      </c>
      <c r="AL335" s="131">
        <f t="shared" ref="AL335:AL349" si="289">IF(AN335=21,J335,0)</f>
        <v>0</v>
      </c>
      <c r="AN335" s="131">
        <v>21</v>
      </c>
      <c r="AO335" s="131">
        <f t="shared" ref="AO335:AO349" si="290">G335*1</f>
        <v>0</v>
      </c>
      <c r="AP335" s="131">
        <f t="shared" ref="AP335:AP349" si="291">G335*(1-1)</f>
        <v>0</v>
      </c>
      <c r="AQ335" s="132" t="s">
        <v>343</v>
      </c>
      <c r="AV335" s="131">
        <f t="shared" ref="AV335:AV349" si="292">AW335+AX335</f>
        <v>0</v>
      </c>
      <c r="AW335" s="131">
        <f t="shared" ref="AW335:AW349" si="293">F335*AO335</f>
        <v>0</v>
      </c>
      <c r="AX335" s="131">
        <f t="shared" ref="AX335:AX349" si="294">F335*AP335</f>
        <v>0</v>
      </c>
      <c r="AY335" s="132" t="s">
        <v>344</v>
      </c>
      <c r="AZ335" s="132" t="s">
        <v>1033</v>
      </c>
      <c r="BA335" s="115" t="s">
        <v>979</v>
      </c>
      <c r="BC335" s="131">
        <f t="shared" ref="BC335:BC349" si="295">AW335+AX335</f>
        <v>0</v>
      </c>
      <c r="BD335" s="131">
        <f t="shared" ref="BD335:BD349" si="296">G335/(100-BE335)*100</f>
        <v>0</v>
      </c>
      <c r="BE335" s="131">
        <v>0</v>
      </c>
      <c r="BF335" s="131">
        <f>335</f>
        <v>335</v>
      </c>
      <c r="BH335" s="131">
        <f t="shared" ref="BH335:BH349" si="297">F335*AO335</f>
        <v>0</v>
      </c>
      <c r="BI335" s="131">
        <f t="shared" ref="BI335:BI349" si="298">F335*AP335</f>
        <v>0</v>
      </c>
      <c r="BJ335" s="131">
        <f t="shared" ref="BJ335:BJ349" si="299">F335*G335</f>
        <v>0</v>
      </c>
      <c r="BK335" s="131"/>
      <c r="BL335" s="131"/>
      <c r="BW335" s="131">
        <v>21</v>
      </c>
      <c r="BX335" s="133" t="s">
        <v>953</v>
      </c>
    </row>
    <row r="336" spans="1:76" x14ac:dyDescent="0.25">
      <c r="A336" s="134" t="s">
        <v>1034</v>
      </c>
      <c r="B336" s="135" t="s">
        <v>956</v>
      </c>
      <c r="C336" s="270" t="s">
        <v>957</v>
      </c>
      <c r="D336" s="271"/>
      <c r="E336" s="135" t="s">
        <v>164</v>
      </c>
      <c r="F336" s="131">
        <v>5</v>
      </c>
      <c r="G336" s="179">
        <v>0</v>
      </c>
      <c r="H336" s="131">
        <f t="shared" si="276"/>
        <v>0</v>
      </c>
      <c r="I336" s="131">
        <f t="shared" si="277"/>
        <v>0</v>
      </c>
      <c r="J336" s="131">
        <f t="shared" si="278"/>
        <v>0</v>
      </c>
      <c r="K336" s="136" t="s">
        <v>60</v>
      </c>
      <c r="Z336" s="131">
        <f t="shared" si="279"/>
        <v>0</v>
      </c>
      <c r="AB336" s="131">
        <f t="shared" si="280"/>
        <v>0</v>
      </c>
      <c r="AC336" s="131">
        <f t="shared" si="281"/>
        <v>0</v>
      </c>
      <c r="AD336" s="131">
        <f t="shared" si="282"/>
        <v>0</v>
      </c>
      <c r="AE336" s="131">
        <f t="shared" si="283"/>
        <v>0</v>
      </c>
      <c r="AF336" s="131">
        <f t="shared" si="284"/>
        <v>0</v>
      </c>
      <c r="AG336" s="131">
        <f t="shared" si="285"/>
        <v>0</v>
      </c>
      <c r="AH336" s="131">
        <f t="shared" si="286"/>
        <v>0</v>
      </c>
      <c r="AI336" s="115" t="s">
        <v>976</v>
      </c>
      <c r="AJ336" s="131">
        <f t="shared" si="287"/>
        <v>0</v>
      </c>
      <c r="AK336" s="131">
        <f t="shared" si="288"/>
        <v>0</v>
      </c>
      <c r="AL336" s="131">
        <f t="shared" si="289"/>
        <v>0</v>
      </c>
      <c r="AN336" s="131">
        <v>21</v>
      </c>
      <c r="AO336" s="131">
        <f t="shared" si="290"/>
        <v>0</v>
      </c>
      <c r="AP336" s="131">
        <f t="shared" si="291"/>
        <v>0</v>
      </c>
      <c r="AQ336" s="132" t="s">
        <v>343</v>
      </c>
      <c r="AV336" s="131">
        <f t="shared" si="292"/>
        <v>0</v>
      </c>
      <c r="AW336" s="131">
        <f t="shared" si="293"/>
        <v>0</v>
      </c>
      <c r="AX336" s="131">
        <f t="shared" si="294"/>
        <v>0</v>
      </c>
      <c r="AY336" s="132" t="s">
        <v>344</v>
      </c>
      <c r="AZ336" s="132" t="s">
        <v>1033</v>
      </c>
      <c r="BA336" s="115" t="s">
        <v>979</v>
      </c>
      <c r="BC336" s="131">
        <f t="shared" si="295"/>
        <v>0</v>
      </c>
      <c r="BD336" s="131">
        <f t="shared" si="296"/>
        <v>0</v>
      </c>
      <c r="BE336" s="131">
        <v>0</v>
      </c>
      <c r="BF336" s="131">
        <f>336</f>
        <v>336</v>
      </c>
      <c r="BH336" s="131">
        <f t="shared" si="297"/>
        <v>0</v>
      </c>
      <c r="BI336" s="131">
        <f t="shared" si="298"/>
        <v>0</v>
      </c>
      <c r="BJ336" s="131">
        <f t="shared" si="299"/>
        <v>0</v>
      </c>
      <c r="BK336" s="131"/>
      <c r="BL336" s="131"/>
      <c r="BW336" s="131">
        <v>21</v>
      </c>
      <c r="BX336" s="133" t="s">
        <v>957</v>
      </c>
    </row>
    <row r="337" spans="1:76" x14ac:dyDescent="0.25">
      <c r="A337" s="134" t="s">
        <v>1035</v>
      </c>
      <c r="B337" s="135" t="s">
        <v>818</v>
      </c>
      <c r="C337" s="270" t="s">
        <v>819</v>
      </c>
      <c r="D337" s="271"/>
      <c r="E337" s="135" t="s">
        <v>164</v>
      </c>
      <c r="F337" s="131">
        <v>6</v>
      </c>
      <c r="G337" s="179">
        <v>0</v>
      </c>
      <c r="H337" s="131">
        <f t="shared" si="276"/>
        <v>0</v>
      </c>
      <c r="I337" s="131">
        <f t="shared" si="277"/>
        <v>0</v>
      </c>
      <c r="J337" s="131">
        <f t="shared" si="278"/>
        <v>0</v>
      </c>
      <c r="K337" s="136" t="s">
        <v>60</v>
      </c>
      <c r="Z337" s="131">
        <f t="shared" si="279"/>
        <v>0</v>
      </c>
      <c r="AB337" s="131">
        <f t="shared" si="280"/>
        <v>0</v>
      </c>
      <c r="AC337" s="131">
        <f t="shared" si="281"/>
        <v>0</v>
      </c>
      <c r="AD337" s="131">
        <f t="shared" si="282"/>
        <v>0</v>
      </c>
      <c r="AE337" s="131">
        <f t="shared" si="283"/>
        <v>0</v>
      </c>
      <c r="AF337" s="131">
        <f t="shared" si="284"/>
        <v>0</v>
      </c>
      <c r="AG337" s="131">
        <f t="shared" si="285"/>
        <v>0</v>
      </c>
      <c r="AH337" s="131">
        <f t="shared" si="286"/>
        <v>0</v>
      </c>
      <c r="AI337" s="115" t="s">
        <v>976</v>
      </c>
      <c r="AJ337" s="131">
        <f t="shared" si="287"/>
        <v>0</v>
      </c>
      <c r="AK337" s="131">
        <f t="shared" si="288"/>
        <v>0</v>
      </c>
      <c r="AL337" s="131">
        <f t="shared" si="289"/>
        <v>0</v>
      </c>
      <c r="AN337" s="131">
        <v>21</v>
      </c>
      <c r="AO337" s="131">
        <f t="shared" si="290"/>
        <v>0</v>
      </c>
      <c r="AP337" s="131">
        <f t="shared" si="291"/>
        <v>0</v>
      </c>
      <c r="AQ337" s="132" t="s">
        <v>343</v>
      </c>
      <c r="AV337" s="131">
        <f t="shared" si="292"/>
        <v>0</v>
      </c>
      <c r="AW337" s="131">
        <f t="shared" si="293"/>
        <v>0</v>
      </c>
      <c r="AX337" s="131">
        <f t="shared" si="294"/>
        <v>0</v>
      </c>
      <c r="AY337" s="132" t="s">
        <v>344</v>
      </c>
      <c r="AZ337" s="132" t="s">
        <v>1033</v>
      </c>
      <c r="BA337" s="115" t="s">
        <v>979</v>
      </c>
      <c r="BC337" s="131">
        <f t="shared" si="295"/>
        <v>0</v>
      </c>
      <c r="BD337" s="131">
        <f t="shared" si="296"/>
        <v>0</v>
      </c>
      <c r="BE337" s="131">
        <v>0</v>
      </c>
      <c r="BF337" s="131">
        <f>337</f>
        <v>337</v>
      </c>
      <c r="BH337" s="131">
        <f t="shared" si="297"/>
        <v>0</v>
      </c>
      <c r="BI337" s="131">
        <f t="shared" si="298"/>
        <v>0</v>
      </c>
      <c r="BJ337" s="131">
        <f t="shared" si="299"/>
        <v>0</v>
      </c>
      <c r="BK337" s="131"/>
      <c r="BL337" s="131"/>
      <c r="BW337" s="131">
        <v>21</v>
      </c>
      <c r="BX337" s="133" t="s">
        <v>819</v>
      </c>
    </row>
    <row r="338" spans="1:76" x14ac:dyDescent="0.25">
      <c r="A338" s="134" t="s">
        <v>1036</v>
      </c>
      <c r="B338" s="135" t="s">
        <v>820</v>
      </c>
      <c r="C338" s="270" t="s">
        <v>960</v>
      </c>
      <c r="D338" s="271"/>
      <c r="E338" s="135" t="s">
        <v>164</v>
      </c>
      <c r="F338" s="131">
        <v>4</v>
      </c>
      <c r="G338" s="179">
        <v>0</v>
      </c>
      <c r="H338" s="131">
        <f t="shared" si="276"/>
        <v>0</v>
      </c>
      <c r="I338" s="131">
        <f t="shared" si="277"/>
        <v>0</v>
      </c>
      <c r="J338" s="131">
        <f t="shared" si="278"/>
        <v>0</v>
      </c>
      <c r="K338" s="136" t="s">
        <v>60</v>
      </c>
      <c r="Z338" s="131">
        <f t="shared" si="279"/>
        <v>0</v>
      </c>
      <c r="AB338" s="131">
        <f t="shared" si="280"/>
        <v>0</v>
      </c>
      <c r="AC338" s="131">
        <f t="shared" si="281"/>
        <v>0</v>
      </c>
      <c r="AD338" s="131">
        <f t="shared" si="282"/>
        <v>0</v>
      </c>
      <c r="AE338" s="131">
        <f t="shared" si="283"/>
        <v>0</v>
      </c>
      <c r="AF338" s="131">
        <f t="shared" si="284"/>
        <v>0</v>
      </c>
      <c r="AG338" s="131">
        <f t="shared" si="285"/>
        <v>0</v>
      </c>
      <c r="AH338" s="131">
        <f t="shared" si="286"/>
        <v>0</v>
      </c>
      <c r="AI338" s="115" t="s">
        <v>976</v>
      </c>
      <c r="AJ338" s="131">
        <f t="shared" si="287"/>
        <v>0</v>
      </c>
      <c r="AK338" s="131">
        <f t="shared" si="288"/>
        <v>0</v>
      </c>
      <c r="AL338" s="131">
        <f t="shared" si="289"/>
        <v>0</v>
      </c>
      <c r="AN338" s="131">
        <v>21</v>
      </c>
      <c r="AO338" s="131">
        <f t="shared" si="290"/>
        <v>0</v>
      </c>
      <c r="AP338" s="131">
        <f t="shared" si="291"/>
        <v>0</v>
      </c>
      <c r="AQ338" s="132" t="s">
        <v>343</v>
      </c>
      <c r="AV338" s="131">
        <f t="shared" si="292"/>
        <v>0</v>
      </c>
      <c r="AW338" s="131">
        <f t="shared" si="293"/>
        <v>0</v>
      </c>
      <c r="AX338" s="131">
        <f t="shared" si="294"/>
        <v>0</v>
      </c>
      <c r="AY338" s="132" t="s">
        <v>344</v>
      </c>
      <c r="AZ338" s="132" t="s">
        <v>1033</v>
      </c>
      <c r="BA338" s="115" t="s">
        <v>979</v>
      </c>
      <c r="BC338" s="131">
        <f t="shared" si="295"/>
        <v>0</v>
      </c>
      <c r="BD338" s="131">
        <f t="shared" si="296"/>
        <v>0</v>
      </c>
      <c r="BE338" s="131">
        <v>0</v>
      </c>
      <c r="BF338" s="131">
        <f>338</f>
        <v>338</v>
      </c>
      <c r="BH338" s="131">
        <f t="shared" si="297"/>
        <v>0</v>
      </c>
      <c r="BI338" s="131">
        <f t="shared" si="298"/>
        <v>0</v>
      </c>
      <c r="BJ338" s="131">
        <f t="shared" si="299"/>
        <v>0</v>
      </c>
      <c r="BK338" s="131"/>
      <c r="BL338" s="131"/>
      <c r="BW338" s="131">
        <v>21</v>
      </c>
      <c r="BX338" s="133" t="s">
        <v>960</v>
      </c>
    </row>
    <row r="339" spans="1:76" x14ac:dyDescent="0.25">
      <c r="A339" s="134" t="s">
        <v>652</v>
      </c>
      <c r="B339" s="135" t="s">
        <v>962</v>
      </c>
      <c r="C339" s="270" t="s">
        <v>963</v>
      </c>
      <c r="D339" s="271"/>
      <c r="E339" s="135" t="s">
        <v>164</v>
      </c>
      <c r="F339" s="131">
        <v>3</v>
      </c>
      <c r="G339" s="179">
        <v>0</v>
      </c>
      <c r="H339" s="131">
        <f t="shared" si="276"/>
        <v>0</v>
      </c>
      <c r="I339" s="131">
        <f t="shared" si="277"/>
        <v>0</v>
      </c>
      <c r="J339" s="131">
        <f t="shared" si="278"/>
        <v>0</v>
      </c>
      <c r="K339" s="136" t="s">
        <v>60</v>
      </c>
      <c r="Z339" s="131">
        <f t="shared" si="279"/>
        <v>0</v>
      </c>
      <c r="AB339" s="131">
        <f t="shared" si="280"/>
        <v>0</v>
      </c>
      <c r="AC339" s="131">
        <f t="shared" si="281"/>
        <v>0</v>
      </c>
      <c r="AD339" s="131">
        <f t="shared" si="282"/>
        <v>0</v>
      </c>
      <c r="AE339" s="131">
        <f t="shared" si="283"/>
        <v>0</v>
      </c>
      <c r="AF339" s="131">
        <f t="shared" si="284"/>
        <v>0</v>
      </c>
      <c r="AG339" s="131">
        <f t="shared" si="285"/>
        <v>0</v>
      </c>
      <c r="AH339" s="131">
        <f t="shared" si="286"/>
        <v>0</v>
      </c>
      <c r="AI339" s="115" t="s">
        <v>976</v>
      </c>
      <c r="AJ339" s="131">
        <f t="shared" si="287"/>
        <v>0</v>
      </c>
      <c r="AK339" s="131">
        <f t="shared" si="288"/>
        <v>0</v>
      </c>
      <c r="AL339" s="131">
        <f t="shared" si="289"/>
        <v>0</v>
      </c>
      <c r="AN339" s="131">
        <v>21</v>
      </c>
      <c r="AO339" s="131">
        <f t="shared" si="290"/>
        <v>0</v>
      </c>
      <c r="AP339" s="131">
        <f t="shared" si="291"/>
        <v>0</v>
      </c>
      <c r="AQ339" s="132" t="s">
        <v>343</v>
      </c>
      <c r="AV339" s="131">
        <f t="shared" si="292"/>
        <v>0</v>
      </c>
      <c r="AW339" s="131">
        <f t="shared" si="293"/>
        <v>0</v>
      </c>
      <c r="AX339" s="131">
        <f t="shared" si="294"/>
        <v>0</v>
      </c>
      <c r="AY339" s="132" t="s">
        <v>344</v>
      </c>
      <c r="AZ339" s="132" t="s">
        <v>1033</v>
      </c>
      <c r="BA339" s="115" t="s">
        <v>979</v>
      </c>
      <c r="BC339" s="131">
        <f t="shared" si="295"/>
        <v>0</v>
      </c>
      <c r="BD339" s="131">
        <f t="shared" si="296"/>
        <v>0</v>
      </c>
      <c r="BE339" s="131">
        <v>0</v>
      </c>
      <c r="BF339" s="131">
        <f>339</f>
        <v>339</v>
      </c>
      <c r="BH339" s="131">
        <f t="shared" si="297"/>
        <v>0</v>
      </c>
      <c r="BI339" s="131">
        <f t="shared" si="298"/>
        <v>0</v>
      </c>
      <c r="BJ339" s="131">
        <f t="shared" si="299"/>
        <v>0</v>
      </c>
      <c r="BK339" s="131"/>
      <c r="BL339" s="131"/>
      <c r="BW339" s="131">
        <v>21</v>
      </c>
      <c r="BX339" s="133" t="s">
        <v>963</v>
      </c>
    </row>
    <row r="340" spans="1:76" x14ac:dyDescent="0.25">
      <c r="A340" s="134" t="s">
        <v>1037</v>
      </c>
      <c r="B340" s="135" t="s">
        <v>1038</v>
      </c>
      <c r="C340" s="270" t="s">
        <v>1039</v>
      </c>
      <c r="D340" s="271"/>
      <c r="E340" s="135" t="s">
        <v>164</v>
      </c>
      <c r="F340" s="131">
        <v>1</v>
      </c>
      <c r="G340" s="179">
        <v>0</v>
      </c>
      <c r="H340" s="131">
        <f t="shared" si="276"/>
        <v>0</v>
      </c>
      <c r="I340" s="131">
        <f t="shared" si="277"/>
        <v>0</v>
      </c>
      <c r="J340" s="131">
        <f t="shared" si="278"/>
        <v>0</v>
      </c>
      <c r="K340" s="136" t="s">
        <v>1040</v>
      </c>
      <c r="Z340" s="131">
        <f t="shared" si="279"/>
        <v>0</v>
      </c>
      <c r="AB340" s="131">
        <f t="shared" si="280"/>
        <v>0</v>
      </c>
      <c r="AC340" s="131">
        <f t="shared" si="281"/>
        <v>0</v>
      </c>
      <c r="AD340" s="131">
        <f t="shared" si="282"/>
        <v>0</v>
      </c>
      <c r="AE340" s="131">
        <f t="shared" si="283"/>
        <v>0</v>
      </c>
      <c r="AF340" s="131">
        <f t="shared" si="284"/>
        <v>0</v>
      </c>
      <c r="AG340" s="131">
        <f t="shared" si="285"/>
        <v>0</v>
      </c>
      <c r="AH340" s="131">
        <f t="shared" si="286"/>
        <v>0</v>
      </c>
      <c r="AI340" s="115" t="s">
        <v>976</v>
      </c>
      <c r="AJ340" s="131">
        <f t="shared" si="287"/>
        <v>0</v>
      </c>
      <c r="AK340" s="131">
        <f t="shared" si="288"/>
        <v>0</v>
      </c>
      <c r="AL340" s="131">
        <f t="shared" si="289"/>
        <v>0</v>
      </c>
      <c r="AN340" s="131">
        <v>21</v>
      </c>
      <c r="AO340" s="131">
        <f t="shared" si="290"/>
        <v>0</v>
      </c>
      <c r="AP340" s="131">
        <f t="shared" si="291"/>
        <v>0</v>
      </c>
      <c r="AQ340" s="132" t="s">
        <v>343</v>
      </c>
      <c r="AV340" s="131">
        <f t="shared" si="292"/>
        <v>0</v>
      </c>
      <c r="AW340" s="131">
        <f t="shared" si="293"/>
        <v>0</v>
      </c>
      <c r="AX340" s="131">
        <f t="shared" si="294"/>
        <v>0</v>
      </c>
      <c r="AY340" s="132" t="s">
        <v>344</v>
      </c>
      <c r="AZ340" s="132" t="s">
        <v>1033</v>
      </c>
      <c r="BA340" s="115" t="s">
        <v>979</v>
      </c>
      <c r="BC340" s="131">
        <f t="shared" si="295"/>
        <v>0</v>
      </c>
      <c r="BD340" s="131">
        <f t="shared" si="296"/>
        <v>0</v>
      </c>
      <c r="BE340" s="131">
        <v>0</v>
      </c>
      <c r="BF340" s="131">
        <f>340</f>
        <v>340</v>
      </c>
      <c r="BH340" s="131">
        <f t="shared" si="297"/>
        <v>0</v>
      </c>
      <c r="BI340" s="131">
        <f t="shared" si="298"/>
        <v>0</v>
      </c>
      <c r="BJ340" s="131">
        <f t="shared" si="299"/>
        <v>0</v>
      </c>
      <c r="BK340" s="131"/>
      <c r="BL340" s="131"/>
      <c r="BW340" s="131">
        <v>21</v>
      </c>
      <c r="BX340" s="133" t="s">
        <v>1039</v>
      </c>
    </row>
    <row r="341" spans="1:76" x14ac:dyDescent="0.25">
      <c r="A341" s="134" t="s">
        <v>1041</v>
      </c>
      <c r="B341" s="135" t="s">
        <v>824</v>
      </c>
      <c r="C341" s="270" t="s">
        <v>825</v>
      </c>
      <c r="D341" s="271"/>
      <c r="E341" s="135" t="s">
        <v>164</v>
      </c>
      <c r="F341" s="131">
        <v>3</v>
      </c>
      <c r="G341" s="179">
        <v>0</v>
      </c>
      <c r="H341" s="131">
        <f t="shared" si="276"/>
        <v>0</v>
      </c>
      <c r="I341" s="131">
        <f t="shared" si="277"/>
        <v>0</v>
      </c>
      <c r="J341" s="131">
        <f t="shared" si="278"/>
        <v>0</v>
      </c>
      <c r="K341" s="136" t="s">
        <v>1040</v>
      </c>
      <c r="Z341" s="131">
        <f t="shared" si="279"/>
        <v>0</v>
      </c>
      <c r="AB341" s="131">
        <f t="shared" si="280"/>
        <v>0</v>
      </c>
      <c r="AC341" s="131">
        <f t="shared" si="281"/>
        <v>0</v>
      </c>
      <c r="AD341" s="131">
        <f t="shared" si="282"/>
        <v>0</v>
      </c>
      <c r="AE341" s="131">
        <f t="shared" si="283"/>
        <v>0</v>
      </c>
      <c r="AF341" s="131">
        <f t="shared" si="284"/>
        <v>0</v>
      </c>
      <c r="AG341" s="131">
        <f t="shared" si="285"/>
        <v>0</v>
      </c>
      <c r="AH341" s="131">
        <f t="shared" si="286"/>
        <v>0</v>
      </c>
      <c r="AI341" s="115" t="s">
        <v>976</v>
      </c>
      <c r="AJ341" s="131">
        <f t="shared" si="287"/>
        <v>0</v>
      </c>
      <c r="AK341" s="131">
        <f t="shared" si="288"/>
        <v>0</v>
      </c>
      <c r="AL341" s="131">
        <f t="shared" si="289"/>
        <v>0</v>
      </c>
      <c r="AN341" s="131">
        <v>21</v>
      </c>
      <c r="AO341" s="131">
        <f t="shared" si="290"/>
        <v>0</v>
      </c>
      <c r="AP341" s="131">
        <f t="shared" si="291"/>
        <v>0</v>
      </c>
      <c r="AQ341" s="132" t="s">
        <v>343</v>
      </c>
      <c r="AV341" s="131">
        <f t="shared" si="292"/>
        <v>0</v>
      </c>
      <c r="AW341" s="131">
        <f t="shared" si="293"/>
        <v>0</v>
      </c>
      <c r="AX341" s="131">
        <f t="shared" si="294"/>
        <v>0</v>
      </c>
      <c r="AY341" s="132" t="s">
        <v>344</v>
      </c>
      <c r="AZ341" s="132" t="s">
        <v>1033</v>
      </c>
      <c r="BA341" s="115" t="s">
        <v>979</v>
      </c>
      <c r="BC341" s="131">
        <f t="shared" si="295"/>
        <v>0</v>
      </c>
      <c r="BD341" s="131">
        <f t="shared" si="296"/>
        <v>0</v>
      </c>
      <c r="BE341" s="131">
        <v>0</v>
      </c>
      <c r="BF341" s="131">
        <f>341</f>
        <v>341</v>
      </c>
      <c r="BH341" s="131">
        <f t="shared" si="297"/>
        <v>0</v>
      </c>
      <c r="BI341" s="131">
        <f t="shared" si="298"/>
        <v>0</v>
      </c>
      <c r="BJ341" s="131">
        <f t="shared" si="299"/>
        <v>0</v>
      </c>
      <c r="BK341" s="131"/>
      <c r="BL341" s="131"/>
      <c r="BW341" s="131">
        <v>21</v>
      </c>
      <c r="BX341" s="133" t="s">
        <v>825</v>
      </c>
    </row>
    <row r="342" spans="1:76" x14ac:dyDescent="0.25">
      <c r="A342" s="134" t="s">
        <v>1042</v>
      </c>
      <c r="B342" s="135" t="s">
        <v>822</v>
      </c>
      <c r="C342" s="270" t="s">
        <v>823</v>
      </c>
      <c r="D342" s="271"/>
      <c r="E342" s="135" t="s">
        <v>164</v>
      </c>
      <c r="F342" s="131">
        <v>1</v>
      </c>
      <c r="G342" s="179">
        <v>0</v>
      </c>
      <c r="H342" s="131">
        <f t="shared" si="276"/>
        <v>0</v>
      </c>
      <c r="I342" s="131">
        <f t="shared" si="277"/>
        <v>0</v>
      </c>
      <c r="J342" s="131">
        <f t="shared" si="278"/>
        <v>0</v>
      </c>
      <c r="K342" s="136" t="s">
        <v>60</v>
      </c>
      <c r="Z342" s="131">
        <f t="shared" si="279"/>
        <v>0</v>
      </c>
      <c r="AB342" s="131">
        <f t="shared" si="280"/>
        <v>0</v>
      </c>
      <c r="AC342" s="131">
        <f t="shared" si="281"/>
        <v>0</v>
      </c>
      <c r="AD342" s="131">
        <f t="shared" si="282"/>
        <v>0</v>
      </c>
      <c r="AE342" s="131">
        <f t="shared" si="283"/>
        <v>0</v>
      </c>
      <c r="AF342" s="131">
        <f t="shared" si="284"/>
        <v>0</v>
      </c>
      <c r="AG342" s="131">
        <f t="shared" si="285"/>
        <v>0</v>
      </c>
      <c r="AH342" s="131">
        <f t="shared" si="286"/>
        <v>0</v>
      </c>
      <c r="AI342" s="115" t="s">
        <v>976</v>
      </c>
      <c r="AJ342" s="131">
        <f t="shared" si="287"/>
        <v>0</v>
      </c>
      <c r="AK342" s="131">
        <f t="shared" si="288"/>
        <v>0</v>
      </c>
      <c r="AL342" s="131">
        <f t="shared" si="289"/>
        <v>0</v>
      </c>
      <c r="AN342" s="131">
        <v>21</v>
      </c>
      <c r="AO342" s="131">
        <f t="shared" si="290"/>
        <v>0</v>
      </c>
      <c r="AP342" s="131">
        <f t="shared" si="291"/>
        <v>0</v>
      </c>
      <c r="AQ342" s="132" t="s">
        <v>343</v>
      </c>
      <c r="AV342" s="131">
        <f t="shared" si="292"/>
        <v>0</v>
      </c>
      <c r="AW342" s="131">
        <f t="shared" si="293"/>
        <v>0</v>
      </c>
      <c r="AX342" s="131">
        <f t="shared" si="294"/>
        <v>0</v>
      </c>
      <c r="AY342" s="132" t="s">
        <v>344</v>
      </c>
      <c r="AZ342" s="132" t="s">
        <v>1033</v>
      </c>
      <c r="BA342" s="115" t="s">
        <v>979</v>
      </c>
      <c r="BC342" s="131">
        <f t="shared" si="295"/>
        <v>0</v>
      </c>
      <c r="BD342" s="131">
        <f t="shared" si="296"/>
        <v>0</v>
      </c>
      <c r="BE342" s="131">
        <v>0</v>
      </c>
      <c r="BF342" s="131">
        <f>342</f>
        <v>342</v>
      </c>
      <c r="BH342" s="131">
        <f t="shared" si="297"/>
        <v>0</v>
      </c>
      <c r="BI342" s="131">
        <f t="shared" si="298"/>
        <v>0</v>
      </c>
      <c r="BJ342" s="131">
        <f t="shared" si="299"/>
        <v>0</v>
      </c>
      <c r="BK342" s="131"/>
      <c r="BL342" s="131"/>
      <c r="BW342" s="131">
        <v>21</v>
      </c>
      <c r="BX342" s="133" t="s">
        <v>823</v>
      </c>
    </row>
    <row r="343" spans="1:76" x14ac:dyDescent="0.25">
      <c r="A343" s="134" t="s">
        <v>1043</v>
      </c>
      <c r="B343" s="135" t="s">
        <v>746</v>
      </c>
      <c r="C343" s="270" t="s">
        <v>747</v>
      </c>
      <c r="D343" s="271"/>
      <c r="E343" s="135" t="s">
        <v>164</v>
      </c>
      <c r="F343" s="131">
        <v>1</v>
      </c>
      <c r="G343" s="179">
        <v>0</v>
      </c>
      <c r="H343" s="131">
        <f t="shared" si="276"/>
        <v>0</v>
      </c>
      <c r="I343" s="131">
        <f t="shared" si="277"/>
        <v>0</v>
      </c>
      <c r="J343" s="131">
        <f t="shared" si="278"/>
        <v>0</v>
      </c>
      <c r="K343" s="136" t="s">
        <v>60</v>
      </c>
      <c r="Z343" s="131">
        <f t="shared" si="279"/>
        <v>0</v>
      </c>
      <c r="AB343" s="131">
        <f t="shared" si="280"/>
        <v>0</v>
      </c>
      <c r="AC343" s="131">
        <f t="shared" si="281"/>
        <v>0</v>
      </c>
      <c r="AD343" s="131">
        <f t="shared" si="282"/>
        <v>0</v>
      </c>
      <c r="AE343" s="131">
        <f t="shared" si="283"/>
        <v>0</v>
      </c>
      <c r="AF343" s="131">
        <f t="shared" si="284"/>
        <v>0</v>
      </c>
      <c r="AG343" s="131">
        <f t="shared" si="285"/>
        <v>0</v>
      </c>
      <c r="AH343" s="131">
        <f t="shared" si="286"/>
        <v>0</v>
      </c>
      <c r="AI343" s="115" t="s">
        <v>976</v>
      </c>
      <c r="AJ343" s="131">
        <f t="shared" si="287"/>
        <v>0</v>
      </c>
      <c r="AK343" s="131">
        <f t="shared" si="288"/>
        <v>0</v>
      </c>
      <c r="AL343" s="131">
        <f t="shared" si="289"/>
        <v>0</v>
      </c>
      <c r="AN343" s="131">
        <v>21</v>
      </c>
      <c r="AO343" s="131">
        <f t="shared" si="290"/>
        <v>0</v>
      </c>
      <c r="AP343" s="131">
        <f t="shared" si="291"/>
        <v>0</v>
      </c>
      <c r="AQ343" s="132" t="s">
        <v>343</v>
      </c>
      <c r="AV343" s="131">
        <f t="shared" si="292"/>
        <v>0</v>
      </c>
      <c r="AW343" s="131">
        <f t="shared" si="293"/>
        <v>0</v>
      </c>
      <c r="AX343" s="131">
        <f t="shared" si="294"/>
        <v>0</v>
      </c>
      <c r="AY343" s="132" t="s">
        <v>344</v>
      </c>
      <c r="AZ343" s="132" t="s">
        <v>1033</v>
      </c>
      <c r="BA343" s="115" t="s">
        <v>979</v>
      </c>
      <c r="BC343" s="131">
        <f t="shared" si="295"/>
        <v>0</v>
      </c>
      <c r="BD343" s="131">
        <f t="shared" si="296"/>
        <v>0</v>
      </c>
      <c r="BE343" s="131">
        <v>0</v>
      </c>
      <c r="BF343" s="131">
        <f>343</f>
        <v>343</v>
      </c>
      <c r="BH343" s="131">
        <f t="shared" si="297"/>
        <v>0</v>
      </c>
      <c r="BI343" s="131">
        <f t="shared" si="298"/>
        <v>0</v>
      </c>
      <c r="BJ343" s="131">
        <f t="shared" si="299"/>
        <v>0</v>
      </c>
      <c r="BK343" s="131"/>
      <c r="BL343" s="131"/>
      <c r="BW343" s="131">
        <v>21</v>
      </c>
      <c r="BX343" s="133" t="s">
        <v>747</v>
      </c>
    </row>
    <row r="344" spans="1:76" x14ac:dyDescent="0.25">
      <c r="A344" s="134" t="s">
        <v>1044</v>
      </c>
      <c r="B344" s="135" t="s">
        <v>966</v>
      </c>
      <c r="C344" s="270" t="s">
        <v>967</v>
      </c>
      <c r="D344" s="271"/>
      <c r="E344" s="135" t="s">
        <v>164</v>
      </c>
      <c r="F344" s="131">
        <v>1</v>
      </c>
      <c r="G344" s="179">
        <v>0</v>
      </c>
      <c r="H344" s="131">
        <f t="shared" si="276"/>
        <v>0</v>
      </c>
      <c r="I344" s="131">
        <f t="shared" si="277"/>
        <v>0</v>
      </c>
      <c r="J344" s="131">
        <f t="shared" si="278"/>
        <v>0</v>
      </c>
      <c r="K344" s="136" t="s">
        <v>939</v>
      </c>
      <c r="Z344" s="131">
        <f t="shared" si="279"/>
        <v>0</v>
      </c>
      <c r="AB344" s="131">
        <f t="shared" si="280"/>
        <v>0</v>
      </c>
      <c r="AC344" s="131">
        <f t="shared" si="281"/>
        <v>0</v>
      </c>
      <c r="AD344" s="131">
        <f t="shared" si="282"/>
        <v>0</v>
      </c>
      <c r="AE344" s="131">
        <f t="shared" si="283"/>
        <v>0</v>
      </c>
      <c r="AF344" s="131">
        <f t="shared" si="284"/>
        <v>0</v>
      </c>
      <c r="AG344" s="131">
        <f t="shared" si="285"/>
        <v>0</v>
      </c>
      <c r="AH344" s="131">
        <f t="shared" si="286"/>
        <v>0</v>
      </c>
      <c r="AI344" s="115" t="s">
        <v>976</v>
      </c>
      <c r="AJ344" s="131">
        <f t="shared" si="287"/>
        <v>0</v>
      </c>
      <c r="AK344" s="131">
        <f t="shared" si="288"/>
        <v>0</v>
      </c>
      <c r="AL344" s="131">
        <f t="shared" si="289"/>
        <v>0</v>
      </c>
      <c r="AN344" s="131">
        <v>21</v>
      </c>
      <c r="AO344" s="131">
        <f t="shared" si="290"/>
        <v>0</v>
      </c>
      <c r="AP344" s="131">
        <f t="shared" si="291"/>
        <v>0</v>
      </c>
      <c r="AQ344" s="132" t="s">
        <v>343</v>
      </c>
      <c r="AV344" s="131">
        <f t="shared" si="292"/>
        <v>0</v>
      </c>
      <c r="AW344" s="131">
        <f t="shared" si="293"/>
        <v>0</v>
      </c>
      <c r="AX344" s="131">
        <f t="shared" si="294"/>
        <v>0</v>
      </c>
      <c r="AY344" s="132" t="s">
        <v>344</v>
      </c>
      <c r="AZ344" s="132" t="s">
        <v>1033</v>
      </c>
      <c r="BA344" s="115" t="s">
        <v>979</v>
      </c>
      <c r="BC344" s="131">
        <f t="shared" si="295"/>
        <v>0</v>
      </c>
      <c r="BD344" s="131">
        <f t="shared" si="296"/>
        <v>0</v>
      </c>
      <c r="BE344" s="131">
        <v>0</v>
      </c>
      <c r="BF344" s="131">
        <f>344</f>
        <v>344</v>
      </c>
      <c r="BH344" s="131">
        <f t="shared" si="297"/>
        <v>0</v>
      </c>
      <c r="BI344" s="131">
        <f t="shared" si="298"/>
        <v>0</v>
      </c>
      <c r="BJ344" s="131">
        <f t="shared" si="299"/>
        <v>0</v>
      </c>
      <c r="BK344" s="131"/>
      <c r="BL344" s="131"/>
      <c r="BW344" s="131">
        <v>21</v>
      </c>
      <c r="BX344" s="133" t="s">
        <v>967</v>
      </c>
    </row>
    <row r="345" spans="1:76" x14ac:dyDescent="0.25">
      <c r="A345" s="134" t="s">
        <v>1045</v>
      </c>
      <c r="B345" s="135" t="s">
        <v>826</v>
      </c>
      <c r="C345" s="270" t="s">
        <v>749</v>
      </c>
      <c r="D345" s="271"/>
      <c r="E345" s="135" t="s">
        <v>164</v>
      </c>
      <c r="F345" s="131">
        <v>1</v>
      </c>
      <c r="G345" s="179">
        <v>0</v>
      </c>
      <c r="H345" s="131">
        <f t="shared" si="276"/>
        <v>0</v>
      </c>
      <c r="I345" s="131">
        <f t="shared" si="277"/>
        <v>0</v>
      </c>
      <c r="J345" s="131">
        <f t="shared" si="278"/>
        <v>0</v>
      </c>
      <c r="K345" s="136" t="s">
        <v>60</v>
      </c>
      <c r="Z345" s="131">
        <f t="shared" si="279"/>
        <v>0</v>
      </c>
      <c r="AB345" s="131">
        <f t="shared" si="280"/>
        <v>0</v>
      </c>
      <c r="AC345" s="131">
        <f t="shared" si="281"/>
        <v>0</v>
      </c>
      <c r="AD345" s="131">
        <f t="shared" si="282"/>
        <v>0</v>
      </c>
      <c r="AE345" s="131">
        <f t="shared" si="283"/>
        <v>0</v>
      </c>
      <c r="AF345" s="131">
        <f t="shared" si="284"/>
        <v>0</v>
      </c>
      <c r="AG345" s="131">
        <f t="shared" si="285"/>
        <v>0</v>
      </c>
      <c r="AH345" s="131">
        <f t="shared" si="286"/>
        <v>0</v>
      </c>
      <c r="AI345" s="115" t="s">
        <v>976</v>
      </c>
      <c r="AJ345" s="131">
        <f t="shared" si="287"/>
        <v>0</v>
      </c>
      <c r="AK345" s="131">
        <f t="shared" si="288"/>
        <v>0</v>
      </c>
      <c r="AL345" s="131">
        <f t="shared" si="289"/>
        <v>0</v>
      </c>
      <c r="AN345" s="131">
        <v>21</v>
      </c>
      <c r="AO345" s="131">
        <f t="shared" si="290"/>
        <v>0</v>
      </c>
      <c r="AP345" s="131">
        <f t="shared" si="291"/>
        <v>0</v>
      </c>
      <c r="AQ345" s="132" t="s">
        <v>343</v>
      </c>
      <c r="AV345" s="131">
        <f t="shared" si="292"/>
        <v>0</v>
      </c>
      <c r="AW345" s="131">
        <f t="shared" si="293"/>
        <v>0</v>
      </c>
      <c r="AX345" s="131">
        <f t="shared" si="294"/>
        <v>0</v>
      </c>
      <c r="AY345" s="132" t="s">
        <v>344</v>
      </c>
      <c r="AZ345" s="132" t="s">
        <v>1033</v>
      </c>
      <c r="BA345" s="115" t="s">
        <v>979</v>
      </c>
      <c r="BC345" s="131">
        <f t="shared" si="295"/>
        <v>0</v>
      </c>
      <c r="BD345" s="131">
        <f t="shared" si="296"/>
        <v>0</v>
      </c>
      <c r="BE345" s="131">
        <v>0</v>
      </c>
      <c r="BF345" s="131">
        <f>345</f>
        <v>345</v>
      </c>
      <c r="BH345" s="131">
        <f t="shared" si="297"/>
        <v>0</v>
      </c>
      <c r="BI345" s="131">
        <f t="shared" si="298"/>
        <v>0</v>
      </c>
      <c r="BJ345" s="131">
        <f t="shared" si="299"/>
        <v>0</v>
      </c>
      <c r="BK345" s="131"/>
      <c r="BL345" s="131"/>
      <c r="BW345" s="131">
        <v>21</v>
      </c>
      <c r="BX345" s="133" t="s">
        <v>749</v>
      </c>
    </row>
    <row r="346" spans="1:76" x14ac:dyDescent="0.25">
      <c r="A346" s="134" t="s">
        <v>1046</v>
      </c>
      <c r="B346" s="135" t="s">
        <v>827</v>
      </c>
      <c r="C346" s="270" t="s">
        <v>828</v>
      </c>
      <c r="D346" s="271"/>
      <c r="E346" s="135" t="s">
        <v>164</v>
      </c>
      <c r="F346" s="131">
        <v>2</v>
      </c>
      <c r="G346" s="179">
        <v>0</v>
      </c>
      <c r="H346" s="131">
        <f t="shared" si="276"/>
        <v>0</v>
      </c>
      <c r="I346" s="131">
        <f t="shared" si="277"/>
        <v>0</v>
      </c>
      <c r="J346" s="131">
        <f t="shared" si="278"/>
        <v>0</v>
      </c>
      <c r="K346" s="136" t="s">
        <v>1040</v>
      </c>
      <c r="Z346" s="131">
        <f t="shared" si="279"/>
        <v>0</v>
      </c>
      <c r="AB346" s="131">
        <f t="shared" si="280"/>
        <v>0</v>
      </c>
      <c r="AC346" s="131">
        <f t="shared" si="281"/>
        <v>0</v>
      </c>
      <c r="AD346" s="131">
        <f t="shared" si="282"/>
        <v>0</v>
      </c>
      <c r="AE346" s="131">
        <f t="shared" si="283"/>
        <v>0</v>
      </c>
      <c r="AF346" s="131">
        <f t="shared" si="284"/>
        <v>0</v>
      </c>
      <c r="AG346" s="131">
        <f t="shared" si="285"/>
        <v>0</v>
      </c>
      <c r="AH346" s="131">
        <f t="shared" si="286"/>
        <v>0</v>
      </c>
      <c r="AI346" s="115" t="s">
        <v>976</v>
      </c>
      <c r="AJ346" s="131">
        <f t="shared" si="287"/>
        <v>0</v>
      </c>
      <c r="AK346" s="131">
        <f t="shared" si="288"/>
        <v>0</v>
      </c>
      <c r="AL346" s="131">
        <f t="shared" si="289"/>
        <v>0</v>
      </c>
      <c r="AN346" s="131">
        <v>21</v>
      </c>
      <c r="AO346" s="131">
        <f t="shared" si="290"/>
        <v>0</v>
      </c>
      <c r="AP346" s="131">
        <f t="shared" si="291"/>
        <v>0</v>
      </c>
      <c r="AQ346" s="132" t="s">
        <v>343</v>
      </c>
      <c r="AV346" s="131">
        <f t="shared" si="292"/>
        <v>0</v>
      </c>
      <c r="AW346" s="131">
        <f t="shared" si="293"/>
        <v>0</v>
      </c>
      <c r="AX346" s="131">
        <f t="shared" si="294"/>
        <v>0</v>
      </c>
      <c r="AY346" s="132" t="s">
        <v>344</v>
      </c>
      <c r="AZ346" s="132" t="s">
        <v>1033</v>
      </c>
      <c r="BA346" s="115" t="s">
        <v>979</v>
      </c>
      <c r="BC346" s="131">
        <f t="shared" si="295"/>
        <v>0</v>
      </c>
      <c r="BD346" s="131">
        <f t="shared" si="296"/>
        <v>0</v>
      </c>
      <c r="BE346" s="131">
        <v>0</v>
      </c>
      <c r="BF346" s="131">
        <f>346</f>
        <v>346</v>
      </c>
      <c r="BH346" s="131">
        <f t="shared" si="297"/>
        <v>0</v>
      </c>
      <c r="BI346" s="131">
        <f t="shared" si="298"/>
        <v>0</v>
      </c>
      <c r="BJ346" s="131">
        <f t="shared" si="299"/>
        <v>0</v>
      </c>
      <c r="BK346" s="131"/>
      <c r="BL346" s="131"/>
      <c r="BW346" s="131">
        <v>21</v>
      </c>
      <c r="BX346" s="133" t="s">
        <v>828</v>
      </c>
    </row>
    <row r="347" spans="1:76" x14ac:dyDescent="0.25">
      <c r="A347" s="134" t="s">
        <v>1047</v>
      </c>
      <c r="B347" s="135" t="s">
        <v>1048</v>
      </c>
      <c r="C347" s="270" t="s">
        <v>1049</v>
      </c>
      <c r="D347" s="271"/>
      <c r="E347" s="135" t="s">
        <v>164</v>
      </c>
      <c r="F347" s="131">
        <v>2</v>
      </c>
      <c r="G347" s="179">
        <v>0</v>
      </c>
      <c r="H347" s="131">
        <f t="shared" si="276"/>
        <v>0</v>
      </c>
      <c r="I347" s="131">
        <f t="shared" si="277"/>
        <v>0</v>
      </c>
      <c r="J347" s="131">
        <f t="shared" si="278"/>
        <v>0</v>
      </c>
      <c r="K347" s="136" t="s">
        <v>1040</v>
      </c>
      <c r="Z347" s="131">
        <f t="shared" si="279"/>
        <v>0</v>
      </c>
      <c r="AB347" s="131">
        <f t="shared" si="280"/>
        <v>0</v>
      </c>
      <c r="AC347" s="131">
        <f t="shared" si="281"/>
        <v>0</v>
      </c>
      <c r="AD347" s="131">
        <f t="shared" si="282"/>
        <v>0</v>
      </c>
      <c r="AE347" s="131">
        <f t="shared" si="283"/>
        <v>0</v>
      </c>
      <c r="AF347" s="131">
        <f t="shared" si="284"/>
        <v>0</v>
      </c>
      <c r="AG347" s="131">
        <f t="shared" si="285"/>
        <v>0</v>
      </c>
      <c r="AH347" s="131">
        <f t="shared" si="286"/>
        <v>0</v>
      </c>
      <c r="AI347" s="115" t="s">
        <v>976</v>
      </c>
      <c r="AJ347" s="131">
        <f t="shared" si="287"/>
        <v>0</v>
      </c>
      <c r="AK347" s="131">
        <f t="shared" si="288"/>
        <v>0</v>
      </c>
      <c r="AL347" s="131">
        <f t="shared" si="289"/>
        <v>0</v>
      </c>
      <c r="AN347" s="131">
        <v>21</v>
      </c>
      <c r="AO347" s="131">
        <f t="shared" si="290"/>
        <v>0</v>
      </c>
      <c r="AP347" s="131">
        <f t="shared" si="291"/>
        <v>0</v>
      </c>
      <c r="AQ347" s="132" t="s">
        <v>343</v>
      </c>
      <c r="AV347" s="131">
        <f t="shared" si="292"/>
        <v>0</v>
      </c>
      <c r="AW347" s="131">
        <f t="shared" si="293"/>
        <v>0</v>
      </c>
      <c r="AX347" s="131">
        <f t="shared" si="294"/>
        <v>0</v>
      </c>
      <c r="AY347" s="132" t="s">
        <v>344</v>
      </c>
      <c r="AZ347" s="132" t="s">
        <v>1033</v>
      </c>
      <c r="BA347" s="115" t="s">
        <v>979</v>
      </c>
      <c r="BC347" s="131">
        <f t="shared" si="295"/>
        <v>0</v>
      </c>
      <c r="BD347" s="131">
        <f t="shared" si="296"/>
        <v>0</v>
      </c>
      <c r="BE347" s="131">
        <v>0</v>
      </c>
      <c r="BF347" s="131">
        <f>347</f>
        <v>347</v>
      </c>
      <c r="BH347" s="131">
        <f t="shared" si="297"/>
        <v>0</v>
      </c>
      <c r="BI347" s="131">
        <f t="shared" si="298"/>
        <v>0</v>
      </c>
      <c r="BJ347" s="131">
        <f t="shared" si="299"/>
        <v>0</v>
      </c>
      <c r="BK347" s="131"/>
      <c r="BL347" s="131"/>
      <c r="BW347" s="131">
        <v>21</v>
      </c>
      <c r="BX347" s="133" t="s">
        <v>1049</v>
      </c>
    </row>
    <row r="348" spans="1:76" x14ac:dyDescent="0.25">
      <c r="A348" s="134" t="s">
        <v>597</v>
      </c>
      <c r="B348" s="135" t="s">
        <v>752</v>
      </c>
      <c r="C348" s="270" t="s">
        <v>753</v>
      </c>
      <c r="D348" s="271"/>
      <c r="E348" s="135" t="s">
        <v>164</v>
      </c>
      <c r="F348" s="131">
        <v>4</v>
      </c>
      <c r="G348" s="179">
        <v>0</v>
      </c>
      <c r="H348" s="131">
        <f t="shared" si="276"/>
        <v>0</v>
      </c>
      <c r="I348" s="131">
        <f t="shared" si="277"/>
        <v>0</v>
      </c>
      <c r="J348" s="131">
        <f t="shared" si="278"/>
        <v>0</v>
      </c>
      <c r="K348" s="136" t="s">
        <v>60</v>
      </c>
      <c r="Z348" s="131">
        <f t="shared" si="279"/>
        <v>0</v>
      </c>
      <c r="AB348" s="131">
        <f t="shared" si="280"/>
        <v>0</v>
      </c>
      <c r="AC348" s="131">
        <f t="shared" si="281"/>
        <v>0</v>
      </c>
      <c r="AD348" s="131">
        <f t="shared" si="282"/>
        <v>0</v>
      </c>
      <c r="AE348" s="131">
        <f t="shared" si="283"/>
        <v>0</v>
      </c>
      <c r="AF348" s="131">
        <f t="shared" si="284"/>
        <v>0</v>
      </c>
      <c r="AG348" s="131">
        <f t="shared" si="285"/>
        <v>0</v>
      </c>
      <c r="AH348" s="131">
        <f t="shared" si="286"/>
        <v>0</v>
      </c>
      <c r="AI348" s="115" t="s">
        <v>976</v>
      </c>
      <c r="AJ348" s="131">
        <f t="shared" si="287"/>
        <v>0</v>
      </c>
      <c r="AK348" s="131">
        <f t="shared" si="288"/>
        <v>0</v>
      </c>
      <c r="AL348" s="131">
        <f t="shared" si="289"/>
        <v>0</v>
      </c>
      <c r="AN348" s="131">
        <v>21</v>
      </c>
      <c r="AO348" s="131">
        <f t="shared" si="290"/>
        <v>0</v>
      </c>
      <c r="AP348" s="131">
        <f t="shared" si="291"/>
        <v>0</v>
      </c>
      <c r="AQ348" s="132" t="s">
        <v>343</v>
      </c>
      <c r="AV348" s="131">
        <f t="shared" si="292"/>
        <v>0</v>
      </c>
      <c r="AW348" s="131">
        <f t="shared" si="293"/>
        <v>0</v>
      </c>
      <c r="AX348" s="131">
        <f t="shared" si="294"/>
        <v>0</v>
      </c>
      <c r="AY348" s="132" t="s">
        <v>344</v>
      </c>
      <c r="AZ348" s="132" t="s">
        <v>1033</v>
      </c>
      <c r="BA348" s="115" t="s">
        <v>979</v>
      </c>
      <c r="BC348" s="131">
        <f t="shared" si="295"/>
        <v>0</v>
      </c>
      <c r="BD348" s="131">
        <f t="shared" si="296"/>
        <v>0</v>
      </c>
      <c r="BE348" s="131">
        <v>0</v>
      </c>
      <c r="BF348" s="131">
        <f>348</f>
        <v>348</v>
      </c>
      <c r="BH348" s="131">
        <f t="shared" si="297"/>
        <v>0</v>
      </c>
      <c r="BI348" s="131">
        <f t="shared" si="298"/>
        <v>0</v>
      </c>
      <c r="BJ348" s="131">
        <f t="shared" si="299"/>
        <v>0</v>
      </c>
      <c r="BK348" s="131"/>
      <c r="BL348" s="131"/>
      <c r="BW348" s="131">
        <v>21</v>
      </c>
      <c r="BX348" s="133" t="s">
        <v>753</v>
      </c>
    </row>
    <row r="349" spans="1:76" x14ac:dyDescent="0.25">
      <c r="A349" s="134" t="s">
        <v>1050</v>
      </c>
      <c r="B349" s="135" t="s">
        <v>829</v>
      </c>
      <c r="C349" s="270" t="s">
        <v>830</v>
      </c>
      <c r="D349" s="271"/>
      <c r="E349" s="135" t="s">
        <v>831</v>
      </c>
      <c r="F349" s="131">
        <v>81.27</v>
      </c>
      <c r="G349" s="179">
        <v>0</v>
      </c>
      <c r="H349" s="131">
        <f t="shared" si="276"/>
        <v>0</v>
      </c>
      <c r="I349" s="131">
        <f t="shared" si="277"/>
        <v>0</v>
      </c>
      <c r="J349" s="131">
        <f t="shared" si="278"/>
        <v>0</v>
      </c>
      <c r="K349" s="136" t="s">
        <v>60</v>
      </c>
      <c r="Z349" s="131">
        <f t="shared" si="279"/>
        <v>0</v>
      </c>
      <c r="AB349" s="131">
        <f t="shared" si="280"/>
        <v>0</v>
      </c>
      <c r="AC349" s="131">
        <f t="shared" si="281"/>
        <v>0</v>
      </c>
      <c r="AD349" s="131">
        <f t="shared" si="282"/>
        <v>0</v>
      </c>
      <c r="AE349" s="131">
        <f t="shared" si="283"/>
        <v>0</v>
      </c>
      <c r="AF349" s="131">
        <f t="shared" si="284"/>
        <v>0</v>
      </c>
      <c r="AG349" s="131">
        <f t="shared" si="285"/>
        <v>0</v>
      </c>
      <c r="AH349" s="131">
        <f t="shared" si="286"/>
        <v>0</v>
      </c>
      <c r="AI349" s="115" t="s">
        <v>976</v>
      </c>
      <c r="AJ349" s="131">
        <f t="shared" si="287"/>
        <v>0</v>
      </c>
      <c r="AK349" s="131">
        <f t="shared" si="288"/>
        <v>0</v>
      </c>
      <c r="AL349" s="131">
        <f t="shared" si="289"/>
        <v>0</v>
      </c>
      <c r="AN349" s="131">
        <v>21</v>
      </c>
      <c r="AO349" s="131">
        <f t="shared" si="290"/>
        <v>0</v>
      </c>
      <c r="AP349" s="131">
        <f t="shared" si="291"/>
        <v>0</v>
      </c>
      <c r="AQ349" s="132" t="s">
        <v>343</v>
      </c>
      <c r="AV349" s="131">
        <f t="shared" si="292"/>
        <v>0</v>
      </c>
      <c r="AW349" s="131">
        <f t="shared" si="293"/>
        <v>0</v>
      </c>
      <c r="AX349" s="131">
        <f t="shared" si="294"/>
        <v>0</v>
      </c>
      <c r="AY349" s="132" t="s">
        <v>344</v>
      </c>
      <c r="AZ349" s="132" t="s">
        <v>1033</v>
      </c>
      <c r="BA349" s="115" t="s">
        <v>979</v>
      </c>
      <c r="BC349" s="131">
        <f t="shared" si="295"/>
        <v>0</v>
      </c>
      <c r="BD349" s="131">
        <f t="shared" si="296"/>
        <v>0</v>
      </c>
      <c r="BE349" s="131">
        <v>0</v>
      </c>
      <c r="BF349" s="131">
        <f>349</f>
        <v>349</v>
      </c>
      <c r="BH349" s="131">
        <f t="shared" si="297"/>
        <v>0</v>
      </c>
      <c r="BI349" s="131">
        <f t="shared" si="298"/>
        <v>0</v>
      </c>
      <c r="BJ349" s="131">
        <f t="shared" si="299"/>
        <v>0</v>
      </c>
      <c r="BK349" s="131"/>
      <c r="BL349" s="131"/>
      <c r="BW349" s="131">
        <v>21</v>
      </c>
      <c r="BX349" s="133" t="s">
        <v>830</v>
      </c>
    </row>
    <row r="350" spans="1:76" x14ac:dyDescent="0.25">
      <c r="A350" s="123" t="s">
        <v>53</v>
      </c>
      <c r="B350" s="124" t="s">
        <v>409</v>
      </c>
      <c r="C350" s="272" t="s">
        <v>410</v>
      </c>
      <c r="D350" s="273"/>
      <c r="E350" s="125" t="s">
        <v>9</v>
      </c>
      <c r="F350" s="125" t="s">
        <v>9</v>
      </c>
      <c r="G350" s="125" t="s">
        <v>9</v>
      </c>
      <c r="H350" s="110">
        <f>H351+H353+H355</f>
        <v>0</v>
      </c>
      <c r="I350" s="110">
        <f>I351+I353+I355</f>
        <v>0</v>
      </c>
      <c r="J350" s="110">
        <f>J351+J353+J355</f>
        <v>0</v>
      </c>
      <c r="K350" s="126" t="s">
        <v>53</v>
      </c>
      <c r="AI350" s="115" t="s">
        <v>976</v>
      </c>
    </row>
    <row r="351" spans="1:76" x14ac:dyDescent="0.25">
      <c r="A351" s="123" t="s">
        <v>53</v>
      </c>
      <c r="B351" s="124" t="s">
        <v>411</v>
      </c>
      <c r="C351" s="272" t="s">
        <v>412</v>
      </c>
      <c r="D351" s="273"/>
      <c r="E351" s="125" t="s">
        <v>9</v>
      </c>
      <c r="F351" s="125" t="s">
        <v>9</v>
      </c>
      <c r="G351" s="125" t="s">
        <v>9</v>
      </c>
      <c r="H351" s="110">
        <f>SUM(H352:H352)</f>
        <v>0</v>
      </c>
      <c r="I351" s="110">
        <f>SUM(I352:I352)</f>
        <v>0</v>
      </c>
      <c r="J351" s="110">
        <f>SUM(J352:J352)</f>
        <v>0</v>
      </c>
      <c r="K351" s="126" t="s">
        <v>53</v>
      </c>
      <c r="AI351" s="115" t="s">
        <v>976</v>
      </c>
      <c r="AS351" s="110">
        <f>SUM(AJ352:AJ352)</f>
        <v>0</v>
      </c>
      <c r="AT351" s="110">
        <f>SUM(AK352:AK352)</f>
        <v>0</v>
      </c>
      <c r="AU351" s="110">
        <f>SUM(AL352:AL352)</f>
        <v>0</v>
      </c>
    </row>
    <row r="352" spans="1:76" x14ac:dyDescent="0.25">
      <c r="A352" s="134" t="s">
        <v>1051</v>
      </c>
      <c r="B352" s="135" t="s">
        <v>414</v>
      </c>
      <c r="C352" s="270" t="s">
        <v>415</v>
      </c>
      <c r="D352" s="271"/>
      <c r="E352" s="135" t="s">
        <v>416</v>
      </c>
      <c r="F352" s="131">
        <v>1</v>
      </c>
      <c r="G352" s="179">
        <v>0</v>
      </c>
      <c r="H352" s="131">
        <f>F352*AO352</f>
        <v>0</v>
      </c>
      <c r="I352" s="131">
        <f>F352*AP352</f>
        <v>0</v>
      </c>
      <c r="J352" s="131">
        <f>F352*G352</f>
        <v>0</v>
      </c>
      <c r="K352" s="136" t="s">
        <v>53</v>
      </c>
      <c r="Z352" s="131">
        <f>IF(AQ352="5",BJ352,0)</f>
        <v>0</v>
      </c>
      <c r="AB352" s="131">
        <f>IF(AQ352="1",BH352,0)</f>
        <v>0</v>
      </c>
      <c r="AC352" s="131">
        <f>IF(AQ352="1",BI352,0)</f>
        <v>0</v>
      </c>
      <c r="AD352" s="131">
        <f>IF(AQ352="7",BH352,0)</f>
        <v>0</v>
      </c>
      <c r="AE352" s="131">
        <f>IF(AQ352="7",BI352,0)</f>
        <v>0</v>
      </c>
      <c r="AF352" s="131">
        <f>IF(AQ352="2",BH352,0)</f>
        <v>0</v>
      </c>
      <c r="AG352" s="131">
        <f>IF(AQ352="2",BI352,0)</f>
        <v>0</v>
      </c>
      <c r="AH352" s="131">
        <f>IF(AQ352="0",BJ352,0)</f>
        <v>0</v>
      </c>
      <c r="AI352" s="115" t="s">
        <v>976</v>
      </c>
      <c r="AJ352" s="131">
        <f>IF(AN352=0,J352,0)</f>
        <v>0</v>
      </c>
      <c r="AK352" s="131">
        <f>IF(AN352=12,J352,0)</f>
        <v>0</v>
      </c>
      <c r="AL352" s="131">
        <f>IF(AN352=21,J352,0)</f>
        <v>0</v>
      </c>
      <c r="AN352" s="131">
        <v>21</v>
      </c>
      <c r="AO352" s="131">
        <f>G352*0</f>
        <v>0</v>
      </c>
      <c r="AP352" s="131">
        <f>G352*(1-0)</f>
        <v>0</v>
      </c>
      <c r="AQ352" s="132" t="s">
        <v>405</v>
      </c>
      <c r="AV352" s="131">
        <f>AW352+AX352</f>
        <v>0</v>
      </c>
      <c r="AW352" s="131">
        <f>F352*AO352</f>
        <v>0</v>
      </c>
      <c r="AX352" s="131">
        <f>F352*AP352</f>
        <v>0</v>
      </c>
      <c r="AY352" s="132" t="s">
        <v>417</v>
      </c>
      <c r="AZ352" s="132" t="s">
        <v>1052</v>
      </c>
      <c r="BA352" s="115" t="s">
        <v>979</v>
      </c>
      <c r="BC352" s="131">
        <f>AW352+AX352</f>
        <v>0</v>
      </c>
      <c r="BD352" s="131">
        <f>G352/(100-BE352)*100</f>
        <v>0</v>
      </c>
      <c r="BE352" s="131">
        <v>0</v>
      </c>
      <c r="BF352" s="131">
        <f>352</f>
        <v>352</v>
      </c>
      <c r="BH352" s="131">
        <f>F352*AO352</f>
        <v>0</v>
      </c>
      <c r="BI352" s="131">
        <f>F352*AP352</f>
        <v>0</v>
      </c>
      <c r="BJ352" s="131">
        <f>F352*G352</f>
        <v>0</v>
      </c>
      <c r="BK352" s="131"/>
      <c r="BL352" s="131"/>
      <c r="BM352" s="131">
        <f>F352*G352</f>
        <v>0</v>
      </c>
      <c r="BW352" s="131">
        <v>21</v>
      </c>
      <c r="BX352" s="133" t="s">
        <v>415</v>
      </c>
    </row>
    <row r="353" spans="1:76" x14ac:dyDescent="0.25">
      <c r="A353" s="123" t="s">
        <v>53</v>
      </c>
      <c r="B353" s="124" t="s">
        <v>419</v>
      </c>
      <c r="C353" s="272" t="s">
        <v>420</v>
      </c>
      <c r="D353" s="273"/>
      <c r="E353" s="125" t="s">
        <v>9</v>
      </c>
      <c r="F353" s="125" t="s">
        <v>9</v>
      </c>
      <c r="G353" s="125" t="s">
        <v>9</v>
      </c>
      <c r="H353" s="110">
        <f>SUM(H354:H354)</f>
        <v>0</v>
      </c>
      <c r="I353" s="110">
        <f>SUM(I354:I354)</f>
        <v>0</v>
      </c>
      <c r="J353" s="110">
        <f>SUM(J354:J354)</f>
        <v>0</v>
      </c>
      <c r="K353" s="126" t="s">
        <v>53</v>
      </c>
      <c r="AI353" s="115" t="s">
        <v>976</v>
      </c>
      <c r="AS353" s="110">
        <f>SUM(AJ354:AJ354)</f>
        <v>0</v>
      </c>
      <c r="AT353" s="110">
        <f>SUM(AK354:AK354)</f>
        <v>0</v>
      </c>
      <c r="AU353" s="110">
        <f>SUM(AL354:AL354)</f>
        <v>0</v>
      </c>
    </row>
    <row r="354" spans="1:76" x14ac:dyDescent="0.25">
      <c r="A354" s="134" t="s">
        <v>1053</v>
      </c>
      <c r="B354" s="135" t="s">
        <v>422</v>
      </c>
      <c r="C354" s="270" t="s">
        <v>420</v>
      </c>
      <c r="D354" s="271"/>
      <c r="E354" s="135" t="s">
        <v>416</v>
      </c>
      <c r="F354" s="131">
        <v>1</v>
      </c>
      <c r="G354" s="179">
        <v>0</v>
      </c>
      <c r="H354" s="131">
        <f>F354*AO354</f>
        <v>0</v>
      </c>
      <c r="I354" s="131">
        <f>F354*AP354</f>
        <v>0</v>
      </c>
      <c r="J354" s="131">
        <f>F354*G354</f>
        <v>0</v>
      </c>
      <c r="K354" s="136" t="s">
        <v>53</v>
      </c>
      <c r="Z354" s="131">
        <f>IF(AQ354="5",BJ354,0)</f>
        <v>0</v>
      </c>
      <c r="AB354" s="131">
        <f>IF(AQ354="1",BH354,0)</f>
        <v>0</v>
      </c>
      <c r="AC354" s="131">
        <f>IF(AQ354="1",BI354,0)</f>
        <v>0</v>
      </c>
      <c r="AD354" s="131">
        <f>IF(AQ354="7",BH354,0)</f>
        <v>0</v>
      </c>
      <c r="AE354" s="131">
        <f>IF(AQ354="7",BI354,0)</f>
        <v>0</v>
      </c>
      <c r="AF354" s="131">
        <f>IF(AQ354="2",BH354,0)</f>
        <v>0</v>
      </c>
      <c r="AG354" s="131">
        <f>IF(AQ354="2",BI354,0)</f>
        <v>0</v>
      </c>
      <c r="AH354" s="131">
        <f>IF(AQ354="0",BJ354,0)</f>
        <v>0</v>
      </c>
      <c r="AI354" s="115" t="s">
        <v>976</v>
      </c>
      <c r="AJ354" s="131">
        <f>IF(AN354=0,J354,0)</f>
        <v>0</v>
      </c>
      <c r="AK354" s="131">
        <f>IF(AN354=12,J354,0)</f>
        <v>0</v>
      </c>
      <c r="AL354" s="131">
        <f>IF(AN354=21,J354,0)</f>
        <v>0</v>
      </c>
      <c r="AN354" s="131">
        <v>21</v>
      </c>
      <c r="AO354" s="131">
        <f>G354*0</f>
        <v>0</v>
      </c>
      <c r="AP354" s="131">
        <f>G354*(1-0)</f>
        <v>0</v>
      </c>
      <c r="AQ354" s="132" t="s">
        <v>405</v>
      </c>
      <c r="AV354" s="131">
        <f>AW354+AX354</f>
        <v>0</v>
      </c>
      <c r="AW354" s="131">
        <f>F354*AO354</f>
        <v>0</v>
      </c>
      <c r="AX354" s="131">
        <f>F354*AP354</f>
        <v>0</v>
      </c>
      <c r="AY354" s="132" t="s">
        <v>423</v>
      </c>
      <c r="AZ354" s="132" t="s">
        <v>1052</v>
      </c>
      <c r="BA354" s="115" t="s">
        <v>979</v>
      </c>
      <c r="BC354" s="131">
        <f>AW354+AX354</f>
        <v>0</v>
      </c>
      <c r="BD354" s="131">
        <f>G354/(100-BE354)*100</f>
        <v>0</v>
      </c>
      <c r="BE354" s="131">
        <v>0</v>
      </c>
      <c r="BF354" s="131">
        <f>354</f>
        <v>354</v>
      </c>
      <c r="BH354" s="131">
        <f>F354*AO354</f>
        <v>0</v>
      </c>
      <c r="BI354" s="131">
        <f>F354*AP354</f>
        <v>0</v>
      </c>
      <c r="BJ354" s="131">
        <f>F354*G354</f>
        <v>0</v>
      </c>
      <c r="BK354" s="131"/>
      <c r="BL354" s="131"/>
      <c r="BO354" s="131">
        <f>F354*G354</f>
        <v>0</v>
      </c>
      <c r="BW354" s="131">
        <v>21</v>
      </c>
      <c r="BX354" s="133" t="s">
        <v>420</v>
      </c>
    </row>
    <row r="355" spans="1:76" x14ac:dyDescent="0.25">
      <c r="A355" s="123" t="s">
        <v>53</v>
      </c>
      <c r="B355" s="124" t="s">
        <v>424</v>
      </c>
      <c r="C355" s="272" t="s">
        <v>425</v>
      </c>
      <c r="D355" s="273"/>
      <c r="E355" s="125" t="s">
        <v>9</v>
      </c>
      <c r="F355" s="125" t="s">
        <v>9</v>
      </c>
      <c r="G355" s="125" t="s">
        <v>9</v>
      </c>
      <c r="H355" s="110">
        <f>SUM(H356:H356)</f>
        <v>0</v>
      </c>
      <c r="I355" s="110">
        <f>SUM(I356:I356)</f>
        <v>0</v>
      </c>
      <c r="J355" s="110">
        <f>SUM(J356:J356)</f>
        <v>0</v>
      </c>
      <c r="K355" s="126" t="s">
        <v>53</v>
      </c>
      <c r="AI355" s="115" t="s">
        <v>976</v>
      </c>
      <c r="AS355" s="110">
        <f>SUM(AJ356:AJ356)</f>
        <v>0</v>
      </c>
      <c r="AT355" s="110">
        <f>SUM(AK356:AK356)</f>
        <v>0</v>
      </c>
      <c r="AU355" s="110">
        <f>SUM(AL356:AL356)</f>
        <v>0</v>
      </c>
    </row>
    <row r="356" spans="1:76" x14ac:dyDescent="0.25">
      <c r="A356" s="134" t="s">
        <v>1054</v>
      </c>
      <c r="B356" s="135" t="s">
        <v>427</v>
      </c>
      <c r="C356" s="270" t="s">
        <v>428</v>
      </c>
      <c r="D356" s="271"/>
      <c r="E356" s="135" t="s">
        <v>416</v>
      </c>
      <c r="F356" s="131">
        <v>1</v>
      </c>
      <c r="G356" s="179">
        <v>0</v>
      </c>
      <c r="H356" s="131">
        <f>F356*AO356</f>
        <v>0</v>
      </c>
      <c r="I356" s="131">
        <f>F356*AP356</f>
        <v>0</v>
      </c>
      <c r="J356" s="131">
        <f>F356*G356</f>
        <v>0</v>
      </c>
      <c r="K356" s="136" t="s">
        <v>53</v>
      </c>
      <c r="Z356" s="131">
        <f>IF(AQ356="5",BJ356,0)</f>
        <v>0</v>
      </c>
      <c r="AB356" s="131">
        <f>IF(AQ356="1",BH356,0)</f>
        <v>0</v>
      </c>
      <c r="AC356" s="131">
        <f>IF(AQ356="1",BI356,0)</f>
        <v>0</v>
      </c>
      <c r="AD356" s="131">
        <f>IF(AQ356="7",BH356,0)</f>
        <v>0</v>
      </c>
      <c r="AE356" s="131">
        <f>IF(AQ356="7",BI356,0)</f>
        <v>0</v>
      </c>
      <c r="AF356" s="131">
        <f>IF(AQ356="2",BH356,0)</f>
        <v>0</v>
      </c>
      <c r="AG356" s="131">
        <f>IF(AQ356="2",BI356,0)</f>
        <v>0</v>
      </c>
      <c r="AH356" s="131">
        <f>IF(AQ356="0",BJ356,0)</f>
        <v>0</v>
      </c>
      <c r="AI356" s="115" t="s">
        <v>976</v>
      </c>
      <c r="AJ356" s="131">
        <f>IF(AN356=0,J356,0)</f>
        <v>0</v>
      </c>
      <c r="AK356" s="131">
        <f>IF(AN356=12,J356,0)</f>
        <v>0</v>
      </c>
      <c r="AL356" s="131">
        <f>IF(AN356=21,J356,0)</f>
        <v>0</v>
      </c>
      <c r="AN356" s="131">
        <v>21</v>
      </c>
      <c r="AO356" s="131">
        <f>G356*0</f>
        <v>0</v>
      </c>
      <c r="AP356" s="131">
        <f>G356*(1-0)</f>
        <v>0</v>
      </c>
      <c r="AQ356" s="132" t="s">
        <v>405</v>
      </c>
      <c r="AV356" s="131">
        <f>AW356+AX356</f>
        <v>0</v>
      </c>
      <c r="AW356" s="131">
        <f>F356*AO356</f>
        <v>0</v>
      </c>
      <c r="AX356" s="131">
        <f>F356*AP356</f>
        <v>0</v>
      </c>
      <c r="AY356" s="132" t="s">
        <v>429</v>
      </c>
      <c r="AZ356" s="132" t="s">
        <v>1052</v>
      </c>
      <c r="BA356" s="115" t="s">
        <v>979</v>
      </c>
      <c r="BC356" s="131">
        <f>AW356+AX356</f>
        <v>0</v>
      </c>
      <c r="BD356" s="131">
        <f>G356/(100-BE356)*100</f>
        <v>0</v>
      </c>
      <c r="BE356" s="131">
        <v>0</v>
      </c>
      <c r="BF356" s="131">
        <f>356</f>
        <v>356</v>
      </c>
      <c r="BH356" s="131">
        <f>F356*AO356</f>
        <v>0</v>
      </c>
      <c r="BI356" s="131">
        <f>F356*AP356</f>
        <v>0</v>
      </c>
      <c r="BJ356" s="131">
        <f>F356*G356</f>
        <v>0</v>
      </c>
      <c r="BK356" s="131"/>
      <c r="BL356" s="131"/>
      <c r="BR356" s="131">
        <f>F356*G356</f>
        <v>0</v>
      </c>
      <c r="BW356" s="131">
        <v>21</v>
      </c>
      <c r="BX356" s="133" t="s">
        <v>428</v>
      </c>
    </row>
    <row r="357" spans="1:76" x14ac:dyDescent="0.25">
      <c r="A357" s="123" t="s">
        <v>53</v>
      </c>
      <c r="B357" s="124" t="s">
        <v>53</v>
      </c>
      <c r="C357" s="272" t="s">
        <v>1055</v>
      </c>
      <c r="D357" s="273"/>
      <c r="E357" s="125" t="s">
        <v>9</v>
      </c>
      <c r="F357" s="125" t="s">
        <v>9</v>
      </c>
      <c r="G357" s="125" t="s">
        <v>9</v>
      </c>
      <c r="H357" s="110">
        <f>H358+H364+H367+H370+H373+H380+H384+H387+H389+H394+H396+H399+H408+H410+H412+H427+H429+H431</f>
        <v>0</v>
      </c>
      <c r="I357" s="110">
        <f>I358+I364+I367+I370+I373+I380+I384+I387+I389+I394+I396+I399+I408+I410+I412+I427+I429+I431</f>
        <v>0</v>
      </c>
      <c r="J357" s="110">
        <f>J358+J364+J367+J370+J373+J380+J384+J387+J389+J394+J396+J399+J408+J410+J412+J427+J429+J431</f>
        <v>0</v>
      </c>
      <c r="K357" s="126" t="s">
        <v>53</v>
      </c>
    </row>
    <row r="358" spans="1:76" x14ac:dyDescent="0.25">
      <c r="A358" s="123" t="s">
        <v>53</v>
      </c>
      <c r="B358" s="124" t="s">
        <v>54</v>
      </c>
      <c r="C358" s="272" t="s">
        <v>55</v>
      </c>
      <c r="D358" s="273"/>
      <c r="E358" s="125" t="s">
        <v>9</v>
      </c>
      <c r="F358" s="125" t="s">
        <v>9</v>
      </c>
      <c r="G358" s="125" t="s">
        <v>9</v>
      </c>
      <c r="H358" s="110">
        <f>SUM(H359:H363)</f>
        <v>0</v>
      </c>
      <c r="I358" s="110">
        <f>SUM(I359:I363)</f>
        <v>0</v>
      </c>
      <c r="J358" s="110">
        <f>SUM(J359:J363)</f>
        <v>0</v>
      </c>
      <c r="K358" s="126" t="s">
        <v>53</v>
      </c>
      <c r="AI358" s="115" t="s">
        <v>1056</v>
      </c>
      <c r="AS358" s="110">
        <f>SUM(AJ359:AJ363)</f>
        <v>0</v>
      </c>
      <c r="AT358" s="110">
        <f>SUM(AK359:AK363)</f>
        <v>0</v>
      </c>
      <c r="AU358" s="110">
        <f>SUM(AL359:AL363)</f>
        <v>0</v>
      </c>
    </row>
    <row r="359" spans="1:76" x14ac:dyDescent="0.25">
      <c r="A359" s="134" t="s">
        <v>1057</v>
      </c>
      <c r="B359" s="135" t="s">
        <v>703</v>
      </c>
      <c r="C359" s="270" t="s">
        <v>704</v>
      </c>
      <c r="D359" s="271"/>
      <c r="E359" s="135" t="s">
        <v>705</v>
      </c>
      <c r="F359" s="131">
        <v>4</v>
      </c>
      <c r="G359" s="179">
        <v>0</v>
      </c>
      <c r="H359" s="131">
        <f>F359*AO359</f>
        <v>0</v>
      </c>
      <c r="I359" s="131">
        <f>F359*AP359</f>
        <v>0</v>
      </c>
      <c r="J359" s="131">
        <f>F359*G359</f>
        <v>0</v>
      </c>
      <c r="K359" s="136" t="s">
        <v>60</v>
      </c>
      <c r="Z359" s="131">
        <f>IF(AQ359="5",BJ359,0)</f>
        <v>0</v>
      </c>
      <c r="AB359" s="131">
        <f>IF(AQ359="1",BH359,0)</f>
        <v>0</v>
      </c>
      <c r="AC359" s="131">
        <f>IF(AQ359="1",BI359,0)</f>
        <v>0</v>
      </c>
      <c r="AD359" s="131">
        <f>IF(AQ359="7",BH359,0)</f>
        <v>0</v>
      </c>
      <c r="AE359" s="131">
        <f>IF(AQ359="7",BI359,0)</f>
        <v>0</v>
      </c>
      <c r="AF359" s="131">
        <f>IF(AQ359="2",BH359,0)</f>
        <v>0</v>
      </c>
      <c r="AG359" s="131">
        <f>IF(AQ359="2",BI359,0)</f>
        <v>0</v>
      </c>
      <c r="AH359" s="131">
        <f>IF(AQ359="0",BJ359,0)</f>
        <v>0</v>
      </c>
      <c r="AI359" s="115" t="s">
        <v>1056</v>
      </c>
      <c r="AJ359" s="131">
        <f>IF(AN359=0,J359,0)</f>
        <v>0</v>
      </c>
      <c r="AK359" s="131">
        <f>IF(AN359=12,J359,0)</f>
        <v>0</v>
      </c>
      <c r="AL359" s="131">
        <f>IF(AN359=21,J359,0)</f>
        <v>0</v>
      </c>
      <c r="AN359" s="131">
        <v>21</v>
      </c>
      <c r="AO359" s="131">
        <f>G359*0</f>
        <v>0</v>
      </c>
      <c r="AP359" s="131">
        <f>G359*(1-0)</f>
        <v>0</v>
      </c>
      <c r="AQ359" s="132" t="s">
        <v>56</v>
      </c>
      <c r="AV359" s="131">
        <f>AW359+AX359</f>
        <v>0</v>
      </c>
      <c r="AW359" s="131">
        <f>F359*AO359</f>
        <v>0</v>
      </c>
      <c r="AX359" s="131">
        <f>F359*AP359</f>
        <v>0</v>
      </c>
      <c r="AY359" s="132" t="s">
        <v>61</v>
      </c>
      <c r="AZ359" s="132" t="s">
        <v>1058</v>
      </c>
      <c r="BA359" s="115" t="s">
        <v>1059</v>
      </c>
      <c r="BC359" s="131">
        <f>AW359+AX359</f>
        <v>0</v>
      </c>
      <c r="BD359" s="131">
        <f>G359/(100-BE359)*100</f>
        <v>0</v>
      </c>
      <c r="BE359" s="131">
        <v>0</v>
      </c>
      <c r="BF359" s="131">
        <f>359</f>
        <v>359</v>
      </c>
      <c r="BH359" s="131">
        <f>F359*AO359</f>
        <v>0</v>
      </c>
      <c r="BI359" s="131">
        <f>F359*AP359</f>
        <v>0</v>
      </c>
      <c r="BJ359" s="131">
        <f>F359*G359</f>
        <v>0</v>
      </c>
      <c r="BK359" s="131"/>
      <c r="BL359" s="131">
        <v>11</v>
      </c>
      <c r="BW359" s="131">
        <v>21</v>
      </c>
      <c r="BX359" s="133" t="s">
        <v>704</v>
      </c>
    </row>
    <row r="360" spans="1:76" x14ac:dyDescent="0.25">
      <c r="A360" s="134" t="s">
        <v>1060</v>
      </c>
      <c r="B360" s="135" t="s">
        <v>911</v>
      </c>
      <c r="C360" s="270" t="s">
        <v>912</v>
      </c>
      <c r="D360" s="271"/>
      <c r="E360" s="135" t="s">
        <v>67</v>
      </c>
      <c r="F360" s="131">
        <v>6</v>
      </c>
      <c r="G360" s="179">
        <v>0</v>
      </c>
      <c r="H360" s="131">
        <f>F360*AO360</f>
        <v>0</v>
      </c>
      <c r="I360" s="131">
        <f>F360*AP360</f>
        <v>0</v>
      </c>
      <c r="J360" s="131">
        <f>F360*G360</f>
        <v>0</v>
      </c>
      <c r="K360" s="136" t="s">
        <v>60</v>
      </c>
      <c r="Z360" s="131">
        <f>IF(AQ360="5",BJ360,0)</f>
        <v>0</v>
      </c>
      <c r="AB360" s="131">
        <f>IF(AQ360="1",BH360,0)</f>
        <v>0</v>
      </c>
      <c r="AC360" s="131">
        <f>IF(AQ360="1",BI360,0)</f>
        <v>0</v>
      </c>
      <c r="AD360" s="131">
        <f>IF(AQ360="7",BH360,0)</f>
        <v>0</v>
      </c>
      <c r="AE360" s="131">
        <f>IF(AQ360="7",BI360,0)</f>
        <v>0</v>
      </c>
      <c r="AF360" s="131">
        <f>IF(AQ360="2",BH360,0)</f>
        <v>0</v>
      </c>
      <c r="AG360" s="131">
        <f>IF(AQ360="2",BI360,0)</f>
        <v>0</v>
      </c>
      <c r="AH360" s="131">
        <f>IF(AQ360="0",BJ360,0)</f>
        <v>0</v>
      </c>
      <c r="AI360" s="115" t="s">
        <v>1056</v>
      </c>
      <c r="AJ360" s="131">
        <f>IF(AN360=0,J360,0)</f>
        <v>0</v>
      </c>
      <c r="AK360" s="131">
        <f>IF(AN360=12,J360,0)</f>
        <v>0</v>
      </c>
      <c r="AL360" s="131">
        <f>IF(AN360=21,J360,0)</f>
        <v>0</v>
      </c>
      <c r="AN360" s="131">
        <v>21</v>
      </c>
      <c r="AO360" s="131">
        <f>G360*0.270554622</f>
        <v>0</v>
      </c>
      <c r="AP360" s="131">
        <f>G360*(1-0.270554622)</f>
        <v>0</v>
      </c>
      <c r="AQ360" s="132" t="s">
        <v>56</v>
      </c>
      <c r="AV360" s="131">
        <f>AW360+AX360</f>
        <v>0</v>
      </c>
      <c r="AW360" s="131">
        <f>F360*AO360</f>
        <v>0</v>
      </c>
      <c r="AX360" s="131">
        <f>F360*AP360</f>
        <v>0</v>
      </c>
      <c r="AY360" s="132" t="s">
        <v>61</v>
      </c>
      <c r="AZ360" s="132" t="s">
        <v>1058</v>
      </c>
      <c r="BA360" s="115" t="s">
        <v>1059</v>
      </c>
      <c r="BC360" s="131">
        <f>AW360+AX360</f>
        <v>0</v>
      </c>
      <c r="BD360" s="131">
        <f>G360/(100-BE360)*100</f>
        <v>0</v>
      </c>
      <c r="BE360" s="131">
        <v>0</v>
      </c>
      <c r="BF360" s="131">
        <f>360</f>
        <v>360</v>
      </c>
      <c r="BH360" s="131">
        <f>F360*AO360</f>
        <v>0</v>
      </c>
      <c r="BI360" s="131">
        <f>F360*AP360</f>
        <v>0</v>
      </c>
      <c r="BJ360" s="131">
        <f>F360*G360</f>
        <v>0</v>
      </c>
      <c r="BK360" s="131"/>
      <c r="BL360" s="131">
        <v>11</v>
      </c>
      <c r="BW360" s="131">
        <v>21</v>
      </c>
      <c r="BX360" s="133" t="s">
        <v>912</v>
      </c>
    </row>
    <row r="361" spans="1:76" x14ac:dyDescent="0.25">
      <c r="A361" s="134" t="s">
        <v>1061</v>
      </c>
      <c r="B361" s="135" t="s">
        <v>911</v>
      </c>
      <c r="C361" s="270" t="s">
        <v>982</v>
      </c>
      <c r="D361" s="271"/>
      <c r="E361" s="135" t="s">
        <v>67</v>
      </c>
      <c r="F361" s="131">
        <v>2</v>
      </c>
      <c r="G361" s="179">
        <v>0</v>
      </c>
      <c r="H361" s="131">
        <f>F361*AO361</f>
        <v>0</v>
      </c>
      <c r="I361" s="131">
        <f>F361*AP361</f>
        <v>0</v>
      </c>
      <c r="J361" s="131">
        <f>F361*G361</f>
        <v>0</v>
      </c>
      <c r="K361" s="136" t="s">
        <v>60</v>
      </c>
      <c r="Z361" s="131">
        <f>IF(AQ361="5",BJ361,0)</f>
        <v>0</v>
      </c>
      <c r="AB361" s="131">
        <f>IF(AQ361="1",BH361,0)</f>
        <v>0</v>
      </c>
      <c r="AC361" s="131">
        <f>IF(AQ361="1",BI361,0)</f>
        <v>0</v>
      </c>
      <c r="AD361" s="131">
        <f>IF(AQ361="7",BH361,0)</f>
        <v>0</v>
      </c>
      <c r="AE361" s="131">
        <f>IF(AQ361="7",BI361,0)</f>
        <v>0</v>
      </c>
      <c r="AF361" s="131">
        <f>IF(AQ361="2",BH361,0)</f>
        <v>0</v>
      </c>
      <c r="AG361" s="131">
        <f>IF(AQ361="2",BI361,0)</f>
        <v>0</v>
      </c>
      <c r="AH361" s="131">
        <f>IF(AQ361="0",BJ361,0)</f>
        <v>0</v>
      </c>
      <c r="AI361" s="115" t="s">
        <v>1056</v>
      </c>
      <c r="AJ361" s="131">
        <f>IF(AN361=0,J361,0)</f>
        <v>0</v>
      </c>
      <c r="AK361" s="131">
        <f>IF(AN361=12,J361,0)</f>
        <v>0</v>
      </c>
      <c r="AL361" s="131">
        <f>IF(AN361=21,J361,0)</f>
        <v>0</v>
      </c>
      <c r="AN361" s="131">
        <v>21</v>
      </c>
      <c r="AO361" s="131">
        <f>G361*0.270554622</f>
        <v>0</v>
      </c>
      <c r="AP361" s="131">
        <f>G361*(1-0.270554622)</f>
        <v>0</v>
      </c>
      <c r="AQ361" s="132" t="s">
        <v>56</v>
      </c>
      <c r="AV361" s="131">
        <f>AW361+AX361</f>
        <v>0</v>
      </c>
      <c r="AW361" s="131">
        <f>F361*AO361</f>
        <v>0</v>
      </c>
      <c r="AX361" s="131">
        <f>F361*AP361</f>
        <v>0</v>
      </c>
      <c r="AY361" s="132" t="s">
        <v>61</v>
      </c>
      <c r="AZ361" s="132" t="s">
        <v>1058</v>
      </c>
      <c r="BA361" s="115" t="s">
        <v>1059</v>
      </c>
      <c r="BC361" s="131">
        <f>AW361+AX361</f>
        <v>0</v>
      </c>
      <c r="BD361" s="131">
        <f>G361/(100-BE361)*100</f>
        <v>0</v>
      </c>
      <c r="BE361" s="131">
        <v>0</v>
      </c>
      <c r="BF361" s="131">
        <f>361</f>
        <v>361</v>
      </c>
      <c r="BH361" s="131">
        <f>F361*AO361</f>
        <v>0</v>
      </c>
      <c r="BI361" s="131">
        <f>F361*AP361</f>
        <v>0</v>
      </c>
      <c r="BJ361" s="131">
        <f>F361*G361</f>
        <v>0</v>
      </c>
      <c r="BK361" s="131"/>
      <c r="BL361" s="131">
        <v>11</v>
      </c>
      <c r="BW361" s="131">
        <v>21</v>
      </c>
      <c r="BX361" s="133" t="s">
        <v>982</v>
      </c>
    </row>
    <row r="362" spans="1:76" x14ac:dyDescent="0.25">
      <c r="A362" s="134" t="s">
        <v>1062</v>
      </c>
      <c r="B362" s="135" t="s">
        <v>911</v>
      </c>
      <c r="C362" s="270" t="s">
        <v>1063</v>
      </c>
      <c r="D362" s="271"/>
      <c r="E362" s="135" t="s">
        <v>67</v>
      </c>
      <c r="F362" s="131">
        <v>2</v>
      </c>
      <c r="G362" s="179">
        <v>0</v>
      </c>
      <c r="H362" s="131">
        <f>F362*AO362</f>
        <v>0</v>
      </c>
      <c r="I362" s="131">
        <f>F362*AP362</f>
        <v>0</v>
      </c>
      <c r="J362" s="131">
        <f>F362*G362</f>
        <v>0</v>
      </c>
      <c r="K362" s="136" t="s">
        <v>60</v>
      </c>
      <c r="Z362" s="131">
        <f>IF(AQ362="5",BJ362,0)</f>
        <v>0</v>
      </c>
      <c r="AB362" s="131">
        <f>IF(AQ362="1",BH362,0)</f>
        <v>0</v>
      </c>
      <c r="AC362" s="131">
        <f>IF(AQ362="1",BI362,0)</f>
        <v>0</v>
      </c>
      <c r="AD362" s="131">
        <f>IF(AQ362="7",BH362,0)</f>
        <v>0</v>
      </c>
      <c r="AE362" s="131">
        <f>IF(AQ362="7",BI362,0)</f>
        <v>0</v>
      </c>
      <c r="AF362" s="131">
        <f>IF(AQ362="2",BH362,0)</f>
        <v>0</v>
      </c>
      <c r="AG362" s="131">
        <f>IF(AQ362="2",BI362,0)</f>
        <v>0</v>
      </c>
      <c r="AH362" s="131">
        <f>IF(AQ362="0",BJ362,0)</f>
        <v>0</v>
      </c>
      <c r="AI362" s="115" t="s">
        <v>1056</v>
      </c>
      <c r="AJ362" s="131">
        <f>IF(AN362=0,J362,0)</f>
        <v>0</v>
      </c>
      <c r="AK362" s="131">
        <f>IF(AN362=12,J362,0)</f>
        <v>0</v>
      </c>
      <c r="AL362" s="131">
        <f>IF(AN362=21,J362,0)</f>
        <v>0</v>
      </c>
      <c r="AN362" s="131">
        <v>21</v>
      </c>
      <c r="AO362" s="131">
        <f>G362*0.270554622</f>
        <v>0</v>
      </c>
      <c r="AP362" s="131">
        <f>G362*(1-0.270554622)</f>
        <v>0</v>
      </c>
      <c r="AQ362" s="132" t="s">
        <v>56</v>
      </c>
      <c r="AV362" s="131">
        <f>AW362+AX362</f>
        <v>0</v>
      </c>
      <c r="AW362" s="131">
        <f>F362*AO362</f>
        <v>0</v>
      </c>
      <c r="AX362" s="131">
        <f>F362*AP362</f>
        <v>0</v>
      </c>
      <c r="AY362" s="132" t="s">
        <v>61</v>
      </c>
      <c r="AZ362" s="132" t="s">
        <v>1058</v>
      </c>
      <c r="BA362" s="115" t="s">
        <v>1059</v>
      </c>
      <c r="BC362" s="131">
        <f>AW362+AX362</f>
        <v>0</v>
      </c>
      <c r="BD362" s="131">
        <f>G362/(100-BE362)*100</f>
        <v>0</v>
      </c>
      <c r="BE362" s="131">
        <v>0</v>
      </c>
      <c r="BF362" s="131">
        <f>362</f>
        <v>362</v>
      </c>
      <c r="BH362" s="131">
        <f>F362*AO362</f>
        <v>0</v>
      </c>
      <c r="BI362" s="131">
        <f>F362*AP362</f>
        <v>0</v>
      </c>
      <c r="BJ362" s="131">
        <f>F362*G362</f>
        <v>0</v>
      </c>
      <c r="BK362" s="131"/>
      <c r="BL362" s="131">
        <v>11</v>
      </c>
      <c r="BW362" s="131">
        <v>21</v>
      </c>
      <c r="BX362" s="133" t="s">
        <v>1063</v>
      </c>
    </row>
    <row r="363" spans="1:76" x14ac:dyDescent="0.25">
      <c r="A363" s="134" t="s">
        <v>573</v>
      </c>
      <c r="B363" s="135" t="s">
        <v>986</v>
      </c>
      <c r="C363" s="270" t="s">
        <v>987</v>
      </c>
      <c r="D363" s="271"/>
      <c r="E363" s="135" t="s">
        <v>59</v>
      </c>
      <c r="F363" s="131">
        <v>13</v>
      </c>
      <c r="G363" s="179">
        <v>0</v>
      </c>
      <c r="H363" s="131">
        <f>F363*AO363</f>
        <v>0</v>
      </c>
      <c r="I363" s="131">
        <f>F363*AP363</f>
        <v>0</v>
      </c>
      <c r="J363" s="131">
        <f>F363*G363</f>
        <v>0</v>
      </c>
      <c r="K363" s="136" t="s">
        <v>60</v>
      </c>
      <c r="Z363" s="131">
        <f>IF(AQ363="5",BJ363,0)</f>
        <v>0</v>
      </c>
      <c r="AB363" s="131">
        <f>IF(AQ363="1",BH363,0)</f>
        <v>0</v>
      </c>
      <c r="AC363" s="131">
        <f>IF(AQ363="1",BI363,0)</f>
        <v>0</v>
      </c>
      <c r="AD363" s="131">
        <f>IF(AQ363="7",BH363,0)</f>
        <v>0</v>
      </c>
      <c r="AE363" s="131">
        <f>IF(AQ363="7",BI363,0)</f>
        <v>0</v>
      </c>
      <c r="AF363" s="131">
        <f>IF(AQ363="2",BH363,0)</f>
        <v>0</v>
      </c>
      <c r="AG363" s="131">
        <f>IF(AQ363="2",BI363,0)</f>
        <v>0</v>
      </c>
      <c r="AH363" s="131">
        <f>IF(AQ363="0",BJ363,0)</f>
        <v>0</v>
      </c>
      <c r="AI363" s="115" t="s">
        <v>1056</v>
      </c>
      <c r="AJ363" s="131">
        <f>IF(AN363=0,J363,0)</f>
        <v>0</v>
      </c>
      <c r="AK363" s="131">
        <f>IF(AN363=12,J363,0)</f>
        <v>0</v>
      </c>
      <c r="AL363" s="131">
        <f>IF(AN363=21,J363,0)</f>
        <v>0</v>
      </c>
      <c r="AN363" s="131">
        <v>21</v>
      </c>
      <c r="AO363" s="131">
        <f>G363*0</f>
        <v>0</v>
      </c>
      <c r="AP363" s="131">
        <f>G363*(1-0)</f>
        <v>0</v>
      </c>
      <c r="AQ363" s="132" t="s">
        <v>56</v>
      </c>
      <c r="AV363" s="131">
        <f>AW363+AX363</f>
        <v>0</v>
      </c>
      <c r="AW363" s="131">
        <f>F363*AO363</f>
        <v>0</v>
      </c>
      <c r="AX363" s="131">
        <f>F363*AP363</f>
        <v>0</v>
      </c>
      <c r="AY363" s="132" t="s">
        <v>61</v>
      </c>
      <c r="AZ363" s="132" t="s">
        <v>1058</v>
      </c>
      <c r="BA363" s="115" t="s">
        <v>1059</v>
      </c>
      <c r="BC363" s="131">
        <f>AW363+AX363</f>
        <v>0</v>
      </c>
      <c r="BD363" s="131">
        <f>G363/(100-BE363)*100</f>
        <v>0</v>
      </c>
      <c r="BE363" s="131">
        <v>0</v>
      </c>
      <c r="BF363" s="131">
        <f>363</f>
        <v>363</v>
      </c>
      <c r="BH363" s="131">
        <f>F363*AO363</f>
        <v>0</v>
      </c>
      <c r="BI363" s="131">
        <f>F363*AP363</f>
        <v>0</v>
      </c>
      <c r="BJ363" s="131">
        <f>F363*G363</f>
        <v>0</v>
      </c>
      <c r="BK363" s="131"/>
      <c r="BL363" s="131">
        <v>11</v>
      </c>
      <c r="BW363" s="131">
        <v>21</v>
      </c>
      <c r="BX363" s="133" t="s">
        <v>987</v>
      </c>
    </row>
    <row r="364" spans="1:76" x14ac:dyDescent="0.25">
      <c r="A364" s="123" t="s">
        <v>53</v>
      </c>
      <c r="B364" s="124" t="s">
        <v>74</v>
      </c>
      <c r="C364" s="272" t="s">
        <v>75</v>
      </c>
      <c r="D364" s="273"/>
      <c r="E364" s="125" t="s">
        <v>9</v>
      </c>
      <c r="F364" s="125" t="s">
        <v>9</v>
      </c>
      <c r="G364" s="125" t="s">
        <v>9</v>
      </c>
      <c r="H364" s="110">
        <f>SUM(H365:H366)</f>
        <v>0</v>
      </c>
      <c r="I364" s="110">
        <f>SUM(I365:I366)</f>
        <v>0</v>
      </c>
      <c r="J364" s="110">
        <f>SUM(J365:J366)</f>
        <v>0</v>
      </c>
      <c r="K364" s="126" t="s">
        <v>53</v>
      </c>
      <c r="AI364" s="115" t="s">
        <v>1056</v>
      </c>
      <c r="AS364" s="110">
        <f>SUM(AJ365:AJ366)</f>
        <v>0</v>
      </c>
      <c r="AT364" s="110">
        <f>SUM(AK365:AK366)</f>
        <v>0</v>
      </c>
      <c r="AU364" s="110">
        <f>SUM(AL365:AL366)</f>
        <v>0</v>
      </c>
    </row>
    <row r="365" spans="1:76" x14ac:dyDescent="0.25">
      <c r="A365" s="134" t="s">
        <v>1064</v>
      </c>
      <c r="B365" s="135" t="s">
        <v>77</v>
      </c>
      <c r="C365" s="270" t="s">
        <v>78</v>
      </c>
      <c r="D365" s="271"/>
      <c r="E365" s="135" t="s">
        <v>79</v>
      </c>
      <c r="F365" s="131">
        <v>27</v>
      </c>
      <c r="G365" s="179">
        <v>0</v>
      </c>
      <c r="H365" s="131">
        <f>F365*AO365</f>
        <v>0</v>
      </c>
      <c r="I365" s="131">
        <f>F365*AP365</f>
        <v>0</v>
      </c>
      <c r="J365" s="131">
        <f>F365*G365</f>
        <v>0</v>
      </c>
      <c r="K365" s="136" t="s">
        <v>60</v>
      </c>
      <c r="Z365" s="131">
        <f>IF(AQ365="5",BJ365,0)</f>
        <v>0</v>
      </c>
      <c r="AB365" s="131">
        <f>IF(AQ365="1",BH365,0)</f>
        <v>0</v>
      </c>
      <c r="AC365" s="131">
        <f>IF(AQ365="1",BI365,0)</f>
        <v>0</v>
      </c>
      <c r="AD365" s="131">
        <f>IF(AQ365="7",BH365,0)</f>
        <v>0</v>
      </c>
      <c r="AE365" s="131">
        <f>IF(AQ365="7",BI365,0)</f>
        <v>0</v>
      </c>
      <c r="AF365" s="131">
        <f>IF(AQ365="2",BH365,0)</f>
        <v>0</v>
      </c>
      <c r="AG365" s="131">
        <f>IF(AQ365="2",BI365,0)</f>
        <v>0</v>
      </c>
      <c r="AH365" s="131">
        <f>IF(AQ365="0",BJ365,0)</f>
        <v>0</v>
      </c>
      <c r="AI365" s="115" t="s">
        <v>1056</v>
      </c>
      <c r="AJ365" s="131">
        <f>IF(AN365=0,J365,0)</f>
        <v>0</v>
      </c>
      <c r="AK365" s="131">
        <f>IF(AN365=12,J365,0)</f>
        <v>0</v>
      </c>
      <c r="AL365" s="131">
        <f>IF(AN365=21,J365,0)</f>
        <v>0</v>
      </c>
      <c r="AN365" s="131">
        <v>21</v>
      </c>
      <c r="AO365" s="131">
        <f>G365*0</f>
        <v>0</v>
      </c>
      <c r="AP365" s="131">
        <f>G365*(1-0)</f>
        <v>0</v>
      </c>
      <c r="AQ365" s="132" t="s">
        <v>56</v>
      </c>
      <c r="AV365" s="131">
        <f>AW365+AX365</f>
        <v>0</v>
      </c>
      <c r="AW365" s="131">
        <f>F365*AO365</f>
        <v>0</v>
      </c>
      <c r="AX365" s="131">
        <f>F365*AP365</f>
        <v>0</v>
      </c>
      <c r="AY365" s="132" t="s">
        <v>80</v>
      </c>
      <c r="AZ365" s="132" t="s">
        <v>1058</v>
      </c>
      <c r="BA365" s="115" t="s">
        <v>1059</v>
      </c>
      <c r="BC365" s="131">
        <f>AW365+AX365</f>
        <v>0</v>
      </c>
      <c r="BD365" s="131">
        <f>G365/(100-BE365)*100</f>
        <v>0</v>
      </c>
      <c r="BE365" s="131">
        <v>0</v>
      </c>
      <c r="BF365" s="131">
        <f>365</f>
        <v>365</v>
      </c>
      <c r="BH365" s="131">
        <f>F365*AO365</f>
        <v>0</v>
      </c>
      <c r="BI365" s="131">
        <f>F365*AP365</f>
        <v>0</v>
      </c>
      <c r="BJ365" s="131">
        <f>F365*G365</f>
        <v>0</v>
      </c>
      <c r="BK365" s="131"/>
      <c r="BL365" s="131">
        <v>12</v>
      </c>
      <c r="BW365" s="131">
        <v>21</v>
      </c>
      <c r="BX365" s="133" t="s">
        <v>78</v>
      </c>
    </row>
    <row r="366" spans="1:76" x14ac:dyDescent="0.25">
      <c r="A366" s="134" t="s">
        <v>1065</v>
      </c>
      <c r="B366" s="135" t="s">
        <v>914</v>
      </c>
      <c r="C366" s="270" t="s">
        <v>915</v>
      </c>
      <c r="D366" s="271"/>
      <c r="E366" s="135" t="s">
        <v>79</v>
      </c>
      <c r="F366" s="131">
        <v>22.49</v>
      </c>
      <c r="G366" s="179">
        <v>0</v>
      </c>
      <c r="H366" s="131">
        <f>F366*AO366</f>
        <v>0</v>
      </c>
      <c r="I366" s="131">
        <f>F366*AP366</f>
        <v>0</v>
      </c>
      <c r="J366" s="131">
        <f>F366*G366</f>
        <v>0</v>
      </c>
      <c r="K366" s="136" t="s">
        <v>60</v>
      </c>
      <c r="Z366" s="131">
        <f>IF(AQ366="5",BJ366,0)</f>
        <v>0</v>
      </c>
      <c r="AB366" s="131">
        <f>IF(AQ366="1",BH366,0)</f>
        <v>0</v>
      </c>
      <c r="AC366" s="131">
        <f>IF(AQ366="1",BI366,0)</f>
        <v>0</v>
      </c>
      <c r="AD366" s="131">
        <f>IF(AQ366="7",BH366,0)</f>
        <v>0</v>
      </c>
      <c r="AE366" s="131">
        <f>IF(AQ366="7",BI366,0)</f>
        <v>0</v>
      </c>
      <c r="AF366" s="131">
        <f>IF(AQ366="2",BH366,0)</f>
        <v>0</v>
      </c>
      <c r="AG366" s="131">
        <f>IF(AQ366="2",BI366,0)</f>
        <v>0</v>
      </c>
      <c r="AH366" s="131">
        <f>IF(AQ366="0",BJ366,0)</f>
        <v>0</v>
      </c>
      <c r="AI366" s="115" t="s">
        <v>1056</v>
      </c>
      <c r="AJ366" s="131">
        <f>IF(AN366=0,J366,0)</f>
        <v>0</v>
      </c>
      <c r="AK366" s="131">
        <f>IF(AN366=12,J366,0)</f>
        <v>0</v>
      </c>
      <c r="AL366" s="131">
        <f>IF(AN366=21,J366,0)</f>
        <v>0</v>
      </c>
      <c r="AN366" s="131">
        <v>21</v>
      </c>
      <c r="AO366" s="131">
        <f>G366*0</f>
        <v>0</v>
      </c>
      <c r="AP366" s="131">
        <f>G366*(1-0)</f>
        <v>0</v>
      </c>
      <c r="AQ366" s="132" t="s">
        <v>56</v>
      </c>
      <c r="AV366" s="131">
        <f>AW366+AX366</f>
        <v>0</v>
      </c>
      <c r="AW366" s="131">
        <f>F366*AO366</f>
        <v>0</v>
      </c>
      <c r="AX366" s="131">
        <f>F366*AP366</f>
        <v>0</v>
      </c>
      <c r="AY366" s="132" t="s">
        <v>80</v>
      </c>
      <c r="AZ366" s="132" t="s">
        <v>1058</v>
      </c>
      <c r="BA366" s="115" t="s">
        <v>1059</v>
      </c>
      <c r="BC366" s="131">
        <f>AW366+AX366</f>
        <v>0</v>
      </c>
      <c r="BD366" s="131">
        <f>G366/(100-BE366)*100</f>
        <v>0</v>
      </c>
      <c r="BE366" s="131">
        <v>0</v>
      </c>
      <c r="BF366" s="131">
        <f>366</f>
        <v>366</v>
      </c>
      <c r="BH366" s="131">
        <f>F366*AO366</f>
        <v>0</v>
      </c>
      <c r="BI366" s="131">
        <f>F366*AP366</f>
        <v>0</v>
      </c>
      <c r="BJ366" s="131">
        <f>F366*G366</f>
        <v>0</v>
      </c>
      <c r="BK366" s="131"/>
      <c r="BL366" s="131">
        <v>12</v>
      </c>
      <c r="BW366" s="131">
        <v>21</v>
      </c>
      <c r="BX366" s="133" t="s">
        <v>915</v>
      </c>
    </row>
    <row r="367" spans="1:76" x14ac:dyDescent="0.25">
      <c r="A367" s="123" t="s">
        <v>53</v>
      </c>
      <c r="B367" s="124" t="s">
        <v>96</v>
      </c>
      <c r="C367" s="272" t="s">
        <v>97</v>
      </c>
      <c r="D367" s="273"/>
      <c r="E367" s="125" t="s">
        <v>9</v>
      </c>
      <c r="F367" s="125" t="s">
        <v>9</v>
      </c>
      <c r="G367" s="125" t="s">
        <v>9</v>
      </c>
      <c r="H367" s="110">
        <f>SUM(H368:H369)</f>
        <v>0</v>
      </c>
      <c r="I367" s="110">
        <f>SUM(I368:I369)</f>
        <v>0</v>
      </c>
      <c r="J367" s="110">
        <f>SUM(J368:J369)</f>
        <v>0</v>
      </c>
      <c r="K367" s="126" t="s">
        <v>53</v>
      </c>
      <c r="AI367" s="115" t="s">
        <v>1056</v>
      </c>
      <c r="AS367" s="110">
        <f>SUM(AJ368:AJ369)</f>
        <v>0</v>
      </c>
      <c r="AT367" s="110">
        <f>SUM(AK368:AK369)</f>
        <v>0</v>
      </c>
      <c r="AU367" s="110">
        <f>SUM(AL368:AL369)</f>
        <v>0</v>
      </c>
    </row>
    <row r="368" spans="1:76" x14ac:dyDescent="0.25">
      <c r="A368" s="134" t="s">
        <v>1066</v>
      </c>
      <c r="B368" s="135" t="s">
        <v>775</v>
      </c>
      <c r="C368" s="270" t="s">
        <v>776</v>
      </c>
      <c r="D368" s="271"/>
      <c r="E368" s="135" t="s">
        <v>79</v>
      </c>
      <c r="F368" s="131">
        <v>96.26</v>
      </c>
      <c r="G368" s="179">
        <v>0</v>
      </c>
      <c r="H368" s="131">
        <f>F368*AO368</f>
        <v>0</v>
      </c>
      <c r="I368" s="131">
        <f>F368*AP368</f>
        <v>0</v>
      </c>
      <c r="J368" s="131">
        <f>F368*G368</f>
        <v>0</v>
      </c>
      <c r="K368" s="136" t="s">
        <v>60</v>
      </c>
      <c r="Z368" s="131">
        <f>IF(AQ368="5",BJ368,0)</f>
        <v>0</v>
      </c>
      <c r="AB368" s="131">
        <f>IF(AQ368="1",BH368,0)</f>
        <v>0</v>
      </c>
      <c r="AC368" s="131">
        <f>IF(AQ368="1",BI368,0)</f>
        <v>0</v>
      </c>
      <c r="AD368" s="131">
        <f>IF(AQ368="7",BH368,0)</f>
        <v>0</v>
      </c>
      <c r="AE368" s="131">
        <f>IF(AQ368="7",BI368,0)</f>
        <v>0</v>
      </c>
      <c r="AF368" s="131">
        <f>IF(AQ368="2",BH368,0)</f>
        <v>0</v>
      </c>
      <c r="AG368" s="131">
        <f>IF(AQ368="2",BI368,0)</f>
        <v>0</v>
      </c>
      <c r="AH368" s="131">
        <f>IF(AQ368="0",BJ368,0)</f>
        <v>0</v>
      </c>
      <c r="AI368" s="115" t="s">
        <v>1056</v>
      </c>
      <c r="AJ368" s="131">
        <f>IF(AN368=0,J368,0)</f>
        <v>0</v>
      </c>
      <c r="AK368" s="131">
        <f>IF(AN368=12,J368,0)</f>
        <v>0</v>
      </c>
      <c r="AL368" s="131">
        <f>IF(AN368=21,J368,0)</f>
        <v>0</v>
      </c>
      <c r="AN368" s="131">
        <v>21</v>
      </c>
      <c r="AO368" s="131">
        <f>G368*0</f>
        <v>0</v>
      </c>
      <c r="AP368" s="131">
        <f>G368*(1-0)</f>
        <v>0</v>
      </c>
      <c r="AQ368" s="132" t="s">
        <v>56</v>
      </c>
      <c r="AV368" s="131">
        <f>AW368+AX368</f>
        <v>0</v>
      </c>
      <c r="AW368" s="131">
        <f>F368*AO368</f>
        <v>0</v>
      </c>
      <c r="AX368" s="131">
        <f>F368*AP368</f>
        <v>0</v>
      </c>
      <c r="AY368" s="132" t="s">
        <v>100</v>
      </c>
      <c r="AZ368" s="132" t="s">
        <v>1058</v>
      </c>
      <c r="BA368" s="115" t="s">
        <v>1059</v>
      </c>
      <c r="BC368" s="131">
        <f>AW368+AX368</f>
        <v>0</v>
      </c>
      <c r="BD368" s="131">
        <f>G368/(100-BE368)*100</f>
        <v>0</v>
      </c>
      <c r="BE368" s="131">
        <v>0</v>
      </c>
      <c r="BF368" s="131">
        <f>368</f>
        <v>368</v>
      </c>
      <c r="BH368" s="131">
        <f>F368*AO368</f>
        <v>0</v>
      </c>
      <c r="BI368" s="131">
        <f>F368*AP368</f>
        <v>0</v>
      </c>
      <c r="BJ368" s="131">
        <f>F368*G368</f>
        <v>0</v>
      </c>
      <c r="BK368" s="131"/>
      <c r="BL368" s="131">
        <v>13</v>
      </c>
      <c r="BW368" s="131">
        <v>21</v>
      </c>
      <c r="BX368" s="133" t="s">
        <v>776</v>
      </c>
    </row>
    <row r="369" spans="1:76" x14ac:dyDescent="0.25">
      <c r="A369" s="134" t="s">
        <v>1067</v>
      </c>
      <c r="B369" s="135" t="s">
        <v>777</v>
      </c>
      <c r="C369" s="270" t="s">
        <v>778</v>
      </c>
      <c r="D369" s="271"/>
      <c r="E369" s="135" t="s">
        <v>79</v>
      </c>
      <c r="F369" s="131">
        <v>144.38999999999999</v>
      </c>
      <c r="G369" s="179">
        <v>0</v>
      </c>
      <c r="H369" s="131">
        <f>F369*AO369</f>
        <v>0</v>
      </c>
      <c r="I369" s="131">
        <f>F369*AP369</f>
        <v>0</v>
      </c>
      <c r="J369" s="131">
        <f>F369*G369</f>
        <v>0</v>
      </c>
      <c r="K369" s="136" t="s">
        <v>60</v>
      </c>
      <c r="Z369" s="131">
        <f>IF(AQ369="5",BJ369,0)</f>
        <v>0</v>
      </c>
      <c r="AB369" s="131">
        <f>IF(AQ369="1",BH369,0)</f>
        <v>0</v>
      </c>
      <c r="AC369" s="131">
        <f>IF(AQ369="1",BI369,0)</f>
        <v>0</v>
      </c>
      <c r="AD369" s="131">
        <f>IF(AQ369="7",BH369,0)</f>
        <v>0</v>
      </c>
      <c r="AE369" s="131">
        <f>IF(AQ369="7",BI369,0)</f>
        <v>0</v>
      </c>
      <c r="AF369" s="131">
        <f>IF(AQ369="2",BH369,0)</f>
        <v>0</v>
      </c>
      <c r="AG369" s="131">
        <f>IF(AQ369="2",BI369,0)</f>
        <v>0</v>
      </c>
      <c r="AH369" s="131">
        <f>IF(AQ369="0",BJ369,0)</f>
        <v>0</v>
      </c>
      <c r="AI369" s="115" t="s">
        <v>1056</v>
      </c>
      <c r="AJ369" s="131">
        <f>IF(AN369=0,J369,0)</f>
        <v>0</v>
      </c>
      <c r="AK369" s="131">
        <f>IF(AN369=12,J369,0)</f>
        <v>0</v>
      </c>
      <c r="AL369" s="131">
        <f>IF(AN369=21,J369,0)</f>
        <v>0</v>
      </c>
      <c r="AN369" s="131">
        <v>21</v>
      </c>
      <c r="AO369" s="131">
        <f>G369*0</f>
        <v>0</v>
      </c>
      <c r="AP369" s="131">
        <f>G369*(1-0)</f>
        <v>0</v>
      </c>
      <c r="AQ369" s="132" t="s">
        <v>56</v>
      </c>
      <c r="AV369" s="131">
        <f>AW369+AX369</f>
        <v>0</v>
      </c>
      <c r="AW369" s="131">
        <f>F369*AO369</f>
        <v>0</v>
      </c>
      <c r="AX369" s="131">
        <f>F369*AP369</f>
        <v>0</v>
      </c>
      <c r="AY369" s="132" t="s">
        <v>100</v>
      </c>
      <c r="AZ369" s="132" t="s">
        <v>1058</v>
      </c>
      <c r="BA369" s="115" t="s">
        <v>1059</v>
      </c>
      <c r="BC369" s="131">
        <f>AW369+AX369</f>
        <v>0</v>
      </c>
      <c r="BD369" s="131">
        <f>G369/(100-BE369)*100</f>
        <v>0</v>
      </c>
      <c r="BE369" s="131">
        <v>0</v>
      </c>
      <c r="BF369" s="131">
        <f>369</f>
        <v>369</v>
      </c>
      <c r="BH369" s="131">
        <f>F369*AO369</f>
        <v>0</v>
      </c>
      <c r="BI369" s="131">
        <f>F369*AP369</f>
        <v>0</v>
      </c>
      <c r="BJ369" s="131">
        <f>F369*G369</f>
        <v>0</v>
      </c>
      <c r="BK369" s="131"/>
      <c r="BL369" s="131">
        <v>13</v>
      </c>
      <c r="BW369" s="131">
        <v>21</v>
      </c>
      <c r="BX369" s="133" t="s">
        <v>778</v>
      </c>
    </row>
    <row r="370" spans="1:76" x14ac:dyDescent="0.25">
      <c r="A370" s="123" t="s">
        <v>53</v>
      </c>
      <c r="B370" s="124" t="s">
        <v>111</v>
      </c>
      <c r="C370" s="272" t="s">
        <v>779</v>
      </c>
      <c r="D370" s="273"/>
      <c r="E370" s="125" t="s">
        <v>9</v>
      </c>
      <c r="F370" s="125" t="s">
        <v>9</v>
      </c>
      <c r="G370" s="125" t="s">
        <v>9</v>
      </c>
      <c r="H370" s="110">
        <f>SUM(H371:H372)</f>
        <v>0</v>
      </c>
      <c r="I370" s="110">
        <f>SUM(I371:I372)</f>
        <v>0</v>
      </c>
      <c r="J370" s="110">
        <f>SUM(J371:J372)</f>
        <v>0</v>
      </c>
      <c r="K370" s="126" t="s">
        <v>53</v>
      </c>
      <c r="AI370" s="115" t="s">
        <v>1056</v>
      </c>
      <c r="AS370" s="110">
        <f>SUM(AJ371:AJ372)</f>
        <v>0</v>
      </c>
      <c r="AT370" s="110">
        <f>SUM(AK371:AK372)</f>
        <v>0</v>
      </c>
      <c r="AU370" s="110">
        <f>SUM(AL371:AL372)</f>
        <v>0</v>
      </c>
    </row>
    <row r="371" spans="1:76" x14ac:dyDescent="0.25">
      <c r="A371" s="134" t="s">
        <v>1068</v>
      </c>
      <c r="B371" s="135" t="s">
        <v>780</v>
      </c>
      <c r="C371" s="270" t="s">
        <v>781</v>
      </c>
      <c r="D371" s="271"/>
      <c r="E371" s="135" t="s">
        <v>59</v>
      </c>
      <c r="F371" s="131">
        <v>214</v>
      </c>
      <c r="G371" s="179">
        <v>0</v>
      </c>
      <c r="H371" s="131">
        <f>F371*AO371</f>
        <v>0</v>
      </c>
      <c r="I371" s="131">
        <f>F371*AP371</f>
        <v>0</v>
      </c>
      <c r="J371" s="131">
        <f>F371*G371</f>
        <v>0</v>
      </c>
      <c r="K371" s="136" t="s">
        <v>60</v>
      </c>
      <c r="Z371" s="131">
        <f>IF(AQ371="5",BJ371,0)</f>
        <v>0</v>
      </c>
      <c r="AB371" s="131">
        <f>IF(AQ371="1",BH371,0)</f>
        <v>0</v>
      </c>
      <c r="AC371" s="131">
        <f>IF(AQ371="1",BI371,0)</f>
        <v>0</v>
      </c>
      <c r="AD371" s="131">
        <f>IF(AQ371="7",BH371,0)</f>
        <v>0</v>
      </c>
      <c r="AE371" s="131">
        <f>IF(AQ371="7",BI371,0)</f>
        <v>0</v>
      </c>
      <c r="AF371" s="131">
        <f>IF(AQ371="2",BH371,0)</f>
        <v>0</v>
      </c>
      <c r="AG371" s="131">
        <f>IF(AQ371="2",BI371,0)</f>
        <v>0</v>
      </c>
      <c r="AH371" s="131">
        <f>IF(AQ371="0",BJ371,0)</f>
        <v>0</v>
      </c>
      <c r="AI371" s="115" t="s">
        <v>1056</v>
      </c>
      <c r="AJ371" s="131">
        <f>IF(AN371=0,J371,0)</f>
        <v>0</v>
      </c>
      <c r="AK371" s="131">
        <f>IF(AN371=12,J371,0)</f>
        <v>0</v>
      </c>
      <c r="AL371" s="131">
        <f>IF(AN371=21,J371,0)</f>
        <v>0</v>
      </c>
      <c r="AN371" s="131">
        <v>21</v>
      </c>
      <c r="AO371" s="131">
        <f>G371*0.091290323</f>
        <v>0</v>
      </c>
      <c r="AP371" s="131">
        <f>G371*(1-0.091290323)</f>
        <v>0</v>
      </c>
      <c r="AQ371" s="132" t="s">
        <v>56</v>
      </c>
      <c r="AV371" s="131">
        <f>AW371+AX371</f>
        <v>0</v>
      </c>
      <c r="AW371" s="131">
        <f>F371*AO371</f>
        <v>0</v>
      </c>
      <c r="AX371" s="131">
        <f>F371*AP371</f>
        <v>0</v>
      </c>
      <c r="AY371" s="132" t="s">
        <v>782</v>
      </c>
      <c r="AZ371" s="132" t="s">
        <v>1058</v>
      </c>
      <c r="BA371" s="115" t="s">
        <v>1059</v>
      </c>
      <c r="BC371" s="131">
        <f>AW371+AX371</f>
        <v>0</v>
      </c>
      <c r="BD371" s="131">
        <f>G371/(100-BE371)*100</f>
        <v>0</v>
      </c>
      <c r="BE371" s="131">
        <v>0</v>
      </c>
      <c r="BF371" s="131">
        <f>371</f>
        <v>371</v>
      </c>
      <c r="BH371" s="131">
        <f>F371*AO371</f>
        <v>0</v>
      </c>
      <c r="BI371" s="131">
        <f>F371*AP371</f>
        <v>0</v>
      </c>
      <c r="BJ371" s="131">
        <f>F371*G371</f>
        <v>0</v>
      </c>
      <c r="BK371" s="131"/>
      <c r="BL371" s="131">
        <v>15</v>
      </c>
      <c r="BW371" s="131">
        <v>21</v>
      </c>
      <c r="BX371" s="133" t="s">
        <v>781</v>
      </c>
    </row>
    <row r="372" spans="1:76" x14ac:dyDescent="0.25">
      <c r="A372" s="134" t="s">
        <v>1069</v>
      </c>
      <c r="B372" s="135" t="s">
        <v>783</v>
      </c>
      <c r="C372" s="270" t="s">
        <v>784</v>
      </c>
      <c r="D372" s="271"/>
      <c r="E372" s="135" t="s">
        <v>59</v>
      </c>
      <c r="F372" s="131">
        <v>214</v>
      </c>
      <c r="G372" s="179">
        <v>0</v>
      </c>
      <c r="H372" s="131">
        <f>F372*AO372</f>
        <v>0</v>
      </c>
      <c r="I372" s="131">
        <f>F372*AP372</f>
        <v>0</v>
      </c>
      <c r="J372" s="131">
        <f>F372*G372</f>
        <v>0</v>
      </c>
      <c r="K372" s="136" t="s">
        <v>60</v>
      </c>
      <c r="Z372" s="131">
        <f>IF(AQ372="5",BJ372,0)</f>
        <v>0</v>
      </c>
      <c r="AB372" s="131">
        <f>IF(AQ372="1",BH372,0)</f>
        <v>0</v>
      </c>
      <c r="AC372" s="131">
        <f>IF(AQ372="1",BI372,0)</f>
        <v>0</v>
      </c>
      <c r="AD372" s="131">
        <f>IF(AQ372="7",BH372,0)</f>
        <v>0</v>
      </c>
      <c r="AE372" s="131">
        <f>IF(AQ372="7",BI372,0)</f>
        <v>0</v>
      </c>
      <c r="AF372" s="131">
        <f>IF(AQ372="2",BH372,0)</f>
        <v>0</v>
      </c>
      <c r="AG372" s="131">
        <f>IF(AQ372="2",BI372,0)</f>
        <v>0</v>
      </c>
      <c r="AH372" s="131">
        <f>IF(AQ372="0",BJ372,0)</f>
        <v>0</v>
      </c>
      <c r="AI372" s="115" t="s">
        <v>1056</v>
      </c>
      <c r="AJ372" s="131">
        <f>IF(AN372=0,J372,0)</f>
        <v>0</v>
      </c>
      <c r="AK372" s="131">
        <f>IF(AN372=12,J372,0)</f>
        <v>0</v>
      </c>
      <c r="AL372" s="131">
        <f>IF(AN372=21,J372,0)</f>
        <v>0</v>
      </c>
      <c r="AN372" s="131">
        <v>21</v>
      </c>
      <c r="AO372" s="131">
        <f>G372*0</f>
        <v>0</v>
      </c>
      <c r="AP372" s="131">
        <f>G372*(1-0)</f>
        <v>0</v>
      </c>
      <c r="AQ372" s="132" t="s">
        <v>56</v>
      </c>
      <c r="AV372" s="131">
        <f>AW372+AX372</f>
        <v>0</v>
      </c>
      <c r="AW372" s="131">
        <f>F372*AO372</f>
        <v>0</v>
      </c>
      <c r="AX372" s="131">
        <f>F372*AP372</f>
        <v>0</v>
      </c>
      <c r="AY372" s="132" t="s">
        <v>782</v>
      </c>
      <c r="AZ372" s="132" t="s">
        <v>1058</v>
      </c>
      <c r="BA372" s="115" t="s">
        <v>1059</v>
      </c>
      <c r="BC372" s="131">
        <f>AW372+AX372</f>
        <v>0</v>
      </c>
      <c r="BD372" s="131">
        <f>G372/(100-BE372)*100</f>
        <v>0</v>
      </c>
      <c r="BE372" s="131">
        <v>0</v>
      </c>
      <c r="BF372" s="131">
        <f>372</f>
        <v>372</v>
      </c>
      <c r="BH372" s="131">
        <f>F372*AO372</f>
        <v>0</v>
      </c>
      <c r="BI372" s="131">
        <f>F372*AP372</f>
        <v>0</v>
      </c>
      <c r="BJ372" s="131">
        <f>F372*G372</f>
        <v>0</v>
      </c>
      <c r="BK372" s="131"/>
      <c r="BL372" s="131">
        <v>15</v>
      </c>
      <c r="BW372" s="131">
        <v>21</v>
      </c>
      <c r="BX372" s="133" t="s">
        <v>784</v>
      </c>
    </row>
    <row r="373" spans="1:76" x14ac:dyDescent="0.25">
      <c r="A373" s="123" t="s">
        <v>53</v>
      </c>
      <c r="B373" s="124" t="s">
        <v>101</v>
      </c>
      <c r="C373" s="272" t="s">
        <v>102</v>
      </c>
      <c r="D373" s="273"/>
      <c r="E373" s="125" t="s">
        <v>9</v>
      </c>
      <c r="F373" s="125" t="s">
        <v>9</v>
      </c>
      <c r="G373" s="125" t="s">
        <v>9</v>
      </c>
      <c r="H373" s="110">
        <f>SUM(H374:H379)</f>
        <v>0</v>
      </c>
      <c r="I373" s="110">
        <f>SUM(I374:I379)</f>
        <v>0</v>
      </c>
      <c r="J373" s="110">
        <f>SUM(J374:J379)</f>
        <v>0</v>
      </c>
      <c r="K373" s="126" t="s">
        <v>53</v>
      </c>
      <c r="AI373" s="115" t="s">
        <v>1056</v>
      </c>
      <c r="AS373" s="110">
        <f>SUM(AJ374:AJ379)</f>
        <v>0</v>
      </c>
      <c r="AT373" s="110">
        <f>SUM(AK374:AK379)</f>
        <v>0</v>
      </c>
      <c r="AU373" s="110">
        <f>SUM(AL374:AL379)</f>
        <v>0</v>
      </c>
    </row>
    <row r="374" spans="1:76" x14ac:dyDescent="0.25">
      <c r="A374" s="134" t="s">
        <v>1070</v>
      </c>
      <c r="B374" s="135" t="s">
        <v>921</v>
      </c>
      <c r="C374" s="270" t="s">
        <v>922</v>
      </c>
      <c r="D374" s="271"/>
      <c r="E374" s="135" t="s">
        <v>79</v>
      </c>
      <c r="F374" s="131">
        <v>22.49</v>
      </c>
      <c r="G374" s="179">
        <v>0</v>
      </c>
      <c r="H374" s="131">
        <f t="shared" ref="H374:H379" si="300">F374*AO374</f>
        <v>0</v>
      </c>
      <c r="I374" s="131">
        <f t="shared" ref="I374:I379" si="301">F374*AP374</f>
        <v>0</v>
      </c>
      <c r="J374" s="131">
        <f t="shared" ref="J374:J379" si="302">F374*G374</f>
        <v>0</v>
      </c>
      <c r="K374" s="136" t="s">
        <v>60</v>
      </c>
      <c r="Z374" s="131">
        <f t="shared" ref="Z374:Z379" si="303">IF(AQ374="5",BJ374,0)</f>
        <v>0</v>
      </c>
      <c r="AB374" s="131">
        <f t="shared" ref="AB374:AB379" si="304">IF(AQ374="1",BH374,0)</f>
        <v>0</v>
      </c>
      <c r="AC374" s="131">
        <f t="shared" ref="AC374:AC379" si="305">IF(AQ374="1",BI374,0)</f>
        <v>0</v>
      </c>
      <c r="AD374" s="131">
        <f t="shared" ref="AD374:AD379" si="306">IF(AQ374="7",BH374,0)</f>
        <v>0</v>
      </c>
      <c r="AE374" s="131">
        <f t="shared" ref="AE374:AE379" si="307">IF(AQ374="7",BI374,0)</f>
        <v>0</v>
      </c>
      <c r="AF374" s="131">
        <f t="shared" ref="AF374:AF379" si="308">IF(AQ374="2",BH374,0)</f>
        <v>0</v>
      </c>
      <c r="AG374" s="131">
        <f t="shared" ref="AG374:AG379" si="309">IF(AQ374="2",BI374,0)</f>
        <v>0</v>
      </c>
      <c r="AH374" s="131">
        <f t="shared" ref="AH374:AH379" si="310">IF(AQ374="0",BJ374,0)</f>
        <v>0</v>
      </c>
      <c r="AI374" s="115" t="s">
        <v>1056</v>
      </c>
      <c r="AJ374" s="131">
        <f t="shared" ref="AJ374:AJ379" si="311">IF(AN374=0,J374,0)</f>
        <v>0</v>
      </c>
      <c r="AK374" s="131">
        <f t="shared" ref="AK374:AK379" si="312">IF(AN374=12,J374,0)</f>
        <v>0</v>
      </c>
      <c r="AL374" s="131">
        <f t="shared" ref="AL374:AL379" si="313">IF(AN374=21,J374,0)</f>
        <v>0</v>
      </c>
      <c r="AN374" s="131">
        <v>21</v>
      </c>
      <c r="AO374" s="131">
        <f t="shared" ref="AO374:AO379" si="314">G374*0</f>
        <v>0</v>
      </c>
      <c r="AP374" s="131">
        <f t="shared" ref="AP374:AP379" si="315">G374*(1-0)</f>
        <v>0</v>
      </c>
      <c r="AQ374" s="132" t="s">
        <v>56</v>
      </c>
      <c r="AV374" s="131">
        <f t="shared" ref="AV374:AV379" si="316">AW374+AX374</f>
        <v>0</v>
      </c>
      <c r="AW374" s="131">
        <f t="shared" ref="AW374:AW379" si="317">F374*AO374</f>
        <v>0</v>
      </c>
      <c r="AX374" s="131">
        <f t="shared" ref="AX374:AX379" si="318">F374*AP374</f>
        <v>0</v>
      </c>
      <c r="AY374" s="132" t="s">
        <v>105</v>
      </c>
      <c r="AZ374" s="132" t="s">
        <v>1058</v>
      </c>
      <c r="BA374" s="115" t="s">
        <v>1059</v>
      </c>
      <c r="BC374" s="131">
        <f t="shared" ref="BC374:BC379" si="319">AW374+AX374</f>
        <v>0</v>
      </c>
      <c r="BD374" s="131">
        <f t="shared" ref="BD374:BD379" si="320">G374/(100-BE374)*100</f>
        <v>0</v>
      </c>
      <c r="BE374" s="131">
        <v>0</v>
      </c>
      <c r="BF374" s="131">
        <f>374</f>
        <v>374</v>
      </c>
      <c r="BH374" s="131">
        <f t="shared" ref="BH374:BH379" si="321">F374*AO374</f>
        <v>0</v>
      </c>
      <c r="BI374" s="131">
        <f t="shared" ref="BI374:BI379" si="322">F374*AP374</f>
        <v>0</v>
      </c>
      <c r="BJ374" s="131">
        <f t="shared" ref="BJ374:BJ379" si="323">F374*G374</f>
        <v>0</v>
      </c>
      <c r="BK374" s="131"/>
      <c r="BL374" s="131">
        <v>16</v>
      </c>
      <c r="BW374" s="131">
        <v>21</v>
      </c>
      <c r="BX374" s="133" t="s">
        <v>922</v>
      </c>
    </row>
    <row r="375" spans="1:76" x14ac:dyDescent="0.25">
      <c r="A375" s="134" t="s">
        <v>1071</v>
      </c>
      <c r="B375" s="135" t="s">
        <v>114</v>
      </c>
      <c r="C375" s="270" t="s">
        <v>995</v>
      </c>
      <c r="D375" s="271"/>
      <c r="E375" s="135" t="s">
        <v>79</v>
      </c>
      <c r="F375" s="131">
        <v>1.3</v>
      </c>
      <c r="G375" s="179">
        <v>0</v>
      </c>
      <c r="H375" s="131">
        <f t="shared" si="300"/>
        <v>0</v>
      </c>
      <c r="I375" s="131">
        <f t="shared" si="301"/>
        <v>0</v>
      </c>
      <c r="J375" s="131">
        <f t="shared" si="302"/>
        <v>0</v>
      </c>
      <c r="K375" s="136" t="s">
        <v>711</v>
      </c>
      <c r="Z375" s="131">
        <f t="shared" si="303"/>
        <v>0</v>
      </c>
      <c r="AB375" s="131">
        <f t="shared" si="304"/>
        <v>0</v>
      </c>
      <c r="AC375" s="131">
        <f t="shared" si="305"/>
        <v>0</v>
      </c>
      <c r="AD375" s="131">
        <f t="shared" si="306"/>
        <v>0</v>
      </c>
      <c r="AE375" s="131">
        <f t="shared" si="307"/>
        <v>0</v>
      </c>
      <c r="AF375" s="131">
        <f t="shared" si="308"/>
        <v>0</v>
      </c>
      <c r="AG375" s="131">
        <f t="shared" si="309"/>
        <v>0</v>
      </c>
      <c r="AH375" s="131">
        <f t="shared" si="310"/>
        <v>0</v>
      </c>
      <c r="AI375" s="115" t="s">
        <v>1056</v>
      </c>
      <c r="AJ375" s="131">
        <f t="shared" si="311"/>
        <v>0</v>
      </c>
      <c r="AK375" s="131">
        <f t="shared" si="312"/>
        <v>0</v>
      </c>
      <c r="AL375" s="131">
        <f t="shared" si="313"/>
        <v>0</v>
      </c>
      <c r="AN375" s="131">
        <v>21</v>
      </c>
      <c r="AO375" s="131">
        <f t="shared" si="314"/>
        <v>0</v>
      </c>
      <c r="AP375" s="131">
        <f t="shared" si="315"/>
        <v>0</v>
      </c>
      <c r="AQ375" s="132" t="s">
        <v>56</v>
      </c>
      <c r="AV375" s="131">
        <f t="shared" si="316"/>
        <v>0</v>
      </c>
      <c r="AW375" s="131">
        <f t="shared" si="317"/>
        <v>0</v>
      </c>
      <c r="AX375" s="131">
        <f t="shared" si="318"/>
        <v>0</v>
      </c>
      <c r="AY375" s="132" t="s">
        <v>105</v>
      </c>
      <c r="AZ375" s="132" t="s">
        <v>1058</v>
      </c>
      <c r="BA375" s="115" t="s">
        <v>1059</v>
      </c>
      <c r="BC375" s="131">
        <f t="shared" si="319"/>
        <v>0</v>
      </c>
      <c r="BD375" s="131">
        <f t="shared" si="320"/>
        <v>0</v>
      </c>
      <c r="BE375" s="131">
        <v>0</v>
      </c>
      <c r="BF375" s="131">
        <f>375</f>
        <v>375</v>
      </c>
      <c r="BH375" s="131">
        <f t="shared" si="321"/>
        <v>0</v>
      </c>
      <c r="BI375" s="131">
        <f t="shared" si="322"/>
        <v>0</v>
      </c>
      <c r="BJ375" s="131">
        <f t="shared" si="323"/>
        <v>0</v>
      </c>
      <c r="BK375" s="131"/>
      <c r="BL375" s="131">
        <v>16</v>
      </c>
      <c r="BW375" s="131">
        <v>21</v>
      </c>
      <c r="BX375" s="133" t="s">
        <v>995</v>
      </c>
    </row>
    <row r="376" spans="1:76" x14ac:dyDescent="0.25">
      <c r="A376" s="134" t="s">
        <v>1072</v>
      </c>
      <c r="B376" s="135" t="s">
        <v>712</v>
      </c>
      <c r="C376" s="270" t="s">
        <v>997</v>
      </c>
      <c r="D376" s="271"/>
      <c r="E376" s="135" t="s">
        <v>122</v>
      </c>
      <c r="F376" s="131">
        <v>3.25</v>
      </c>
      <c r="G376" s="179">
        <v>0</v>
      </c>
      <c r="H376" s="131">
        <f t="shared" si="300"/>
        <v>0</v>
      </c>
      <c r="I376" s="131">
        <f t="shared" si="301"/>
        <v>0</v>
      </c>
      <c r="J376" s="131">
        <f t="shared" si="302"/>
        <v>0</v>
      </c>
      <c r="K376" s="136" t="s">
        <v>711</v>
      </c>
      <c r="Z376" s="131">
        <f t="shared" si="303"/>
        <v>0</v>
      </c>
      <c r="AB376" s="131">
        <f t="shared" si="304"/>
        <v>0</v>
      </c>
      <c r="AC376" s="131">
        <f t="shared" si="305"/>
        <v>0</v>
      </c>
      <c r="AD376" s="131">
        <f t="shared" si="306"/>
        <v>0</v>
      </c>
      <c r="AE376" s="131">
        <f t="shared" si="307"/>
        <v>0</v>
      </c>
      <c r="AF376" s="131">
        <f t="shared" si="308"/>
        <v>0</v>
      </c>
      <c r="AG376" s="131">
        <f t="shared" si="309"/>
        <v>0</v>
      </c>
      <c r="AH376" s="131">
        <f t="shared" si="310"/>
        <v>0</v>
      </c>
      <c r="AI376" s="115" t="s">
        <v>1056</v>
      </c>
      <c r="AJ376" s="131">
        <f t="shared" si="311"/>
        <v>0</v>
      </c>
      <c r="AK376" s="131">
        <f t="shared" si="312"/>
        <v>0</v>
      </c>
      <c r="AL376" s="131">
        <f t="shared" si="313"/>
        <v>0</v>
      </c>
      <c r="AN376" s="131">
        <v>21</v>
      </c>
      <c r="AO376" s="131">
        <f t="shared" si="314"/>
        <v>0</v>
      </c>
      <c r="AP376" s="131">
        <f t="shared" si="315"/>
        <v>0</v>
      </c>
      <c r="AQ376" s="132" t="s">
        <v>56</v>
      </c>
      <c r="AV376" s="131">
        <f t="shared" si="316"/>
        <v>0</v>
      </c>
      <c r="AW376" s="131">
        <f t="shared" si="317"/>
        <v>0</v>
      </c>
      <c r="AX376" s="131">
        <f t="shared" si="318"/>
        <v>0</v>
      </c>
      <c r="AY376" s="132" t="s">
        <v>105</v>
      </c>
      <c r="AZ376" s="132" t="s">
        <v>1058</v>
      </c>
      <c r="BA376" s="115" t="s">
        <v>1059</v>
      </c>
      <c r="BC376" s="131">
        <f t="shared" si="319"/>
        <v>0</v>
      </c>
      <c r="BD376" s="131">
        <f t="shared" si="320"/>
        <v>0</v>
      </c>
      <c r="BE376" s="131">
        <v>0</v>
      </c>
      <c r="BF376" s="131">
        <f>376</f>
        <v>376</v>
      </c>
      <c r="BH376" s="131">
        <f t="shared" si="321"/>
        <v>0</v>
      </c>
      <c r="BI376" s="131">
        <f t="shared" si="322"/>
        <v>0</v>
      </c>
      <c r="BJ376" s="131">
        <f t="shared" si="323"/>
        <v>0</v>
      </c>
      <c r="BK376" s="131"/>
      <c r="BL376" s="131">
        <v>16</v>
      </c>
      <c r="BW376" s="131">
        <v>21</v>
      </c>
      <c r="BX376" s="133" t="s">
        <v>997</v>
      </c>
    </row>
    <row r="377" spans="1:76" x14ac:dyDescent="0.25">
      <c r="A377" s="134" t="s">
        <v>1073</v>
      </c>
      <c r="B377" s="135" t="s">
        <v>114</v>
      </c>
      <c r="C377" s="270" t="s">
        <v>785</v>
      </c>
      <c r="D377" s="271"/>
      <c r="E377" s="135" t="s">
        <v>79</v>
      </c>
      <c r="F377" s="131">
        <v>78.540000000000006</v>
      </c>
      <c r="G377" s="179">
        <v>0</v>
      </c>
      <c r="H377" s="131">
        <f t="shared" si="300"/>
        <v>0</v>
      </c>
      <c r="I377" s="131">
        <f t="shared" si="301"/>
        <v>0</v>
      </c>
      <c r="J377" s="131">
        <f t="shared" si="302"/>
        <v>0</v>
      </c>
      <c r="K377" s="136" t="s">
        <v>60</v>
      </c>
      <c r="Z377" s="131">
        <f t="shared" si="303"/>
        <v>0</v>
      </c>
      <c r="AB377" s="131">
        <f t="shared" si="304"/>
        <v>0</v>
      </c>
      <c r="AC377" s="131">
        <f t="shared" si="305"/>
        <v>0</v>
      </c>
      <c r="AD377" s="131">
        <f t="shared" si="306"/>
        <v>0</v>
      </c>
      <c r="AE377" s="131">
        <f t="shared" si="307"/>
        <v>0</v>
      </c>
      <c r="AF377" s="131">
        <f t="shared" si="308"/>
        <v>0</v>
      </c>
      <c r="AG377" s="131">
        <f t="shared" si="309"/>
        <v>0</v>
      </c>
      <c r="AH377" s="131">
        <f t="shared" si="310"/>
        <v>0</v>
      </c>
      <c r="AI377" s="115" t="s">
        <v>1056</v>
      </c>
      <c r="AJ377" s="131">
        <f t="shared" si="311"/>
        <v>0</v>
      </c>
      <c r="AK377" s="131">
        <f t="shared" si="312"/>
        <v>0</v>
      </c>
      <c r="AL377" s="131">
        <f t="shared" si="313"/>
        <v>0</v>
      </c>
      <c r="AN377" s="131">
        <v>21</v>
      </c>
      <c r="AO377" s="131">
        <f t="shared" si="314"/>
        <v>0</v>
      </c>
      <c r="AP377" s="131">
        <f t="shared" si="315"/>
        <v>0</v>
      </c>
      <c r="AQ377" s="132" t="s">
        <v>56</v>
      </c>
      <c r="AV377" s="131">
        <f t="shared" si="316"/>
        <v>0</v>
      </c>
      <c r="AW377" s="131">
        <f t="shared" si="317"/>
        <v>0</v>
      </c>
      <c r="AX377" s="131">
        <f t="shared" si="318"/>
        <v>0</v>
      </c>
      <c r="AY377" s="132" t="s">
        <v>105</v>
      </c>
      <c r="AZ377" s="132" t="s">
        <v>1058</v>
      </c>
      <c r="BA377" s="115" t="s">
        <v>1059</v>
      </c>
      <c r="BC377" s="131">
        <f t="shared" si="319"/>
        <v>0</v>
      </c>
      <c r="BD377" s="131">
        <f t="shared" si="320"/>
        <v>0</v>
      </c>
      <c r="BE377" s="131">
        <v>0</v>
      </c>
      <c r="BF377" s="131">
        <f>377</f>
        <v>377</v>
      </c>
      <c r="BH377" s="131">
        <f t="shared" si="321"/>
        <v>0</v>
      </c>
      <c r="BI377" s="131">
        <f t="shared" si="322"/>
        <v>0</v>
      </c>
      <c r="BJ377" s="131">
        <f t="shared" si="323"/>
        <v>0</v>
      </c>
      <c r="BK377" s="131"/>
      <c r="BL377" s="131">
        <v>16</v>
      </c>
      <c r="BW377" s="131">
        <v>21</v>
      </c>
      <c r="BX377" s="133" t="s">
        <v>785</v>
      </c>
    </row>
    <row r="378" spans="1:76" x14ac:dyDescent="0.25">
      <c r="A378" s="134" t="s">
        <v>1074</v>
      </c>
      <c r="B378" s="135" t="s">
        <v>117</v>
      </c>
      <c r="C378" s="270" t="s">
        <v>118</v>
      </c>
      <c r="D378" s="271"/>
      <c r="E378" s="135" t="s">
        <v>79</v>
      </c>
      <c r="F378" s="131">
        <v>785.4</v>
      </c>
      <c r="G378" s="179">
        <v>0</v>
      </c>
      <c r="H378" s="131">
        <f t="shared" si="300"/>
        <v>0</v>
      </c>
      <c r="I378" s="131">
        <f t="shared" si="301"/>
        <v>0</v>
      </c>
      <c r="J378" s="131">
        <f t="shared" si="302"/>
        <v>0</v>
      </c>
      <c r="K378" s="136" t="s">
        <v>60</v>
      </c>
      <c r="Z378" s="131">
        <f t="shared" si="303"/>
        <v>0</v>
      </c>
      <c r="AB378" s="131">
        <f t="shared" si="304"/>
        <v>0</v>
      </c>
      <c r="AC378" s="131">
        <f t="shared" si="305"/>
        <v>0</v>
      </c>
      <c r="AD378" s="131">
        <f t="shared" si="306"/>
        <v>0</v>
      </c>
      <c r="AE378" s="131">
        <f t="shared" si="307"/>
        <v>0</v>
      </c>
      <c r="AF378" s="131">
        <f t="shared" si="308"/>
        <v>0</v>
      </c>
      <c r="AG378" s="131">
        <f t="shared" si="309"/>
        <v>0</v>
      </c>
      <c r="AH378" s="131">
        <f t="shared" si="310"/>
        <v>0</v>
      </c>
      <c r="AI378" s="115" t="s">
        <v>1056</v>
      </c>
      <c r="AJ378" s="131">
        <f t="shared" si="311"/>
        <v>0</v>
      </c>
      <c r="AK378" s="131">
        <f t="shared" si="312"/>
        <v>0</v>
      </c>
      <c r="AL378" s="131">
        <f t="shared" si="313"/>
        <v>0</v>
      </c>
      <c r="AN378" s="131">
        <v>21</v>
      </c>
      <c r="AO378" s="131">
        <f t="shared" si="314"/>
        <v>0</v>
      </c>
      <c r="AP378" s="131">
        <f t="shared" si="315"/>
        <v>0</v>
      </c>
      <c r="AQ378" s="132" t="s">
        <v>56</v>
      </c>
      <c r="AV378" s="131">
        <f t="shared" si="316"/>
        <v>0</v>
      </c>
      <c r="AW378" s="131">
        <f t="shared" si="317"/>
        <v>0</v>
      </c>
      <c r="AX378" s="131">
        <f t="shared" si="318"/>
        <v>0</v>
      </c>
      <c r="AY378" s="132" t="s">
        <v>105</v>
      </c>
      <c r="AZ378" s="132" t="s">
        <v>1058</v>
      </c>
      <c r="BA378" s="115" t="s">
        <v>1059</v>
      </c>
      <c r="BC378" s="131">
        <f t="shared" si="319"/>
        <v>0</v>
      </c>
      <c r="BD378" s="131">
        <f t="shared" si="320"/>
        <v>0</v>
      </c>
      <c r="BE378" s="131">
        <v>0</v>
      </c>
      <c r="BF378" s="131">
        <f>378</f>
        <v>378</v>
      </c>
      <c r="BH378" s="131">
        <f t="shared" si="321"/>
        <v>0</v>
      </c>
      <c r="BI378" s="131">
        <f t="shared" si="322"/>
        <v>0</v>
      </c>
      <c r="BJ378" s="131">
        <f t="shared" si="323"/>
        <v>0</v>
      </c>
      <c r="BK378" s="131"/>
      <c r="BL378" s="131">
        <v>16</v>
      </c>
      <c r="BW378" s="131">
        <v>21</v>
      </c>
      <c r="BX378" s="133" t="s">
        <v>118</v>
      </c>
    </row>
    <row r="379" spans="1:76" x14ac:dyDescent="0.25">
      <c r="A379" s="134" t="s">
        <v>1075</v>
      </c>
      <c r="B379" s="135" t="s">
        <v>120</v>
      </c>
      <c r="C379" s="270" t="s">
        <v>121</v>
      </c>
      <c r="D379" s="271"/>
      <c r="E379" s="135" t="s">
        <v>122</v>
      </c>
      <c r="F379" s="131">
        <v>141.37</v>
      </c>
      <c r="G379" s="179">
        <v>0</v>
      </c>
      <c r="H379" s="131">
        <f t="shared" si="300"/>
        <v>0</v>
      </c>
      <c r="I379" s="131">
        <f t="shared" si="301"/>
        <v>0</v>
      </c>
      <c r="J379" s="131">
        <f t="shared" si="302"/>
        <v>0</v>
      </c>
      <c r="K379" s="136" t="s">
        <v>60</v>
      </c>
      <c r="Z379" s="131">
        <f t="shared" si="303"/>
        <v>0</v>
      </c>
      <c r="AB379" s="131">
        <f t="shared" si="304"/>
        <v>0</v>
      </c>
      <c r="AC379" s="131">
        <f t="shared" si="305"/>
        <v>0</v>
      </c>
      <c r="AD379" s="131">
        <f t="shared" si="306"/>
        <v>0</v>
      </c>
      <c r="AE379" s="131">
        <f t="shared" si="307"/>
        <v>0</v>
      </c>
      <c r="AF379" s="131">
        <f t="shared" si="308"/>
        <v>0</v>
      </c>
      <c r="AG379" s="131">
        <f t="shared" si="309"/>
        <v>0</v>
      </c>
      <c r="AH379" s="131">
        <f t="shared" si="310"/>
        <v>0</v>
      </c>
      <c r="AI379" s="115" t="s">
        <v>1056</v>
      </c>
      <c r="AJ379" s="131">
        <f t="shared" si="311"/>
        <v>0</v>
      </c>
      <c r="AK379" s="131">
        <f t="shared" si="312"/>
        <v>0</v>
      </c>
      <c r="AL379" s="131">
        <f t="shared" si="313"/>
        <v>0</v>
      </c>
      <c r="AN379" s="131">
        <v>21</v>
      </c>
      <c r="AO379" s="131">
        <f t="shared" si="314"/>
        <v>0</v>
      </c>
      <c r="AP379" s="131">
        <f t="shared" si="315"/>
        <v>0</v>
      </c>
      <c r="AQ379" s="132" t="s">
        <v>56</v>
      </c>
      <c r="AV379" s="131">
        <f t="shared" si="316"/>
        <v>0</v>
      </c>
      <c r="AW379" s="131">
        <f t="shared" si="317"/>
        <v>0</v>
      </c>
      <c r="AX379" s="131">
        <f t="shared" si="318"/>
        <v>0</v>
      </c>
      <c r="AY379" s="132" t="s">
        <v>105</v>
      </c>
      <c r="AZ379" s="132" t="s">
        <v>1058</v>
      </c>
      <c r="BA379" s="115" t="s">
        <v>1059</v>
      </c>
      <c r="BC379" s="131">
        <f t="shared" si="319"/>
        <v>0</v>
      </c>
      <c r="BD379" s="131">
        <f t="shared" si="320"/>
        <v>0</v>
      </c>
      <c r="BE379" s="131">
        <v>0</v>
      </c>
      <c r="BF379" s="131">
        <f>379</f>
        <v>379</v>
      </c>
      <c r="BH379" s="131">
        <f t="shared" si="321"/>
        <v>0</v>
      </c>
      <c r="BI379" s="131">
        <f t="shared" si="322"/>
        <v>0</v>
      </c>
      <c r="BJ379" s="131">
        <f t="shared" si="323"/>
        <v>0</v>
      </c>
      <c r="BK379" s="131"/>
      <c r="BL379" s="131">
        <v>16</v>
      </c>
      <c r="BW379" s="131">
        <v>21</v>
      </c>
      <c r="BX379" s="133" t="s">
        <v>121</v>
      </c>
    </row>
    <row r="380" spans="1:76" x14ac:dyDescent="0.25">
      <c r="A380" s="123" t="s">
        <v>53</v>
      </c>
      <c r="B380" s="124" t="s">
        <v>116</v>
      </c>
      <c r="C380" s="272" t="s">
        <v>123</v>
      </c>
      <c r="D380" s="273"/>
      <c r="E380" s="125" t="s">
        <v>9</v>
      </c>
      <c r="F380" s="125" t="s">
        <v>9</v>
      </c>
      <c r="G380" s="125" t="s">
        <v>9</v>
      </c>
      <c r="H380" s="110">
        <f>SUM(H381:H383)</f>
        <v>0</v>
      </c>
      <c r="I380" s="110">
        <f>SUM(I381:I383)</f>
        <v>0</v>
      </c>
      <c r="J380" s="110">
        <f>SUM(J381:J383)</f>
        <v>0</v>
      </c>
      <c r="K380" s="126" t="s">
        <v>53</v>
      </c>
      <c r="AI380" s="115" t="s">
        <v>1056</v>
      </c>
      <c r="AS380" s="110">
        <f>SUM(AJ381:AJ383)</f>
        <v>0</v>
      </c>
      <c r="AT380" s="110">
        <f>SUM(AK381:AK383)</f>
        <v>0</v>
      </c>
      <c r="AU380" s="110">
        <f>SUM(AL381:AL383)</f>
        <v>0</v>
      </c>
    </row>
    <row r="381" spans="1:76" x14ac:dyDescent="0.25">
      <c r="A381" s="134" t="s">
        <v>1076</v>
      </c>
      <c r="B381" s="135" t="s">
        <v>129</v>
      </c>
      <c r="C381" s="270" t="s">
        <v>130</v>
      </c>
      <c r="D381" s="271"/>
      <c r="E381" s="135" t="s">
        <v>79</v>
      </c>
      <c r="F381" s="131">
        <v>162.11000000000001</v>
      </c>
      <c r="G381" s="179">
        <v>0</v>
      </c>
      <c r="H381" s="131">
        <f>F381*AO381</f>
        <v>0</v>
      </c>
      <c r="I381" s="131">
        <f>F381*AP381</f>
        <v>0</v>
      </c>
      <c r="J381" s="131">
        <f>F381*G381</f>
        <v>0</v>
      </c>
      <c r="K381" s="136" t="s">
        <v>60</v>
      </c>
      <c r="Z381" s="131">
        <f>IF(AQ381="5",BJ381,0)</f>
        <v>0</v>
      </c>
      <c r="AB381" s="131">
        <f>IF(AQ381="1",BH381,0)</f>
        <v>0</v>
      </c>
      <c r="AC381" s="131">
        <f>IF(AQ381="1",BI381,0)</f>
        <v>0</v>
      </c>
      <c r="AD381" s="131">
        <f>IF(AQ381="7",BH381,0)</f>
        <v>0</v>
      </c>
      <c r="AE381" s="131">
        <f>IF(AQ381="7",BI381,0)</f>
        <v>0</v>
      </c>
      <c r="AF381" s="131">
        <f>IF(AQ381="2",BH381,0)</f>
        <v>0</v>
      </c>
      <c r="AG381" s="131">
        <f>IF(AQ381="2",BI381,0)</f>
        <v>0</v>
      </c>
      <c r="AH381" s="131">
        <f>IF(AQ381="0",BJ381,0)</f>
        <v>0</v>
      </c>
      <c r="AI381" s="115" t="s">
        <v>1056</v>
      </c>
      <c r="AJ381" s="131">
        <f>IF(AN381=0,J381,0)</f>
        <v>0</v>
      </c>
      <c r="AK381" s="131">
        <f>IF(AN381=12,J381,0)</f>
        <v>0</v>
      </c>
      <c r="AL381" s="131">
        <f>IF(AN381=21,J381,0)</f>
        <v>0</v>
      </c>
      <c r="AN381" s="131">
        <v>21</v>
      </c>
      <c r="AO381" s="131">
        <f>G381*0</f>
        <v>0</v>
      </c>
      <c r="AP381" s="131">
        <f>G381*(1-0)</f>
        <v>0</v>
      </c>
      <c r="AQ381" s="132" t="s">
        <v>56</v>
      </c>
      <c r="AV381" s="131">
        <f>AW381+AX381</f>
        <v>0</v>
      </c>
      <c r="AW381" s="131">
        <f>F381*AO381</f>
        <v>0</v>
      </c>
      <c r="AX381" s="131">
        <f>F381*AP381</f>
        <v>0</v>
      </c>
      <c r="AY381" s="132" t="s">
        <v>127</v>
      </c>
      <c r="AZ381" s="132" t="s">
        <v>1058</v>
      </c>
      <c r="BA381" s="115" t="s">
        <v>1059</v>
      </c>
      <c r="BC381" s="131">
        <f>AW381+AX381</f>
        <v>0</v>
      </c>
      <c r="BD381" s="131">
        <f>G381/(100-BE381)*100</f>
        <v>0</v>
      </c>
      <c r="BE381" s="131">
        <v>0</v>
      </c>
      <c r="BF381" s="131">
        <f>381</f>
        <v>381</v>
      </c>
      <c r="BH381" s="131">
        <f>F381*AO381</f>
        <v>0</v>
      </c>
      <c r="BI381" s="131">
        <f>F381*AP381</f>
        <v>0</v>
      </c>
      <c r="BJ381" s="131">
        <f>F381*G381</f>
        <v>0</v>
      </c>
      <c r="BK381" s="131"/>
      <c r="BL381" s="131">
        <v>17</v>
      </c>
      <c r="BW381" s="131">
        <v>21</v>
      </c>
      <c r="BX381" s="133" t="s">
        <v>130</v>
      </c>
    </row>
    <row r="382" spans="1:76" x14ac:dyDescent="0.25">
      <c r="A382" s="134" t="s">
        <v>1077</v>
      </c>
      <c r="B382" s="135" t="s">
        <v>786</v>
      </c>
      <c r="C382" s="270" t="s">
        <v>787</v>
      </c>
      <c r="D382" s="271"/>
      <c r="E382" s="135" t="s">
        <v>79</v>
      </c>
      <c r="F382" s="131">
        <v>43.43</v>
      </c>
      <c r="G382" s="179">
        <v>0</v>
      </c>
      <c r="H382" s="131">
        <f>F382*AO382</f>
        <v>0</v>
      </c>
      <c r="I382" s="131">
        <f>F382*AP382</f>
        <v>0</v>
      </c>
      <c r="J382" s="131">
        <f>F382*G382</f>
        <v>0</v>
      </c>
      <c r="K382" s="136" t="s">
        <v>60</v>
      </c>
      <c r="Z382" s="131">
        <f>IF(AQ382="5",BJ382,0)</f>
        <v>0</v>
      </c>
      <c r="AB382" s="131">
        <f>IF(AQ382="1",BH382,0)</f>
        <v>0</v>
      </c>
      <c r="AC382" s="131">
        <f>IF(AQ382="1",BI382,0)</f>
        <v>0</v>
      </c>
      <c r="AD382" s="131">
        <f>IF(AQ382="7",BH382,0)</f>
        <v>0</v>
      </c>
      <c r="AE382" s="131">
        <f>IF(AQ382="7",BI382,0)</f>
        <v>0</v>
      </c>
      <c r="AF382" s="131">
        <f>IF(AQ382="2",BH382,0)</f>
        <v>0</v>
      </c>
      <c r="AG382" s="131">
        <f>IF(AQ382="2",BI382,0)</f>
        <v>0</v>
      </c>
      <c r="AH382" s="131">
        <f>IF(AQ382="0",BJ382,0)</f>
        <v>0</v>
      </c>
      <c r="AI382" s="115" t="s">
        <v>1056</v>
      </c>
      <c r="AJ382" s="131">
        <f>IF(AN382=0,J382,0)</f>
        <v>0</v>
      </c>
      <c r="AK382" s="131">
        <f>IF(AN382=12,J382,0)</f>
        <v>0</v>
      </c>
      <c r="AL382" s="131">
        <f>IF(AN382=21,J382,0)</f>
        <v>0</v>
      </c>
      <c r="AN382" s="131">
        <v>21</v>
      </c>
      <c r="AO382" s="131">
        <f>G382*0</f>
        <v>0</v>
      </c>
      <c r="AP382" s="131">
        <f>G382*(1-0)</f>
        <v>0</v>
      </c>
      <c r="AQ382" s="132" t="s">
        <v>56</v>
      </c>
      <c r="AV382" s="131">
        <f>AW382+AX382</f>
        <v>0</v>
      </c>
      <c r="AW382" s="131">
        <f>F382*AO382</f>
        <v>0</v>
      </c>
      <c r="AX382" s="131">
        <f>F382*AP382</f>
        <v>0</v>
      </c>
      <c r="AY382" s="132" t="s">
        <v>127</v>
      </c>
      <c r="AZ382" s="132" t="s">
        <v>1058</v>
      </c>
      <c r="BA382" s="115" t="s">
        <v>1059</v>
      </c>
      <c r="BC382" s="131">
        <f>AW382+AX382</f>
        <v>0</v>
      </c>
      <c r="BD382" s="131">
        <f>G382/(100-BE382)*100</f>
        <v>0</v>
      </c>
      <c r="BE382" s="131">
        <v>0</v>
      </c>
      <c r="BF382" s="131">
        <f>382</f>
        <v>382</v>
      </c>
      <c r="BH382" s="131">
        <f>F382*AO382</f>
        <v>0</v>
      </c>
      <c r="BI382" s="131">
        <f>F382*AP382</f>
        <v>0</v>
      </c>
      <c r="BJ382" s="131">
        <f>F382*G382</f>
        <v>0</v>
      </c>
      <c r="BK382" s="131"/>
      <c r="BL382" s="131">
        <v>17</v>
      </c>
      <c r="BW382" s="131">
        <v>21</v>
      </c>
      <c r="BX382" s="133" t="s">
        <v>787</v>
      </c>
    </row>
    <row r="383" spans="1:76" x14ac:dyDescent="0.25">
      <c r="A383" s="134" t="s">
        <v>1078</v>
      </c>
      <c r="B383" s="135" t="s">
        <v>788</v>
      </c>
      <c r="C383" s="270" t="s">
        <v>789</v>
      </c>
      <c r="D383" s="271"/>
      <c r="E383" s="135" t="s">
        <v>79</v>
      </c>
      <c r="F383" s="131">
        <v>78.540000000000006</v>
      </c>
      <c r="G383" s="179">
        <v>0</v>
      </c>
      <c r="H383" s="131">
        <f>F383*AO383</f>
        <v>0</v>
      </c>
      <c r="I383" s="131">
        <f>F383*AP383</f>
        <v>0</v>
      </c>
      <c r="J383" s="131">
        <f>F383*G383</f>
        <v>0</v>
      </c>
      <c r="K383" s="136" t="s">
        <v>60</v>
      </c>
      <c r="Z383" s="131">
        <f>IF(AQ383="5",BJ383,0)</f>
        <v>0</v>
      </c>
      <c r="AB383" s="131">
        <f>IF(AQ383="1",BH383,0)</f>
        <v>0</v>
      </c>
      <c r="AC383" s="131">
        <f>IF(AQ383="1",BI383,0)</f>
        <v>0</v>
      </c>
      <c r="AD383" s="131">
        <f>IF(AQ383="7",BH383,0)</f>
        <v>0</v>
      </c>
      <c r="AE383" s="131">
        <f>IF(AQ383="7",BI383,0)</f>
        <v>0</v>
      </c>
      <c r="AF383" s="131">
        <f>IF(AQ383="2",BH383,0)</f>
        <v>0</v>
      </c>
      <c r="AG383" s="131">
        <f>IF(AQ383="2",BI383,0)</f>
        <v>0</v>
      </c>
      <c r="AH383" s="131">
        <f>IF(AQ383="0",BJ383,0)</f>
        <v>0</v>
      </c>
      <c r="AI383" s="115" t="s">
        <v>1056</v>
      </c>
      <c r="AJ383" s="131">
        <f>IF(AN383=0,J383,0)</f>
        <v>0</v>
      </c>
      <c r="AK383" s="131">
        <f>IF(AN383=12,J383,0)</f>
        <v>0</v>
      </c>
      <c r="AL383" s="131">
        <f>IF(AN383=21,J383,0)</f>
        <v>0</v>
      </c>
      <c r="AN383" s="131">
        <v>21</v>
      </c>
      <c r="AO383" s="131">
        <f>G383*0</f>
        <v>0</v>
      </c>
      <c r="AP383" s="131">
        <f>G383*(1-0)</f>
        <v>0</v>
      </c>
      <c r="AQ383" s="132" t="s">
        <v>56</v>
      </c>
      <c r="AV383" s="131">
        <f>AW383+AX383</f>
        <v>0</v>
      </c>
      <c r="AW383" s="131">
        <f>F383*AO383</f>
        <v>0</v>
      </c>
      <c r="AX383" s="131">
        <f>F383*AP383</f>
        <v>0</v>
      </c>
      <c r="AY383" s="132" t="s">
        <v>127</v>
      </c>
      <c r="AZ383" s="132" t="s">
        <v>1058</v>
      </c>
      <c r="BA383" s="115" t="s">
        <v>1059</v>
      </c>
      <c r="BC383" s="131">
        <f>AW383+AX383</f>
        <v>0</v>
      </c>
      <c r="BD383" s="131">
        <f>G383/(100-BE383)*100</f>
        <v>0</v>
      </c>
      <c r="BE383" s="131">
        <v>0</v>
      </c>
      <c r="BF383" s="131">
        <f>383</f>
        <v>383</v>
      </c>
      <c r="BH383" s="131">
        <f>F383*AO383</f>
        <v>0</v>
      </c>
      <c r="BI383" s="131">
        <f>F383*AP383</f>
        <v>0</v>
      </c>
      <c r="BJ383" s="131">
        <f>F383*G383</f>
        <v>0</v>
      </c>
      <c r="BK383" s="131"/>
      <c r="BL383" s="131">
        <v>17</v>
      </c>
      <c r="BW383" s="131">
        <v>21</v>
      </c>
      <c r="BX383" s="133" t="s">
        <v>789</v>
      </c>
    </row>
    <row r="384" spans="1:76" x14ac:dyDescent="0.25">
      <c r="A384" s="123" t="s">
        <v>53</v>
      </c>
      <c r="B384" s="124" t="s">
        <v>119</v>
      </c>
      <c r="C384" s="272" t="s">
        <v>134</v>
      </c>
      <c r="D384" s="273"/>
      <c r="E384" s="125" t="s">
        <v>9</v>
      </c>
      <c r="F384" s="125" t="s">
        <v>9</v>
      </c>
      <c r="G384" s="125" t="s">
        <v>9</v>
      </c>
      <c r="H384" s="110">
        <f>SUM(H385:H386)</f>
        <v>0</v>
      </c>
      <c r="I384" s="110">
        <f>SUM(I385:I386)</f>
        <v>0</v>
      </c>
      <c r="J384" s="110">
        <f>SUM(J385:J386)</f>
        <v>0</v>
      </c>
      <c r="K384" s="126" t="s">
        <v>53</v>
      </c>
      <c r="AI384" s="115" t="s">
        <v>1056</v>
      </c>
      <c r="AS384" s="110">
        <f>SUM(AJ385:AJ386)</f>
        <v>0</v>
      </c>
      <c r="AT384" s="110">
        <f>SUM(AK385:AK386)</f>
        <v>0</v>
      </c>
      <c r="AU384" s="110">
        <f>SUM(AL385:AL386)</f>
        <v>0</v>
      </c>
    </row>
    <row r="385" spans="1:76" x14ac:dyDescent="0.25">
      <c r="A385" s="134" t="s">
        <v>1079</v>
      </c>
      <c r="B385" s="135" t="s">
        <v>790</v>
      </c>
      <c r="C385" s="270" t="s">
        <v>791</v>
      </c>
      <c r="D385" s="271"/>
      <c r="E385" s="135" t="s">
        <v>59</v>
      </c>
      <c r="F385" s="131">
        <v>180</v>
      </c>
      <c r="G385" s="179">
        <v>0</v>
      </c>
      <c r="H385" s="131">
        <f>F385*AO385</f>
        <v>0</v>
      </c>
      <c r="I385" s="131">
        <f>F385*AP385</f>
        <v>0</v>
      </c>
      <c r="J385" s="131">
        <f>F385*G385</f>
        <v>0</v>
      </c>
      <c r="K385" s="136" t="s">
        <v>60</v>
      </c>
      <c r="Z385" s="131">
        <f>IF(AQ385="5",BJ385,0)</f>
        <v>0</v>
      </c>
      <c r="AB385" s="131">
        <f>IF(AQ385="1",BH385,0)</f>
        <v>0</v>
      </c>
      <c r="AC385" s="131">
        <f>IF(AQ385="1",BI385,0)</f>
        <v>0</v>
      </c>
      <c r="AD385" s="131">
        <f>IF(AQ385="7",BH385,0)</f>
        <v>0</v>
      </c>
      <c r="AE385" s="131">
        <f>IF(AQ385="7",BI385,0)</f>
        <v>0</v>
      </c>
      <c r="AF385" s="131">
        <f>IF(AQ385="2",BH385,0)</f>
        <v>0</v>
      </c>
      <c r="AG385" s="131">
        <f>IF(AQ385="2",BI385,0)</f>
        <v>0</v>
      </c>
      <c r="AH385" s="131">
        <f>IF(AQ385="0",BJ385,0)</f>
        <v>0</v>
      </c>
      <c r="AI385" s="115" t="s">
        <v>1056</v>
      </c>
      <c r="AJ385" s="131">
        <f>IF(AN385=0,J385,0)</f>
        <v>0</v>
      </c>
      <c r="AK385" s="131">
        <f>IF(AN385=12,J385,0)</f>
        <v>0</v>
      </c>
      <c r="AL385" s="131">
        <f>IF(AN385=21,J385,0)</f>
        <v>0</v>
      </c>
      <c r="AN385" s="131">
        <v>21</v>
      </c>
      <c r="AO385" s="131">
        <f>G385*0</f>
        <v>0</v>
      </c>
      <c r="AP385" s="131">
        <f>G385*(1-0)</f>
        <v>0</v>
      </c>
      <c r="AQ385" s="132" t="s">
        <v>56</v>
      </c>
      <c r="AV385" s="131">
        <f>AW385+AX385</f>
        <v>0</v>
      </c>
      <c r="AW385" s="131">
        <f>F385*AO385</f>
        <v>0</v>
      </c>
      <c r="AX385" s="131">
        <f>F385*AP385</f>
        <v>0</v>
      </c>
      <c r="AY385" s="132" t="s">
        <v>138</v>
      </c>
      <c r="AZ385" s="132" t="s">
        <v>1058</v>
      </c>
      <c r="BA385" s="115" t="s">
        <v>1059</v>
      </c>
      <c r="BC385" s="131">
        <f>AW385+AX385</f>
        <v>0</v>
      </c>
      <c r="BD385" s="131">
        <f>G385/(100-BE385)*100</f>
        <v>0</v>
      </c>
      <c r="BE385" s="131">
        <v>0</v>
      </c>
      <c r="BF385" s="131">
        <f>385</f>
        <v>385</v>
      </c>
      <c r="BH385" s="131">
        <f>F385*AO385</f>
        <v>0</v>
      </c>
      <c r="BI385" s="131">
        <f>F385*AP385</f>
        <v>0</v>
      </c>
      <c r="BJ385" s="131">
        <f>F385*G385</f>
        <v>0</v>
      </c>
      <c r="BK385" s="131"/>
      <c r="BL385" s="131">
        <v>18</v>
      </c>
      <c r="BW385" s="131">
        <v>21</v>
      </c>
      <c r="BX385" s="133" t="s">
        <v>791</v>
      </c>
    </row>
    <row r="386" spans="1:76" x14ac:dyDescent="0.25">
      <c r="A386" s="134" t="s">
        <v>1080</v>
      </c>
      <c r="B386" s="135" t="s">
        <v>792</v>
      </c>
      <c r="C386" s="270" t="s">
        <v>793</v>
      </c>
      <c r="D386" s="271"/>
      <c r="E386" s="135" t="s">
        <v>59</v>
      </c>
      <c r="F386" s="131">
        <v>180</v>
      </c>
      <c r="G386" s="179">
        <v>0</v>
      </c>
      <c r="H386" s="131">
        <f>F386*AO386</f>
        <v>0</v>
      </c>
      <c r="I386" s="131">
        <f>F386*AP386</f>
        <v>0</v>
      </c>
      <c r="J386" s="131">
        <f>F386*G386</f>
        <v>0</v>
      </c>
      <c r="K386" s="136" t="s">
        <v>60</v>
      </c>
      <c r="Z386" s="131">
        <f>IF(AQ386="5",BJ386,0)</f>
        <v>0</v>
      </c>
      <c r="AB386" s="131">
        <f>IF(AQ386="1",BH386,0)</f>
        <v>0</v>
      </c>
      <c r="AC386" s="131">
        <f>IF(AQ386="1",BI386,0)</f>
        <v>0</v>
      </c>
      <c r="AD386" s="131">
        <f>IF(AQ386="7",BH386,0)</f>
        <v>0</v>
      </c>
      <c r="AE386" s="131">
        <f>IF(AQ386="7",BI386,0)</f>
        <v>0</v>
      </c>
      <c r="AF386" s="131">
        <f>IF(AQ386="2",BH386,0)</f>
        <v>0</v>
      </c>
      <c r="AG386" s="131">
        <f>IF(AQ386="2",BI386,0)</f>
        <v>0</v>
      </c>
      <c r="AH386" s="131">
        <f>IF(AQ386="0",BJ386,0)</f>
        <v>0</v>
      </c>
      <c r="AI386" s="115" t="s">
        <v>1056</v>
      </c>
      <c r="AJ386" s="131">
        <f>IF(AN386=0,J386,0)</f>
        <v>0</v>
      </c>
      <c r="AK386" s="131">
        <f>IF(AN386=12,J386,0)</f>
        <v>0</v>
      </c>
      <c r="AL386" s="131">
        <f>IF(AN386=21,J386,0)</f>
        <v>0</v>
      </c>
      <c r="AN386" s="131">
        <v>21</v>
      </c>
      <c r="AO386" s="131">
        <f>G386*0.072542373</f>
        <v>0</v>
      </c>
      <c r="AP386" s="131">
        <f>G386*(1-0.072542373)</f>
        <v>0</v>
      </c>
      <c r="AQ386" s="132" t="s">
        <v>56</v>
      </c>
      <c r="AV386" s="131">
        <f>AW386+AX386</f>
        <v>0</v>
      </c>
      <c r="AW386" s="131">
        <f>F386*AO386</f>
        <v>0</v>
      </c>
      <c r="AX386" s="131">
        <f>F386*AP386</f>
        <v>0</v>
      </c>
      <c r="AY386" s="132" t="s">
        <v>138</v>
      </c>
      <c r="AZ386" s="132" t="s">
        <v>1058</v>
      </c>
      <c r="BA386" s="115" t="s">
        <v>1059</v>
      </c>
      <c r="BC386" s="131">
        <f>AW386+AX386</f>
        <v>0</v>
      </c>
      <c r="BD386" s="131">
        <f>G386/(100-BE386)*100</f>
        <v>0</v>
      </c>
      <c r="BE386" s="131">
        <v>0</v>
      </c>
      <c r="BF386" s="131">
        <f>386</f>
        <v>386</v>
      </c>
      <c r="BH386" s="131">
        <f>F386*AO386</f>
        <v>0</v>
      </c>
      <c r="BI386" s="131">
        <f>F386*AP386</f>
        <v>0</v>
      </c>
      <c r="BJ386" s="131">
        <f>F386*G386</f>
        <v>0</v>
      </c>
      <c r="BK386" s="131"/>
      <c r="BL386" s="131">
        <v>18</v>
      </c>
      <c r="BW386" s="131">
        <v>21</v>
      </c>
      <c r="BX386" s="133" t="s">
        <v>793</v>
      </c>
    </row>
    <row r="387" spans="1:76" x14ac:dyDescent="0.25">
      <c r="A387" s="123" t="s">
        <v>53</v>
      </c>
      <c r="B387" s="124" t="s">
        <v>167</v>
      </c>
      <c r="C387" s="272" t="s">
        <v>794</v>
      </c>
      <c r="D387" s="273"/>
      <c r="E387" s="125" t="s">
        <v>9</v>
      </c>
      <c r="F387" s="125" t="s">
        <v>9</v>
      </c>
      <c r="G387" s="125" t="s">
        <v>9</v>
      </c>
      <c r="H387" s="110">
        <f>SUM(H388:H388)</f>
        <v>0</v>
      </c>
      <c r="I387" s="110">
        <f>SUM(I388:I388)</f>
        <v>0</v>
      </c>
      <c r="J387" s="110">
        <f>SUM(J388:J388)</f>
        <v>0</v>
      </c>
      <c r="K387" s="126" t="s">
        <v>53</v>
      </c>
      <c r="AI387" s="115" t="s">
        <v>1056</v>
      </c>
      <c r="AS387" s="110">
        <f>SUM(AJ388:AJ388)</f>
        <v>0</v>
      </c>
      <c r="AT387" s="110">
        <f>SUM(AK388:AK388)</f>
        <v>0</v>
      </c>
      <c r="AU387" s="110">
        <f>SUM(AL388:AL388)</f>
        <v>0</v>
      </c>
    </row>
    <row r="388" spans="1:76" x14ac:dyDescent="0.25">
      <c r="A388" s="134" t="s">
        <v>1081</v>
      </c>
      <c r="B388" s="135" t="s">
        <v>795</v>
      </c>
      <c r="C388" s="270" t="s">
        <v>796</v>
      </c>
      <c r="D388" s="271"/>
      <c r="E388" s="135" t="s">
        <v>79</v>
      </c>
      <c r="F388" s="131">
        <v>20.329999999999998</v>
      </c>
      <c r="G388" s="179">
        <v>0</v>
      </c>
      <c r="H388" s="131">
        <f>F388*AO388</f>
        <v>0</v>
      </c>
      <c r="I388" s="131">
        <f>F388*AP388</f>
        <v>0</v>
      </c>
      <c r="J388" s="131">
        <f>F388*G388</f>
        <v>0</v>
      </c>
      <c r="K388" s="136" t="s">
        <v>60</v>
      </c>
      <c r="Z388" s="131">
        <f>IF(AQ388="5",BJ388,0)</f>
        <v>0</v>
      </c>
      <c r="AB388" s="131">
        <f>IF(AQ388="1",BH388,0)</f>
        <v>0</v>
      </c>
      <c r="AC388" s="131">
        <f>IF(AQ388="1",BI388,0)</f>
        <v>0</v>
      </c>
      <c r="AD388" s="131">
        <f>IF(AQ388="7",BH388,0)</f>
        <v>0</v>
      </c>
      <c r="AE388" s="131">
        <f>IF(AQ388="7",BI388,0)</f>
        <v>0</v>
      </c>
      <c r="AF388" s="131">
        <f>IF(AQ388="2",BH388,0)</f>
        <v>0</v>
      </c>
      <c r="AG388" s="131">
        <f>IF(AQ388="2",BI388,0)</f>
        <v>0</v>
      </c>
      <c r="AH388" s="131">
        <f>IF(AQ388="0",BJ388,0)</f>
        <v>0</v>
      </c>
      <c r="AI388" s="115" t="s">
        <v>1056</v>
      </c>
      <c r="AJ388" s="131">
        <f>IF(AN388=0,J388,0)</f>
        <v>0</v>
      </c>
      <c r="AK388" s="131">
        <f>IF(AN388=12,J388,0)</f>
        <v>0</v>
      </c>
      <c r="AL388" s="131">
        <f>IF(AN388=21,J388,0)</f>
        <v>0</v>
      </c>
      <c r="AN388" s="131">
        <v>21</v>
      </c>
      <c r="AO388" s="131">
        <f>G388*0.483679273</f>
        <v>0</v>
      </c>
      <c r="AP388" s="131">
        <f>G388*(1-0.483679273)</f>
        <v>0</v>
      </c>
      <c r="AQ388" s="132" t="s">
        <v>56</v>
      </c>
      <c r="AV388" s="131">
        <f>AW388+AX388</f>
        <v>0</v>
      </c>
      <c r="AW388" s="131">
        <f>F388*AO388</f>
        <v>0</v>
      </c>
      <c r="AX388" s="131">
        <f>F388*AP388</f>
        <v>0</v>
      </c>
      <c r="AY388" s="132" t="s">
        <v>172</v>
      </c>
      <c r="AZ388" s="132" t="s">
        <v>1082</v>
      </c>
      <c r="BA388" s="115" t="s">
        <v>1059</v>
      </c>
      <c r="BC388" s="131">
        <f>AW388+AX388</f>
        <v>0</v>
      </c>
      <c r="BD388" s="131">
        <f>G388/(100-BE388)*100</f>
        <v>0</v>
      </c>
      <c r="BE388" s="131">
        <v>0</v>
      </c>
      <c r="BF388" s="131">
        <f>388</f>
        <v>388</v>
      </c>
      <c r="BH388" s="131">
        <f>F388*AO388</f>
        <v>0</v>
      </c>
      <c r="BI388" s="131">
        <f>F388*AP388</f>
        <v>0</v>
      </c>
      <c r="BJ388" s="131">
        <f>F388*G388</f>
        <v>0</v>
      </c>
      <c r="BK388" s="131"/>
      <c r="BL388" s="131">
        <v>45</v>
      </c>
      <c r="BW388" s="131">
        <v>21</v>
      </c>
      <c r="BX388" s="133" t="s">
        <v>796</v>
      </c>
    </row>
    <row r="389" spans="1:76" x14ac:dyDescent="0.25">
      <c r="A389" s="123" t="s">
        <v>53</v>
      </c>
      <c r="B389" s="124" t="s">
        <v>177</v>
      </c>
      <c r="C389" s="272" t="s">
        <v>178</v>
      </c>
      <c r="D389" s="273"/>
      <c r="E389" s="125" t="s">
        <v>9</v>
      </c>
      <c r="F389" s="125" t="s">
        <v>9</v>
      </c>
      <c r="G389" s="125" t="s">
        <v>9</v>
      </c>
      <c r="H389" s="110">
        <f>SUM(H390:H393)</f>
        <v>0</v>
      </c>
      <c r="I389" s="110">
        <f>SUM(I390:I393)</f>
        <v>0</v>
      </c>
      <c r="J389" s="110">
        <f>SUM(J390:J393)</f>
        <v>0</v>
      </c>
      <c r="K389" s="126" t="s">
        <v>53</v>
      </c>
      <c r="AI389" s="115" t="s">
        <v>1056</v>
      </c>
      <c r="AS389" s="110">
        <f>SUM(AJ390:AJ393)</f>
        <v>0</v>
      </c>
      <c r="AT389" s="110">
        <f>SUM(AK390:AK393)</f>
        <v>0</v>
      </c>
      <c r="AU389" s="110">
        <f>SUM(AL390:AL393)</f>
        <v>0</v>
      </c>
    </row>
    <row r="390" spans="1:76" x14ac:dyDescent="0.25">
      <c r="A390" s="134" t="s">
        <v>471</v>
      </c>
      <c r="B390" s="135" t="s">
        <v>1007</v>
      </c>
      <c r="C390" s="270" t="s">
        <v>1008</v>
      </c>
      <c r="D390" s="271"/>
      <c r="E390" s="135" t="s">
        <v>59</v>
      </c>
      <c r="F390" s="131">
        <v>15.6</v>
      </c>
      <c r="G390" s="179">
        <v>0</v>
      </c>
      <c r="H390" s="131">
        <f>F390*AO390</f>
        <v>0</v>
      </c>
      <c r="I390" s="131">
        <f>F390*AP390</f>
        <v>0</v>
      </c>
      <c r="J390" s="131">
        <f>F390*G390</f>
        <v>0</v>
      </c>
      <c r="K390" s="136" t="s">
        <v>60</v>
      </c>
      <c r="Z390" s="131">
        <f>IF(AQ390="5",BJ390,0)</f>
        <v>0</v>
      </c>
      <c r="AB390" s="131">
        <f>IF(AQ390="1",BH390,0)</f>
        <v>0</v>
      </c>
      <c r="AC390" s="131">
        <f>IF(AQ390="1",BI390,0)</f>
        <v>0</v>
      </c>
      <c r="AD390" s="131">
        <f>IF(AQ390="7",BH390,0)</f>
        <v>0</v>
      </c>
      <c r="AE390" s="131">
        <f>IF(AQ390="7",BI390,0)</f>
        <v>0</v>
      </c>
      <c r="AF390" s="131">
        <f>IF(AQ390="2",BH390,0)</f>
        <v>0</v>
      </c>
      <c r="AG390" s="131">
        <f>IF(AQ390="2",BI390,0)</f>
        <v>0</v>
      </c>
      <c r="AH390" s="131">
        <f>IF(AQ390="0",BJ390,0)</f>
        <v>0</v>
      </c>
      <c r="AI390" s="115" t="s">
        <v>1056</v>
      </c>
      <c r="AJ390" s="131">
        <f>IF(AN390=0,J390,0)</f>
        <v>0</v>
      </c>
      <c r="AK390" s="131">
        <f>IF(AN390=12,J390,0)</f>
        <v>0</v>
      </c>
      <c r="AL390" s="131">
        <f>IF(AN390=21,J390,0)</f>
        <v>0</v>
      </c>
      <c r="AN390" s="131">
        <v>21</v>
      </c>
      <c r="AO390" s="131">
        <f>G390*0.854845361</f>
        <v>0</v>
      </c>
      <c r="AP390" s="131">
        <f>G390*(1-0.854845361)</f>
        <v>0</v>
      </c>
      <c r="AQ390" s="132" t="s">
        <v>56</v>
      </c>
      <c r="AV390" s="131">
        <f>AW390+AX390</f>
        <v>0</v>
      </c>
      <c r="AW390" s="131">
        <f>F390*AO390</f>
        <v>0</v>
      </c>
      <c r="AX390" s="131">
        <f>F390*AP390</f>
        <v>0</v>
      </c>
      <c r="AY390" s="132" t="s">
        <v>181</v>
      </c>
      <c r="AZ390" s="132" t="s">
        <v>1083</v>
      </c>
      <c r="BA390" s="115" t="s">
        <v>1059</v>
      </c>
      <c r="BC390" s="131">
        <f>AW390+AX390</f>
        <v>0</v>
      </c>
      <c r="BD390" s="131">
        <f>G390/(100-BE390)*100</f>
        <v>0</v>
      </c>
      <c r="BE390" s="131">
        <v>0</v>
      </c>
      <c r="BF390" s="131">
        <f>390</f>
        <v>390</v>
      </c>
      <c r="BH390" s="131">
        <f>F390*AO390</f>
        <v>0</v>
      </c>
      <c r="BI390" s="131">
        <f>F390*AP390</f>
        <v>0</v>
      </c>
      <c r="BJ390" s="131">
        <f>F390*G390</f>
        <v>0</v>
      </c>
      <c r="BK390" s="131"/>
      <c r="BL390" s="131">
        <v>56</v>
      </c>
      <c r="BW390" s="131">
        <v>21</v>
      </c>
      <c r="BX390" s="133" t="s">
        <v>1008</v>
      </c>
    </row>
    <row r="391" spans="1:76" x14ac:dyDescent="0.25">
      <c r="A391" s="134" t="s">
        <v>1084</v>
      </c>
      <c r="B391" s="135" t="s">
        <v>187</v>
      </c>
      <c r="C391" s="270" t="s">
        <v>1011</v>
      </c>
      <c r="D391" s="271"/>
      <c r="E391" s="135" t="s">
        <v>59</v>
      </c>
      <c r="F391" s="131">
        <v>14.95</v>
      </c>
      <c r="G391" s="179">
        <v>0</v>
      </c>
      <c r="H391" s="131">
        <f>F391*AO391</f>
        <v>0</v>
      </c>
      <c r="I391" s="131">
        <f>F391*AP391</f>
        <v>0</v>
      </c>
      <c r="J391" s="131">
        <f>F391*G391</f>
        <v>0</v>
      </c>
      <c r="K391" s="136" t="s">
        <v>60</v>
      </c>
      <c r="Z391" s="131">
        <f>IF(AQ391="5",BJ391,0)</f>
        <v>0</v>
      </c>
      <c r="AB391" s="131">
        <f>IF(AQ391="1",BH391,0)</f>
        <v>0</v>
      </c>
      <c r="AC391" s="131">
        <f>IF(AQ391="1",BI391,0)</f>
        <v>0</v>
      </c>
      <c r="AD391" s="131">
        <f>IF(AQ391="7",BH391,0)</f>
        <v>0</v>
      </c>
      <c r="AE391" s="131">
        <f>IF(AQ391="7",BI391,0)</f>
        <v>0</v>
      </c>
      <c r="AF391" s="131">
        <f>IF(AQ391="2",BH391,0)</f>
        <v>0</v>
      </c>
      <c r="AG391" s="131">
        <f>IF(AQ391="2",BI391,0)</f>
        <v>0</v>
      </c>
      <c r="AH391" s="131">
        <f>IF(AQ391="0",BJ391,0)</f>
        <v>0</v>
      </c>
      <c r="AI391" s="115" t="s">
        <v>1056</v>
      </c>
      <c r="AJ391" s="131">
        <f>IF(AN391=0,J391,0)</f>
        <v>0</v>
      </c>
      <c r="AK391" s="131">
        <f>IF(AN391=12,J391,0)</f>
        <v>0</v>
      </c>
      <c r="AL391" s="131">
        <f>IF(AN391=21,J391,0)</f>
        <v>0</v>
      </c>
      <c r="AN391" s="131">
        <v>21</v>
      </c>
      <c r="AO391" s="131">
        <f>G391*0.801141083</f>
        <v>0</v>
      </c>
      <c r="AP391" s="131">
        <f>G391*(1-0.801141083)</f>
        <v>0</v>
      </c>
      <c r="AQ391" s="132" t="s">
        <v>56</v>
      </c>
      <c r="AV391" s="131">
        <f>AW391+AX391</f>
        <v>0</v>
      </c>
      <c r="AW391" s="131">
        <f>F391*AO391</f>
        <v>0</v>
      </c>
      <c r="AX391" s="131">
        <f>F391*AP391</f>
        <v>0</v>
      </c>
      <c r="AY391" s="132" t="s">
        <v>181</v>
      </c>
      <c r="AZ391" s="132" t="s">
        <v>1083</v>
      </c>
      <c r="BA391" s="115" t="s">
        <v>1059</v>
      </c>
      <c r="BC391" s="131">
        <f>AW391+AX391</f>
        <v>0</v>
      </c>
      <c r="BD391" s="131">
        <f>G391/(100-BE391)*100</f>
        <v>0</v>
      </c>
      <c r="BE391" s="131">
        <v>0</v>
      </c>
      <c r="BF391" s="131">
        <f>391</f>
        <v>391</v>
      </c>
      <c r="BH391" s="131">
        <f>F391*AO391</f>
        <v>0</v>
      </c>
      <c r="BI391" s="131">
        <f>F391*AP391</f>
        <v>0</v>
      </c>
      <c r="BJ391" s="131">
        <f>F391*G391</f>
        <v>0</v>
      </c>
      <c r="BK391" s="131"/>
      <c r="BL391" s="131">
        <v>56</v>
      </c>
      <c r="BW391" s="131">
        <v>21</v>
      </c>
      <c r="BX391" s="133" t="s">
        <v>1011</v>
      </c>
    </row>
    <row r="392" spans="1:76" x14ac:dyDescent="0.25">
      <c r="A392" s="134" t="s">
        <v>1085</v>
      </c>
      <c r="B392" s="135" t="s">
        <v>187</v>
      </c>
      <c r="C392" s="270" t="s">
        <v>1013</v>
      </c>
      <c r="D392" s="271"/>
      <c r="E392" s="135" t="s">
        <v>59</v>
      </c>
      <c r="F392" s="131">
        <v>14.3</v>
      </c>
      <c r="G392" s="179">
        <v>0</v>
      </c>
      <c r="H392" s="131">
        <f>F392*AO392</f>
        <v>0</v>
      </c>
      <c r="I392" s="131">
        <f>F392*AP392</f>
        <v>0</v>
      </c>
      <c r="J392" s="131">
        <f>F392*G392</f>
        <v>0</v>
      </c>
      <c r="K392" s="136" t="s">
        <v>60</v>
      </c>
      <c r="Z392" s="131">
        <f>IF(AQ392="5",BJ392,0)</f>
        <v>0</v>
      </c>
      <c r="AB392" s="131">
        <f>IF(AQ392="1",BH392,0)</f>
        <v>0</v>
      </c>
      <c r="AC392" s="131">
        <f>IF(AQ392="1",BI392,0)</f>
        <v>0</v>
      </c>
      <c r="AD392" s="131">
        <f>IF(AQ392="7",BH392,0)</f>
        <v>0</v>
      </c>
      <c r="AE392" s="131">
        <f>IF(AQ392="7",BI392,0)</f>
        <v>0</v>
      </c>
      <c r="AF392" s="131">
        <f>IF(AQ392="2",BH392,0)</f>
        <v>0</v>
      </c>
      <c r="AG392" s="131">
        <f>IF(AQ392="2",BI392,0)</f>
        <v>0</v>
      </c>
      <c r="AH392" s="131">
        <f>IF(AQ392="0",BJ392,0)</f>
        <v>0</v>
      </c>
      <c r="AI392" s="115" t="s">
        <v>1056</v>
      </c>
      <c r="AJ392" s="131">
        <f>IF(AN392=0,J392,0)</f>
        <v>0</v>
      </c>
      <c r="AK392" s="131">
        <f>IF(AN392=12,J392,0)</f>
        <v>0</v>
      </c>
      <c r="AL392" s="131">
        <f>IF(AN392=21,J392,0)</f>
        <v>0</v>
      </c>
      <c r="AN392" s="131">
        <v>21</v>
      </c>
      <c r="AO392" s="131">
        <f>G392*0.801141647</f>
        <v>0</v>
      </c>
      <c r="AP392" s="131">
        <f>G392*(1-0.801141647)</f>
        <v>0</v>
      </c>
      <c r="AQ392" s="132" t="s">
        <v>56</v>
      </c>
      <c r="AV392" s="131">
        <f>AW392+AX392</f>
        <v>0</v>
      </c>
      <c r="AW392" s="131">
        <f>F392*AO392</f>
        <v>0</v>
      </c>
      <c r="AX392" s="131">
        <f>F392*AP392</f>
        <v>0</v>
      </c>
      <c r="AY392" s="132" t="s">
        <v>181</v>
      </c>
      <c r="AZ392" s="132" t="s">
        <v>1083</v>
      </c>
      <c r="BA392" s="115" t="s">
        <v>1059</v>
      </c>
      <c r="BC392" s="131">
        <f>AW392+AX392</f>
        <v>0</v>
      </c>
      <c r="BD392" s="131">
        <f>G392/(100-BE392)*100</f>
        <v>0</v>
      </c>
      <c r="BE392" s="131">
        <v>0</v>
      </c>
      <c r="BF392" s="131">
        <f>392</f>
        <v>392</v>
      </c>
      <c r="BH392" s="131">
        <f>F392*AO392</f>
        <v>0</v>
      </c>
      <c r="BI392" s="131">
        <f>F392*AP392</f>
        <v>0</v>
      </c>
      <c r="BJ392" s="131">
        <f>F392*G392</f>
        <v>0</v>
      </c>
      <c r="BK392" s="131"/>
      <c r="BL392" s="131">
        <v>56</v>
      </c>
      <c r="BW392" s="131">
        <v>21</v>
      </c>
      <c r="BX392" s="133" t="s">
        <v>1013</v>
      </c>
    </row>
    <row r="393" spans="1:76" x14ac:dyDescent="0.25">
      <c r="A393" s="134" t="s">
        <v>1086</v>
      </c>
      <c r="B393" s="135" t="s">
        <v>1015</v>
      </c>
      <c r="C393" s="270" t="s">
        <v>1016</v>
      </c>
      <c r="D393" s="271"/>
      <c r="E393" s="135" t="s">
        <v>59</v>
      </c>
      <c r="F393" s="131">
        <v>13.65</v>
      </c>
      <c r="G393" s="179">
        <v>0</v>
      </c>
      <c r="H393" s="131">
        <f>F393*AO393</f>
        <v>0</v>
      </c>
      <c r="I393" s="131">
        <f>F393*AP393</f>
        <v>0</v>
      </c>
      <c r="J393" s="131">
        <f>F393*G393</f>
        <v>0</v>
      </c>
      <c r="K393" s="136" t="s">
        <v>60</v>
      </c>
      <c r="Z393" s="131">
        <f>IF(AQ393="5",BJ393,0)</f>
        <v>0</v>
      </c>
      <c r="AB393" s="131">
        <f>IF(AQ393="1",BH393,0)</f>
        <v>0</v>
      </c>
      <c r="AC393" s="131">
        <f>IF(AQ393="1",BI393,0)</f>
        <v>0</v>
      </c>
      <c r="AD393" s="131">
        <f>IF(AQ393="7",BH393,0)</f>
        <v>0</v>
      </c>
      <c r="AE393" s="131">
        <f>IF(AQ393="7",BI393,0)</f>
        <v>0</v>
      </c>
      <c r="AF393" s="131">
        <f>IF(AQ393="2",BH393,0)</f>
        <v>0</v>
      </c>
      <c r="AG393" s="131">
        <f>IF(AQ393="2",BI393,0)</f>
        <v>0</v>
      </c>
      <c r="AH393" s="131">
        <f>IF(AQ393="0",BJ393,0)</f>
        <v>0</v>
      </c>
      <c r="AI393" s="115" t="s">
        <v>1056</v>
      </c>
      <c r="AJ393" s="131">
        <f>IF(AN393=0,J393,0)</f>
        <v>0</v>
      </c>
      <c r="AK393" s="131">
        <f>IF(AN393=12,J393,0)</f>
        <v>0</v>
      </c>
      <c r="AL393" s="131">
        <f>IF(AN393=21,J393,0)</f>
        <v>0</v>
      </c>
      <c r="AN393" s="131">
        <v>21</v>
      </c>
      <c r="AO393" s="131">
        <f>G393*0.580313654</f>
        <v>0</v>
      </c>
      <c r="AP393" s="131">
        <f>G393*(1-0.580313654)</f>
        <v>0</v>
      </c>
      <c r="AQ393" s="132" t="s">
        <v>56</v>
      </c>
      <c r="AV393" s="131">
        <f>AW393+AX393</f>
        <v>0</v>
      </c>
      <c r="AW393" s="131">
        <f>F393*AO393</f>
        <v>0</v>
      </c>
      <c r="AX393" s="131">
        <f>F393*AP393</f>
        <v>0</v>
      </c>
      <c r="AY393" s="132" t="s">
        <v>181</v>
      </c>
      <c r="AZ393" s="132" t="s">
        <v>1083</v>
      </c>
      <c r="BA393" s="115" t="s">
        <v>1059</v>
      </c>
      <c r="BC393" s="131">
        <f>AW393+AX393</f>
        <v>0</v>
      </c>
      <c r="BD393" s="131">
        <f>G393/(100-BE393)*100</f>
        <v>0</v>
      </c>
      <c r="BE393" s="131">
        <v>0</v>
      </c>
      <c r="BF393" s="131">
        <f>393</f>
        <v>393</v>
      </c>
      <c r="BH393" s="131">
        <f>F393*AO393</f>
        <v>0</v>
      </c>
      <c r="BI393" s="131">
        <f>F393*AP393</f>
        <v>0</v>
      </c>
      <c r="BJ393" s="131">
        <f>F393*G393</f>
        <v>0</v>
      </c>
      <c r="BK393" s="131"/>
      <c r="BL393" s="131">
        <v>56</v>
      </c>
      <c r="BW393" s="131">
        <v>21</v>
      </c>
      <c r="BX393" s="133" t="s">
        <v>1016</v>
      </c>
    </row>
    <row r="394" spans="1:76" x14ac:dyDescent="0.25">
      <c r="A394" s="123" t="s">
        <v>53</v>
      </c>
      <c r="B394" s="124" t="s">
        <v>206</v>
      </c>
      <c r="C394" s="272" t="s">
        <v>207</v>
      </c>
      <c r="D394" s="273"/>
      <c r="E394" s="125" t="s">
        <v>9</v>
      </c>
      <c r="F394" s="125" t="s">
        <v>9</v>
      </c>
      <c r="G394" s="125" t="s">
        <v>9</v>
      </c>
      <c r="H394" s="110">
        <f>SUM(H395:H395)</f>
        <v>0</v>
      </c>
      <c r="I394" s="110">
        <f>SUM(I395:I395)</f>
        <v>0</v>
      </c>
      <c r="J394" s="110">
        <f>SUM(J395:J395)</f>
        <v>0</v>
      </c>
      <c r="K394" s="126" t="s">
        <v>53</v>
      </c>
      <c r="AI394" s="115" t="s">
        <v>1056</v>
      </c>
      <c r="AS394" s="110">
        <f>SUM(AJ395:AJ395)</f>
        <v>0</v>
      </c>
      <c r="AT394" s="110">
        <f>SUM(AK395:AK395)</f>
        <v>0</v>
      </c>
      <c r="AU394" s="110">
        <f>SUM(AL395:AL395)</f>
        <v>0</v>
      </c>
    </row>
    <row r="395" spans="1:76" x14ac:dyDescent="0.25">
      <c r="A395" s="134" t="s">
        <v>1087</v>
      </c>
      <c r="B395" s="135" t="s">
        <v>213</v>
      </c>
      <c r="C395" s="270" t="s">
        <v>1018</v>
      </c>
      <c r="D395" s="271"/>
      <c r="E395" s="135" t="s">
        <v>59</v>
      </c>
      <c r="F395" s="131">
        <v>13</v>
      </c>
      <c r="G395" s="179">
        <v>0</v>
      </c>
      <c r="H395" s="131">
        <f>F395*AO395</f>
        <v>0</v>
      </c>
      <c r="I395" s="131">
        <f>F395*AP395</f>
        <v>0</v>
      </c>
      <c r="J395" s="131">
        <f>F395*G395</f>
        <v>0</v>
      </c>
      <c r="K395" s="136" t="s">
        <v>60</v>
      </c>
      <c r="Z395" s="131">
        <f>IF(AQ395="5",BJ395,0)</f>
        <v>0</v>
      </c>
      <c r="AB395" s="131">
        <f>IF(AQ395="1",BH395,0)</f>
        <v>0</v>
      </c>
      <c r="AC395" s="131">
        <f>IF(AQ395="1",BI395,0)</f>
        <v>0</v>
      </c>
      <c r="AD395" s="131">
        <f>IF(AQ395="7",BH395,0)</f>
        <v>0</v>
      </c>
      <c r="AE395" s="131">
        <f>IF(AQ395="7",BI395,0)</f>
        <v>0</v>
      </c>
      <c r="AF395" s="131">
        <f>IF(AQ395="2",BH395,0)</f>
        <v>0</v>
      </c>
      <c r="AG395" s="131">
        <f>IF(AQ395="2",BI395,0)</f>
        <v>0</v>
      </c>
      <c r="AH395" s="131">
        <f>IF(AQ395="0",BJ395,0)</f>
        <v>0</v>
      </c>
      <c r="AI395" s="115" t="s">
        <v>1056</v>
      </c>
      <c r="AJ395" s="131">
        <f>IF(AN395=0,J395,0)</f>
        <v>0</v>
      </c>
      <c r="AK395" s="131">
        <f>IF(AN395=12,J395,0)</f>
        <v>0</v>
      </c>
      <c r="AL395" s="131">
        <f>IF(AN395=21,J395,0)</f>
        <v>0</v>
      </c>
      <c r="AN395" s="131">
        <v>21</v>
      </c>
      <c r="AO395" s="131">
        <f>G395*0.910397112</f>
        <v>0</v>
      </c>
      <c r="AP395" s="131">
        <f>G395*(1-0.910397112)</f>
        <v>0</v>
      </c>
      <c r="AQ395" s="132" t="s">
        <v>56</v>
      </c>
      <c r="AV395" s="131">
        <f>AW395+AX395</f>
        <v>0</v>
      </c>
      <c r="AW395" s="131">
        <f>F395*AO395</f>
        <v>0</v>
      </c>
      <c r="AX395" s="131">
        <f>F395*AP395</f>
        <v>0</v>
      </c>
      <c r="AY395" s="132" t="s">
        <v>211</v>
      </c>
      <c r="AZ395" s="132" t="s">
        <v>1083</v>
      </c>
      <c r="BA395" s="115" t="s">
        <v>1059</v>
      </c>
      <c r="BC395" s="131">
        <f>AW395+AX395</f>
        <v>0</v>
      </c>
      <c r="BD395" s="131">
        <f>G395/(100-BE395)*100</f>
        <v>0</v>
      </c>
      <c r="BE395" s="131">
        <v>0</v>
      </c>
      <c r="BF395" s="131">
        <f>395</f>
        <v>395</v>
      </c>
      <c r="BH395" s="131">
        <f>F395*AO395</f>
        <v>0</v>
      </c>
      <c r="BI395" s="131">
        <f>F395*AP395</f>
        <v>0</v>
      </c>
      <c r="BJ395" s="131">
        <f>F395*G395</f>
        <v>0</v>
      </c>
      <c r="BK395" s="131"/>
      <c r="BL395" s="131">
        <v>57</v>
      </c>
      <c r="BW395" s="131">
        <v>21</v>
      </c>
      <c r="BX395" s="133" t="s">
        <v>1018</v>
      </c>
    </row>
    <row r="396" spans="1:76" x14ac:dyDescent="0.25">
      <c r="A396" s="123" t="s">
        <v>53</v>
      </c>
      <c r="B396" s="124" t="s">
        <v>373</v>
      </c>
      <c r="C396" s="272" t="s">
        <v>798</v>
      </c>
      <c r="D396" s="273"/>
      <c r="E396" s="125" t="s">
        <v>9</v>
      </c>
      <c r="F396" s="125" t="s">
        <v>9</v>
      </c>
      <c r="G396" s="125" t="s">
        <v>9</v>
      </c>
      <c r="H396" s="110">
        <f>SUM(H397:H398)</f>
        <v>0</v>
      </c>
      <c r="I396" s="110">
        <f>SUM(I397:I398)</f>
        <v>0</v>
      </c>
      <c r="J396" s="110">
        <f>SUM(J397:J398)</f>
        <v>0</v>
      </c>
      <c r="K396" s="126" t="s">
        <v>53</v>
      </c>
      <c r="AI396" s="115" t="s">
        <v>1056</v>
      </c>
      <c r="AS396" s="110">
        <f>SUM(AJ397:AJ398)</f>
        <v>0</v>
      </c>
      <c r="AT396" s="110">
        <f>SUM(AK397:AK398)</f>
        <v>0</v>
      </c>
      <c r="AU396" s="110">
        <f>SUM(AL397:AL398)</f>
        <v>0</v>
      </c>
    </row>
    <row r="397" spans="1:76" x14ac:dyDescent="0.25">
      <c r="A397" s="134" t="s">
        <v>1088</v>
      </c>
      <c r="B397" s="135" t="s">
        <v>799</v>
      </c>
      <c r="C397" s="270" t="s">
        <v>800</v>
      </c>
      <c r="D397" s="271"/>
      <c r="E397" s="135" t="s">
        <v>67</v>
      </c>
      <c r="F397" s="131">
        <v>107</v>
      </c>
      <c r="G397" s="179">
        <v>0</v>
      </c>
      <c r="H397" s="131">
        <f>F397*AO397</f>
        <v>0</v>
      </c>
      <c r="I397" s="131">
        <f>F397*AP397</f>
        <v>0</v>
      </c>
      <c r="J397" s="131">
        <f>F397*G397</f>
        <v>0</v>
      </c>
      <c r="K397" s="136" t="s">
        <v>60</v>
      </c>
      <c r="Z397" s="131">
        <f>IF(AQ397="5",BJ397,0)</f>
        <v>0</v>
      </c>
      <c r="AB397" s="131">
        <f>IF(AQ397="1",BH397,0)</f>
        <v>0</v>
      </c>
      <c r="AC397" s="131">
        <f>IF(AQ397="1",BI397,0)</f>
        <v>0</v>
      </c>
      <c r="AD397" s="131">
        <f>IF(AQ397="7",BH397,0)</f>
        <v>0</v>
      </c>
      <c r="AE397" s="131">
        <f>IF(AQ397="7",BI397,0)</f>
        <v>0</v>
      </c>
      <c r="AF397" s="131">
        <f>IF(AQ397="2",BH397,0)</f>
        <v>0</v>
      </c>
      <c r="AG397" s="131">
        <f>IF(AQ397="2",BI397,0)</f>
        <v>0</v>
      </c>
      <c r="AH397" s="131">
        <f>IF(AQ397="0",BJ397,0)</f>
        <v>0</v>
      </c>
      <c r="AI397" s="115" t="s">
        <v>1056</v>
      </c>
      <c r="AJ397" s="131">
        <f>IF(AN397=0,J397,0)</f>
        <v>0</v>
      </c>
      <c r="AK397" s="131">
        <f>IF(AN397=12,J397,0)</f>
        <v>0</v>
      </c>
      <c r="AL397" s="131">
        <f>IF(AN397=21,J397,0)</f>
        <v>0</v>
      </c>
      <c r="AN397" s="131">
        <v>21</v>
      </c>
      <c r="AO397" s="131">
        <f>G397*0.007439446</f>
        <v>0</v>
      </c>
      <c r="AP397" s="131">
        <f>G397*(1-0.007439446)</f>
        <v>0</v>
      </c>
      <c r="AQ397" s="132" t="s">
        <v>56</v>
      </c>
      <c r="AV397" s="131">
        <f>AW397+AX397</f>
        <v>0</v>
      </c>
      <c r="AW397" s="131">
        <f>F397*AO397</f>
        <v>0</v>
      </c>
      <c r="AX397" s="131">
        <f>F397*AP397</f>
        <v>0</v>
      </c>
      <c r="AY397" s="132" t="s">
        <v>801</v>
      </c>
      <c r="AZ397" s="132" t="s">
        <v>1089</v>
      </c>
      <c r="BA397" s="115" t="s">
        <v>1059</v>
      </c>
      <c r="BC397" s="131">
        <f>AW397+AX397</f>
        <v>0</v>
      </c>
      <c r="BD397" s="131">
        <f>G397/(100-BE397)*100</f>
        <v>0</v>
      </c>
      <c r="BE397" s="131">
        <v>0</v>
      </c>
      <c r="BF397" s="131">
        <f>397</f>
        <v>397</v>
      </c>
      <c r="BH397" s="131">
        <f>F397*AO397</f>
        <v>0</v>
      </c>
      <c r="BI397" s="131">
        <f>F397*AP397</f>
        <v>0</v>
      </c>
      <c r="BJ397" s="131">
        <f>F397*G397</f>
        <v>0</v>
      </c>
      <c r="BK397" s="131"/>
      <c r="BL397" s="131">
        <v>87</v>
      </c>
      <c r="BW397" s="131">
        <v>21</v>
      </c>
      <c r="BX397" s="133" t="s">
        <v>800</v>
      </c>
    </row>
    <row r="398" spans="1:76" x14ac:dyDescent="0.25">
      <c r="A398" s="134" t="s">
        <v>1090</v>
      </c>
      <c r="B398" s="135" t="s">
        <v>803</v>
      </c>
      <c r="C398" s="270" t="s">
        <v>804</v>
      </c>
      <c r="D398" s="271"/>
      <c r="E398" s="135" t="s">
        <v>164</v>
      </c>
      <c r="F398" s="131">
        <v>4</v>
      </c>
      <c r="G398" s="179">
        <v>0</v>
      </c>
      <c r="H398" s="131">
        <f>F398*AO398</f>
        <v>0</v>
      </c>
      <c r="I398" s="131">
        <f>F398*AP398</f>
        <v>0</v>
      </c>
      <c r="J398" s="131">
        <f>F398*G398</f>
        <v>0</v>
      </c>
      <c r="K398" s="136" t="s">
        <v>60</v>
      </c>
      <c r="Z398" s="131">
        <f>IF(AQ398="5",BJ398,0)</f>
        <v>0</v>
      </c>
      <c r="AB398" s="131">
        <f>IF(AQ398="1",BH398,0)</f>
        <v>0</v>
      </c>
      <c r="AC398" s="131">
        <f>IF(AQ398="1",BI398,0)</f>
        <v>0</v>
      </c>
      <c r="AD398" s="131">
        <f>IF(AQ398="7",BH398,0)</f>
        <v>0</v>
      </c>
      <c r="AE398" s="131">
        <f>IF(AQ398="7",BI398,0)</f>
        <v>0</v>
      </c>
      <c r="AF398" s="131">
        <f>IF(AQ398="2",BH398,0)</f>
        <v>0</v>
      </c>
      <c r="AG398" s="131">
        <f>IF(AQ398="2",BI398,0)</f>
        <v>0</v>
      </c>
      <c r="AH398" s="131">
        <f>IF(AQ398="0",BJ398,0)</f>
        <v>0</v>
      </c>
      <c r="AI398" s="115" t="s">
        <v>1056</v>
      </c>
      <c r="AJ398" s="131">
        <f>IF(AN398=0,J398,0)</f>
        <v>0</v>
      </c>
      <c r="AK398" s="131">
        <f>IF(AN398=12,J398,0)</f>
        <v>0</v>
      </c>
      <c r="AL398" s="131">
        <f>IF(AN398=21,J398,0)</f>
        <v>0</v>
      </c>
      <c r="AN398" s="131">
        <v>21</v>
      </c>
      <c r="AO398" s="131">
        <f>G398*0.010466102</f>
        <v>0</v>
      </c>
      <c r="AP398" s="131">
        <f>G398*(1-0.010466102)</f>
        <v>0</v>
      </c>
      <c r="AQ398" s="132" t="s">
        <v>56</v>
      </c>
      <c r="AV398" s="131">
        <f>AW398+AX398</f>
        <v>0</v>
      </c>
      <c r="AW398" s="131">
        <f>F398*AO398</f>
        <v>0</v>
      </c>
      <c r="AX398" s="131">
        <f>F398*AP398</f>
        <v>0</v>
      </c>
      <c r="AY398" s="132" t="s">
        <v>801</v>
      </c>
      <c r="AZ398" s="132" t="s">
        <v>1089</v>
      </c>
      <c r="BA398" s="115" t="s">
        <v>1059</v>
      </c>
      <c r="BC398" s="131">
        <f>AW398+AX398</f>
        <v>0</v>
      </c>
      <c r="BD398" s="131">
        <f>G398/(100-BE398)*100</f>
        <v>0</v>
      </c>
      <c r="BE398" s="131">
        <v>0</v>
      </c>
      <c r="BF398" s="131">
        <f>398</f>
        <v>398</v>
      </c>
      <c r="BH398" s="131">
        <f>F398*AO398</f>
        <v>0</v>
      </c>
      <c r="BI398" s="131">
        <f>F398*AP398</f>
        <v>0</v>
      </c>
      <c r="BJ398" s="131">
        <f>F398*G398</f>
        <v>0</v>
      </c>
      <c r="BK398" s="131"/>
      <c r="BL398" s="131">
        <v>87</v>
      </c>
      <c r="BW398" s="131">
        <v>21</v>
      </c>
      <c r="BX398" s="133" t="s">
        <v>804</v>
      </c>
    </row>
    <row r="399" spans="1:76" x14ac:dyDescent="0.25">
      <c r="A399" s="123" t="s">
        <v>53</v>
      </c>
      <c r="B399" s="124" t="s">
        <v>255</v>
      </c>
      <c r="C399" s="272" t="s">
        <v>715</v>
      </c>
      <c r="D399" s="273"/>
      <c r="E399" s="125" t="s">
        <v>9</v>
      </c>
      <c r="F399" s="125" t="s">
        <v>9</v>
      </c>
      <c r="G399" s="125" t="s">
        <v>9</v>
      </c>
      <c r="H399" s="110">
        <f>SUM(H400:H407)</f>
        <v>0</v>
      </c>
      <c r="I399" s="110">
        <f>SUM(I400:I407)</f>
        <v>0</v>
      </c>
      <c r="J399" s="110">
        <f>SUM(J400:J407)</f>
        <v>0</v>
      </c>
      <c r="K399" s="126" t="s">
        <v>53</v>
      </c>
      <c r="AI399" s="115" t="s">
        <v>1056</v>
      </c>
      <c r="AS399" s="110">
        <f>SUM(AJ400:AJ407)</f>
        <v>0</v>
      </c>
      <c r="AT399" s="110">
        <f>SUM(AK400:AK407)</f>
        <v>0</v>
      </c>
      <c r="AU399" s="110">
        <f>SUM(AL400:AL407)</f>
        <v>0</v>
      </c>
    </row>
    <row r="400" spans="1:76" x14ac:dyDescent="0.25">
      <c r="A400" s="134" t="s">
        <v>1091</v>
      </c>
      <c r="B400" s="135" t="s">
        <v>937</v>
      </c>
      <c r="C400" s="270" t="s">
        <v>938</v>
      </c>
      <c r="D400" s="271"/>
      <c r="E400" s="135" t="s">
        <v>164</v>
      </c>
      <c r="F400" s="131">
        <v>5</v>
      </c>
      <c r="G400" s="179">
        <v>0</v>
      </c>
      <c r="H400" s="131">
        <f t="shared" ref="H400:H407" si="324">F400*AO400</f>
        <v>0</v>
      </c>
      <c r="I400" s="131">
        <f t="shared" ref="I400:I407" si="325">F400*AP400</f>
        <v>0</v>
      </c>
      <c r="J400" s="131">
        <f t="shared" ref="J400:J407" si="326">F400*G400</f>
        <v>0</v>
      </c>
      <c r="K400" s="136" t="s">
        <v>939</v>
      </c>
      <c r="Z400" s="131">
        <f t="shared" ref="Z400:Z407" si="327">IF(AQ400="5",BJ400,0)</f>
        <v>0</v>
      </c>
      <c r="AB400" s="131">
        <f t="shared" ref="AB400:AB407" si="328">IF(AQ400="1",BH400,0)</f>
        <v>0</v>
      </c>
      <c r="AC400" s="131">
        <f t="shared" ref="AC400:AC407" si="329">IF(AQ400="1",BI400,0)</f>
        <v>0</v>
      </c>
      <c r="AD400" s="131">
        <f t="shared" ref="AD400:AD407" si="330">IF(AQ400="7",BH400,0)</f>
        <v>0</v>
      </c>
      <c r="AE400" s="131">
        <f t="shared" ref="AE400:AE407" si="331">IF(AQ400="7",BI400,0)</f>
        <v>0</v>
      </c>
      <c r="AF400" s="131">
        <f t="shared" ref="AF400:AF407" si="332">IF(AQ400="2",BH400,0)</f>
        <v>0</v>
      </c>
      <c r="AG400" s="131">
        <f t="shared" ref="AG400:AG407" si="333">IF(AQ400="2",BI400,0)</f>
        <v>0</v>
      </c>
      <c r="AH400" s="131">
        <f t="shared" ref="AH400:AH407" si="334">IF(AQ400="0",BJ400,0)</f>
        <v>0</v>
      </c>
      <c r="AI400" s="115" t="s">
        <v>1056</v>
      </c>
      <c r="AJ400" s="131">
        <f t="shared" ref="AJ400:AJ407" si="335">IF(AN400=0,J400,0)</f>
        <v>0</v>
      </c>
      <c r="AK400" s="131">
        <f t="shared" ref="AK400:AK407" si="336">IF(AN400=12,J400,0)</f>
        <v>0</v>
      </c>
      <c r="AL400" s="131">
        <f t="shared" ref="AL400:AL407" si="337">IF(AN400=21,J400,0)</f>
        <v>0</v>
      </c>
      <c r="AN400" s="131">
        <v>21</v>
      </c>
      <c r="AO400" s="131">
        <f>G400*0</f>
        <v>0</v>
      </c>
      <c r="AP400" s="131">
        <f>G400*(1-0)</f>
        <v>0</v>
      </c>
      <c r="AQ400" s="132" t="s">
        <v>56</v>
      </c>
      <c r="AV400" s="131">
        <f t="shared" ref="AV400:AV407" si="338">AW400+AX400</f>
        <v>0</v>
      </c>
      <c r="AW400" s="131">
        <f t="shared" ref="AW400:AW407" si="339">F400*AO400</f>
        <v>0</v>
      </c>
      <c r="AX400" s="131">
        <f t="shared" ref="AX400:AX407" si="340">F400*AP400</f>
        <v>0</v>
      </c>
      <c r="AY400" s="132" t="s">
        <v>260</v>
      </c>
      <c r="AZ400" s="132" t="s">
        <v>1089</v>
      </c>
      <c r="BA400" s="115" t="s">
        <v>1059</v>
      </c>
      <c r="BC400" s="131">
        <f t="shared" ref="BC400:BC407" si="341">AW400+AX400</f>
        <v>0</v>
      </c>
      <c r="BD400" s="131">
        <f t="shared" ref="BD400:BD407" si="342">G400/(100-BE400)*100</f>
        <v>0</v>
      </c>
      <c r="BE400" s="131">
        <v>0</v>
      </c>
      <c r="BF400" s="131">
        <f>400</f>
        <v>400</v>
      </c>
      <c r="BH400" s="131">
        <f t="shared" ref="BH400:BH407" si="343">F400*AO400</f>
        <v>0</v>
      </c>
      <c r="BI400" s="131">
        <f t="shared" ref="BI400:BI407" si="344">F400*AP400</f>
        <v>0</v>
      </c>
      <c r="BJ400" s="131">
        <f t="shared" ref="BJ400:BJ407" si="345">F400*G400</f>
        <v>0</v>
      </c>
      <c r="BK400" s="131"/>
      <c r="BL400" s="131">
        <v>89</v>
      </c>
      <c r="BW400" s="131">
        <v>21</v>
      </c>
      <c r="BX400" s="133" t="s">
        <v>938</v>
      </c>
    </row>
    <row r="401" spans="1:76" x14ac:dyDescent="0.25">
      <c r="A401" s="134" t="s">
        <v>1092</v>
      </c>
      <c r="B401" s="135" t="s">
        <v>721</v>
      </c>
      <c r="C401" s="270" t="s">
        <v>805</v>
      </c>
      <c r="D401" s="271"/>
      <c r="E401" s="135" t="s">
        <v>164</v>
      </c>
      <c r="F401" s="131">
        <v>6</v>
      </c>
      <c r="G401" s="179">
        <v>0</v>
      </c>
      <c r="H401" s="131">
        <f t="shared" si="324"/>
        <v>0</v>
      </c>
      <c r="I401" s="131">
        <f t="shared" si="325"/>
        <v>0</v>
      </c>
      <c r="J401" s="131">
        <f t="shared" si="326"/>
        <v>0</v>
      </c>
      <c r="K401" s="136" t="s">
        <v>60</v>
      </c>
      <c r="Z401" s="131">
        <f t="shared" si="327"/>
        <v>0</v>
      </c>
      <c r="AB401" s="131">
        <f t="shared" si="328"/>
        <v>0</v>
      </c>
      <c r="AC401" s="131">
        <f t="shared" si="329"/>
        <v>0</v>
      </c>
      <c r="AD401" s="131">
        <f t="shared" si="330"/>
        <v>0</v>
      </c>
      <c r="AE401" s="131">
        <f t="shared" si="331"/>
        <v>0</v>
      </c>
      <c r="AF401" s="131">
        <f t="shared" si="332"/>
        <v>0</v>
      </c>
      <c r="AG401" s="131">
        <f t="shared" si="333"/>
        <v>0</v>
      </c>
      <c r="AH401" s="131">
        <f t="shared" si="334"/>
        <v>0</v>
      </c>
      <c r="AI401" s="115" t="s">
        <v>1056</v>
      </c>
      <c r="AJ401" s="131">
        <f t="shared" si="335"/>
        <v>0</v>
      </c>
      <c r="AK401" s="131">
        <f t="shared" si="336"/>
        <v>0</v>
      </c>
      <c r="AL401" s="131">
        <f t="shared" si="337"/>
        <v>0</v>
      </c>
      <c r="AN401" s="131">
        <v>21</v>
      </c>
      <c r="AO401" s="131">
        <f>G401*0</f>
        <v>0</v>
      </c>
      <c r="AP401" s="131">
        <f>G401*(1-0)</f>
        <v>0</v>
      </c>
      <c r="AQ401" s="132" t="s">
        <v>56</v>
      </c>
      <c r="AV401" s="131">
        <f t="shared" si="338"/>
        <v>0</v>
      </c>
      <c r="AW401" s="131">
        <f t="shared" si="339"/>
        <v>0</v>
      </c>
      <c r="AX401" s="131">
        <f t="shared" si="340"/>
        <v>0</v>
      </c>
      <c r="AY401" s="132" t="s">
        <v>260</v>
      </c>
      <c r="AZ401" s="132" t="s">
        <v>1089</v>
      </c>
      <c r="BA401" s="115" t="s">
        <v>1059</v>
      </c>
      <c r="BC401" s="131">
        <f t="shared" si="341"/>
        <v>0</v>
      </c>
      <c r="BD401" s="131">
        <f t="shared" si="342"/>
        <v>0</v>
      </c>
      <c r="BE401" s="131">
        <v>0</v>
      </c>
      <c r="BF401" s="131">
        <f>401</f>
        <v>401</v>
      </c>
      <c r="BH401" s="131">
        <f t="shared" si="343"/>
        <v>0</v>
      </c>
      <c r="BI401" s="131">
        <f t="shared" si="344"/>
        <v>0</v>
      </c>
      <c r="BJ401" s="131">
        <f t="shared" si="345"/>
        <v>0</v>
      </c>
      <c r="BK401" s="131"/>
      <c r="BL401" s="131">
        <v>89</v>
      </c>
      <c r="BW401" s="131">
        <v>21</v>
      </c>
      <c r="BX401" s="133" t="s">
        <v>805</v>
      </c>
    </row>
    <row r="402" spans="1:76" x14ac:dyDescent="0.25">
      <c r="A402" s="134" t="s">
        <v>1093</v>
      </c>
      <c r="B402" s="135" t="s">
        <v>806</v>
      </c>
      <c r="C402" s="270" t="s">
        <v>807</v>
      </c>
      <c r="D402" s="271"/>
      <c r="E402" s="135" t="s">
        <v>164</v>
      </c>
      <c r="F402" s="131">
        <v>6</v>
      </c>
      <c r="G402" s="179">
        <v>0</v>
      </c>
      <c r="H402" s="131">
        <f t="shared" si="324"/>
        <v>0</v>
      </c>
      <c r="I402" s="131">
        <f t="shared" si="325"/>
        <v>0</v>
      </c>
      <c r="J402" s="131">
        <f t="shared" si="326"/>
        <v>0</v>
      </c>
      <c r="K402" s="136" t="s">
        <v>60</v>
      </c>
      <c r="Z402" s="131">
        <f t="shared" si="327"/>
        <v>0</v>
      </c>
      <c r="AB402" s="131">
        <f t="shared" si="328"/>
        <v>0</v>
      </c>
      <c r="AC402" s="131">
        <f t="shared" si="329"/>
        <v>0</v>
      </c>
      <c r="AD402" s="131">
        <f t="shared" si="330"/>
        <v>0</v>
      </c>
      <c r="AE402" s="131">
        <f t="shared" si="331"/>
        <v>0</v>
      </c>
      <c r="AF402" s="131">
        <f t="shared" si="332"/>
        <v>0</v>
      </c>
      <c r="AG402" s="131">
        <f t="shared" si="333"/>
        <v>0</v>
      </c>
      <c r="AH402" s="131">
        <f t="shared" si="334"/>
        <v>0</v>
      </c>
      <c r="AI402" s="115" t="s">
        <v>1056</v>
      </c>
      <c r="AJ402" s="131">
        <f t="shared" si="335"/>
        <v>0</v>
      </c>
      <c r="AK402" s="131">
        <f t="shared" si="336"/>
        <v>0</v>
      </c>
      <c r="AL402" s="131">
        <f t="shared" si="337"/>
        <v>0</v>
      </c>
      <c r="AN402" s="131">
        <v>21</v>
      </c>
      <c r="AO402" s="131">
        <f>G402*0</f>
        <v>0</v>
      </c>
      <c r="AP402" s="131">
        <f>G402*(1-0)</f>
        <v>0</v>
      </c>
      <c r="AQ402" s="132" t="s">
        <v>56</v>
      </c>
      <c r="AV402" s="131">
        <f t="shared" si="338"/>
        <v>0</v>
      </c>
      <c r="AW402" s="131">
        <f t="shared" si="339"/>
        <v>0</v>
      </c>
      <c r="AX402" s="131">
        <f t="shared" si="340"/>
        <v>0</v>
      </c>
      <c r="AY402" s="132" t="s">
        <v>260</v>
      </c>
      <c r="AZ402" s="132" t="s">
        <v>1089</v>
      </c>
      <c r="BA402" s="115" t="s">
        <v>1059</v>
      </c>
      <c r="BC402" s="131">
        <f t="shared" si="341"/>
        <v>0</v>
      </c>
      <c r="BD402" s="131">
        <f t="shared" si="342"/>
        <v>0</v>
      </c>
      <c r="BE402" s="131">
        <v>0</v>
      </c>
      <c r="BF402" s="131">
        <f>402</f>
        <v>402</v>
      </c>
      <c r="BH402" s="131">
        <f t="shared" si="343"/>
        <v>0</v>
      </c>
      <c r="BI402" s="131">
        <f t="shared" si="344"/>
        <v>0</v>
      </c>
      <c r="BJ402" s="131">
        <f t="shared" si="345"/>
        <v>0</v>
      </c>
      <c r="BK402" s="131"/>
      <c r="BL402" s="131">
        <v>89</v>
      </c>
      <c r="BW402" s="131">
        <v>21</v>
      </c>
      <c r="BX402" s="133" t="s">
        <v>807</v>
      </c>
    </row>
    <row r="403" spans="1:76" x14ac:dyDescent="0.25">
      <c r="A403" s="134" t="s">
        <v>1094</v>
      </c>
      <c r="B403" s="135" t="s">
        <v>725</v>
      </c>
      <c r="C403" s="270" t="s">
        <v>726</v>
      </c>
      <c r="D403" s="271"/>
      <c r="E403" s="135" t="s">
        <v>164</v>
      </c>
      <c r="F403" s="131">
        <v>4</v>
      </c>
      <c r="G403" s="179">
        <v>0</v>
      </c>
      <c r="H403" s="131">
        <f t="shared" si="324"/>
        <v>0</v>
      </c>
      <c r="I403" s="131">
        <f t="shared" si="325"/>
        <v>0</v>
      </c>
      <c r="J403" s="131">
        <f t="shared" si="326"/>
        <v>0</v>
      </c>
      <c r="K403" s="136" t="s">
        <v>60</v>
      </c>
      <c r="Z403" s="131">
        <f t="shared" si="327"/>
        <v>0</v>
      </c>
      <c r="AB403" s="131">
        <f t="shared" si="328"/>
        <v>0</v>
      </c>
      <c r="AC403" s="131">
        <f t="shared" si="329"/>
        <v>0</v>
      </c>
      <c r="AD403" s="131">
        <f t="shared" si="330"/>
        <v>0</v>
      </c>
      <c r="AE403" s="131">
        <f t="shared" si="331"/>
        <v>0</v>
      </c>
      <c r="AF403" s="131">
        <f t="shared" si="332"/>
        <v>0</v>
      </c>
      <c r="AG403" s="131">
        <f t="shared" si="333"/>
        <v>0</v>
      </c>
      <c r="AH403" s="131">
        <f t="shared" si="334"/>
        <v>0</v>
      </c>
      <c r="AI403" s="115" t="s">
        <v>1056</v>
      </c>
      <c r="AJ403" s="131">
        <f t="shared" si="335"/>
        <v>0</v>
      </c>
      <c r="AK403" s="131">
        <f t="shared" si="336"/>
        <v>0</v>
      </c>
      <c r="AL403" s="131">
        <f t="shared" si="337"/>
        <v>0</v>
      </c>
      <c r="AN403" s="131">
        <v>21</v>
      </c>
      <c r="AO403" s="131">
        <f>G403*0.00977221</f>
        <v>0</v>
      </c>
      <c r="AP403" s="131">
        <f>G403*(1-0.00977221)</f>
        <v>0</v>
      </c>
      <c r="AQ403" s="132" t="s">
        <v>56</v>
      </c>
      <c r="AV403" s="131">
        <f t="shared" si="338"/>
        <v>0</v>
      </c>
      <c r="AW403" s="131">
        <f t="shared" si="339"/>
        <v>0</v>
      </c>
      <c r="AX403" s="131">
        <f t="shared" si="340"/>
        <v>0</v>
      </c>
      <c r="AY403" s="132" t="s">
        <v>260</v>
      </c>
      <c r="AZ403" s="132" t="s">
        <v>1089</v>
      </c>
      <c r="BA403" s="115" t="s">
        <v>1059</v>
      </c>
      <c r="BC403" s="131">
        <f t="shared" si="341"/>
        <v>0</v>
      </c>
      <c r="BD403" s="131">
        <f t="shared" si="342"/>
        <v>0</v>
      </c>
      <c r="BE403" s="131">
        <v>0</v>
      </c>
      <c r="BF403" s="131">
        <f>403</f>
        <v>403</v>
      </c>
      <c r="BH403" s="131">
        <f t="shared" si="343"/>
        <v>0</v>
      </c>
      <c r="BI403" s="131">
        <f t="shared" si="344"/>
        <v>0</v>
      </c>
      <c r="BJ403" s="131">
        <f t="shared" si="345"/>
        <v>0</v>
      </c>
      <c r="BK403" s="131"/>
      <c r="BL403" s="131">
        <v>89</v>
      </c>
      <c r="BW403" s="131">
        <v>21</v>
      </c>
      <c r="BX403" s="133" t="s">
        <v>726</v>
      </c>
    </row>
    <row r="404" spans="1:76" x14ac:dyDescent="0.25">
      <c r="A404" s="134" t="s">
        <v>1095</v>
      </c>
      <c r="B404" s="135" t="s">
        <v>942</v>
      </c>
      <c r="C404" s="270" t="s">
        <v>943</v>
      </c>
      <c r="D404" s="271"/>
      <c r="E404" s="135" t="s">
        <v>164</v>
      </c>
      <c r="F404" s="131">
        <v>2</v>
      </c>
      <c r="G404" s="179">
        <v>0</v>
      </c>
      <c r="H404" s="131">
        <f t="shared" si="324"/>
        <v>0</v>
      </c>
      <c r="I404" s="131">
        <f t="shared" si="325"/>
        <v>0</v>
      </c>
      <c r="J404" s="131">
        <f t="shared" si="326"/>
        <v>0</v>
      </c>
      <c r="K404" s="136" t="s">
        <v>60</v>
      </c>
      <c r="Z404" s="131">
        <f t="shared" si="327"/>
        <v>0</v>
      </c>
      <c r="AB404" s="131">
        <f t="shared" si="328"/>
        <v>0</v>
      </c>
      <c r="AC404" s="131">
        <f t="shared" si="329"/>
        <v>0</v>
      </c>
      <c r="AD404" s="131">
        <f t="shared" si="330"/>
        <v>0</v>
      </c>
      <c r="AE404" s="131">
        <f t="shared" si="331"/>
        <v>0</v>
      </c>
      <c r="AF404" s="131">
        <f t="shared" si="332"/>
        <v>0</v>
      </c>
      <c r="AG404" s="131">
        <f t="shared" si="333"/>
        <v>0</v>
      </c>
      <c r="AH404" s="131">
        <f t="shared" si="334"/>
        <v>0</v>
      </c>
      <c r="AI404" s="115" t="s">
        <v>1056</v>
      </c>
      <c r="AJ404" s="131">
        <f t="shared" si="335"/>
        <v>0</v>
      </c>
      <c r="AK404" s="131">
        <f t="shared" si="336"/>
        <v>0</v>
      </c>
      <c r="AL404" s="131">
        <f t="shared" si="337"/>
        <v>0</v>
      </c>
      <c r="AN404" s="131">
        <v>21</v>
      </c>
      <c r="AO404" s="131">
        <f>G404*0.017492087</f>
        <v>0</v>
      </c>
      <c r="AP404" s="131">
        <f>G404*(1-0.017492087)</f>
        <v>0</v>
      </c>
      <c r="AQ404" s="132" t="s">
        <v>56</v>
      </c>
      <c r="AV404" s="131">
        <f t="shared" si="338"/>
        <v>0</v>
      </c>
      <c r="AW404" s="131">
        <f t="shared" si="339"/>
        <v>0</v>
      </c>
      <c r="AX404" s="131">
        <f t="shared" si="340"/>
        <v>0</v>
      </c>
      <c r="AY404" s="132" t="s">
        <v>260</v>
      </c>
      <c r="AZ404" s="132" t="s">
        <v>1089</v>
      </c>
      <c r="BA404" s="115" t="s">
        <v>1059</v>
      </c>
      <c r="BC404" s="131">
        <f t="shared" si="341"/>
        <v>0</v>
      </c>
      <c r="BD404" s="131">
        <f t="shared" si="342"/>
        <v>0</v>
      </c>
      <c r="BE404" s="131">
        <v>0</v>
      </c>
      <c r="BF404" s="131">
        <f>404</f>
        <v>404</v>
      </c>
      <c r="BH404" s="131">
        <f t="shared" si="343"/>
        <v>0</v>
      </c>
      <c r="BI404" s="131">
        <f t="shared" si="344"/>
        <v>0</v>
      </c>
      <c r="BJ404" s="131">
        <f t="shared" si="345"/>
        <v>0</v>
      </c>
      <c r="BK404" s="131"/>
      <c r="BL404" s="131">
        <v>89</v>
      </c>
      <c r="BW404" s="131">
        <v>21</v>
      </c>
      <c r="BX404" s="133" t="s">
        <v>943</v>
      </c>
    </row>
    <row r="405" spans="1:76" x14ac:dyDescent="0.25">
      <c r="A405" s="134" t="s">
        <v>1096</v>
      </c>
      <c r="B405" s="135" t="s">
        <v>723</v>
      </c>
      <c r="C405" s="270" t="s">
        <v>724</v>
      </c>
      <c r="D405" s="271"/>
      <c r="E405" s="135" t="s">
        <v>164</v>
      </c>
      <c r="F405" s="131">
        <v>12</v>
      </c>
      <c r="G405" s="179">
        <v>0</v>
      </c>
      <c r="H405" s="131">
        <f t="shared" si="324"/>
        <v>0</v>
      </c>
      <c r="I405" s="131">
        <f t="shared" si="325"/>
        <v>0</v>
      </c>
      <c r="J405" s="131">
        <f t="shared" si="326"/>
        <v>0</v>
      </c>
      <c r="K405" s="136" t="s">
        <v>60</v>
      </c>
      <c r="Z405" s="131">
        <f t="shared" si="327"/>
        <v>0</v>
      </c>
      <c r="AB405" s="131">
        <f t="shared" si="328"/>
        <v>0</v>
      </c>
      <c r="AC405" s="131">
        <f t="shared" si="329"/>
        <v>0</v>
      </c>
      <c r="AD405" s="131">
        <f t="shared" si="330"/>
        <v>0</v>
      </c>
      <c r="AE405" s="131">
        <f t="shared" si="331"/>
        <v>0</v>
      </c>
      <c r="AF405" s="131">
        <f t="shared" si="332"/>
        <v>0</v>
      </c>
      <c r="AG405" s="131">
        <f t="shared" si="333"/>
        <v>0</v>
      </c>
      <c r="AH405" s="131">
        <f t="shared" si="334"/>
        <v>0</v>
      </c>
      <c r="AI405" s="115" t="s">
        <v>1056</v>
      </c>
      <c r="AJ405" s="131">
        <f t="shared" si="335"/>
        <v>0</v>
      </c>
      <c r="AK405" s="131">
        <f t="shared" si="336"/>
        <v>0</v>
      </c>
      <c r="AL405" s="131">
        <f t="shared" si="337"/>
        <v>0</v>
      </c>
      <c r="AN405" s="131">
        <v>21</v>
      </c>
      <c r="AO405" s="131">
        <f>G405*0</f>
        <v>0</v>
      </c>
      <c r="AP405" s="131">
        <f>G405*(1-0)</f>
        <v>0</v>
      </c>
      <c r="AQ405" s="132" t="s">
        <v>56</v>
      </c>
      <c r="AV405" s="131">
        <f t="shared" si="338"/>
        <v>0</v>
      </c>
      <c r="AW405" s="131">
        <f t="shared" si="339"/>
        <v>0</v>
      </c>
      <c r="AX405" s="131">
        <f t="shared" si="340"/>
        <v>0</v>
      </c>
      <c r="AY405" s="132" t="s">
        <v>260</v>
      </c>
      <c r="AZ405" s="132" t="s">
        <v>1089</v>
      </c>
      <c r="BA405" s="115" t="s">
        <v>1059</v>
      </c>
      <c r="BC405" s="131">
        <f t="shared" si="341"/>
        <v>0</v>
      </c>
      <c r="BD405" s="131">
        <f t="shared" si="342"/>
        <v>0</v>
      </c>
      <c r="BE405" s="131">
        <v>0</v>
      </c>
      <c r="BF405" s="131">
        <f>405</f>
        <v>405</v>
      </c>
      <c r="BH405" s="131">
        <f t="shared" si="343"/>
        <v>0</v>
      </c>
      <c r="BI405" s="131">
        <f t="shared" si="344"/>
        <v>0</v>
      </c>
      <c r="BJ405" s="131">
        <f t="shared" si="345"/>
        <v>0</v>
      </c>
      <c r="BK405" s="131"/>
      <c r="BL405" s="131">
        <v>89</v>
      </c>
      <c r="BW405" s="131">
        <v>21</v>
      </c>
      <c r="BX405" s="133" t="s">
        <v>724</v>
      </c>
    </row>
    <row r="406" spans="1:76" x14ac:dyDescent="0.25">
      <c r="A406" s="134" t="s">
        <v>1097</v>
      </c>
      <c r="B406" s="135" t="s">
        <v>810</v>
      </c>
      <c r="C406" s="270" t="s">
        <v>811</v>
      </c>
      <c r="D406" s="271"/>
      <c r="E406" s="135" t="s">
        <v>164</v>
      </c>
      <c r="F406" s="131">
        <v>1</v>
      </c>
      <c r="G406" s="179">
        <v>0</v>
      </c>
      <c r="H406" s="131">
        <f t="shared" si="324"/>
        <v>0</v>
      </c>
      <c r="I406" s="131">
        <f t="shared" si="325"/>
        <v>0</v>
      </c>
      <c r="J406" s="131">
        <f t="shared" si="326"/>
        <v>0</v>
      </c>
      <c r="K406" s="136" t="s">
        <v>60</v>
      </c>
      <c r="Z406" s="131">
        <f t="shared" si="327"/>
        <v>0</v>
      </c>
      <c r="AB406" s="131">
        <f t="shared" si="328"/>
        <v>0</v>
      </c>
      <c r="AC406" s="131">
        <f t="shared" si="329"/>
        <v>0</v>
      </c>
      <c r="AD406" s="131">
        <f t="shared" si="330"/>
        <v>0</v>
      </c>
      <c r="AE406" s="131">
        <f t="shared" si="331"/>
        <v>0</v>
      </c>
      <c r="AF406" s="131">
        <f t="shared" si="332"/>
        <v>0</v>
      </c>
      <c r="AG406" s="131">
        <f t="shared" si="333"/>
        <v>0</v>
      </c>
      <c r="AH406" s="131">
        <f t="shared" si="334"/>
        <v>0</v>
      </c>
      <c r="AI406" s="115" t="s">
        <v>1056</v>
      </c>
      <c r="AJ406" s="131">
        <f t="shared" si="335"/>
        <v>0</v>
      </c>
      <c r="AK406" s="131">
        <f t="shared" si="336"/>
        <v>0</v>
      </c>
      <c r="AL406" s="131">
        <f t="shared" si="337"/>
        <v>0</v>
      </c>
      <c r="AN406" s="131">
        <v>21</v>
      </c>
      <c r="AO406" s="131">
        <f>G406*0.363555158</f>
        <v>0</v>
      </c>
      <c r="AP406" s="131">
        <f>G406*(1-0.363555158)</f>
        <v>0</v>
      </c>
      <c r="AQ406" s="132" t="s">
        <v>56</v>
      </c>
      <c r="AV406" s="131">
        <f t="shared" si="338"/>
        <v>0</v>
      </c>
      <c r="AW406" s="131">
        <f t="shared" si="339"/>
        <v>0</v>
      </c>
      <c r="AX406" s="131">
        <f t="shared" si="340"/>
        <v>0</v>
      </c>
      <c r="AY406" s="132" t="s">
        <v>260</v>
      </c>
      <c r="AZ406" s="132" t="s">
        <v>1089</v>
      </c>
      <c r="BA406" s="115" t="s">
        <v>1059</v>
      </c>
      <c r="BC406" s="131">
        <f t="shared" si="341"/>
        <v>0</v>
      </c>
      <c r="BD406" s="131">
        <f t="shared" si="342"/>
        <v>0</v>
      </c>
      <c r="BE406" s="131">
        <v>0</v>
      </c>
      <c r="BF406" s="131">
        <f>406</f>
        <v>406</v>
      </c>
      <c r="BH406" s="131">
        <f t="shared" si="343"/>
        <v>0</v>
      </c>
      <c r="BI406" s="131">
        <f t="shared" si="344"/>
        <v>0</v>
      </c>
      <c r="BJ406" s="131">
        <f t="shared" si="345"/>
        <v>0</v>
      </c>
      <c r="BK406" s="131"/>
      <c r="BL406" s="131">
        <v>89</v>
      </c>
      <c r="BW406" s="131">
        <v>21</v>
      </c>
      <c r="BX406" s="133" t="s">
        <v>811</v>
      </c>
    </row>
    <row r="407" spans="1:76" x14ac:dyDescent="0.25">
      <c r="A407" s="134" t="s">
        <v>1098</v>
      </c>
      <c r="B407" s="135" t="s">
        <v>946</v>
      </c>
      <c r="C407" s="270" t="s">
        <v>947</v>
      </c>
      <c r="D407" s="271"/>
      <c r="E407" s="135" t="s">
        <v>948</v>
      </c>
      <c r="F407" s="131">
        <v>2</v>
      </c>
      <c r="G407" s="179">
        <v>0</v>
      </c>
      <c r="H407" s="131">
        <f t="shared" si="324"/>
        <v>0</v>
      </c>
      <c r="I407" s="131">
        <f t="shared" si="325"/>
        <v>0</v>
      </c>
      <c r="J407" s="131">
        <f t="shared" si="326"/>
        <v>0</v>
      </c>
      <c r="K407" s="136" t="s">
        <v>60</v>
      </c>
      <c r="Z407" s="131">
        <f t="shared" si="327"/>
        <v>0</v>
      </c>
      <c r="AB407" s="131">
        <f t="shared" si="328"/>
        <v>0</v>
      </c>
      <c r="AC407" s="131">
        <f t="shared" si="329"/>
        <v>0</v>
      </c>
      <c r="AD407" s="131">
        <f t="shared" si="330"/>
        <v>0</v>
      </c>
      <c r="AE407" s="131">
        <f t="shared" si="331"/>
        <v>0</v>
      </c>
      <c r="AF407" s="131">
        <f t="shared" si="332"/>
        <v>0</v>
      </c>
      <c r="AG407" s="131">
        <f t="shared" si="333"/>
        <v>0</v>
      </c>
      <c r="AH407" s="131">
        <f t="shared" si="334"/>
        <v>0</v>
      </c>
      <c r="AI407" s="115" t="s">
        <v>1056</v>
      </c>
      <c r="AJ407" s="131">
        <f t="shared" si="335"/>
        <v>0</v>
      </c>
      <c r="AK407" s="131">
        <f t="shared" si="336"/>
        <v>0</v>
      </c>
      <c r="AL407" s="131">
        <f t="shared" si="337"/>
        <v>0</v>
      </c>
      <c r="AN407" s="131">
        <v>21</v>
      </c>
      <c r="AO407" s="131">
        <f>G407*0.283677778</f>
        <v>0</v>
      </c>
      <c r="AP407" s="131">
        <f>G407*(1-0.283677778)</f>
        <v>0</v>
      </c>
      <c r="AQ407" s="132" t="s">
        <v>56</v>
      </c>
      <c r="AV407" s="131">
        <f t="shared" si="338"/>
        <v>0</v>
      </c>
      <c r="AW407" s="131">
        <f t="shared" si="339"/>
        <v>0</v>
      </c>
      <c r="AX407" s="131">
        <f t="shared" si="340"/>
        <v>0</v>
      </c>
      <c r="AY407" s="132" t="s">
        <v>260</v>
      </c>
      <c r="AZ407" s="132" t="s">
        <v>1089</v>
      </c>
      <c r="BA407" s="115" t="s">
        <v>1059</v>
      </c>
      <c r="BC407" s="131">
        <f t="shared" si="341"/>
        <v>0</v>
      </c>
      <c r="BD407" s="131">
        <f t="shared" si="342"/>
        <v>0</v>
      </c>
      <c r="BE407" s="131">
        <v>0</v>
      </c>
      <c r="BF407" s="131">
        <f>407</f>
        <v>407</v>
      </c>
      <c r="BH407" s="131">
        <f t="shared" si="343"/>
        <v>0</v>
      </c>
      <c r="BI407" s="131">
        <f t="shared" si="344"/>
        <v>0</v>
      </c>
      <c r="BJ407" s="131">
        <f t="shared" si="345"/>
        <v>0</v>
      </c>
      <c r="BK407" s="131"/>
      <c r="BL407" s="131">
        <v>89</v>
      </c>
      <c r="BW407" s="131">
        <v>21</v>
      </c>
      <c r="BX407" s="133" t="s">
        <v>947</v>
      </c>
    </row>
    <row r="408" spans="1:76" x14ac:dyDescent="0.25">
      <c r="A408" s="123" t="s">
        <v>53</v>
      </c>
      <c r="B408" s="124" t="s">
        <v>269</v>
      </c>
      <c r="C408" s="272" t="s">
        <v>270</v>
      </c>
      <c r="D408" s="273"/>
      <c r="E408" s="125" t="s">
        <v>9</v>
      </c>
      <c r="F408" s="125" t="s">
        <v>9</v>
      </c>
      <c r="G408" s="125" t="s">
        <v>9</v>
      </c>
      <c r="H408" s="110">
        <f>SUM(H409:H409)</f>
        <v>0</v>
      </c>
      <c r="I408" s="110">
        <f>SUM(I409:I409)</f>
        <v>0</v>
      </c>
      <c r="J408" s="110">
        <f>SUM(J409:J409)</f>
        <v>0</v>
      </c>
      <c r="K408" s="126" t="s">
        <v>53</v>
      </c>
      <c r="AI408" s="115" t="s">
        <v>1056</v>
      </c>
      <c r="AS408" s="110">
        <f>SUM(AJ409:AJ409)</f>
        <v>0</v>
      </c>
      <c r="AT408" s="110">
        <f>SUM(AK409:AK409)</f>
        <v>0</v>
      </c>
      <c r="AU408" s="110">
        <f>SUM(AL409:AL409)</f>
        <v>0</v>
      </c>
    </row>
    <row r="409" spans="1:76" x14ac:dyDescent="0.25">
      <c r="A409" s="134" t="s">
        <v>1099</v>
      </c>
      <c r="B409" s="135" t="s">
        <v>635</v>
      </c>
      <c r="C409" s="270" t="s">
        <v>636</v>
      </c>
      <c r="D409" s="271"/>
      <c r="E409" s="135" t="s">
        <v>67</v>
      </c>
      <c r="F409" s="131">
        <v>15</v>
      </c>
      <c r="G409" s="179">
        <v>0</v>
      </c>
      <c r="H409" s="131">
        <f>F409*AO409</f>
        <v>0</v>
      </c>
      <c r="I409" s="131">
        <f>F409*AP409</f>
        <v>0</v>
      </c>
      <c r="J409" s="131">
        <f>F409*G409</f>
        <v>0</v>
      </c>
      <c r="K409" s="136" t="s">
        <v>60</v>
      </c>
      <c r="Z409" s="131">
        <f>IF(AQ409="5",BJ409,0)</f>
        <v>0</v>
      </c>
      <c r="AB409" s="131">
        <f>IF(AQ409="1",BH409,0)</f>
        <v>0</v>
      </c>
      <c r="AC409" s="131">
        <f>IF(AQ409="1",BI409,0)</f>
        <v>0</v>
      </c>
      <c r="AD409" s="131">
        <f>IF(AQ409="7",BH409,0)</f>
        <v>0</v>
      </c>
      <c r="AE409" s="131">
        <f>IF(AQ409="7",BI409,0)</f>
        <v>0</v>
      </c>
      <c r="AF409" s="131">
        <f>IF(AQ409="2",BH409,0)</f>
        <v>0</v>
      </c>
      <c r="AG409" s="131">
        <f>IF(AQ409="2",BI409,0)</f>
        <v>0</v>
      </c>
      <c r="AH409" s="131">
        <f>IF(AQ409="0",BJ409,0)</f>
        <v>0</v>
      </c>
      <c r="AI409" s="115" t="s">
        <v>1056</v>
      </c>
      <c r="AJ409" s="131">
        <f>IF(AN409=0,J409,0)</f>
        <v>0</v>
      </c>
      <c r="AK409" s="131">
        <f>IF(AN409=12,J409,0)</f>
        <v>0</v>
      </c>
      <c r="AL409" s="131">
        <f>IF(AN409=21,J409,0)</f>
        <v>0</v>
      </c>
      <c r="AN409" s="131">
        <v>21</v>
      </c>
      <c r="AO409" s="131">
        <f>G409*0.576800977</f>
        <v>0</v>
      </c>
      <c r="AP409" s="131">
        <f>G409*(1-0.576800977)</f>
        <v>0</v>
      </c>
      <c r="AQ409" s="132" t="s">
        <v>56</v>
      </c>
      <c r="AV409" s="131">
        <f>AW409+AX409</f>
        <v>0</v>
      </c>
      <c r="AW409" s="131">
        <f>F409*AO409</f>
        <v>0</v>
      </c>
      <c r="AX409" s="131">
        <f>F409*AP409</f>
        <v>0</v>
      </c>
      <c r="AY409" s="132" t="s">
        <v>274</v>
      </c>
      <c r="AZ409" s="132" t="s">
        <v>1100</v>
      </c>
      <c r="BA409" s="115" t="s">
        <v>1059</v>
      </c>
      <c r="BC409" s="131">
        <f>AW409+AX409</f>
        <v>0</v>
      </c>
      <c r="BD409" s="131">
        <f>G409/(100-BE409)*100</f>
        <v>0</v>
      </c>
      <c r="BE409" s="131">
        <v>0</v>
      </c>
      <c r="BF409" s="131">
        <f>409</f>
        <v>409</v>
      </c>
      <c r="BH409" s="131">
        <f>F409*AO409</f>
        <v>0</v>
      </c>
      <c r="BI409" s="131">
        <f>F409*AP409</f>
        <v>0</v>
      </c>
      <c r="BJ409" s="131">
        <f>F409*G409</f>
        <v>0</v>
      </c>
      <c r="BK409" s="131"/>
      <c r="BL409" s="131">
        <v>91</v>
      </c>
      <c r="BW409" s="131">
        <v>21</v>
      </c>
      <c r="BX409" s="133" t="s">
        <v>636</v>
      </c>
    </row>
    <row r="410" spans="1:76" x14ac:dyDescent="0.25">
      <c r="A410" s="123" t="s">
        <v>53</v>
      </c>
      <c r="B410" s="124" t="s">
        <v>736</v>
      </c>
      <c r="C410" s="272" t="s">
        <v>737</v>
      </c>
      <c r="D410" s="273"/>
      <c r="E410" s="125" t="s">
        <v>9</v>
      </c>
      <c r="F410" s="125" t="s">
        <v>9</v>
      </c>
      <c r="G410" s="125" t="s">
        <v>9</v>
      </c>
      <c r="H410" s="110">
        <f>SUM(H411:H411)</f>
        <v>0</v>
      </c>
      <c r="I410" s="110">
        <f>SUM(I411:I411)</f>
        <v>0</v>
      </c>
      <c r="J410" s="110">
        <f>SUM(J411:J411)</f>
        <v>0</v>
      </c>
      <c r="K410" s="126" t="s">
        <v>53</v>
      </c>
      <c r="AI410" s="115" t="s">
        <v>1056</v>
      </c>
      <c r="AS410" s="110">
        <f>SUM(AJ411:AJ411)</f>
        <v>0</v>
      </c>
      <c r="AT410" s="110">
        <f>SUM(AK411:AK411)</f>
        <v>0</v>
      </c>
      <c r="AU410" s="110">
        <f>SUM(AL411:AL411)</f>
        <v>0</v>
      </c>
    </row>
    <row r="411" spans="1:76" x14ac:dyDescent="0.25">
      <c r="A411" s="134" t="s">
        <v>1101</v>
      </c>
      <c r="B411" s="135" t="s">
        <v>738</v>
      </c>
      <c r="C411" s="270" t="s">
        <v>739</v>
      </c>
      <c r="D411" s="271"/>
      <c r="E411" s="135" t="s">
        <v>122</v>
      </c>
      <c r="F411" s="131">
        <v>146.02000000000001</v>
      </c>
      <c r="G411" s="179">
        <v>0</v>
      </c>
      <c r="H411" s="131">
        <f>F411*AO411</f>
        <v>0</v>
      </c>
      <c r="I411" s="131">
        <f>F411*AP411</f>
        <v>0</v>
      </c>
      <c r="J411" s="131">
        <f>F411*G411</f>
        <v>0</v>
      </c>
      <c r="K411" s="136" t="s">
        <v>711</v>
      </c>
      <c r="Z411" s="131">
        <f>IF(AQ411="5",BJ411,0)</f>
        <v>0</v>
      </c>
      <c r="AB411" s="131">
        <f>IF(AQ411="1",BH411,0)</f>
        <v>0</v>
      </c>
      <c r="AC411" s="131">
        <f>IF(AQ411="1",BI411,0)</f>
        <v>0</v>
      </c>
      <c r="AD411" s="131">
        <f>IF(AQ411="7",BH411,0)</f>
        <v>0</v>
      </c>
      <c r="AE411" s="131">
        <f>IF(AQ411="7",BI411,0)</f>
        <v>0</v>
      </c>
      <c r="AF411" s="131">
        <f>IF(AQ411="2",BH411,0)</f>
        <v>0</v>
      </c>
      <c r="AG411" s="131">
        <f>IF(AQ411="2",BI411,0)</f>
        <v>0</v>
      </c>
      <c r="AH411" s="131">
        <f>IF(AQ411="0",BJ411,0)</f>
        <v>0</v>
      </c>
      <c r="AI411" s="115" t="s">
        <v>1056</v>
      </c>
      <c r="AJ411" s="131">
        <f>IF(AN411=0,J411,0)</f>
        <v>0</v>
      </c>
      <c r="AK411" s="131">
        <f>IF(AN411=12,J411,0)</f>
        <v>0</v>
      </c>
      <c r="AL411" s="131">
        <f>IF(AN411=21,J411,0)</f>
        <v>0</v>
      </c>
      <c r="AN411" s="131">
        <v>21</v>
      </c>
      <c r="AO411" s="131">
        <f>G411*0</f>
        <v>0</v>
      </c>
      <c r="AP411" s="131">
        <f>G411*(1-0)</f>
        <v>0</v>
      </c>
      <c r="AQ411" s="132" t="s">
        <v>76</v>
      </c>
      <c r="AV411" s="131">
        <f>AW411+AX411</f>
        <v>0</v>
      </c>
      <c r="AW411" s="131">
        <f>F411*AO411</f>
        <v>0</v>
      </c>
      <c r="AX411" s="131">
        <f>F411*AP411</f>
        <v>0</v>
      </c>
      <c r="AY411" s="132" t="s">
        <v>740</v>
      </c>
      <c r="AZ411" s="132" t="s">
        <v>1100</v>
      </c>
      <c r="BA411" s="115" t="s">
        <v>1059</v>
      </c>
      <c r="BC411" s="131">
        <f>AW411+AX411</f>
        <v>0</v>
      </c>
      <c r="BD411" s="131">
        <f>G411/(100-BE411)*100</f>
        <v>0</v>
      </c>
      <c r="BE411" s="131">
        <v>0</v>
      </c>
      <c r="BF411" s="131">
        <f>411</f>
        <v>411</v>
      </c>
      <c r="BH411" s="131">
        <f>F411*AO411</f>
        <v>0</v>
      </c>
      <c r="BI411" s="131">
        <f>F411*AP411</f>
        <v>0</v>
      </c>
      <c r="BJ411" s="131">
        <f>F411*G411</f>
        <v>0</v>
      </c>
      <c r="BK411" s="131"/>
      <c r="BL411" s="131"/>
      <c r="BW411" s="131">
        <v>21</v>
      </c>
      <c r="BX411" s="133" t="s">
        <v>739</v>
      </c>
    </row>
    <row r="412" spans="1:76" x14ac:dyDescent="0.25">
      <c r="A412" s="123" t="s">
        <v>53</v>
      </c>
      <c r="B412" s="124" t="s">
        <v>338</v>
      </c>
      <c r="C412" s="272" t="s">
        <v>339</v>
      </c>
      <c r="D412" s="273"/>
      <c r="E412" s="125" t="s">
        <v>9</v>
      </c>
      <c r="F412" s="125" t="s">
        <v>9</v>
      </c>
      <c r="G412" s="125" t="s">
        <v>9</v>
      </c>
      <c r="H412" s="110">
        <f>SUM(H413:H425)</f>
        <v>0</v>
      </c>
      <c r="I412" s="110">
        <f>SUM(I413:I425)</f>
        <v>0</v>
      </c>
      <c r="J412" s="110">
        <f>SUM(J413:J425)</f>
        <v>0</v>
      </c>
      <c r="K412" s="126" t="s">
        <v>53</v>
      </c>
      <c r="AI412" s="115" t="s">
        <v>1056</v>
      </c>
      <c r="AS412" s="110">
        <f>SUM(AJ413:AJ425)</f>
        <v>0</v>
      </c>
      <c r="AT412" s="110">
        <f>SUM(AK413:AK425)</f>
        <v>0</v>
      </c>
      <c r="AU412" s="110">
        <f>SUM(AL413:AL425)</f>
        <v>0</v>
      </c>
    </row>
    <row r="413" spans="1:76" ht="25.5" x14ac:dyDescent="0.25">
      <c r="A413" s="134" t="s">
        <v>1102</v>
      </c>
      <c r="B413" s="135" t="s">
        <v>813</v>
      </c>
      <c r="C413" s="270" t="s">
        <v>814</v>
      </c>
      <c r="D413" s="271"/>
      <c r="E413" s="135" t="s">
        <v>164</v>
      </c>
      <c r="F413" s="131">
        <v>17</v>
      </c>
      <c r="G413" s="179">
        <v>0</v>
      </c>
      <c r="H413" s="131">
        <f t="shared" ref="H413:H425" si="346">F413*AO413</f>
        <v>0</v>
      </c>
      <c r="I413" s="131">
        <f t="shared" ref="I413:I425" si="347">F413*AP413</f>
        <v>0</v>
      </c>
      <c r="J413" s="131">
        <f t="shared" ref="J413:J425" si="348">F413*G413</f>
        <v>0</v>
      </c>
      <c r="K413" s="136" t="s">
        <v>60</v>
      </c>
      <c r="Z413" s="131">
        <f t="shared" ref="Z413:Z425" si="349">IF(AQ413="5",BJ413,0)</f>
        <v>0</v>
      </c>
      <c r="AB413" s="131">
        <f t="shared" ref="AB413:AB425" si="350">IF(AQ413="1",BH413,0)</f>
        <v>0</v>
      </c>
      <c r="AC413" s="131">
        <f t="shared" ref="AC413:AC425" si="351">IF(AQ413="1",BI413,0)</f>
        <v>0</v>
      </c>
      <c r="AD413" s="131">
        <f t="shared" ref="AD413:AD425" si="352">IF(AQ413="7",BH413,0)</f>
        <v>0</v>
      </c>
      <c r="AE413" s="131">
        <f t="shared" ref="AE413:AE425" si="353">IF(AQ413="7",BI413,0)</f>
        <v>0</v>
      </c>
      <c r="AF413" s="131">
        <f t="shared" ref="AF413:AF425" si="354">IF(AQ413="2",BH413,0)</f>
        <v>0</v>
      </c>
      <c r="AG413" s="131">
        <f t="shared" ref="AG413:AG425" si="355">IF(AQ413="2",BI413,0)</f>
        <v>0</v>
      </c>
      <c r="AH413" s="131">
        <f t="shared" ref="AH413:AH425" si="356">IF(AQ413="0",BJ413,0)</f>
        <v>0</v>
      </c>
      <c r="AI413" s="115" t="s">
        <v>1056</v>
      </c>
      <c r="AJ413" s="131">
        <f t="shared" ref="AJ413:AJ425" si="357">IF(AN413=0,J413,0)</f>
        <v>0</v>
      </c>
      <c r="AK413" s="131">
        <f t="shared" ref="AK413:AK425" si="358">IF(AN413=12,J413,0)</f>
        <v>0</v>
      </c>
      <c r="AL413" s="131">
        <f t="shared" ref="AL413:AL425" si="359">IF(AN413=21,J413,0)</f>
        <v>0</v>
      </c>
      <c r="AN413" s="131">
        <v>21</v>
      </c>
      <c r="AO413" s="131">
        <f t="shared" ref="AO413:AO425" si="360">G413*1</f>
        <v>0</v>
      </c>
      <c r="AP413" s="131">
        <f t="shared" ref="AP413:AP425" si="361">G413*(1-1)</f>
        <v>0</v>
      </c>
      <c r="AQ413" s="132" t="s">
        <v>343</v>
      </c>
      <c r="AV413" s="131">
        <f t="shared" ref="AV413:AV425" si="362">AW413+AX413</f>
        <v>0</v>
      </c>
      <c r="AW413" s="131">
        <f t="shared" ref="AW413:AW425" si="363">F413*AO413</f>
        <v>0</v>
      </c>
      <c r="AX413" s="131">
        <f t="shared" ref="AX413:AX425" si="364">F413*AP413</f>
        <v>0</v>
      </c>
      <c r="AY413" s="132" t="s">
        <v>344</v>
      </c>
      <c r="AZ413" s="132" t="s">
        <v>1103</v>
      </c>
      <c r="BA413" s="115" t="s">
        <v>1059</v>
      </c>
      <c r="BC413" s="131">
        <f t="shared" ref="BC413:BC425" si="365">AW413+AX413</f>
        <v>0</v>
      </c>
      <c r="BD413" s="131">
        <f t="shared" ref="BD413:BD425" si="366">G413/(100-BE413)*100</f>
        <v>0</v>
      </c>
      <c r="BE413" s="131">
        <v>0</v>
      </c>
      <c r="BF413" s="131">
        <f>413</f>
        <v>413</v>
      </c>
      <c r="BH413" s="131">
        <f t="shared" ref="BH413:BH425" si="367">F413*AO413</f>
        <v>0</v>
      </c>
      <c r="BI413" s="131">
        <f t="shared" ref="BI413:BI425" si="368">F413*AP413</f>
        <v>0</v>
      </c>
      <c r="BJ413" s="131">
        <f t="shared" ref="BJ413:BJ425" si="369">F413*G413</f>
        <v>0</v>
      </c>
      <c r="BK413" s="131"/>
      <c r="BL413" s="131"/>
      <c r="BW413" s="131">
        <v>21</v>
      </c>
      <c r="BX413" s="133" t="s">
        <v>814</v>
      </c>
    </row>
    <row r="414" spans="1:76" x14ac:dyDescent="0.25">
      <c r="A414" s="134" t="s">
        <v>1104</v>
      </c>
      <c r="B414" s="135" t="s">
        <v>816</v>
      </c>
      <c r="C414" s="270" t="s">
        <v>817</v>
      </c>
      <c r="D414" s="271"/>
      <c r="E414" s="135" t="s">
        <v>164</v>
      </c>
      <c r="F414" s="131">
        <v>4</v>
      </c>
      <c r="G414" s="179">
        <v>0</v>
      </c>
      <c r="H414" s="131">
        <f t="shared" si="346"/>
        <v>0</v>
      </c>
      <c r="I414" s="131">
        <f t="shared" si="347"/>
        <v>0</v>
      </c>
      <c r="J414" s="131">
        <f t="shared" si="348"/>
        <v>0</v>
      </c>
      <c r="K414" s="136" t="s">
        <v>60</v>
      </c>
      <c r="Z414" s="131">
        <f t="shared" si="349"/>
        <v>0</v>
      </c>
      <c r="AB414" s="131">
        <f t="shared" si="350"/>
        <v>0</v>
      </c>
      <c r="AC414" s="131">
        <f t="shared" si="351"/>
        <v>0</v>
      </c>
      <c r="AD414" s="131">
        <f t="shared" si="352"/>
        <v>0</v>
      </c>
      <c r="AE414" s="131">
        <f t="shared" si="353"/>
        <v>0</v>
      </c>
      <c r="AF414" s="131">
        <f t="shared" si="354"/>
        <v>0</v>
      </c>
      <c r="AG414" s="131">
        <f t="shared" si="355"/>
        <v>0</v>
      </c>
      <c r="AH414" s="131">
        <f t="shared" si="356"/>
        <v>0</v>
      </c>
      <c r="AI414" s="115" t="s">
        <v>1056</v>
      </c>
      <c r="AJ414" s="131">
        <f t="shared" si="357"/>
        <v>0</v>
      </c>
      <c r="AK414" s="131">
        <f t="shared" si="358"/>
        <v>0</v>
      </c>
      <c r="AL414" s="131">
        <f t="shared" si="359"/>
        <v>0</v>
      </c>
      <c r="AN414" s="131">
        <v>21</v>
      </c>
      <c r="AO414" s="131">
        <f t="shared" si="360"/>
        <v>0</v>
      </c>
      <c r="AP414" s="131">
        <f t="shared" si="361"/>
        <v>0</v>
      </c>
      <c r="AQ414" s="132" t="s">
        <v>343</v>
      </c>
      <c r="AV414" s="131">
        <f t="shared" si="362"/>
        <v>0</v>
      </c>
      <c r="AW414" s="131">
        <f t="shared" si="363"/>
        <v>0</v>
      </c>
      <c r="AX414" s="131">
        <f t="shared" si="364"/>
        <v>0</v>
      </c>
      <c r="AY414" s="132" t="s">
        <v>344</v>
      </c>
      <c r="AZ414" s="132" t="s">
        <v>1103</v>
      </c>
      <c r="BA414" s="115" t="s">
        <v>1059</v>
      </c>
      <c r="BC414" s="131">
        <f t="shared" si="365"/>
        <v>0</v>
      </c>
      <c r="BD414" s="131">
        <f t="shared" si="366"/>
        <v>0</v>
      </c>
      <c r="BE414" s="131">
        <v>0</v>
      </c>
      <c r="BF414" s="131">
        <f>414</f>
        <v>414</v>
      </c>
      <c r="BH414" s="131">
        <f t="shared" si="367"/>
        <v>0</v>
      </c>
      <c r="BI414" s="131">
        <f t="shared" si="368"/>
        <v>0</v>
      </c>
      <c r="BJ414" s="131">
        <f t="shared" si="369"/>
        <v>0</v>
      </c>
      <c r="BK414" s="131"/>
      <c r="BL414" s="131"/>
      <c r="BW414" s="131">
        <v>21</v>
      </c>
      <c r="BX414" s="133" t="s">
        <v>817</v>
      </c>
    </row>
    <row r="415" spans="1:76" x14ac:dyDescent="0.25">
      <c r="A415" s="134" t="s">
        <v>1105</v>
      </c>
      <c r="B415" s="135" t="s">
        <v>818</v>
      </c>
      <c r="C415" s="270" t="s">
        <v>819</v>
      </c>
      <c r="D415" s="271"/>
      <c r="E415" s="135" t="s">
        <v>164</v>
      </c>
      <c r="F415" s="131">
        <v>5</v>
      </c>
      <c r="G415" s="179">
        <v>0</v>
      </c>
      <c r="H415" s="131">
        <f t="shared" si="346"/>
        <v>0</v>
      </c>
      <c r="I415" s="131">
        <f t="shared" si="347"/>
        <v>0</v>
      </c>
      <c r="J415" s="131">
        <f t="shared" si="348"/>
        <v>0</v>
      </c>
      <c r="K415" s="136" t="s">
        <v>60</v>
      </c>
      <c r="Z415" s="131">
        <f t="shared" si="349"/>
        <v>0</v>
      </c>
      <c r="AB415" s="131">
        <f t="shared" si="350"/>
        <v>0</v>
      </c>
      <c r="AC415" s="131">
        <f t="shared" si="351"/>
        <v>0</v>
      </c>
      <c r="AD415" s="131">
        <f t="shared" si="352"/>
        <v>0</v>
      </c>
      <c r="AE415" s="131">
        <f t="shared" si="353"/>
        <v>0</v>
      </c>
      <c r="AF415" s="131">
        <f t="shared" si="354"/>
        <v>0</v>
      </c>
      <c r="AG415" s="131">
        <f t="shared" si="355"/>
        <v>0</v>
      </c>
      <c r="AH415" s="131">
        <f t="shared" si="356"/>
        <v>0</v>
      </c>
      <c r="AI415" s="115" t="s">
        <v>1056</v>
      </c>
      <c r="AJ415" s="131">
        <f t="shared" si="357"/>
        <v>0</v>
      </c>
      <c r="AK415" s="131">
        <f t="shared" si="358"/>
        <v>0</v>
      </c>
      <c r="AL415" s="131">
        <f t="shared" si="359"/>
        <v>0</v>
      </c>
      <c r="AN415" s="131">
        <v>21</v>
      </c>
      <c r="AO415" s="131">
        <f t="shared" si="360"/>
        <v>0</v>
      </c>
      <c r="AP415" s="131">
        <f t="shared" si="361"/>
        <v>0</v>
      </c>
      <c r="AQ415" s="132" t="s">
        <v>343</v>
      </c>
      <c r="AV415" s="131">
        <f t="shared" si="362"/>
        <v>0</v>
      </c>
      <c r="AW415" s="131">
        <f t="shared" si="363"/>
        <v>0</v>
      </c>
      <c r="AX415" s="131">
        <f t="shared" si="364"/>
        <v>0</v>
      </c>
      <c r="AY415" s="132" t="s">
        <v>344</v>
      </c>
      <c r="AZ415" s="132" t="s">
        <v>1103</v>
      </c>
      <c r="BA415" s="115" t="s">
        <v>1059</v>
      </c>
      <c r="BC415" s="131">
        <f t="shared" si="365"/>
        <v>0</v>
      </c>
      <c r="BD415" s="131">
        <f t="shared" si="366"/>
        <v>0</v>
      </c>
      <c r="BE415" s="131">
        <v>0</v>
      </c>
      <c r="BF415" s="131">
        <f>415</f>
        <v>415</v>
      </c>
      <c r="BH415" s="131">
        <f t="shared" si="367"/>
        <v>0</v>
      </c>
      <c r="BI415" s="131">
        <f t="shared" si="368"/>
        <v>0</v>
      </c>
      <c r="BJ415" s="131">
        <f t="shared" si="369"/>
        <v>0</v>
      </c>
      <c r="BK415" s="131"/>
      <c r="BL415" s="131"/>
      <c r="BW415" s="131">
        <v>21</v>
      </c>
      <c r="BX415" s="133" t="s">
        <v>819</v>
      </c>
    </row>
    <row r="416" spans="1:76" x14ac:dyDescent="0.25">
      <c r="A416" s="134" t="s">
        <v>1106</v>
      </c>
      <c r="B416" s="135" t="s">
        <v>820</v>
      </c>
      <c r="C416" s="270" t="s">
        <v>821</v>
      </c>
      <c r="D416" s="271"/>
      <c r="E416" s="135" t="s">
        <v>164</v>
      </c>
      <c r="F416" s="131">
        <v>6</v>
      </c>
      <c r="G416" s="179">
        <v>0</v>
      </c>
      <c r="H416" s="131">
        <f t="shared" si="346"/>
        <v>0</v>
      </c>
      <c r="I416" s="131">
        <f t="shared" si="347"/>
        <v>0</v>
      </c>
      <c r="J416" s="131">
        <f t="shared" si="348"/>
        <v>0</v>
      </c>
      <c r="K416" s="136" t="s">
        <v>60</v>
      </c>
      <c r="Z416" s="131">
        <f t="shared" si="349"/>
        <v>0</v>
      </c>
      <c r="AB416" s="131">
        <f t="shared" si="350"/>
        <v>0</v>
      </c>
      <c r="AC416" s="131">
        <f t="shared" si="351"/>
        <v>0</v>
      </c>
      <c r="AD416" s="131">
        <f t="shared" si="352"/>
        <v>0</v>
      </c>
      <c r="AE416" s="131">
        <f t="shared" si="353"/>
        <v>0</v>
      </c>
      <c r="AF416" s="131">
        <f t="shared" si="354"/>
        <v>0</v>
      </c>
      <c r="AG416" s="131">
        <f t="shared" si="355"/>
        <v>0</v>
      </c>
      <c r="AH416" s="131">
        <f t="shared" si="356"/>
        <v>0</v>
      </c>
      <c r="AI416" s="115" t="s">
        <v>1056</v>
      </c>
      <c r="AJ416" s="131">
        <f t="shared" si="357"/>
        <v>0</v>
      </c>
      <c r="AK416" s="131">
        <f t="shared" si="358"/>
        <v>0</v>
      </c>
      <c r="AL416" s="131">
        <f t="shared" si="359"/>
        <v>0</v>
      </c>
      <c r="AN416" s="131">
        <v>21</v>
      </c>
      <c r="AO416" s="131">
        <f t="shared" si="360"/>
        <v>0</v>
      </c>
      <c r="AP416" s="131">
        <f t="shared" si="361"/>
        <v>0</v>
      </c>
      <c r="AQ416" s="132" t="s">
        <v>343</v>
      </c>
      <c r="AV416" s="131">
        <f t="shared" si="362"/>
        <v>0</v>
      </c>
      <c r="AW416" s="131">
        <f t="shared" si="363"/>
        <v>0</v>
      </c>
      <c r="AX416" s="131">
        <f t="shared" si="364"/>
        <v>0</v>
      </c>
      <c r="AY416" s="132" t="s">
        <v>344</v>
      </c>
      <c r="AZ416" s="132" t="s">
        <v>1103</v>
      </c>
      <c r="BA416" s="115" t="s">
        <v>1059</v>
      </c>
      <c r="BC416" s="131">
        <f t="shared" si="365"/>
        <v>0</v>
      </c>
      <c r="BD416" s="131">
        <f t="shared" si="366"/>
        <v>0</v>
      </c>
      <c r="BE416" s="131">
        <v>0</v>
      </c>
      <c r="BF416" s="131">
        <f>416</f>
        <v>416</v>
      </c>
      <c r="BH416" s="131">
        <f t="shared" si="367"/>
        <v>0</v>
      </c>
      <c r="BI416" s="131">
        <f t="shared" si="368"/>
        <v>0</v>
      </c>
      <c r="BJ416" s="131">
        <f t="shared" si="369"/>
        <v>0</v>
      </c>
      <c r="BK416" s="131"/>
      <c r="BL416" s="131"/>
      <c r="BW416" s="131">
        <v>21</v>
      </c>
      <c r="BX416" s="133" t="s">
        <v>821</v>
      </c>
    </row>
    <row r="417" spans="1:76" x14ac:dyDescent="0.25">
      <c r="A417" s="134" t="s">
        <v>1107</v>
      </c>
      <c r="B417" s="135" t="s">
        <v>962</v>
      </c>
      <c r="C417" s="270" t="s">
        <v>963</v>
      </c>
      <c r="D417" s="271"/>
      <c r="E417" s="135" t="s">
        <v>164</v>
      </c>
      <c r="F417" s="131">
        <v>2</v>
      </c>
      <c r="G417" s="179">
        <v>0</v>
      </c>
      <c r="H417" s="131">
        <f t="shared" si="346"/>
        <v>0</v>
      </c>
      <c r="I417" s="131">
        <f t="shared" si="347"/>
        <v>0</v>
      </c>
      <c r="J417" s="131">
        <f t="shared" si="348"/>
        <v>0</v>
      </c>
      <c r="K417" s="136" t="s">
        <v>60</v>
      </c>
      <c r="Z417" s="131">
        <f t="shared" si="349"/>
        <v>0</v>
      </c>
      <c r="AB417" s="131">
        <f t="shared" si="350"/>
        <v>0</v>
      </c>
      <c r="AC417" s="131">
        <f t="shared" si="351"/>
        <v>0</v>
      </c>
      <c r="AD417" s="131">
        <f t="shared" si="352"/>
        <v>0</v>
      </c>
      <c r="AE417" s="131">
        <f t="shared" si="353"/>
        <v>0</v>
      </c>
      <c r="AF417" s="131">
        <f t="shared" si="354"/>
        <v>0</v>
      </c>
      <c r="AG417" s="131">
        <f t="shared" si="355"/>
        <v>0</v>
      </c>
      <c r="AH417" s="131">
        <f t="shared" si="356"/>
        <v>0</v>
      </c>
      <c r="AI417" s="115" t="s">
        <v>1056</v>
      </c>
      <c r="AJ417" s="131">
        <f t="shared" si="357"/>
        <v>0</v>
      </c>
      <c r="AK417" s="131">
        <f t="shared" si="358"/>
        <v>0</v>
      </c>
      <c r="AL417" s="131">
        <f t="shared" si="359"/>
        <v>0</v>
      </c>
      <c r="AN417" s="131">
        <v>21</v>
      </c>
      <c r="AO417" s="131">
        <f t="shared" si="360"/>
        <v>0</v>
      </c>
      <c r="AP417" s="131">
        <f t="shared" si="361"/>
        <v>0</v>
      </c>
      <c r="AQ417" s="132" t="s">
        <v>343</v>
      </c>
      <c r="AV417" s="131">
        <f t="shared" si="362"/>
        <v>0</v>
      </c>
      <c r="AW417" s="131">
        <f t="shared" si="363"/>
        <v>0</v>
      </c>
      <c r="AX417" s="131">
        <f t="shared" si="364"/>
        <v>0</v>
      </c>
      <c r="AY417" s="132" t="s">
        <v>344</v>
      </c>
      <c r="AZ417" s="132" t="s">
        <v>1103</v>
      </c>
      <c r="BA417" s="115" t="s">
        <v>1059</v>
      </c>
      <c r="BC417" s="131">
        <f t="shared" si="365"/>
        <v>0</v>
      </c>
      <c r="BD417" s="131">
        <f t="shared" si="366"/>
        <v>0</v>
      </c>
      <c r="BE417" s="131">
        <v>0</v>
      </c>
      <c r="BF417" s="131">
        <f>417</f>
        <v>417</v>
      </c>
      <c r="BH417" s="131">
        <f t="shared" si="367"/>
        <v>0</v>
      </c>
      <c r="BI417" s="131">
        <f t="shared" si="368"/>
        <v>0</v>
      </c>
      <c r="BJ417" s="131">
        <f t="shared" si="369"/>
        <v>0</v>
      </c>
      <c r="BK417" s="131"/>
      <c r="BL417" s="131"/>
      <c r="BW417" s="131">
        <v>21</v>
      </c>
      <c r="BX417" s="133" t="s">
        <v>963</v>
      </c>
    </row>
    <row r="418" spans="1:76" x14ac:dyDescent="0.25">
      <c r="A418" s="134" t="s">
        <v>1108</v>
      </c>
      <c r="B418" s="135" t="s">
        <v>1038</v>
      </c>
      <c r="C418" s="270" t="s">
        <v>1039</v>
      </c>
      <c r="D418" s="271"/>
      <c r="E418" s="135" t="s">
        <v>164</v>
      </c>
      <c r="F418" s="131">
        <v>3</v>
      </c>
      <c r="G418" s="179">
        <v>0</v>
      </c>
      <c r="H418" s="131">
        <f t="shared" si="346"/>
        <v>0</v>
      </c>
      <c r="I418" s="131">
        <f t="shared" si="347"/>
        <v>0</v>
      </c>
      <c r="J418" s="131">
        <f t="shared" si="348"/>
        <v>0</v>
      </c>
      <c r="K418" s="136" t="s">
        <v>1040</v>
      </c>
      <c r="Z418" s="131">
        <f t="shared" si="349"/>
        <v>0</v>
      </c>
      <c r="AB418" s="131">
        <f t="shared" si="350"/>
        <v>0</v>
      </c>
      <c r="AC418" s="131">
        <f t="shared" si="351"/>
        <v>0</v>
      </c>
      <c r="AD418" s="131">
        <f t="shared" si="352"/>
        <v>0</v>
      </c>
      <c r="AE418" s="131">
        <f t="shared" si="353"/>
        <v>0</v>
      </c>
      <c r="AF418" s="131">
        <f t="shared" si="354"/>
        <v>0</v>
      </c>
      <c r="AG418" s="131">
        <f t="shared" si="355"/>
        <v>0</v>
      </c>
      <c r="AH418" s="131">
        <f t="shared" si="356"/>
        <v>0</v>
      </c>
      <c r="AI418" s="115" t="s">
        <v>1056</v>
      </c>
      <c r="AJ418" s="131">
        <f t="shared" si="357"/>
        <v>0</v>
      </c>
      <c r="AK418" s="131">
        <f t="shared" si="358"/>
        <v>0</v>
      </c>
      <c r="AL418" s="131">
        <f t="shared" si="359"/>
        <v>0</v>
      </c>
      <c r="AN418" s="131">
        <v>21</v>
      </c>
      <c r="AO418" s="131">
        <f t="shared" si="360"/>
        <v>0</v>
      </c>
      <c r="AP418" s="131">
        <f t="shared" si="361"/>
        <v>0</v>
      </c>
      <c r="AQ418" s="132" t="s">
        <v>343</v>
      </c>
      <c r="AV418" s="131">
        <f t="shared" si="362"/>
        <v>0</v>
      </c>
      <c r="AW418" s="131">
        <f t="shared" si="363"/>
        <v>0</v>
      </c>
      <c r="AX418" s="131">
        <f t="shared" si="364"/>
        <v>0</v>
      </c>
      <c r="AY418" s="132" t="s">
        <v>344</v>
      </c>
      <c r="AZ418" s="132" t="s">
        <v>1103</v>
      </c>
      <c r="BA418" s="115" t="s">
        <v>1059</v>
      </c>
      <c r="BC418" s="131">
        <f t="shared" si="365"/>
        <v>0</v>
      </c>
      <c r="BD418" s="131">
        <f t="shared" si="366"/>
        <v>0</v>
      </c>
      <c r="BE418" s="131">
        <v>0</v>
      </c>
      <c r="BF418" s="131">
        <f>418</f>
        <v>418</v>
      </c>
      <c r="BH418" s="131">
        <f t="shared" si="367"/>
        <v>0</v>
      </c>
      <c r="BI418" s="131">
        <f t="shared" si="368"/>
        <v>0</v>
      </c>
      <c r="BJ418" s="131">
        <f t="shared" si="369"/>
        <v>0</v>
      </c>
      <c r="BK418" s="131"/>
      <c r="BL418" s="131"/>
      <c r="BW418" s="131">
        <v>21</v>
      </c>
      <c r="BX418" s="133" t="s">
        <v>1039</v>
      </c>
    </row>
    <row r="419" spans="1:76" x14ac:dyDescent="0.25">
      <c r="A419" s="134" t="s">
        <v>1109</v>
      </c>
      <c r="B419" s="135" t="s">
        <v>824</v>
      </c>
      <c r="C419" s="270" t="s">
        <v>825</v>
      </c>
      <c r="D419" s="271"/>
      <c r="E419" s="135" t="s">
        <v>164</v>
      </c>
      <c r="F419" s="131">
        <v>6</v>
      </c>
      <c r="G419" s="179">
        <v>0</v>
      </c>
      <c r="H419" s="131">
        <f t="shared" si="346"/>
        <v>0</v>
      </c>
      <c r="I419" s="131">
        <f t="shared" si="347"/>
        <v>0</v>
      </c>
      <c r="J419" s="131">
        <f t="shared" si="348"/>
        <v>0</v>
      </c>
      <c r="K419" s="136" t="s">
        <v>60</v>
      </c>
      <c r="Z419" s="131">
        <f t="shared" si="349"/>
        <v>0</v>
      </c>
      <c r="AB419" s="131">
        <f t="shared" si="350"/>
        <v>0</v>
      </c>
      <c r="AC419" s="131">
        <f t="shared" si="351"/>
        <v>0</v>
      </c>
      <c r="AD419" s="131">
        <f t="shared" si="352"/>
        <v>0</v>
      </c>
      <c r="AE419" s="131">
        <f t="shared" si="353"/>
        <v>0</v>
      </c>
      <c r="AF419" s="131">
        <f t="shared" si="354"/>
        <v>0</v>
      </c>
      <c r="AG419" s="131">
        <f t="shared" si="355"/>
        <v>0</v>
      </c>
      <c r="AH419" s="131">
        <f t="shared" si="356"/>
        <v>0</v>
      </c>
      <c r="AI419" s="115" t="s">
        <v>1056</v>
      </c>
      <c r="AJ419" s="131">
        <f t="shared" si="357"/>
        <v>0</v>
      </c>
      <c r="AK419" s="131">
        <f t="shared" si="358"/>
        <v>0</v>
      </c>
      <c r="AL419" s="131">
        <f t="shared" si="359"/>
        <v>0</v>
      </c>
      <c r="AN419" s="131">
        <v>21</v>
      </c>
      <c r="AO419" s="131">
        <f t="shared" si="360"/>
        <v>0</v>
      </c>
      <c r="AP419" s="131">
        <f t="shared" si="361"/>
        <v>0</v>
      </c>
      <c r="AQ419" s="132" t="s">
        <v>343</v>
      </c>
      <c r="AV419" s="131">
        <f t="shared" si="362"/>
        <v>0</v>
      </c>
      <c r="AW419" s="131">
        <f t="shared" si="363"/>
        <v>0</v>
      </c>
      <c r="AX419" s="131">
        <f t="shared" si="364"/>
        <v>0</v>
      </c>
      <c r="AY419" s="132" t="s">
        <v>344</v>
      </c>
      <c r="AZ419" s="132" t="s">
        <v>1103</v>
      </c>
      <c r="BA419" s="115" t="s">
        <v>1059</v>
      </c>
      <c r="BC419" s="131">
        <f t="shared" si="365"/>
        <v>0</v>
      </c>
      <c r="BD419" s="131">
        <f t="shared" si="366"/>
        <v>0</v>
      </c>
      <c r="BE419" s="131">
        <v>0</v>
      </c>
      <c r="BF419" s="131">
        <f>419</f>
        <v>419</v>
      </c>
      <c r="BH419" s="131">
        <f t="shared" si="367"/>
        <v>0</v>
      </c>
      <c r="BI419" s="131">
        <f t="shared" si="368"/>
        <v>0</v>
      </c>
      <c r="BJ419" s="131">
        <f t="shared" si="369"/>
        <v>0</v>
      </c>
      <c r="BK419" s="131"/>
      <c r="BL419" s="131"/>
      <c r="BW419" s="131">
        <v>21</v>
      </c>
      <c r="BX419" s="133" t="s">
        <v>825</v>
      </c>
    </row>
    <row r="420" spans="1:76" x14ac:dyDescent="0.25">
      <c r="A420" s="134" t="s">
        <v>1110</v>
      </c>
      <c r="B420" s="135" t="s">
        <v>966</v>
      </c>
      <c r="C420" s="270" t="s">
        <v>967</v>
      </c>
      <c r="D420" s="271"/>
      <c r="E420" s="135" t="s">
        <v>164</v>
      </c>
      <c r="F420" s="131">
        <v>1</v>
      </c>
      <c r="G420" s="179">
        <v>0</v>
      </c>
      <c r="H420" s="131">
        <f t="shared" si="346"/>
        <v>0</v>
      </c>
      <c r="I420" s="131">
        <f t="shared" si="347"/>
        <v>0</v>
      </c>
      <c r="J420" s="131">
        <f t="shared" si="348"/>
        <v>0</v>
      </c>
      <c r="K420" s="136" t="s">
        <v>939</v>
      </c>
      <c r="Z420" s="131">
        <f t="shared" si="349"/>
        <v>0</v>
      </c>
      <c r="AB420" s="131">
        <f t="shared" si="350"/>
        <v>0</v>
      </c>
      <c r="AC420" s="131">
        <f t="shared" si="351"/>
        <v>0</v>
      </c>
      <c r="AD420" s="131">
        <f t="shared" si="352"/>
        <v>0</v>
      </c>
      <c r="AE420" s="131">
        <f t="shared" si="353"/>
        <v>0</v>
      </c>
      <c r="AF420" s="131">
        <f t="shared" si="354"/>
        <v>0</v>
      </c>
      <c r="AG420" s="131">
        <f t="shared" si="355"/>
        <v>0</v>
      </c>
      <c r="AH420" s="131">
        <f t="shared" si="356"/>
        <v>0</v>
      </c>
      <c r="AI420" s="115" t="s">
        <v>1056</v>
      </c>
      <c r="AJ420" s="131">
        <f t="shared" si="357"/>
        <v>0</v>
      </c>
      <c r="AK420" s="131">
        <f t="shared" si="358"/>
        <v>0</v>
      </c>
      <c r="AL420" s="131">
        <f t="shared" si="359"/>
        <v>0</v>
      </c>
      <c r="AN420" s="131">
        <v>21</v>
      </c>
      <c r="AO420" s="131">
        <f t="shared" si="360"/>
        <v>0</v>
      </c>
      <c r="AP420" s="131">
        <f t="shared" si="361"/>
        <v>0</v>
      </c>
      <c r="AQ420" s="132" t="s">
        <v>343</v>
      </c>
      <c r="AV420" s="131">
        <f t="shared" si="362"/>
        <v>0</v>
      </c>
      <c r="AW420" s="131">
        <f t="shared" si="363"/>
        <v>0</v>
      </c>
      <c r="AX420" s="131">
        <f t="shared" si="364"/>
        <v>0</v>
      </c>
      <c r="AY420" s="132" t="s">
        <v>344</v>
      </c>
      <c r="AZ420" s="132" t="s">
        <v>1103</v>
      </c>
      <c r="BA420" s="115" t="s">
        <v>1059</v>
      </c>
      <c r="BC420" s="131">
        <f t="shared" si="365"/>
        <v>0</v>
      </c>
      <c r="BD420" s="131">
        <f t="shared" si="366"/>
        <v>0</v>
      </c>
      <c r="BE420" s="131">
        <v>0</v>
      </c>
      <c r="BF420" s="131">
        <f>420</f>
        <v>420</v>
      </c>
      <c r="BH420" s="131">
        <f t="shared" si="367"/>
        <v>0</v>
      </c>
      <c r="BI420" s="131">
        <f t="shared" si="368"/>
        <v>0</v>
      </c>
      <c r="BJ420" s="131">
        <f t="shared" si="369"/>
        <v>0</v>
      </c>
      <c r="BK420" s="131"/>
      <c r="BL420" s="131"/>
      <c r="BW420" s="131">
        <v>21</v>
      </c>
      <c r="BX420" s="133" t="s">
        <v>967</v>
      </c>
    </row>
    <row r="421" spans="1:76" x14ac:dyDescent="0.25">
      <c r="A421" s="134" t="s">
        <v>596</v>
      </c>
      <c r="B421" s="135" t="s">
        <v>826</v>
      </c>
      <c r="C421" s="270" t="s">
        <v>749</v>
      </c>
      <c r="D421" s="271"/>
      <c r="E421" s="135" t="s">
        <v>164</v>
      </c>
      <c r="F421" s="131">
        <v>6</v>
      </c>
      <c r="G421" s="179">
        <v>0</v>
      </c>
      <c r="H421" s="131">
        <f t="shared" si="346"/>
        <v>0</v>
      </c>
      <c r="I421" s="131">
        <f t="shared" si="347"/>
        <v>0</v>
      </c>
      <c r="J421" s="131">
        <f t="shared" si="348"/>
        <v>0</v>
      </c>
      <c r="K421" s="136" t="s">
        <v>60</v>
      </c>
      <c r="Z421" s="131">
        <f t="shared" si="349"/>
        <v>0</v>
      </c>
      <c r="AB421" s="131">
        <f t="shared" si="350"/>
        <v>0</v>
      </c>
      <c r="AC421" s="131">
        <f t="shared" si="351"/>
        <v>0</v>
      </c>
      <c r="AD421" s="131">
        <f t="shared" si="352"/>
        <v>0</v>
      </c>
      <c r="AE421" s="131">
        <f t="shared" si="353"/>
        <v>0</v>
      </c>
      <c r="AF421" s="131">
        <f t="shared" si="354"/>
        <v>0</v>
      </c>
      <c r="AG421" s="131">
        <f t="shared" si="355"/>
        <v>0</v>
      </c>
      <c r="AH421" s="131">
        <f t="shared" si="356"/>
        <v>0</v>
      </c>
      <c r="AI421" s="115" t="s">
        <v>1056</v>
      </c>
      <c r="AJ421" s="131">
        <f t="shared" si="357"/>
        <v>0</v>
      </c>
      <c r="AK421" s="131">
        <f t="shared" si="358"/>
        <v>0</v>
      </c>
      <c r="AL421" s="131">
        <f t="shared" si="359"/>
        <v>0</v>
      </c>
      <c r="AN421" s="131">
        <v>21</v>
      </c>
      <c r="AO421" s="131">
        <f t="shared" si="360"/>
        <v>0</v>
      </c>
      <c r="AP421" s="131">
        <f t="shared" si="361"/>
        <v>0</v>
      </c>
      <c r="AQ421" s="132" t="s">
        <v>343</v>
      </c>
      <c r="AV421" s="131">
        <f t="shared" si="362"/>
        <v>0</v>
      </c>
      <c r="AW421" s="131">
        <f t="shared" si="363"/>
        <v>0</v>
      </c>
      <c r="AX421" s="131">
        <f t="shared" si="364"/>
        <v>0</v>
      </c>
      <c r="AY421" s="132" t="s">
        <v>344</v>
      </c>
      <c r="AZ421" s="132" t="s">
        <v>1103</v>
      </c>
      <c r="BA421" s="115" t="s">
        <v>1059</v>
      </c>
      <c r="BC421" s="131">
        <f t="shared" si="365"/>
        <v>0</v>
      </c>
      <c r="BD421" s="131">
        <f t="shared" si="366"/>
        <v>0</v>
      </c>
      <c r="BE421" s="131">
        <v>0</v>
      </c>
      <c r="BF421" s="131">
        <f>421</f>
        <v>421</v>
      </c>
      <c r="BH421" s="131">
        <f t="shared" si="367"/>
        <v>0</v>
      </c>
      <c r="BI421" s="131">
        <f t="shared" si="368"/>
        <v>0</v>
      </c>
      <c r="BJ421" s="131">
        <f t="shared" si="369"/>
        <v>0</v>
      </c>
      <c r="BK421" s="131"/>
      <c r="BL421" s="131"/>
      <c r="BW421" s="131">
        <v>21</v>
      </c>
      <c r="BX421" s="133" t="s">
        <v>749</v>
      </c>
    </row>
    <row r="422" spans="1:76" x14ac:dyDescent="0.25">
      <c r="A422" s="134" t="s">
        <v>1111</v>
      </c>
      <c r="B422" s="135" t="s">
        <v>827</v>
      </c>
      <c r="C422" s="270" t="s">
        <v>828</v>
      </c>
      <c r="D422" s="271"/>
      <c r="E422" s="135" t="s">
        <v>164</v>
      </c>
      <c r="F422" s="131">
        <v>5</v>
      </c>
      <c r="G422" s="179">
        <v>0</v>
      </c>
      <c r="H422" s="131">
        <f t="shared" si="346"/>
        <v>0</v>
      </c>
      <c r="I422" s="131">
        <f t="shared" si="347"/>
        <v>0</v>
      </c>
      <c r="J422" s="131">
        <f t="shared" si="348"/>
        <v>0</v>
      </c>
      <c r="K422" s="136" t="s">
        <v>60</v>
      </c>
      <c r="Z422" s="131">
        <f t="shared" si="349"/>
        <v>0</v>
      </c>
      <c r="AB422" s="131">
        <f t="shared" si="350"/>
        <v>0</v>
      </c>
      <c r="AC422" s="131">
        <f t="shared" si="351"/>
        <v>0</v>
      </c>
      <c r="AD422" s="131">
        <f t="shared" si="352"/>
        <v>0</v>
      </c>
      <c r="AE422" s="131">
        <f t="shared" si="353"/>
        <v>0</v>
      </c>
      <c r="AF422" s="131">
        <f t="shared" si="354"/>
        <v>0</v>
      </c>
      <c r="AG422" s="131">
        <f t="shared" si="355"/>
        <v>0</v>
      </c>
      <c r="AH422" s="131">
        <f t="shared" si="356"/>
        <v>0</v>
      </c>
      <c r="AI422" s="115" t="s">
        <v>1056</v>
      </c>
      <c r="AJ422" s="131">
        <f t="shared" si="357"/>
        <v>0</v>
      </c>
      <c r="AK422" s="131">
        <f t="shared" si="358"/>
        <v>0</v>
      </c>
      <c r="AL422" s="131">
        <f t="shared" si="359"/>
        <v>0</v>
      </c>
      <c r="AN422" s="131">
        <v>21</v>
      </c>
      <c r="AO422" s="131">
        <f t="shared" si="360"/>
        <v>0</v>
      </c>
      <c r="AP422" s="131">
        <f t="shared" si="361"/>
        <v>0</v>
      </c>
      <c r="AQ422" s="132" t="s">
        <v>343</v>
      </c>
      <c r="AV422" s="131">
        <f t="shared" si="362"/>
        <v>0</v>
      </c>
      <c r="AW422" s="131">
        <f t="shared" si="363"/>
        <v>0</v>
      </c>
      <c r="AX422" s="131">
        <f t="shared" si="364"/>
        <v>0</v>
      </c>
      <c r="AY422" s="132" t="s">
        <v>344</v>
      </c>
      <c r="AZ422" s="132" t="s">
        <v>1103</v>
      </c>
      <c r="BA422" s="115" t="s">
        <v>1059</v>
      </c>
      <c r="BC422" s="131">
        <f t="shared" si="365"/>
        <v>0</v>
      </c>
      <c r="BD422" s="131">
        <f t="shared" si="366"/>
        <v>0</v>
      </c>
      <c r="BE422" s="131">
        <v>0</v>
      </c>
      <c r="BF422" s="131">
        <f>422</f>
        <v>422</v>
      </c>
      <c r="BH422" s="131">
        <f t="shared" si="367"/>
        <v>0</v>
      </c>
      <c r="BI422" s="131">
        <f t="shared" si="368"/>
        <v>0</v>
      </c>
      <c r="BJ422" s="131">
        <f t="shared" si="369"/>
        <v>0</v>
      </c>
      <c r="BK422" s="131"/>
      <c r="BL422" s="131"/>
      <c r="BW422" s="131">
        <v>21</v>
      </c>
      <c r="BX422" s="133" t="s">
        <v>828</v>
      </c>
    </row>
    <row r="423" spans="1:76" x14ac:dyDescent="0.25">
      <c r="A423" s="134" t="s">
        <v>1112</v>
      </c>
      <c r="B423" s="135" t="s">
        <v>750</v>
      </c>
      <c r="C423" s="270" t="s">
        <v>751</v>
      </c>
      <c r="D423" s="271"/>
      <c r="E423" s="135" t="s">
        <v>164</v>
      </c>
      <c r="F423" s="131">
        <v>4</v>
      </c>
      <c r="G423" s="179">
        <v>0</v>
      </c>
      <c r="H423" s="131">
        <f t="shared" si="346"/>
        <v>0</v>
      </c>
      <c r="I423" s="131">
        <f t="shared" si="347"/>
        <v>0</v>
      </c>
      <c r="J423" s="131">
        <f t="shared" si="348"/>
        <v>0</v>
      </c>
      <c r="K423" s="136" t="s">
        <v>60</v>
      </c>
      <c r="Z423" s="131">
        <f t="shared" si="349"/>
        <v>0</v>
      </c>
      <c r="AB423" s="131">
        <f t="shared" si="350"/>
        <v>0</v>
      </c>
      <c r="AC423" s="131">
        <f t="shared" si="351"/>
        <v>0</v>
      </c>
      <c r="AD423" s="131">
        <f t="shared" si="352"/>
        <v>0</v>
      </c>
      <c r="AE423" s="131">
        <f t="shared" si="353"/>
        <v>0</v>
      </c>
      <c r="AF423" s="131">
        <f t="shared" si="354"/>
        <v>0</v>
      </c>
      <c r="AG423" s="131">
        <f t="shared" si="355"/>
        <v>0</v>
      </c>
      <c r="AH423" s="131">
        <f t="shared" si="356"/>
        <v>0</v>
      </c>
      <c r="AI423" s="115" t="s">
        <v>1056</v>
      </c>
      <c r="AJ423" s="131">
        <f t="shared" si="357"/>
        <v>0</v>
      </c>
      <c r="AK423" s="131">
        <f t="shared" si="358"/>
        <v>0</v>
      </c>
      <c r="AL423" s="131">
        <f t="shared" si="359"/>
        <v>0</v>
      </c>
      <c r="AN423" s="131">
        <v>21</v>
      </c>
      <c r="AO423" s="131">
        <f t="shared" si="360"/>
        <v>0</v>
      </c>
      <c r="AP423" s="131">
        <f t="shared" si="361"/>
        <v>0</v>
      </c>
      <c r="AQ423" s="132" t="s">
        <v>343</v>
      </c>
      <c r="AV423" s="131">
        <f t="shared" si="362"/>
        <v>0</v>
      </c>
      <c r="AW423" s="131">
        <f t="shared" si="363"/>
        <v>0</v>
      </c>
      <c r="AX423" s="131">
        <f t="shared" si="364"/>
        <v>0</v>
      </c>
      <c r="AY423" s="132" t="s">
        <v>344</v>
      </c>
      <c r="AZ423" s="132" t="s">
        <v>1103</v>
      </c>
      <c r="BA423" s="115" t="s">
        <v>1059</v>
      </c>
      <c r="BC423" s="131">
        <f t="shared" si="365"/>
        <v>0</v>
      </c>
      <c r="BD423" s="131">
        <f t="shared" si="366"/>
        <v>0</v>
      </c>
      <c r="BE423" s="131">
        <v>0</v>
      </c>
      <c r="BF423" s="131">
        <f>423</f>
        <v>423</v>
      </c>
      <c r="BH423" s="131">
        <f t="shared" si="367"/>
        <v>0</v>
      </c>
      <c r="BI423" s="131">
        <f t="shared" si="368"/>
        <v>0</v>
      </c>
      <c r="BJ423" s="131">
        <f t="shared" si="369"/>
        <v>0</v>
      </c>
      <c r="BK423" s="131"/>
      <c r="BL423" s="131"/>
      <c r="BW423" s="131">
        <v>21</v>
      </c>
      <c r="BX423" s="133" t="s">
        <v>751</v>
      </c>
    </row>
    <row r="424" spans="1:76" x14ac:dyDescent="0.25">
      <c r="A424" s="134" t="s">
        <v>1113</v>
      </c>
      <c r="B424" s="135" t="s">
        <v>752</v>
      </c>
      <c r="C424" s="270" t="s">
        <v>753</v>
      </c>
      <c r="D424" s="271"/>
      <c r="E424" s="135" t="s">
        <v>164</v>
      </c>
      <c r="F424" s="131">
        <v>2</v>
      </c>
      <c r="G424" s="179">
        <v>0</v>
      </c>
      <c r="H424" s="131">
        <f t="shared" si="346"/>
        <v>0</v>
      </c>
      <c r="I424" s="131">
        <f t="shared" si="347"/>
        <v>0</v>
      </c>
      <c r="J424" s="131">
        <f t="shared" si="348"/>
        <v>0</v>
      </c>
      <c r="K424" s="136" t="s">
        <v>60</v>
      </c>
      <c r="Z424" s="131">
        <f t="shared" si="349"/>
        <v>0</v>
      </c>
      <c r="AB424" s="131">
        <f t="shared" si="350"/>
        <v>0</v>
      </c>
      <c r="AC424" s="131">
        <f t="shared" si="351"/>
        <v>0</v>
      </c>
      <c r="AD424" s="131">
        <f t="shared" si="352"/>
        <v>0</v>
      </c>
      <c r="AE424" s="131">
        <f t="shared" si="353"/>
        <v>0</v>
      </c>
      <c r="AF424" s="131">
        <f t="shared" si="354"/>
        <v>0</v>
      </c>
      <c r="AG424" s="131">
        <f t="shared" si="355"/>
        <v>0</v>
      </c>
      <c r="AH424" s="131">
        <f t="shared" si="356"/>
        <v>0</v>
      </c>
      <c r="AI424" s="115" t="s">
        <v>1056</v>
      </c>
      <c r="AJ424" s="131">
        <f t="shared" si="357"/>
        <v>0</v>
      </c>
      <c r="AK424" s="131">
        <f t="shared" si="358"/>
        <v>0</v>
      </c>
      <c r="AL424" s="131">
        <f t="shared" si="359"/>
        <v>0</v>
      </c>
      <c r="AN424" s="131">
        <v>21</v>
      </c>
      <c r="AO424" s="131">
        <f t="shared" si="360"/>
        <v>0</v>
      </c>
      <c r="AP424" s="131">
        <f t="shared" si="361"/>
        <v>0</v>
      </c>
      <c r="AQ424" s="132" t="s">
        <v>343</v>
      </c>
      <c r="AV424" s="131">
        <f t="shared" si="362"/>
        <v>0</v>
      </c>
      <c r="AW424" s="131">
        <f t="shared" si="363"/>
        <v>0</v>
      </c>
      <c r="AX424" s="131">
        <f t="shared" si="364"/>
        <v>0</v>
      </c>
      <c r="AY424" s="132" t="s">
        <v>344</v>
      </c>
      <c r="AZ424" s="132" t="s">
        <v>1103</v>
      </c>
      <c r="BA424" s="115" t="s">
        <v>1059</v>
      </c>
      <c r="BC424" s="131">
        <f t="shared" si="365"/>
        <v>0</v>
      </c>
      <c r="BD424" s="131">
        <f t="shared" si="366"/>
        <v>0</v>
      </c>
      <c r="BE424" s="131">
        <v>0</v>
      </c>
      <c r="BF424" s="131">
        <f>424</f>
        <v>424</v>
      </c>
      <c r="BH424" s="131">
        <f t="shared" si="367"/>
        <v>0</v>
      </c>
      <c r="BI424" s="131">
        <f t="shared" si="368"/>
        <v>0</v>
      </c>
      <c r="BJ424" s="131">
        <f t="shared" si="369"/>
        <v>0</v>
      </c>
      <c r="BK424" s="131"/>
      <c r="BL424" s="131"/>
      <c r="BW424" s="131">
        <v>21</v>
      </c>
      <c r="BX424" s="133" t="s">
        <v>753</v>
      </c>
    </row>
    <row r="425" spans="1:76" x14ac:dyDescent="0.25">
      <c r="A425" s="134" t="s">
        <v>1114</v>
      </c>
      <c r="B425" s="135" t="s">
        <v>829</v>
      </c>
      <c r="C425" s="270" t="s">
        <v>830</v>
      </c>
      <c r="D425" s="271"/>
      <c r="E425" s="135" t="s">
        <v>831</v>
      </c>
      <c r="F425" s="131">
        <v>78.17</v>
      </c>
      <c r="G425" s="179">
        <v>0</v>
      </c>
      <c r="H425" s="131">
        <f t="shared" si="346"/>
        <v>0</v>
      </c>
      <c r="I425" s="131">
        <f t="shared" si="347"/>
        <v>0</v>
      </c>
      <c r="J425" s="131">
        <f t="shared" si="348"/>
        <v>0</v>
      </c>
      <c r="K425" s="136" t="s">
        <v>60</v>
      </c>
      <c r="Z425" s="131">
        <f t="shared" si="349"/>
        <v>0</v>
      </c>
      <c r="AB425" s="131">
        <f t="shared" si="350"/>
        <v>0</v>
      </c>
      <c r="AC425" s="131">
        <f t="shared" si="351"/>
        <v>0</v>
      </c>
      <c r="AD425" s="131">
        <f t="shared" si="352"/>
        <v>0</v>
      </c>
      <c r="AE425" s="131">
        <f t="shared" si="353"/>
        <v>0</v>
      </c>
      <c r="AF425" s="131">
        <f t="shared" si="354"/>
        <v>0</v>
      </c>
      <c r="AG425" s="131">
        <f t="shared" si="355"/>
        <v>0</v>
      </c>
      <c r="AH425" s="131">
        <f t="shared" si="356"/>
        <v>0</v>
      </c>
      <c r="AI425" s="115" t="s">
        <v>1056</v>
      </c>
      <c r="AJ425" s="131">
        <f t="shared" si="357"/>
        <v>0</v>
      </c>
      <c r="AK425" s="131">
        <f t="shared" si="358"/>
        <v>0</v>
      </c>
      <c r="AL425" s="131">
        <f t="shared" si="359"/>
        <v>0</v>
      </c>
      <c r="AN425" s="131">
        <v>21</v>
      </c>
      <c r="AO425" s="131">
        <f t="shared" si="360"/>
        <v>0</v>
      </c>
      <c r="AP425" s="131">
        <f t="shared" si="361"/>
        <v>0</v>
      </c>
      <c r="AQ425" s="132" t="s">
        <v>343</v>
      </c>
      <c r="AV425" s="131">
        <f t="shared" si="362"/>
        <v>0</v>
      </c>
      <c r="AW425" s="131">
        <f t="shared" si="363"/>
        <v>0</v>
      </c>
      <c r="AX425" s="131">
        <f t="shared" si="364"/>
        <v>0</v>
      </c>
      <c r="AY425" s="132" t="s">
        <v>344</v>
      </c>
      <c r="AZ425" s="132" t="s">
        <v>1103</v>
      </c>
      <c r="BA425" s="115" t="s">
        <v>1059</v>
      </c>
      <c r="BC425" s="131">
        <f t="shared" si="365"/>
        <v>0</v>
      </c>
      <c r="BD425" s="131">
        <f t="shared" si="366"/>
        <v>0</v>
      </c>
      <c r="BE425" s="131">
        <v>0</v>
      </c>
      <c r="BF425" s="131">
        <f>425</f>
        <v>425</v>
      </c>
      <c r="BH425" s="131">
        <f t="shared" si="367"/>
        <v>0</v>
      </c>
      <c r="BI425" s="131">
        <f t="shared" si="368"/>
        <v>0</v>
      </c>
      <c r="BJ425" s="131">
        <f t="shared" si="369"/>
        <v>0</v>
      </c>
      <c r="BK425" s="131"/>
      <c r="BL425" s="131"/>
      <c r="BW425" s="131">
        <v>21</v>
      </c>
      <c r="BX425" s="133" t="s">
        <v>830</v>
      </c>
    </row>
    <row r="426" spans="1:76" x14ac:dyDescent="0.25">
      <c r="A426" s="123" t="s">
        <v>53</v>
      </c>
      <c r="B426" s="124" t="s">
        <v>409</v>
      </c>
      <c r="C426" s="272" t="s">
        <v>410</v>
      </c>
      <c r="D426" s="273"/>
      <c r="E426" s="125" t="s">
        <v>9</v>
      </c>
      <c r="F426" s="125" t="s">
        <v>9</v>
      </c>
      <c r="G426" s="125" t="s">
        <v>9</v>
      </c>
      <c r="H426" s="110">
        <f>H427+H429+H431</f>
        <v>0</v>
      </c>
      <c r="I426" s="110">
        <f>I427+I429+I431</f>
        <v>0</v>
      </c>
      <c r="J426" s="110">
        <f>J427+J429+J431</f>
        <v>0</v>
      </c>
      <c r="K426" s="126" t="s">
        <v>53</v>
      </c>
      <c r="AI426" s="115" t="s">
        <v>1056</v>
      </c>
    </row>
    <row r="427" spans="1:76" x14ac:dyDescent="0.25">
      <c r="A427" s="123" t="s">
        <v>53</v>
      </c>
      <c r="B427" s="124" t="s">
        <v>411</v>
      </c>
      <c r="C427" s="272" t="s">
        <v>412</v>
      </c>
      <c r="D427" s="273"/>
      <c r="E427" s="125" t="s">
        <v>9</v>
      </c>
      <c r="F427" s="125" t="s">
        <v>9</v>
      </c>
      <c r="G427" s="125" t="s">
        <v>9</v>
      </c>
      <c r="H427" s="110">
        <f>SUM(H428:H428)</f>
        <v>0</v>
      </c>
      <c r="I427" s="110">
        <f>SUM(I428:I428)</f>
        <v>0</v>
      </c>
      <c r="J427" s="110">
        <f>SUM(J428:J428)</f>
        <v>0</v>
      </c>
      <c r="K427" s="126" t="s">
        <v>53</v>
      </c>
      <c r="AI427" s="115" t="s">
        <v>1056</v>
      </c>
      <c r="AS427" s="110">
        <f>SUM(AJ428:AJ428)</f>
        <v>0</v>
      </c>
      <c r="AT427" s="110">
        <f>SUM(AK428:AK428)</f>
        <v>0</v>
      </c>
      <c r="AU427" s="110">
        <f>SUM(AL428:AL428)</f>
        <v>0</v>
      </c>
    </row>
    <row r="428" spans="1:76" x14ac:dyDescent="0.25">
      <c r="A428" s="134" t="s">
        <v>1115</v>
      </c>
      <c r="B428" s="135" t="s">
        <v>414</v>
      </c>
      <c r="C428" s="270" t="s">
        <v>415</v>
      </c>
      <c r="D428" s="271"/>
      <c r="E428" s="135" t="s">
        <v>416</v>
      </c>
      <c r="F428" s="131">
        <v>1</v>
      </c>
      <c r="G428" s="179">
        <v>0</v>
      </c>
      <c r="H428" s="131">
        <f>F428*AO428</f>
        <v>0</v>
      </c>
      <c r="I428" s="131">
        <f>F428*AP428</f>
        <v>0</v>
      </c>
      <c r="J428" s="131">
        <f>F428*G428</f>
        <v>0</v>
      </c>
      <c r="K428" s="136" t="s">
        <v>53</v>
      </c>
      <c r="Z428" s="131">
        <f>IF(AQ428="5",BJ428,0)</f>
        <v>0</v>
      </c>
      <c r="AB428" s="131">
        <f>IF(AQ428="1",BH428,0)</f>
        <v>0</v>
      </c>
      <c r="AC428" s="131">
        <f>IF(AQ428="1",BI428,0)</f>
        <v>0</v>
      </c>
      <c r="AD428" s="131">
        <f>IF(AQ428="7",BH428,0)</f>
        <v>0</v>
      </c>
      <c r="AE428" s="131">
        <f>IF(AQ428="7",BI428,0)</f>
        <v>0</v>
      </c>
      <c r="AF428" s="131">
        <f>IF(AQ428="2",BH428,0)</f>
        <v>0</v>
      </c>
      <c r="AG428" s="131">
        <f>IF(AQ428="2",BI428,0)</f>
        <v>0</v>
      </c>
      <c r="AH428" s="131">
        <f>IF(AQ428="0",BJ428,0)</f>
        <v>0</v>
      </c>
      <c r="AI428" s="115" t="s">
        <v>1056</v>
      </c>
      <c r="AJ428" s="131">
        <f>IF(AN428=0,J428,0)</f>
        <v>0</v>
      </c>
      <c r="AK428" s="131">
        <f>IF(AN428=12,J428,0)</f>
        <v>0</v>
      </c>
      <c r="AL428" s="131">
        <f>IF(AN428=21,J428,0)</f>
        <v>0</v>
      </c>
      <c r="AN428" s="131">
        <v>21</v>
      </c>
      <c r="AO428" s="131">
        <f>G428*0</f>
        <v>0</v>
      </c>
      <c r="AP428" s="131">
        <f>G428*(1-0)</f>
        <v>0</v>
      </c>
      <c r="AQ428" s="132" t="s">
        <v>405</v>
      </c>
      <c r="AV428" s="131">
        <f>AW428+AX428</f>
        <v>0</v>
      </c>
      <c r="AW428" s="131">
        <f>F428*AO428</f>
        <v>0</v>
      </c>
      <c r="AX428" s="131">
        <f>F428*AP428</f>
        <v>0</v>
      </c>
      <c r="AY428" s="132" t="s">
        <v>417</v>
      </c>
      <c r="AZ428" s="132" t="s">
        <v>1116</v>
      </c>
      <c r="BA428" s="115" t="s">
        <v>1059</v>
      </c>
      <c r="BC428" s="131">
        <f>AW428+AX428</f>
        <v>0</v>
      </c>
      <c r="BD428" s="131">
        <f>G428/(100-BE428)*100</f>
        <v>0</v>
      </c>
      <c r="BE428" s="131">
        <v>0</v>
      </c>
      <c r="BF428" s="131">
        <f>428</f>
        <v>428</v>
      </c>
      <c r="BH428" s="131">
        <f>F428*AO428</f>
        <v>0</v>
      </c>
      <c r="BI428" s="131">
        <f>F428*AP428</f>
        <v>0</v>
      </c>
      <c r="BJ428" s="131">
        <f>F428*G428</f>
        <v>0</v>
      </c>
      <c r="BK428" s="131"/>
      <c r="BL428" s="131"/>
      <c r="BM428" s="131">
        <f>F428*G428</f>
        <v>0</v>
      </c>
      <c r="BW428" s="131">
        <v>21</v>
      </c>
      <c r="BX428" s="133" t="s">
        <v>415</v>
      </c>
    </row>
    <row r="429" spans="1:76" x14ac:dyDescent="0.25">
      <c r="A429" s="123" t="s">
        <v>53</v>
      </c>
      <c r="B429" s="124" t="s">
        <v>419</v>
      </c>
      <c r="C429" s="272" t="s">
        <v>420</v>
      </c>
      <c r="D429" s="273"/>
      <c r="E429" s="125" t="s">
        <v>9</v>
      </c>
      <c r="F429" s="125" t="s">
        <v>9</v>
      </c>
      <c r="G429" s="125" t="s">
        <v>9</v>
      </c>
      <c r="H429" s="110">
        <f>SUM(H430:H430)</f>
        <v>0</v>
      </c>
      <c r="I429" s="110">
        <f>SUM(I430:I430)</f>
        <v>0</v>
      </c>
      <c r="J429" s="110">
        <f>SUM(J430:J430)</f>
        <v>0</v>
      </c>
      <c r="K429" s="126" t="s">
        <v>53</v>
      </c>
      <c r="AI429" s="115" t="s">
        <v>1056</v>
      </c>
      <c r="AS429" s="110">
        <f>SUM(AJ430:AJ430)</f>
        <v>0</v>
      </c>
      <c r="AT429" s="110">
        <f>SUM(AK430:AK430)</f>
        <v>0</v>
      </c>
      <c r="AU429" s="110">
        <f>SUM(AL430:AL430)</f>
        <v>0</v>
      </c>
    </row>
    <row r="430" spans="1:76" x14ac:dyDescent="0.25">
      <c r="A430" s="134" t="s">
        <v>1117</v>
      </c>
      <c r="B430" s="135" t="s">
        <v>422</v>
      </c>
      <c r="C430" s="270" t="s">
        <v>420</v>
      </c>
      <c r="D430" s="271"/>
      <c r="E430" s="135" t="s">
        <v>416</v>
      </c>
      <c r="F430" s="131">
        <v>1</v>
      </c>
      <c r="G430" s="179">
        <v>0</v>
      </c>
      <c r="H430" s="131">
        <f>F430*AO430</f>
        <v>0</v>
      </c>
      <c r="I430" s="131">
        <f>F430*AP430</f>
        <v>0</v>
      </c>
      <c r="J430" s="131">
        <f>F430*G430</f>
        <v>0</v>
      </c>
      <c r="K430" s="136" t="s">
        <v>53</v>
      </c>
      <c r="Z430" s="131">
        <f>IF(AQ430="5",BJ430,0)</f>
        <v>0</v>
      </c>
      <c r="AB430" s="131">
        <f>IF(AQ430="1",BH430,0)</f>
        <v>0</v>
      </c>
      <c r="AC430" s="131">
        <f>IF(AQ430="1",BI430,0)</f>
        <v>0</v>
      </c>
      <c r="AD430" s="131">
        <f>IF(AQ430="7",BH430,0)</f>
        <v>0</v>
      </c>
      <c r="AE430" s="131">
        <f>IF(AQ430="7",BI430,0)</f>
        <v>0</v>
      </c>
      <c r="AF430" s="131">
        <f>IF(AQ430="2",BH430,0)</f>
        <v>0</v>
      </c>
      <c r="AG430" s="131">
        <f>IF(AQ430="2",BI430,0)</f>
        <v>0</v>
      </c>
      <c r="AH430" s="131">
        <f>IF(AQ430="0",BJ430,0)</f>
        <v>0</v>
      </c>
      <c r="AI430" s="115" t="s">
        <v>1056</v>
      </c>
      <c r="AJ430" s="131">
        <f>IF(AN430=0,J430,0)</f>
        <v>0</v>
      </c>
      <c r="AK430" s="131">
        <f>IF(AN430=12,J430,0)</f>
        <v>0</v>
      </c>
      <c r="AL430" s="131">
        <f>IF(AN430=21,J430,0)</f>
        <v>0</v>
      </c>
      <c r="AN430" s="131">
        <v>21</v>
      </c>
      <c r="AO430" s="131">
        <f>G430*0</f>
        <v>0</v>
      </c>
      <c r="AP430" s="131">
        <f>G430*(1-0)</f>
        <v>0</v>
      </c>
      <c r="AQ430" s="132" t="s">
        <v>405</v>
      </c>
      <c r="AV430" s="131">
        <f>AW430+AX430</f>
        <v>0</v>
      </c>
      <c r="AW430" s="131">
        <f>F430*AO430</f>
        <v>0</v>
      </c>
      <c r="AX430" s="131">
        <f>F430*AP430</f>
        <v>0</v>
      </c>
      <c r="AY430" s="132" t="s">
        <v>423</v>
      </c>
      <c r="AZ430" s="132" t="s">
        <v>1116</v>
      </c>
      <c r="BA430" s="115" t="s">
        <v>1059</v>
      </c>
      <c r="BC430" s="131">
        <f>AW430+AX430</f>
        <v>0</v>
      </c>
      <c r="BD430" s="131">
        <f>G430/(100-BE430)*100</f>
        <v>0</v>
      </c>
      <c r="BE430" s="131">
        <v>0</v>
      </c>
      <c r="BF430" s="131">
        <f>430</f>
        <v>430</v>
      </c>
      <c r="BH430" s="131">
        <f>F430*AO430</f>
        <v>0</v>
      </c>
      <c r="BI430" s="131">
        <f>F430*AP430</f>
        <v>0</v>
      </c>
      <c r="BJ430" s="131">
        <f>F430*G430</f>
        <v>0</v>
      </c>
      <c r="BK430" s="131"/>
      <c r="BL430" s="131"/>
      <c r="BO430" s="131">
        <f>F430*G430</f>
        <v>0</v>
      </c>
      <c r="BW430" s="131">
        <v>21</v>
      </c>
      <c r="BX430" s="133" t="s">
        <v>420</v>
      </c>
    </row>
    <row r="431" spans="1:76" x14ac:dyDescent="0.25">
      <c r="A431" s="123" t="s">
        <v>53</v>
      </c>
      <c r="B431" s="124" t="s">
        <v>424</v>
      </c>
      <c r="C431" s="272" t="s">
        <v>425</v>
      </c>
      <c r="D431" s="273"/>
      <c r="E431" s="125" t="s">
        <v>9</v>
      </c>
      <c r="F431" s="125" t="s">
        <v>9</v>
      </c>
      <c r="G431" s="125" t="s">
        <v>9</v>
      </c>
      <c r="H431" s="110">
        <f>SUM(H432:H432)</f>
        <v>0</v>
      </c>
      <c r="I431" s="110">
        <f>SUM(I432:I432)</f>
        <v>0</v>
      </c>
      <c r="J431" s="110">
        <f>SUM(J432:J432)</f>
        <v>0</v>
      </c>
      <c r="K431" s="126" t="s">
        <v>53</v>
      </c>
      <c r="AI431" s="115" t="s">
        <v>1056</v>
      </c>
      <c r="AS431" s="110">
        <f>SUM(AJ432:AJ432)</f>
        <v>0</v>
      </c>
      <c r="AT431" s="110">
        <f>SUM(AK432:AK432)</f>
        <v>0</v>
      </c>
      <c r="AU431" s="110">
        <f>SUM(AL432:AL432)</f>
        <v>0</v>
      </c>
    </row>
    <row r="432" spans="1:76" x14ac:dyDescent="0.25">
      <c r="A432" s="137" t="s">
        <v>1118</v>
      </c>
      <c r="B432" s="138" t="s">
        <v>427</v>
      </c>
      <c r="C432" s="274" t="s">
        <v>428</v>
      </c>
      <c r="D432" s="275"/>
      <c r="E432" s="138" t="s">
        <v>416</v>
      </c>
      <c r="F432" s="139">
        <v>1</v>
      </c>
      <c r="G432" s="180">
        <v>0</v>
      </c>
      <c r="H432" s="139">
        <f>F432*AO432</f>
        <v>0</v>
      </c>
      <c r="I432" s="139">
        <f>F432*AP432</f>
        <v>0</v>
      </c>
      <c r="J432" s="139">
        <f>F432*G432</f>
        <v>0</v>
      </c>
      <c r="K432" s="140" t="s">
        <v>53</v>
      </c>
      <c r="Z432" s="131">
        <f>IF(AQ432="5",BJ432,0)</f>
        <v>0</v>
      </c>
      <c r="AB432" s="131">
        <f>IF(AQ432="1",BH432,0)</f>
        <v>0</v>
      </c>
      <c r="AC432" s="131">
        <f>IF(AQ432="1",BI432,0)</f>
        <v>0</v>
      </c>
      <c r="AD432" s="131">
        <f>IF(AQ432="7",BH432,0)</f>
        <v>0</v>
      </c>
      <c r="AE432" s="131">
        <f>IF(AQ432="7",BI432,0)</f>
        <v>0</v>
      </c>
      <c r="AF432" s="131">
        <f>IF(AQ432="2",BH432,0)</f>
        <v>0</v>
      </c>
      <c r="AG432" s="131">
        <f>IF(AQ432="2",BI432,0)</f>
        <v>0</v>
      </c>
      <c r="AH432" s="131">
        <f>IF(AQ432="0",BJ432,0)</f>
        <v>0</v>
      </c>
      <c r="AI432" s="115" t="s">
        <v>1056</v>
      </c>
      <c r="AJ432" s="131">
        <f>IF(AN432=0,J432,0)</f>
        <v>0</v>
      </c>
      <c r="AK432" s="131">
        <f>IF(AN432=12,J432,0)</f>
        <v>0</v>
      </c>
      <c r="AL432" s="131">
        <f>IF(AN432=21,J432,0)</f>
        <v>0</v>
      </c>
      <c r="AN432" s="131">
        <v>21</v>
      </c>
      <c r="AO432" s="131">
        <f>G432*0</f>
        <v>0</v>
      </c>
      <c r="AP432" s="131">
        <f>G432*(1-0)</f>
        <v>0</v>
      </c>
      <c r="AQ432" s="132" t="s">
        <v>405</v>
      </c>
      <c r="AV432" s="131">
        <f>AW432+AX432</f>
        <v>0</v>
      </c>
      <c r="AW432" s="131">
        <f>F432*AO432</f>
        <v>0</v>
      </c>
      <c r="AX432" s="131">
        <f>F432*AP432</f>
        <v>0</v>
      </c>
      <c r="AY432" s="132" t="s">
        <v>429</v>
      </c>
      <c r="AZ432" s="132" t="s">
        <v>1116</v>
      </c>
      <c r="BA432" s="115" t="s">
        <v>1059</v>
      </c>
      <c r="BC432" s="131">
        <f>AW432+AX432</f>
        <v>0</v>
      </c>
      <c r="BD432" s="131">
        <f>G432/(100-BE432)*100</f>
        <v>0</v>
      </c>
      <c r="BE432" s="131">
        <v>0</v>
      </c>
      <c r="BF432" s="131">
        <f>432</f>
        <v>432</v>
      </c>
      <c r="BH432" s="131">
        <f>F432*AO432</f>
        <v>0</v>
      </c>
      <c r="BI432" s="131">
        <f>F432*AP432</f>
        <v>0</v>
      </c>
      <c r="BJ432" s="131">
        <f>F432*G432</f>
        <v>0</v>
      </c>
      <c r="BK432" s="131"/>
      <c r="BL432" s="131"/>
      <c r="BR432" s="131">
        <f>F432*G432</f>
        <v>0</v>
      </c>
      <c r="BW432" s="131">
        <v>21</v>
      </c>
      <c r="BX432" s="133" t="s">
        <v>428</v>
      </c>
    </row>
    <row r="433" spans="1:11" x14ac:dyDescent="0.25">
      <c r="H433" s="276" t="s">
        <v>430</v>
      </c>
      <c r="I433" s="276"/>
      <c r="J433" s="141">
        <f>ROUND(J13+J15+J17+J20+J22+J29+J31+J33+J35+J43+J45+J47+J50+J52+J54+J57+J59+J66+J68+J70+J72+J79+J81+J83+J86+J88+J90+J93+J95+J102+J104+J106+J108+J115+J117+J119+J122+J124+J126+J129+J132+J136+J140+J143+J145+J148+J156+J158+J170+J172+J174+J177+J180+J184+J187+J196+J200+J202+J204+J207+J213+J215+J225+J227+J229+J232+J235+J237+J240+J243+J248+J252+J254+J257+J264+J266+J278+J280+J282+J285+J291+J293+J296+J299+J306+J310+J312+J317+J319+J322+J330+J332+J334+J351+J353+J355+J358+J364+J367+J370+J373+J380+J384+J387+J389+J394+J396+J399+J408+J410+J412+J427+J429+J431,0)</f>
        <v>0</v>
      </c>
    </row>
    <row r="434" spans="1:11" x14ac:dyDescent="0.25">
      <c r="A434" s="142" t="s">
        <v>431</v>
      </c>
    </row>
    <row r="435" spans="1:11" ht="12.75" customHeight="1" x14ac:dyDescent="0.25">
      <c r="A435" s="270" t="s">
        <v>53</v>
      </c>
      <c r="B435" s="271"/>
      <c r="C435" s="271"/>
      <c r="D435" s="271"/>
      <c r="E435" s="271"/>
      <c r="F435" s="271"/>
      <c r="G435" s="271"/>
      <c r="H435" s="271"/>
      <c r="I435" s="271"/>
      <c r="J435" s="271"/>
      <c r="K435" s="271"/>
    </row>
  </sheetData>
  <mergeCells count="451">
    <mergeCell ref="A1:K1"/>
    <mergeCell ref="A2:B3"/>
    <mergeCell ref="C2:D3"/>
    <mergeCell ref="E2:F3"/>
    <mergeCell ref="G2:G3"/>
    <mergeCell ref="H2:H3"/>
    <mergeCell ref="I2:K3"/>
    <mergeCell ref="A6:B7"/>
    <mergeCell ref="C6:D7"/>
    <mergeCell ref="E6:F7"/>
    <mergeCell ref="G6:G7"/>
    <mergeCell ref="H6:H7"/>
    <mergeCell ref="I6:K7"/>
    <mergeCell ref="A4:B5"/>
    <mergeCell ref="C4:D5"/>
    <mergeCell ref="E4:F5"/>
    <mergeCell ref="G4:G5"/>
    <mergeCell ref="H4:H5"/>
    <mergeCell ref="I4:K5"/>
    <mergeCell ref="C10:D10"/>
    <mergeCell ref="H10:J10"/>
    <mergeCell ref="C11:D11"/>
    <mergeCell ref="C12:D12"/>
    <mergeCell ref="C13:D13"/>
    <mergeCell ref="C14:D14"/>
    <mergeCell ref="A8:B9"/>
    <mergeCell ref="C8:D9"/>
    <mergeCell ref="E8:F9"/>
    <mergeCell ref="G8:G9"/>
    <mergeCell ref="H8:H9"/>
    <mergeCell ref="I8:K9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29:D129"/>
    <mergeCell ref="C130:D130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41:D141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38:D138"/>
    <mergeCell ref="C139:D139"/>
    <mergeCell ref="C140:D140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89:D189"/>
    <mergeCell ref="C190:D190"/>
    <mergeCell ref="C191:D191"/>
    <mergeCell ref="C192:D192"/>
    <mergeCell ref="C193:D193"/>
    <mergeCell ref="C194:D194"/>
    <mergeCell ref="C183:D183"/>
    <mergeCell ref="C184:D184"/>
    <mergeCell ref="C185:D185"/>
    <mergeCell ref="C186:D186"/>
    <mergeCell ref="C187:D187"/>
    <mergeCell ref="C188:D188"/>
    <mergeCell ref="C201:D201"/>
    <mergeCell ref="C202:D202"/>
    <mergeCell ref="C203:D203"/>
    <mergeCell ref="C204:D204"/>
    <mergeCell ref="C205:D205"/>
    <mergeCell ref="C206:D206"/>
    <mergeCell ref="C195:D195"/>
    <mergeCell ref="C196:D196"/>
    <mergeCell ref="C197:D197"/>
    <mergeCell ref="C198:D198"/>
    <mergeCell ref="C199:D199"/>
    <mergeCell ref="C200:D200"/>
    <mergeCell ref="C213:D213"/>
    <mergeCell ref="C214:D214"/>
    <mergeCell ref="C215:D215"/>
    <mergeCell ref="C216:D216"/>
    <mergeCell ref="C217:D217"/>
    <mergeCell ref="C218:D218"/>
    <mergeCell ref="C207:D207"/>
    <mergeCell ref="C208:D208"/>
    <mergeCell ref="C209:D209"/>
    <mergeCell ref="C210:D210"/>
    <mergeCell ref="C211:D211"/>
    <mergeCell ref="C212:D212"/>
    <mergeCell ref="C225:D225"/>
    <mergeCell ref="C226:D226"/>
    <mergeCell ref="C227:D227"/>
    <mergeCell ref="C228:D228"/>
    <mergeCell ref="C229:D229"/>
    <mergeCell ref="C230:D230"/>
    <mergeCell ref="C219:D219"/>
    <mergeCell ref="C220:D220"/>
    <mergeCell ref="C221:D221"/>
    <mergeCell ref="C222:D222"/>
    <mergeCell ref="C223:D223"/>
    <mergeCell ref="C224:D224"/>
    <mergeCell ref="C237:D237"/>
    <mergeCell ref="C238:D238"/>
    <mergeCell ref="C239:D239"/>
    <mergeCell ref="C240:D240"/>
    <mergeCell ref="C241:D241"/>
    <mergeCell ref="C242:D242"/>
    <mergeCell ref="C231:D231"/>
    <mergeCell ref="C232:D232"/>
    <mergeCell ref="C233:D233"/>
    <mergeCell ref="C234:D234"/>
    <mergeCell ref="C235:D235"/>
    <mergeCell ref="C236:D236"/>
    <mergeCell ref="C249:D249"/>
    <mergeCell ref="C250:D250"/>
    <mergeCell ref="C251:D251"/>
    <mergeCell ref="C252:D252"/>
    <mergeCell ref="C253:D253"/>
    <mergeCell ref="C254:D254"/>
    <mergeCell ref="C243:D243"/>
    <mergeCell ref="C244:D244"/>
    <mergeCell ref="C245:D245"/>
    <mergeCell ref="C246:D246"/>
    <mergeCell ref="C247:D247"/>
    <mergeCell ref="C248:D248"/>
    <mergeCell ref="C261:D261"/>
    <mergeCell ref="C262:D262"/>
    <mergeCell ref="C263:D263"/>
    <mergeCell ref="C264:D264"/>
    <mergeCell ref="C265:D265"/>
    <mergeCell ref="C266:D266"/>
    <mergeCell ref="C255:D255"/>
    <mergeCell ref="C256:D256"/>
    <mergeCell ref="C257:D257"/>
    <mergeCell ref="C258:D258"/>
    <mergeCell ref="C259:D259"/>
    <mergeCell ref="C260:D260"/>
    <mergeCell ref="C273:D273"/>
    <mergeCell ref="C274:D274"/>
    <mergeCell ref="C275:D275"/>
    <mergeCell ref="C276:D276"/>
    <mergeCell ref="C277:D277"/>
    <mergeCell ref="C278:D278"/>
    <mergeCell ref="C267:D267"/>
    <mergeCell ref="C268:D268"/>
    <mergeCell ref="C269:D269"/>
    <mergeCell ref="C270:D270"/>
    <mergeCell ref="C271:D271"/>
    <mergeCell ref="C272:D272"/>
    <mergeCell ref="C285:D285"/>
    <mergeCell ref="C286:D286"/>
    <mergeCell ref="C287:D287"/>
    <mergeCell ref="C288:D288"/>
    <mergeCell ref="C289:D289"/>
    <mergeCell ref="C290:D290"/>
    <mergeCell ref="C279:D279"/>
    <mergeCell ref="C280:D280"/>
    <mergeCell ref="C281:D281"/>
    <mergeCell ref="C282:D282"/>
    <mergeCell ref="C283:D283"/>
    <mergeCell ref="C284:D284"/>
    <mergeCell ref="C297:D297"/>
    <mergeCell ref="C298:D298"/>
    <mergeCell ref="C299:D299"/>
    <mergeCell ref="C300:D300"/>
    <mergeCell ref="C301:D301"/>
    <mergeCell ref="C302:D302"/>
    <mergeCell ref="C291:D291"/>
    <mergeCell ref="C292:D292"/>
    <mergeCell ref="C293:D293"/>
    <mergeCell ref="C294:D294"/>
    <mergeCell ref="C295:D295"/>
    <mergeCell ref="C296:D296"/>
    <mergeCell ref="C309:D309"/>
    <mergeCell ref="C310:D310"/>
    <mergeCell ref="C311:D311"/>
    <mergeCell ref="C312:D312"/>
    <mergeCell ref="C313:D313"/>
    <mergeCell ref="C314:D314"/>
    <mergeCell ref="C303:D303"/>
    <mergeCell ref="C304:D304"/>
    <mergeCell ref="C305:D305"/>
    <mergeCell ref="C306:D306"/>
    <mergeCell ref="C307:D307"/>
    <mergeCell ref="C308:D308"/>
    <mergeCell ref="C321:D321"/>
    <mergeCell ref="C322:D322"/>
    <mergeCell ref="C323:D323"/>
    <mergeCell ref="C324:D324"/>
    <mergeCell ref="C325:D325"/>
    <mergeCell ref="C326:D326"/>
    <mergeCell ref="C315:D315"/>
    <mergeCell ref="C316:D316"/>
    <mergeCell ref="C317:D317"/>
    <mergeCell ref="C318:D318"/>
    <mergeCell ref="C319:D319"/>
    <mergeCell ref="C320:D320"/>
    <mergeCell ref="C333:D333"/>
    <mergeCell ref="C334:D334"/>
    <mergeCell ref="C335:D335"/>
    <mergeCell ref="C336:D336"/>
    <mergeCell ref="C337:D337"/>
    <mergeCell ref="C338:D338"/>
    <mergeCell ref="C327:D327"/>
    <mergeCell ref="C328:D328"/>
    <mergeCell ref="C329:D329"/>
    <mergeCell ref="C330:D330"/>
    <mergeCell ref="C331:D331"/>
    <mergeCell ref="C332:D332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57:D357"/>
    <mergeCell ref="C358:D358"/>
    <mergeCell ref="C359:D359"/>
    <mergeCell ref="C360:D360"/>
    <mergeCell ref="C361:D361"/>
    <mergeCell ref="C362:D362"/>
    <mergeCell ref="C351:D351"/>
    <mergeCell ref="C352:D352"/>
    <mergeCell ref="C353:D353"/>
    <mergeCell ref="C354:D354"/>
    <mergeCell ref="C355:D355"/>
    <mergeCell ref="C356:D356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C368:D368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93:D393"/>
    <mergeCell ref="C394:D394"/>
    <mergeCell ref="C395:D395"/>
    <mergeCell ref="C396:D396"/>
    <mergeCell ref="C397:D397"/>
    <mergeCell ref="C398:D398"/>
    <mergeCell ref="C387:D387"/>
    <mergeCell ref="C388:D388"/>
    <mergeCell ref="C389:D389"/>
    <mergeCell ref="C390:D390"/>
    <mergeCell ref="C391:D391"/>
    <mergeCell ref="C392:D392"/>
    <mergeCell ref="C405:D405"/>
    <mergeCell ref="C406:D406"/>
    <mergeCell ref="C407:D407"/>
    <mergeCell ref="C408:D408"/>
    <mergeCell ref="C409:D409"/>
    <mergeCell ref="C410:D410"/>
    <mergeCell ref="C399:D399"/>
    <mergeCell ref="C400:D400"/>
    <mergeCell ref="C401:D401"/>
    <mergeCell ref="C402:D402"/>
    <mergeCell ref="C403:D403"/>
    <mergeCell ref="C404:D404"/>
    <mergeCell ref="C417:D417"/>
    <mergeCell ref="C418:D418"/>
    <mergeCell ref="C419:D419"/>
    <mergeCell ref="C420:D420"/>
    <mergeCell ref="C421:D421"/>
    <mergeCell ref="C422:D422"/>
    <mergeCell ref="C411:D411"/>
    <mergeCell ref="C412:D412"/>
    <mergeCell ref="C413:D413"/>
    <mergeCell ref="C414:D414"/>
    <mergeCell ref="C415:D415"/>
    <mergeCell ref="C416:D416"/>
    <mergeCell ref="C429:D429"/>
    <mergeCell ref="C430:D430"/>
    <mergeCell ref="C431:D431"/>
    <mergeCell ref="C432:D432"/>
    <mergeCell ref="H433:I433"/>
    <mergeCell ref="A435:K435"/>
    <mergeCell ref="C423:D423"/>
    <mergeCell ref="C424:D424"/>
    <mergeCell ref="C425:D425"/>
    <mergeCell ref="C426:D426"/>
    <mergeCell ref="C427:D427"/>
    <mergeCell ref="C428:D428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C4" sqref="C4:D5"/>
    </sheetView>
  </sheetViews>
  <sheetFormatPr defaultColWidth="12.140625" defaultRowHeight="15" customHeight="1" x14ac:dyDescent="0.25"/>
  <cols>
    <col min="1" max="1" width="9.140625" style="109" customWidth="1"/>
    <col min="2" max="2" width="12.85546875" style="109" customWidth="1"/>
    <col min="3" max="3" width="27.140625" style="109" customWidth="1"/>
    <col min="4" max="4" width="10" style="109" customWidth="1"/>
    <col min="5" max="5" width="14" style="109" customWidth="1"/>
    <col min="6" max="6" width="27.140625" style="109" customWidth="1"/>
    <col min="7" max="7" width="9.140625" style="109" customWidth="1"/>
    <col min="8" max="8" width="12.85546875" style="109" customWidth="1"/>
    <col min="9" max="9" width="27.140625" style="109" customWidth="1"/>
    <col min="10" max="16384" width="12.140625" style="109"/>
  </cols>
  <sheetData>
    <row r="1" spans="1:9" ht="54.75" customHeight="1" x14ac:dyDescent="0.25">
      <c r="A1" s="327" t="s">
        <v>478</v>
      </c>
      <c r="B1" s="289"/>
      <c r="C1" s="289"/>
      <c r="D1" s="289"/>
      <c r="E1" s="289"/>
      <c r="F1" s="289"/>
      <c r="G1" s="289"/>
      <c r="H1" s="289"/>
      <c r="I1" s="289"/>
    </row>
    <row r="2" spans="1:9" x14ac:dyDescent="0.25">
      <c r="A2" s="290" t="s">
        <v>1</v>
      </c>
      <c r="B2" s="291"/>
      <c r="C2" s="292" t="str">
        <f>'SO-201'!C2</f>
        <v>NEDRAŽICE - CHODNÍKY A ÚPRAVY VNITŘNÍCH PROSTOR OBCE</v>
      </c>
      <c r="D2" s="293"/>
      <c r="E2" s="294" t="s">
        <v>5</v>
      </c>
      <c r="F2" s="294" t="str">
        <f>'SO-201'!I2</f>
        <v>Obec Kostelec, Kostelec 34, 349 01 Stříbro</v>
      </c>
      <c r="G2" s="291"/>
      <c r="H2" s="294" t="s">
        <v>479</v>
      </c>
      <c r="I2" s="295" t="s">
        <v>480</v>
      </c>
    </row>
    <row r="3" spans="1:9" ht="15" customHeight="1" x14ac:dyDescent="0.25">
      <c r="A3" s="287"/>
      <c r="B3" s="271"/>
      <c r="C3" s="276"/>
      <c r="D3" s="276"/>
      <c r="E3" s="271"/>
      <c r="F3" s="271"/>
      <c r="G3" s="271"/>
      <c r="H3" s="271"/>
      <c r="I3" s="288"/>
    </row>
    <row r="4" spans="1:9" x14ac:dyDescent="0.25">
      <c r="A4" s="286" t="s">
        <v>7</v>
      </c>
      <c r="B4" s="271"/>
      <c r="C4" s="270" t="str">
        <f>'SO-201'!C4</f>
        <v>SO-201 Úpravy dešťové kanalizace - Etapa-1</v>
      </c>
      <c r="D4" s="271"/>
      <c r="E4" s="270" t="s">
        <v>10</v>
      </c>
      <c r="F4" s="270" t="str">
        <f>'SO-201'!I4</f>
        <v>Václav Říha, Tuněchody 9, 349 01 Stříbro</v>
      </c>
      <c r="G4" s="271"/>
      <c r="H4" s="270" t="s">
        <v>479</v>
      </c>
      <c r="I4" s="288" t="s">
        <v>1222</v>
      </c>
    </row>
    <row r="5" spans="1:9" ht="15" customHeight="1" x14ac:dyDescent="0.25">
      <c r="A5" s="287"/>
      <c r="B5" s="271"/>
      <c r="C5" s="271"/>
      <c r="D5" s="271"/>
      <c r="E5" s="271"/>
      <c r="F5" s="271"/>
      <c r="G5" s="271"/>
      <c r="H5" s="271"/>
      <c r="I5" s="288"/>
    </row>
    <row r="6" spans="1:9" x14ac:dyDescent="0.25">
      <c r="A6" s="286" t="s">
        <v>12</v>
      </c>
      <c r="B6" s="271"/>
      <c r="C6" s="270" t="str">
        <f>'SO-201'!C6</f>
        <v>Nedražice</v>
      </c>
      <c r="D6" s="271"/>
      <c r="E6" s="270" t="s">
        <v>16</v>
      </c>
      <c r="F6" s="270" t="str">
        <f>'SO-201'!I6</f>
        <v> </v>
      </c>
      <c r="G6" s="271"/>
      <c r="H6" s="270" t="s">
        <v>479</v>
      </c>
      <c r="I6" s="288" t="s">
        <v>53</v>
      </c>
    </row>
    <row r="7" spans="1:9" ht="15" customHeight="1" x14ac:dyDescent="0.25">
      <c r="A7" s="287"/>
      <c r="B7" s="271"/>
      <c r="C7" s="271"/>
      <c r="D7" s="271"/>
      <c r="E7" s="271"/>
      <c r="F7" s="271"/>
      <c r="G7" s="271"/>
      <c r="H7" s="271"/>
      <c r="I7" s="288"/>
    </row>
    <row r="8" spans="1:9" x14ac:dyDescent="0.25">
      <c r="A8" s="286" t="s">
        <v>8</v>
      </c>
      <c r="B8" s="271"/>
      <c r="C8" s="270" t="str">
        <f>'SO-201'!G4</f>
        <v>01.04.2025</v>
      </c>
      <c r="D8" s="271"/>
      <c r="E8" s="270" t="s">
        <v>14</v>
      </c>
      <c r="F8" s="270" t="str">
        <f>'SO-201'!G6</f>
        <v>31.10.2025</v>
      </c>
      <c r="G8" s="271"/>
      <c r="H8" s="271" t="s">
        <v>483</v>
      </c>
      <c r="I8" s="326">
        <v>291</v>
      </c>
    </row>
    <row r="9" spans="1:9" x14ac:dyDescent="0.25">
      <c r="A9" s="287"/>
      <c r="B9" s="271"/>
      <c r="C9" s="271"/>
      <c r="D9" s="271"/>
      <c r="E9" s="271"/>
      <c r="F9" s="271"/>
      <c r="G9" s="271"/>
      <c r="H9" s="271"/>
      <c r="I9" s="288"/>
    </row>
    <row r="10" spans="1:9" x14ac:dyDescent="0.25">
      <c r="A10" s="286" t="s">
        <v>18</v>
      </c>
      <c r="B10" s="271"/>
      <c r="C10" s="270" t="str">
        <f>'SO-201'!C8</f>
        <v>8272111</v>
      </c>
      <c r="D10" s="271"/>
      <c r="E10" s="270" t="s">
        <v>22</v>
      </c>
      <c r="F10" s="270" t="str">
        <f>'SO-201'!I8</f>
        <v>Václav Říha</v>
      </c>
      <c r="G10" s="271"/>
      <c r="H10" s="271" t="s">
        <v>484</v>
      </c>
      <c r="I10" s="324" t="str">
        <f>'SO-201'!G8</f>
        <v>08.10.2024</v>
      </c>
    </row>
    <row r="11" spans="1:9" x14ac:dyDescent="0.25">
      <c r="A11" s="323"/>
      <c r="B11" s="275"/>
      <c r="C11" s="275"/>
      <c r="D11" s="275"/>
      <c r="E11" s="275"/>
      <c r="F11" s="275"/>
      <c r="G11" s="275"/>
      <c r="H11" s="275"/>
      <c r="I11" s="325"/>
    </row>
    <row r="12" spans="1:9" ht="23.25" x14ac:dyDescent="0.25">
      <c r="A12" s="320" t="s">
        <v>485</v>
      </c>
      <c r="B12" s="320"/>
      <c r="C12" s="320"/>
      <c r="D12" s="320"/>
      <c r="E12" s="320"/>
      <c r="F12" s="320"/>
      <c r="G12" s="320"/>
      <c r="H12" s="320"/>
      <c r="I12" s="320"/>
    </row>
    <row r="13" spans="1:9" ht="26.25" customHeight="1" x14ac:dyDescent="0.25">
      <c r="A13" s="157" t="s">
        <v>486</v>
      </c>
      <c r="B13" s="321" t="s">
        <v>487</v>
      </c>
      <c r="C13" s="322"/>
      <c r="D13" s="158" t="s">
        <v>488</v>
      </c>
      <c r="E13" s="321" t="s">
        <v>489</v>
      </c>
      <c r="F13" s="322"/>
      <c r="G13" s="158" t="s">
        <v>490</v>
      </c>
      <c r="H13" s="321" t="s">
        <v>491</v>
      </c>
      <c r="I13" s="322"/>
    </row>
    <row r="14" spans="1:9" ht="15.75" x14ac:dyDescent="0.25">
      <c r="A14" s="159" t="s">
        <v>492</v>
      </c>
      <c r="B14" s="160" t="s">
        <v>493</v>
      </c>
      <c r="C14" s="161">
        <f>SUM('SO-201'!AB12:AB432)</f>
        <v>0</v>
      </c>
      <c r="D14" s="318" t="s">
        <v>494</v>
      </c>
      <c r="E14" s="319"/>
      <c r="F14" s="161">
        <f>[3]VORN!I15</f>
        <v>0</v>
      </c>
      <c r="G14" s="318" t="s">
        <v>420</v>
      </c>
      <c r="H14" s="319"/>
      <c r="I14" s="162">
        <f>[3]VORN!I21</f>
        <v>0</v>
      </c>
    </row>
    <row r="15" spans="1:9" ht="15.75" x14ac:dyDescent="0.25">
      <c r="A15" s="163" t="s">
        <v>53</v>
      </c>
      <c r="B15" s="160" t="s">
        <v>38</v>
      </c>
      <c r="C15" s="161">
        <f>SUM('SO-201'!AC12:AC432)</f>
        <v>0</v>
      </c>
      <c r="D15" s="318" t="s">
        <v>495</v>
      </c>
      <c r="E15" s="319"/>
      <c r="F15" s="161">
        <f>[3]VORN!I16</f>
        <v>0</v>
      </c>
      <c r="G15" s="318" t="s">
        <v>496</v>
      </c>
      <c r="H15" s="319"/>
      <c r="I15" s="162">
        <f>[3]VORN!I22</f>
        <v>0</v>
      </c>
    </row>
    <row r="16" spans="1:9" ht="15.75" x14ac:dyDescent="0.25">
      <c r="A16" s="159" t="s">
        <v>497</v>
      </c>
      <c r="B16" s="160" t="s">
        <v>493</v>
      </c>
      <c r="C16" s="161">
        <f>SUM('SO-201'!AD12:AD432)</f>
        <v>0</v>
      </c>
      <c r="D16" s="318" t="s">
        <v>498</v>
      </c>
      <c r="E16" s="319"/>
      <c r="F16" s="161">
        <f>[3]VORN!I17</f>
        <v>0</v>
      </c>
      <c r="G16" s="318" t="s">
        <v>425</v>
      </c>
      <c r="H16" s="319"/>
      <c r="I16" s="162">
        <f>[3]VORN!I23</f>
        <v>0</v>
      </c>
    </row>
    <row r="17" spans="1:9" ht="15.75" x14ac:dyDescent="0.25">
      <c r="A17" s="163" t="s">
        <v>53</v>
      </c>
      <c r="B17" s="160" t="s">
        <v>38</v>
      </c>
      <c r="C17" s="161">
        <f>SUM('SO-201'!AE12:AE432)</f>
        <v>0</v>
      </c>
      <c r="D17" s="318" t="s">
        <v>53</v>
      </c>
      <c r="E17" s="319"/>
      <c r="F17" s="162" t="s">
        <v>53</v>
      </c>
      <c r="G17" s="318" t="s">
        <v>499</v>
      </c>
      <c r="H17" s="319"/>
      <c r="I17" s="162">
        <f>[3]VORN!I24</f>
        <v>0</v>
      </c>
    </row>
    <row r="18" spans="1:9" ht="15.75" x14ac:dyDescent="0.25">
      <c r="A18" s="159" t="s">
        <v>500</v>
      </c>
      <c r="B18" s="160" t="s">
        <v>493</v>
      </c>
      <c r="C18" s="161">
        <f>SUM('SO-201'!AF12:AF432)</f>
        <v>0</v>
      </c>
      <c r="D18" s="318" t="s">
        <v>53</v>
      </c>
      <c r="E18" s="319"/>
      <c r="F18" s="162" t="s">
        <v>53</v>
      </c>
      <c r="G18" s="318" t="s">
        <v>501</v>
      </c>
      <c r="H18" s="319"/>
      <c r="I18" s="162">
        <f>[3]VORN!I25</f>
        <v>0</v>
      </c>
    </row>
    <row r="19" spans="1:9" ht="15.75" x14ac:dyDescent="0.25">
      <c r="A19" s="163" t="s">
        <v>53</v>
      </c>
      <c r="B19" s="160" t="s">
        <v>38</v>
      </c>
      <c r="C19" s="161">
        <f>SUM('SO-201'!AG12:AG432)</f>
        <v>0</v>
      </c>
      <c r="D19" s="318" t="s">
        <v>53</v>
      </c>
      <c r="E19" s="319"/>
      <c r="F19" s="162" t="s">
        <v>53</v>
      </c>
      <c r="G19" s="318" t="s">
        <v>502</v>
      </c>
      <c r="H19" s="319"/>
      <c r="I19" s="162">
        <f>[3]VORN!I26</f>
        <v>0</v>
      </c>
    </row>
    <row r="20" spans="1:9" ht="15.75" x14ac:dyDescent="0.25">
      <c r="A20" s="307" t="s">
        <v>339</v>
      </c>
      <c r="B20" s="308"/>
      <c r="C20" s="161">
        <f>SUM('SO-201'!AH12:AH432)</f>
        <v>0</v>
      </c>
      <c r="D20" s="318" t="s">
        <v>53</v>
      </c>
      <c r="E20" s="319"/>
      <c r="F20" s="162" t="s">
        <v>53</v>
      </c>
      <c r="G20" s="318" t="s">
        <v>53</v>
      </c>
      <c r="H20" s="319"/>
      <c r="I20" s="162" t="s">
        <v>53</v>
      </c>
    </row>
    <row r="21" spans="1:9" ht="15.75" x14ac:dyDescent="0.25">
      <c r="A21" s="312" t="s">
        <v>503</v>
      </c>
      <c r="B21" s="313"/>
      <c r="C21" s="164">
        <f>SUM('SO-201'!Z12:Z432)</f>
        <v>0</v>
      </c>
      <c r="D21" s="297" t="s">
        <v>53</v>
      </c>
      <c r="E21" s="314"/>
      <c r="F21" s="165" t="s">
        <v>53</v>
      </c>
      <c r="G21" s="297" t="s">
        <v>53</v>
      </c>
      <c r="H21" s="314"/>
      <c r="I21" s="165" t="s">
        <v>53</v>
      </c>
    </row>
    <row r="22" spans="1:9" ht="16.5" customHeight="1" x14ac:dyDescent="0.25">
      <c r="A22" s="315" t="s">
        <v>504</v>
      </c>
      <c r="B22" s="316"/>
      <c r="C22" s="166">
        <f>ROUND(SUM(C14:C21),0)</f>
        <v>0</v>
      </c>
      <c r="D22" s="317" t="s">
        <v>505</v>
      </c>
      <c r="E22" s="316"/>
      <c r="F22" s="166">
        <f>SUM(F14:F21)</f>
        <v>0</v>
      </c>
      <c r="G22" s="317" t="s">
        <v>506</v>
      </c>
      <c r="H22" s="316"/>
      <c r="I22" s="166">
        <f>SUM(I14:I21)</f>
        <v>0</v>
      </c>
    </row>
    <row r="23" spans="1:9" ht="16.5" thickBot="1" x14ac:dyDescent="0.3">
      <c r="D23" s="307" t="s">
        <v>507</v>
      </c>
      <c r="E23" s="308"/>
      <c r="F23" s="167">
        <v>0</v>
      </c>
      <c r="G23" s="309" t="s">
        <v>508</v>
      </c>
      <c r="H23" s="308"/>
      <c r="I23" s="161">
        <v>0</v>
      </c>
    </row>
    <row r="24" spans="1:9" ht="15.75" x14ac:dyDescent="0.25">
      <c r="G24" s="307" t="s">
        <v>509</v>
      </c>
      <c r="H24" s="308"/>
      <c r="I24" s="164">
        <f>vorn_sum</f>
        <v>0</v>
      </c>
    </row>
    <row r="25" spans="1:9" ht="15.75" x14ac:dyDescent="0.25">
      <c r="G25" s="307" t="s">
        <v>510</v>
      </c>
      <c r="H25" s="308"/>
      <c r="I25" s="166">
        <v>0</v>
      </c>
    </row>
    <row r="27" spans="1:9" ht="15.75" x14ac:dyDescent="0.25">
      <c r="A27" s="310" t="s">
        <v>511</v>
      </c>
      <c r="B27" s="311"/>
      <c r="C27" s="168">
        <f>ROUND(SUM('SO-201'!AJ12:AJ432),0)</f>
        <v>0</v>
      </c>
    </row>
    <row r="28" spans="1:9" ht="15.75" x14ac:dyDescent="0.25">
      <c r="A28" s="302" t="s">
        <v>512</v>
      </c>
      <c r="B28" s="303"/>
      <c r="C28" s="169">
        <f>ROUND(SUM('SO-201'!AK12:AK432),0)</f>
        <v>0</v>
      </c>
      <c r="D28" s="311" t="s">
        <v>513</v>
      </c>
      <c r="E28" s="311"/>
      <c r="F28" s="168">
        <f>ROUND(C28*(12/100),2)</f>
        <v>0</v>
      </c>
      <c r="G28" s="311" t="s">
        <v>514</v>
      </c>
      <c r="H28" s="311"/>
      <c r="I28" s="168">
        <f>ROUND(SUM(C27:C29),0)</f>
        <v>0</v>
      </c>
    </row>
    <row r="29" spans="1:9" ht="15.75" x14ac:dyDescent="0.25">
      <c r="A29" s="302" t="s">
        <v>515</v>
      </c>
      <c r="B29" s="303"/>
      <c r="C29" s="169">
        <f>ROUND(SUM('SO-201'!AL12:AL432),0)</f>
        <v>0</v>
      </c>
      <c r="D29" s="303" t="s">
        <v>516</v>
      </c>
      <c r="E29" s="303"/>
      <c r="F29" s="169">
        <f>ROUND(C29*(21/100),2)</f>
        <v>0</v>
      </c>
      <c r="G29" s="303" t="s">
        <v>517</v>
      </c>
      <c r="H29" s="303"/>
      <c r="I29" s="169">
        <f>ROUND(SUM(F28:F29)+I28,0)</f>
        <v>0</v>
      </c>
    </row>
    <row r="31" spans="1:9" x14ac:dyDescent="0.25">
      <c r="A31" s="304" t="s">
        <v>518</v>
      </c>
      <c r="B31" s="305"/>
      <c r="C31" s="306"/>
      <c r="D31" s="305" t="s">
        <v>519</v>
      </c>
      <c r="E31" s="305"/>
      <c r="F31" s="306"/>
      <c r="G31" s="305" t="s">
        <v>520</v>
      </c>
      <c r="H31" s="305"/>
      <c r="I31" s="306"/>
    </row>
    <row r="32" spans="1:9" x14ac:dyDescent="0.25">
      <c r="A32" s="296" t="s">
        <v>53</v>
      </c>
      <c r="B32" s="297"/>
      <c r="C32" s="298"/>
      <c r="D32" s="297" t="s">
        <v>53</v>
      </c>
      <c r="E32" s="297"/>
      <c r="F32" s="298"/>
      <c r="G32" s="297" t="s">
        <v>53</v>
      </c>
      <c r="H32" s="297"/>
      <c r="I32" s="298"/>
    </row>
    <row r="33" spans="1:9" x14ac:dyDescent="0.25">
      <c r="A33" s="296" t="s">
        <v>53</v>
      </c>
      <c r="B33" s="297"/>
      <c r="C33" s="298"/>
      <c r="D33" s="297" t="s">
        <v>53</v>
      </c>
      <c r="E33" s="297"/>
      <c r="F33" s="298"/>
      <c r="G33" s="297" t="s">
        <v>53</v>
      </c>
      <c r="H33" s="297"/>
      <c r="I33" s="298"/>
    </row>
    <row r="34" spans="1:9" x14ac:dyDescent="0.25">
      <c r="A34" s="296" t="s">
        <v>53</v>
      </c>
      <c r="B34" s="297"/>
      <c r="C34" s="298"/>
      <c r="D34" s="297" t="s">
        <v>53</v>
      </c>
      <c r="E34" s="297"/>
      <c r="F34" s="298"/>
      <c r="G34" s="297" t="s">
        <v>53</v>
      </c>
      <c r="H34" s="297"/>
      <c r="I34" s="298"/>
    </row>
    <row r="35" spans="1:9" ht="15.75" thickBot="1" x14ac:dyDescent="0.3">
      <c r="A35" s="299" t="s">
        <v>521</v>
      </c>
      <c r="B35" s="300"/>
      <c r="C35" s="301"/>
      <c r="D35" s="300" t="s">
        <v>521</v>
      </c>
      <c r="E35" s="300"/>
      <c r="F35" s="301"/>
      <c r="G35" s="300" t="s">
        <v>521</v>
      </c>
      <c r="H35" s="300"/>
      <c r="I35" s="301"/>
    </row>
    <row r="36" spans="1:9" x14ac:dyDescent="0.25">
      <c r="A36" s="142" t="s">
        <v>431</v>
      </c>
    </row>
    <row r="37" spans="1:9" ht="12.75" customHeight="1" x14ac:dyDescent="0.25">
      <c r="A37" s="270" t="s">
        <v>53</v>
      </c>
      <c r="B37" s="271"/>
      <c r="C37" s="271"/>
      <c r="D37" s="271"/>
      <c r="E37" s="271"/>
      <c r="F37" s="271"/>
      <c r="G37" s="271"/>
      <c r="H37" s="271"/>
      <c r="I37" s="271"/>
    </row>
  </sheetData>
  <mergeCells count="83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3"/>
  <sheetViews>
    <sheetView workbookViewId="0">
      <selection activeCell="L34" sqref="L34"/>
    </sheetView>
  </sheetViews>
  <sheetFormatPr defaultColWidth="12.140625" defaultRowHeight="15" customHeight="1" x14ac:dyDescent="0.25"/>
  <cols>
    <col min="1" max="2" width="9.140625" style="109" customWidth="1"/>
    <col min="3" max="3" width="14.28515625" style="109" customWidth="1"/>
    <col min="4" max="4" width="42.85546875" style="109" customWidth="1"/>
    <col min="5" max="5" width="55.85546875" style="109" customWidth="1"/>
    <col min="6" max="6" width="24.140625" style="109" customWidth="1"/>
    <col min="7" max="7" width="15.7109375" style="109" customWidth="1"/>
    <col min="8" max="8" width="20" style="109" customWidth="1"/>
    <col min="9" max="16384" width="12.140625" style="109"/>
  </cols>
  <sheetData>
    <row r="1" spans="1:8" ht="54.75" customHeight="1" x14ac:dyDescent="0.25">
      <c r="A1" s="289" t="s">
        <v>432</v>
      </c>
      <c r="B1" s="289"/>
      <c r="C1" s="289"/>
      <c r="D1" s="289"/>
      <c r="E1" s="289"/>
      <c r="F1" s="289"/>
      <c r="G1" s="289"/>
      <c r="H1" s="289"/>
    </row>
    <row r="2" spans="1:8" x14ac:dyDescent="0.25">
      <c r="A2" s="290" t="s">
        <v>1</v>
      </c>
      <c r="B2" s="291"/>
      <c r="C2" s="292" t="str">
        <f>'SO-201'!C2</f>
        <v>NEDRAŽICE - CHODNÍKY A ÚPRAVY VNITŘNÍCH PROSTOR OBCE</v>
      </c>
      <c r="D2" s="293"/>
      <c r="E2" s="294" t="s">
        <v>5</v>
      </c>
      <c r="F2" s="294" t="str">
        <f>'SO-201'!I2</f>
        <v>Obec Kostelec, Kostelec 34, 349 01 Stříbro</v>
      </c>
      <c r="G2" s="291"/>
      <c r="H2" s="295"/>
    </row>
    <row r="3" spans="1:8" ht="15" customHeight="1" x14ac:dyDescent="0.25">
      <c r="A3" s="287"/>
      <c r="B3" s="271"/>
      <c r="C3" s="276"/>
      <c r="D3" s="276"/>
      <c r="E3" s="271"/>
      <c r="F3" s="271"/>
      <c r="G3" s="271"/>
      <c r="H3" s="288"/>
    </row>
    <row r="4" spans="1:8" x14ac:dyDescent="0.25">
      <c r="A4" s="286" t="s">
        <v>7</v>
      </c>
      <c r="B4" s="271"/>
      <c r="C4" s="270" t="str">
        <f>'SO-201'!C4</f>
        <v>SO-201 Úpravy dešťové kanalizace - Etapa-1</v>
      </c>
      <c r="D4" s="271"/>
      <c r="E4" s="270" t="s">
        <v>10</v>
      </c>
      <c r="F4" s="270" t="str">
        <f>'SO-201'!I4</f>
        <v>Václav Říha, Tuněchody 9, 349 01 Stříbro</v>
      </c>
      <c r="G4" s="271"/>
      <c r="H4" s="288"/>
    </row>
    <row r="5" spans="1:8" ht="15" customHeight="1" x14ac:dyDescent="0.25">
      <c r="A5" s="287"/>
      <c r="B5" s="271"/>
      <c r="C5" s="271"/>
      <c r="D5" s="271"/>
      <c r="E5" s="271"/>
      <c r="F5" s="271"/>
      <c r="G5" s="271"/>
      <c r="H5" s="288"/>
    </row>
    <row r="6" spans="1:8" x14ac:dyDescent="0.25">
      <c r="A6" s="286" t="s">
        <v>12</v>
      </c>
      <c r="B6" s="271"/>
      <c r="C6" s="270" t="str">
        <f>'SO-201'!C6</f>
        <v>Nedražice</v>
      </c>
      <c r="D6" s="271"/>
      <c r="E6" s="270" t="s">
        <v>16</v>
      </c>
      <c r="F6" s="270" t="str">
        <f>'SO-201'!I6</f>
        <v> </v>
      </c>
      <c r="G6" s="271"/>
      <c r="H6" s="288"/>
    </row>
    <row r="7" spans="1:8" ht="15" customHeight="1" x14ac:dyDescent="0.25">
      <c r="A7" s="287"/>
      <c r="B7" s="271"/>
      <c r="C7" s="271"/>
      <c r="D7" s="271"/>
      <c r="E7" s="271"/>
      <c r="F7" s="271"/>
      <c r="G7" s="271"/>
      <c r="H7" s="288"/>
    </row>
    <row r="8" spans="1:8" x14ac:dyDescent="0.25">
      <c r="A8" s="286" t="s">
        <v>22</v>
      </c>
      <c r="B8" s="271"/>
      <c r="C8" s="270" t="str">
        <f>'SO-201'!I8</f>
        <v>Václav Říha</v>
      </c>
      <c r="D8" s="271"/>
      <c r="E8" s="270" t="s">
        <v>20</v>
      </c>
      <c r="F8" s="270" t="str">
        <f>'SO-201'!G8</f>
        <v>08.10.2024</v>
      </c>
      <c r="G8" s="271"/>
      <c r="H8" s="288"/>
    </row>
    <row r="9" spans="1:8" ht="15.75" thickBot="1" x14ac:dyDescent="0.3">
      <c r="A9" s="287"/>
      <c r="B9" s="271"/>
      <c r="C9" s="271"/>
      <c r="D9" s="271"/>
      <c r="E9" s="271"/>
      <c r="F9" s="271"/>
      <c r="G9" s="271"/>
      <c r="H9" s="288"/>
    </row>
    <row r="10" spans="1:8" ht="15.75" thickBot="1" x14ac:dyDescent="0.3">
      <c r="A10" s="143" t="s">
        <v>24</v>
      </c>
      <c r="B10" s="144" t="s">
        <v>433</v>
      </c>
      <c r="C10" s="144" t="s">
        <v>25</v>
      </c>
      <c r="D10" s="330" t="s">
        <v>26</v>
      </c>
      <c r="E10" s="331"/>
      <c r="F10" s="144" t="s">
        <v>27</v>
      </c>
      <c r="G10" s="145" t="s">
        <v>28</v>
      </c>
      <c r="H10" s="146" t="s">
        <v>434</v>
      </c>
    </row>
    <row r="11" spans="1:8" x14ac:dyDescent="0.25">
      <c r="A11" s="170" t="s">
        <v>53</v>
      </c>
      <c r="B11" s="124" t="s">
        <v>702</v>
      </c>
      <c r="C11" s="124" t="s">
        <v>53</v>
      </c>
      <c r="D11" s="273" t="s">
        <v>701</v>
      </c>
      <c r="E11" s="273"/>
      <c r="F11" s="124" t="s">
        <v>53</v>
      </c>
      <c r="G11" s="115" t="s">
        <v>53</v>
      </c>
      <c r="H11" s="126" t="s">
        <v>53</v>
      </c>
    </row>
    <row r="12" spans="1:8" x14ac:dyDescent="0.25">
      <c r="A12" s="134" t="s">
        <v>56</v>
      </c>
      <c r="B12" s="135" t="s">
        <v>702</v>
      </c>
      <c r="C12" s="135" t="s">
        <v>703</v>
      </c>
      <c r="D12" s="271" t="s">
        <v>704</v>
      </c>
      <c r="E12" s="271"/>
      <c r="F12" s="135" t="s">
        <v>705</v>
      </c>
      <c r="G12" s="131">
        <v>8</v>
      </c>
      <c r="H12" s="147">
        <v>0</v>
      </c>
    </row>
    <row r="13" spans="1:8" x14ac:dyDescent="0.25">
      <c r="A13" s="148"/>
      <c r="D13" s="149" t="s">
        <v>87</v>
      </c>
      <c r="E13" s="328" t="s">
        <v>53</v>
      </c>
      <c r="F13" s="328"/>
      <c r="G13" s="150">
        <v>8</v>
      </c>
      <c r="H13" s="151"/>
    </row>
    <row r="14" spans="1:8" x14ac:dyDescent="0.25">
      <c r="A14" s="134" t="s">
        <v>64</v>
      </c>
      <c r="B14" s="135" t="s">
        <v>702</v>
      </c>
      <c r="C14" s="135" t="s">
        <v>708</v>
      </c>
      <c r="D14" s="271" t="s">
        <v>709</v>
      </c>
      <c r="E14" s="271"/>
      <c r="F14" s="135" t="s">
        <v>79</v>
      </c>
      <c r="G14" s="131">
        <v>24</v>
      </c>
      <c r="H14" s="147">
        <v>0</v>
      </c>
    </row>
    <row r="15" spans="1:8" x14ac:dyDescent="0.25">
      <c r="A15" s="148"/>
      <c r="D15" s="149" t="s">
        <v>1119</v>
      </c>
      <c r="E15" s="328" t="s">
        <v>53</v>
      </c>
      <c r="F15" s="328"/>
      <c r="G15" s="150">
        <v>24</v>
      </c>
      <c r="H15" s="151"/>
    </row>
    <row r="16" spans="1:8" x14ac:dyDescent="0.25">
      <c r="A16" s="134" t="s">
        <v>68</v>
      </c>
      <c r="B16" s="135" t="s">
        <v>702</v>
      </c>
      <c r="C16" s="135" t="s">
        <v>114</v>
      </c>
      <c r="D16" s="271" t="s">
        <v>710</v>
      </c>
      <c r="E16" s="271"/>
      <c r="F16" s="135" t="s">
        <v>79</v>
      </c>
      <c r="G16" s="131">
        <v>6</v>
      </c>
      <c r="H16" s="147">
        <v>0</v>
      </c>
    </row>
    <row r="17" spans="1:8" x14ac:dyDescent="0.25">
      <c r="A17" s="148"/>
      <c r="D17" s="149" t="s">
        <v>1120</v>
      </c>
      <c r="E17" s="328" t="s">
        <v>53</v>
      </c>
      <c r="F17" s="328"/>
      <c r="G17" s="150">
        <v>6</v>
      </c>
      <c r="H17" s="151"/>
    </row>
    <row r="18" spans="1:8" x14ac:dyDescent="0.25">
      <c r="A18" s="134" t="s">
        <v>71</v>
      </c>
      <c r="B18" s="135" t="s">
        <v>702</v>
      </c>
      <c r="C18" s="135" t="s">
        <v>712</v>
      </c>
      <c r="D18" s="271" t="s">
        <v>713</v>
      </c>
      <c r="E18" s="271"/>
      <c r="F18" s="135" t="s">
        <v>122</v>
      </c>
      <c r="G18" s="131">
        <v>15</v>
      </c>
      <c r="H18" s="147">
        <v>0</v>
      </c>
    </row>
    <row r="19" spans="1:8" x14ac:dyDescent="0.25">
      <c r="A19" s="148"/>
      <c r="D19" s="149" t="s">
        <v>1121</v>
      </c>
      <c r="E19" s="328" t="s">
        <v>53</v>
      </c>
      <c r="F19" s="328"/>
      <c r="G19" s="150">
        <v>15</v>
      </c>
      <c r="H19" s="151"/>
    </row>
    <row r="20" spans="1:8" x14ac:dyDescent="0.25">
      <c r="A20" s="134" t="s">
        <v>76</v>
      </c>
      <c r="B20" s="135" t="s">
        <v>702</v>
      </c>
      <c r="C20" s="135" t="s">
        <v>129</v>
      </c>
      <c r="D20" s="271" t="s">
        <v>714</v>
      </c>
      <c r="E20" s="271"/>
      <c r="F20" s="135" t="s">
        <v>79</v>
      </c>
      <c r="G20" s="131">
        <v>24</v>
      </c>
      <c r="H20" s="147">
        <v>0</v>
      </c>
    </row>
    <row r="21" spans="1:8" x14ac:dyDescent="0.25">
      <c r="A21" s="148"/>
      <c r="D21" s="149" t="s">
        <v>142</v>
      </c>
      <c r="E21" s="328" t="s">
        <v>53</v>
      </c>
      <c r="F21" s="328"/>
      <c r="G21" s="150">
        <v>24</v>
      </c>
      <c r="H21" s="151"/>
    </row>
    <row r="22" spans="1:8" x14ac:dyDescent="0.25">
      <c r="A22" s="134" t="s">
        <v>81</v>
      </c>
      <c r="B22" s="135" t="s">
        <v>702</v>
      </c>
      <c r="C22" s="135" t="s">
        <v>716</v>
      </c>
      <c r="D22" s="271" t="s">
        <v>717</v>
      </c>
      <c r="E22" s="271"/>
      <c r="F22" s="135" t="s">
        <v>79</v>
      </c>
      <c r="G22" s="131">
        <v>6</v>
      </c>
      <c r="H22" s="147">
        <v>0</v>
      </c>
    </row>
    <row r="23" spans="1:8" x14ac:dyDescent="0.25">
      <c r="A23" s="148"/>
      <c r="D23" s="149" t="s">
        <v>1122</v>
      </c>
      <c r="E23" s="328" t="s">
        <v>53</v>
      </c>
      <c r="F23" s="328"/>
      <c r="G23" s="150">
        <v>6</v>
      </c>
      <c r="H23" s="151"/>
    </row>
    <row r="24" spans="1:8" x14ac:dyDescent="0.25">
      <c r="A24" s="134" t="s">
        <v>84</v>
      </c>
      <c r="B24" s="135" t="s">
        <v>702</v>
      </c>
      <c r="C24" s="135" t="s">
        <v>719</v>
      </c>
      <c r="D24" s="271" t="s">
        <v>720</v>
      </c>
      <c r="E24" s="271"/>
      <c r="F24" s="135" t="s">
        <v>59</v>
      </c>
      <c r="G24" s="131">
        <v>6</v>
      </c>
      <c r="H24" s="147">
        <v>0</v>
      </c>
    </row>
    <row r="25" spans="1:8" x14ac:dyDescent="0.25">
      <c r="A25" s="148"/>
      <c r="D25" s="149" t="s">
        <v>1122</v>
      </c>
      <c r="E25" s="328" t="s">
        <v>53</v>
      </c>
      <c r="F25" s="328"/>
      <c r="G25" s="150">
        <v>6</v>
      </c>
      <c r="H25" s="151"/>
    </row>
    <row r="26" spans="1:8" x14ac:dyDescent="0.25">
      <c r="A26" s="134" t="s">
        <v>87</v>
      </c>
      <c r="B26" s="135" t="s">
        <v>702</v>
      </c>
      <c r="C26" s="135" t="s">
        <v>721</v>
      </c>
      <c r="D26" s="271" t="s">
        <v>722</v>
      </c>
      <c r="E26" s="271"/>
      <c r="F26" s="135" t="s">
        <v>164</v>
      </c>
      <c r="G26" s="131">
        <v>6</v>
      </c>
      <c r="H26" s="147">
        <v>0</v>
      </c>
    </row>
    <row r="27" spans="1:8" x14ac:dyDescent="0.25">
      <c r="A27" s="148"/>
      <c r="D27" s="149" t="s">
        <v>81</v>
      </c>
      <c r="E27" s="328" t="s">
        <v>53</v>
      </c>
      <c r="F27" s="328"/>
      <c r="G27" s="150">
        <v>6</v>
      </c>
      <c r="H27" s="151"/>
    </row>
    <row r="28" spans="1:8" x14ac:dyDescent="0.25">
      <c r="A28" s="134" t="s">
        <v>90</v>
      </c>
      <c r="B28" s="135" t="s">
        <v>702</v>
      </c>
      <c r="C28" s="135" t="s">
        <v>723</v>
      </c>
      <c r="D28" s="271" t="s">
        <v>724</v>
      </c>
      <c r="E28" s="271"/>
      <c r="F28" s="135" t="s">
        <v>164</v>
      </c>
      <c r="G28" s="131">
        <v>12</v>
      </c>
      <c r="H28" s="147">
        <v>0</v>
      </c>
    </row>
    <row r="29" spans="1:8" x14ac:dyDescent="0.25">
      <c r="A29" s="148"/>
      <c r="D29" s="149" t="s">
        <v>1123</v>
      </c>
      <c r="E29" s="328" t="s">
        <v>53</v>
      </c>
      <c r="F29" s="328"/>
      <c r="G29" s="150">
        <v>12</v>
      </c>
      <c r="H29" s="151"/>
    </row>
    <row r="30" spans="1:8" x14ac:dyDescent="0.25">
      <c r="A30" s="134" t="s">
        <v>93</v>
      </c>
      <c r="B30" s="135" t="s">
        <v>702</v>
      </c>
      <c r="C30" s="135" t="s">
        <v>725</v>
      </c>
      <c r="D30" s="271" t="s">
        <v>726</v>
      </c>
      <c r="E30" s="271"/>
      <c r="F30" s="135" t="s">
        <v>164</v>
      </c>
      <c r="G30" s="131">
        <v>2</v>
      </c>
      <c r="H30" s="147">
        <v>0</v>
      </c>
    </row>
    <row r="31" spans="1:8" x14ac:dyDescent="0.25">
      <c r="A31" s="148"/>
      <c r="D31" s="149" t="s">
        <v>64</v>
      </c>
      <c r="E31" s="328" t="s">
        <v>53</v>
      </c>
      <c r="F31" s="328"/>
      <c r="G31" s="150">
        <v>2</v>
      </c>
      <c r="H31" s="151"/>
    </row>
    <row r="32" spans="1:8" x14ac:dyDescent="0.25">
      <c r="A32" s="134" t="s">
        <v>54</v>
      </c>
      <c r="B32" s="135" t="s">
        <v>702</v>
      </c>
      <c r="C32" s="135" t="s">
        <v>727</v>
      </c>
      <c r="D32" s="271" t="s">
        <v>728</v>
      </c>
      <c r="E32" s="271"/>
      <c r="F32" s="135" t="s">
        <v>164</v>
      </c>
      <c r="G32" s="131">
        <v>6</v>
      </c>
      <c r="H32" s="147">
        <v>0</v>
      </c>
    </row>
    <row r="33" spans="1:8" x14ac:dyDescent="0.25">
      <c r="A33" s="148"/>
      <c r="D33" s="149" t="s">
        <v>81</v>
      </c>
      <c r="E33" s="328" t="s">
        <v>53</v>
      </c>
      <c r="F33" s="328"/>
      <c r="G33" s="150">
        <v>6</v>
      </c>
      <c r="H33" s="151"/>
    </row>
    <row r="34" spans="1:8" x14ac:dyDescent="0.25">
      <c r="A34" s="134" t="s">
        <v>74</v>
      </c>
      <c r="B34" s="135" t="s">
        <v>702</v>
      </c>
      <c r="C34" s="135" t="s">
        <v>729</v>
      </c>
      <c r="D34" s="271" t="s">
        <v>730</v>
      </c>
      <c r="E34" s="271"/>
      <c r="F34" s="135" t="s">
        <v>79</v>
      </c>
      <c r="G34" s="131">
        <v>6</v>
      </c>
      <c r="H34" s="147">
        <v>0</v>
      </c>
    </row>
    <row r="35" spans="1:8" x14ac:dyDescent="0.25">
      <c r="A35" s="148"/>
      <c r="D35" s="149" t="s">
        <v>1122</v>
      </c>
      <c r="E35" s="328" t="s">
        <v>53</v>
      </c>
      <c r="F35" s="328"/>
      <c r="G35" s="150">
        <v>6</v>
      </c>
      <c r="H35" s="151"/>
    </row>
    <row r="36" spans="1:8" x14ac:dyDescent="0.25">
      <c r="A36" s="134" t="s">
        <v>96</v>
      </c>
      <c r="B36" s="135" t="s">
        <v>702</v>
      </c>
      <c r="C36" s="135" t="s">
        <v>733</v>
      </c>
      <c r="D36" s="271" t="s">
        <v>734</v>
      </c>
      <c r="E36" s="271"/>
      <c r="F36" s="135" t="s">
        <v>164</v>
      </c>
      <c r="G36" s="131">
        <v>6</v>
      </c>
      <c r="H36" s="147">
        <v>0</v>
      </c>
    </row>
    <row r="37" spans="1:8" x14ac:dyDescent="0.25">
      <c r="A37" s="148"/>
      <c r="D37" s="149" t="s">
        <v>81</v>
      </c>
      <c r="E37" s="328" t="s">
        <v>53</v>
      </c>
      <c r="F37" s="328"/>
      <c r="G37" s="150">
        <v>6</v>
      </c>
      <c r="H37" s="151"/>
    </row>
    <row r="38" spans="1:8" x14ac:dyDescent="0.25">
      <c r="A38" s="134" t="s">
        <v>108</v>
      </c>
      <c r="B38" s="135" t="s">
        <v>702</v>
      </c>
      <c r="C38" s="135" t="s">
        <v>738</v>
      </c>
      <c r="D38" s="271" t="s">
        <v>739</v>
      </c>
      <c r="E38" s="271"/>
      <c r="F38" s="135" t="s">
        <v>122</v>
      </c>
      <c r="G38" s="131">
        <v>36.04</v>
      </c>
      <c r="H38" s="147">
        <v>0</v>
      </c>
    </row>
    <row r="39" spans="1:8" x14ac:dyDescent="0.25">
      <c r="A39" s="148"/>
      <c r="D39" s="149" t="s">
        <v>1124</v>
      </c>
      <c r="E39" s="328" t="s">
        <v>53</v>
      </c>
      <c r="F39" s="328"/>
      <c r="G39" s="150">
        <v>36.04</v>
      </c>
      <c r="H39" s="151"/>
    </row>
    <row r="40" spans="1:8" x14ac:dyDescent="0.25">
      <c r="A40" s="134" t="s">
        <v>111</v>
      </c>
      <c r="B40" s="135" t="s">
        <v>702</v>
      </c>
      <c r="C40" s="135" t="s">
        <v>741</v>
      </c>
      <c r="D40" s="271" t="s">
        <v>742</v>
      </c>
      <c r="E40" s="271"/>
      <c r="F40" s="135" t="s">
        <v>164</v>
      </c>
      <c r="G40" s="131">
        <v>6</v>
      </c>
      <c r="H40" s="147">
        <v>0</v>
      </c>
    </row>
    <row r="41" spans="1:8" x14ac:dyDescent="0.25">
      <c r="A41" s="148"/>
      <c r="D41" s="149" t="s">
        <v>81</v>
      </c>
      <c r="E41" s="328" t="s">
        <v>53</v>
      </c>
      <c r="F41" s="328"/>
      <c r="G41" s="150">
        <v>6</v>
      </c>
      <c r="H41" s="151"/>
    </row>
    <row r="42" spans="1:8" x14ac:dyDescent="0.25">
      <c r="A42" s="134" t="s">
        <v>101</v>
      </c>
      <c r="B42" s="135" t="s">
        <v>702</v>
      </c>
      <c r="C42" s="135" t="s">
        <v>744</v>
      </c>
      <c r="D42" s="271" t="s">
        <v>745</v>
      </c>
      <c r="E42" s="271"/>
      <c r="F42" s="135" t="s">
        <v>164</v>
      </c>
      <c r="G42" s="131">
        <v>3</v>
      </c>
      <c r="H42" s="147">
        <v>0</v>
      </c>
    </row>
    <row r="43" spans="1:8" x14ac:dyDescent="0.25">
      <c r="A43" s="148"/>
      <c r="D43" s="149" t="s">
        <v>68</v>
      </c>
      <c r="E43" s="328" t="s">
        <v>53</v>
      </c>
      <c r="F43" s="328"/>
      <c r="G43" s="150">
        <v>3</v>
      </c>
      <c r="H43" s="151"/>
    </row>
    <row r="44" spans="1:8" x14ac:dyDescent="0.25">
      <c r="A44" s="134" t="s">
        <v>116</v>
      </c>
      <c r="B44" s="135" t="s">
        <v>702</v>
      </c>
      <c r="C44" s="135" t="s">
        <v>746</v>
      </c>
      <c r="D44" s="271" t="s">
        <v>747</v>
      </c>
      <c r="E44" s="271"/>
      <c r="F44" s="135" t="s">
        <v>164</v>
      </c>
      <c r="G44" s="131">
        <v>6</v>
      </c>
      <c r="H44" s="147">
        <v>0</v>
      </c>
    </row>
    <row r="45" spans="1:8" x14ac:dyDescent="0.25">
      <c r="A45" s="148"/>
      <c r="D45" s="149" t="s">
        <v>81</v>
      </c>
      <c r="E45" s="328" t="s">
        <v>53</v>
      </c>
      <c r="F45" s="328"/>
      <c r="G45" s="150">
        <v>6</v>
      </c>
      <c r="H45" s="151"/>
    </row>
    <row r="46" spans="1:8" x14ac:dyDescent="0.25">
      <c r="A46" s="134" t="s">
        <v>119</v>
      </c>
      <c r="B46" s="135" t="s">
        <v>702</v>
      </c>
      <c r="C46" s="135" t="s">
        <v>748</v>
      </c>
      <c r="D46" s="271" t="s">
        <v>749</v>
      </c>
      <c r="E46" s="271"/>
      <c r="F46" s="135" t="s">
        <v>164</v>
      </c>
      <c r="G46" s="131">
        <v>6</v>
      </c>
      <c r="H46" s="147">
        <v>0</v>
      </c>
    </row>
    <row r="47" spans="1:8" x14ac:dyDescent="0.25">
      <c r="A47" s="148"/>
      <c r="D47" s="149" t="s">
        <v>81</v>
      </c>
      <c r="E47" s="328" t="s">
        <v>53</v>
      </c>
      <c r="F47" s="328"/>
      <c r="G47" s="150">
        <v>6</v>
      </c>
      <c r="H47" s="151"/>
    </row>
    <row r="48" spans="1:8" x14ac:dyDescent="0.25">
      <c r="A48" s="134" t="s">
        <v>124</v>
      </c>
      <c r="B48" s="135" t="s">
        <v>702</v>
      </c>
      <c r="C48" s="135" t="s">
        <v>750</v>
      </c>
      <c r="D48" s="271" t="s">
        <v>751</v>
      </c>
      <c r="E48" s="271"/>
      <c r="F48" s="135" t="s">
        <v>164</v>
      </c>
      <c r="G48" s="131">
        <v>3</v>
      </c>
      <c r="H48" s="147">
        <v>0</v>
      </c>
    </row>
    <row r="49" spans="1:8" x14ac:dyDescent="0.25">
      <c r="A49" s="148"/>
      <c r="D49" s="149" t="s">
        <v>68</v>
      </c>
      <c r="E49" s="328" t="s">
        <v>53</v>
      </c>
      <c r="F49" s="328"/>
      <c r="G49" s="150">
        <v>3</v>
      </c>
      <c r="H49" s="151"/>
    </row>
    <row r="50" spans="1:8" x14ac:dyDescent="0.25">
      <c r="A50" s="134" t="s">
        <v>128</v>
      </c>
      <c r="B50" s="135" t="s">
        <v>702</v>
      </c>
      <c r="C50" s="135" t="s">
        <v>752</v>
      </c>
      <c r="D50" s="271" t="s">
        <v>753</v>
      </c>
      <c r="E50" s="271"/>
      <c r="F50" s="135" t="s">
        <v>164</v>
      </c>
      <c r="G50" s="131">
        <v>3</v>
      </c>
      <c r="H50" s="147">
        <v>0</v>
      </c>
    </row>
    <row r="51" spans="1:8" x14ac:dyDescent="0.25">
      <c r="A51" s="148"/>
      <c r="D51" s="149" t="s">
        <v>68</v>
      </c>
      <c r="E51" s="328" t="s">
        <v>53</v>
      </c>
      <c r="F51" s="328"/>
      <c r="G51" s="150">
        <v>3</v>
      </c>
      <c r="H51" s="151"/>
    </row>
    <row r="52" spans="1:8" x14ac:dyDescent="0.25">
      <c r="A52" s="134" t="s">
        <v>131</v>
      </c>
      <c r="B52" s="135" t="s">
        <v>702</v>
      </c>
      <c r="C52" s="135" t="s">
        <v>414</v>
      </c>
      <c r="D52" s="271" t="s">
        <v>415</v>
      </c>
      <c r="E52" s="271"/>
      <c r="F52" s="135" t="s">
        <v>416</v>
      </c>
      <c r="G52" s="131">
        <v>1</v>
      </c>
      <c r="H52" s="147">
        <v>0</v>
      </c>
    </row>
    <row r="53" spans="1:8" x14ac:dyDescent="0.25">
      <c r="A53" s="148"/>
      <c r="D53" s="149" t="s">
        <v>56</v>
      </c>
      <c r="E53" s="328" t="s">
        <v>53</v>
      </c>
      <c r="F53" s="328"/>
      <c r="G53" s="150">
        <v>1</v>
      </c>
      <c r="H53" s="151"/>
    </row>
    <row r="54" spans="1:8" x14ac:dyDescent="0.25">
      <c r="A54" s="134" t="s">
        <v>135</v>
      </c>
      <c r="B54" s="135" t="s">
        <v>702</v>
      </c>
      <c r="C54" s="135" t="s">
        <v>422</v>
      </c>
      <c r="D54" s="271" t="s">
        <v>420</v>
      </c>
      <c r="E54" s="271"/>
      <c r="F54" s="135" t="s">
        <v>416</v>
      </c>
      <c r="G54" s="131">
        <v>1</v>
      </c>
      <c r="H54" s="147">
        <v>0</v>
      </c>
    </row>
    <row r="55" spans="1:8" x14ac:dyDescent="0.25">
      <c r="A55" s="148"/>
      <c r="D55" s="149" t="s">
        <v>56</v>
      </c>
      <c r="E55" s="328" t="s">
        <v>53</v>
      </c>
      <c r="F55" s="328"/>
      <c r="G55" s="150">
        <v>1</v>
      </c>
      <c r="H55" s="151"/>
    </row>
    <row r="56" spans="1:8" x14ac:dyDescent="0.25">
      <c r="A56" s="134" t="s">
        <v>139</v>
      </c>
      <c r="B56" s="135" t="s">
        <v>702</v>
      </c>
      <c r="C56" s="135" t="s">
        <v>427</v>
      </c>
      <c r="D56" s="271" t="s">
        <v>428</v>
      </c>
      <c r="E56" s="271"/>
      <c r="F56" s="135" t="s">
        <v>416</v>
      </c>
      <c r="G56" s="131">
        <v>1</v>
      </c>
      <c r="H56" s="147">
        <v>0</v>
      </c>
    </row>
    <row r="57" spans="1:8" x14ac:dyDescent="0.25">
      <c r="A57" s="148"/>
      <c r="D57" s="149" t="s">
        <v>619</v>
      </c>
      <c r="E57" s="328" t="s">
        <v>53</v>
      </c>
      <c r="F57" s="328"/>
      <c r="G57" s="150">
        <v>1</v>
      </c>
      <c r="H57" s="151"/>
    </row>
    <row r="58" spans="1:8" x14ac:dyDescent="0.25">
      <c r="A58" s="170" t="s">
        <v>53</v>
      </c>
      <c r="B58" s="124" t="s">
        <v>756</v>
      </c>
      <c r="C58" s="124" t="s">
        <v>53</v>
      </c>
      <c r="D58" s="273" t="s">
        <v>755</v>
      </c>
      <c r="E58" s="273"/>
      <c r="F58" s="124" t="s">
        <v>53</v>
      </c>
      <c r="G58" s="115" t="s">
        <v>53</v>
      </c>
      <c r="H58" s="126" t="s">
        <v>53</v>
      </c>
    </row>
    <row r="59" spans="1:8" x14ac:dyDescent="0.25">
      <c r="A59" s="134" t="s">
        <v>142</v>
      </c>
      <c r="B59" s="135" t="s">
        <v>756</v>
      </c>
      <c r="C59" s="135" t="s">
        <v>703</v>
      </c>
      <c r="D59" s="271" t="s">
        <v>704</v>
      </c>
      <c r="E59" s="271"/>
      <c r="F59" s="135" t="s">
        <v>705</v>
      </c>
      <c r="G59" s="131">
        <v>8</v>
      </c>
      <c r="H59" s="147">
        <v>0</v>
      </c>
    </row>
    <row r="60" spans="1:8" x14ac:dyDescent="0.25">
      <c r="A60" s="148"/>
      <c r="D60" s="149" t="s">
        <v>87</v>
      </c>
      <c r="E60" s="328" t="s">
        <v>53</v>
      </c>
      <c r="F60" s="328"/>
      <c r="G60" s="150">
        <v>8</v>
      </c>
      <c r="H60" s="151"/>
    </row>
    <row r="61" spans="1:8" x14ac:dyDescent="0.25">
      <c r="A61" s="134" t="s">
        <v>145</v>
      </c>
      <c r="B61" s="135" t="s">
        <v>756</v>
      </c>
      <c r="C61" s="135" t="s">
        <v>708</v>
      </c>
      <c r="D61" s="271" t="s">
        <v>709</v>
      </c>
      <c r="E61" s="271"/>
      <c r="F61" s="135" t="s">
        <v>79</v>
      </c>
      <c r="G61" s="131">
        <v>24</v>
      </c>
      <c r="H61" s="147">
        <v>0</v>
      </c>
    </row>
    <row r="62" spans="1:8" x14ac:dyDescent="0.25">
      <c r="A62" s="148"/>
      <c r="D62" s="149" t="s">
        <v>1119</v>
      </c>
      <c r="E62" s="328" t="s">
        <v>53</v>
      </c>
      <c r="F62" s="328"/>
      <c r="G62" s="150">
        <v>24</v>
      </c>
      <c r="H62" s="151"/>
    </row>
    <row r="63" spans="1:8" x14ac:dyDescent="0.25">
      <c r="A63" s="134" t="s">
        <v>150</v>
      </c>
      <c r="B63" s="135" t="s">
        <v>756</v>
      </c>
      <c r="C63" s="135" t="s">
        <v>114</v>
      </c>
      <c r="D63" s="271" t="s">
        <v>710</v>
      </c>
      <c r="E63" s="271"/>
      <c r="F63" s="135" t="s">
        <v>79</v>
      </c>
      <c r="G63" s="131">
        <v>6</v>
      </c>
      <c r="H63" s="147">
        <v>0</v>
      </c>
    </row>
    <row r="64" spans="1:8" x14ac:dyDescent="0.25">
      <c r="A64" s="148"/>
      <c r="D64" s="149" t="s">
        <v>1120</v>
      </c>
      <c r="E64" s="328" t="s">
        <v>53</v>
      </c>
      <c r="F64" s="328"/>
      <c r="G64" s="150">
        <v>6</v>
      </c>
      <c r="H64" s="151"/>
    </row>
    <row r="65" spans="1:8" x14ac:dyDescent="0.25">
      <c r="A65" s="134" t="s">
        <v>155</v>
      </c>
      <c r="B65" s="135" t="s">
        <v>756</v>
      </c>
      <c r="C65" s="135" t="s">
        <v>712</v>
      </c>
      <c r="D65" s="271" t="s">
        <v>713</v>
      </c>
      <c r="E65" s="271"/>
      <c r="F65" s="135" t="s">
        <v>122</v>
      </c>
      <c r="G65" s="131">
        <v>15</v>
      </c>
      <c r="H65" s="147">
        <v>0</v>
      </c>
    </row>
    <row r="66" spans="1:8" x14ac:dyDescent="0.25">
      <c r="A66" s="148"/>
      <c r="D66" s="149" t="s">
        <v>1121</v>
      </c>
      <c r="E66" s="328" t="s">
        <v>53</v>
      </c>
      <c r="F66" s="328"/>
      <c r="G66" s="150">
        <v>15</v>
      </c>
      <c r="H66" s="151"/>
    </row>
    <row r="67" spans="1:8" x14ac:dyDescent="0.25">
      <c r="A67" s="134" t="s">
        <v>158</v>
      </c>
      <c r="B67" s="135" t="s">
        <v>756</v>
      </c>
      <c r="C67" s="135" t="s">
        <v>129</v>
      </c>
      <c r="D67" s="271" t="s">
        <v>714</v>
      </c>
      <c r="E67" s="271"/>
      <c r="F67" s="135" t="s">
        <v>79</v>
      </c>
      <c r="G67" s="131">
        <v>24</v>
      </c>
      <c r="H67" s="147">
        <v>0</v>
      </c>
    </row>
    <row r="68" spans="1:8" x14ac:dyDescent="0.25">
      <c r="A68" s="148"/>
      <c r="D68" s="149" t="s">
        <v>142</v>
      </c>
      <c r="E68" s="328" t="s">
        <v>53</v>
      </c>
      <c r="F68" s="328"/>
      <c r="G68" s="150">
        <v>24</v>
      </c>
      <c r="H68" s="151"/>
    </row>
    <row r="69" spans="1:8" x14ac:dyDescent="0.25">
      <c r="A69" s="134" t="s">
        <v>161</v>
      </c>
      <c r="B69" s="135" t="s">
        <v>756</v>
      </c>
      <c r="C69" s="135" t="s">
        <v>716</v>
      </c>
      <c r="D69" s="271" t="s">
        <v>717</v>
      </c>
      <c r="E69" s="271"/>
      <c r="F69" s="135" t="s">
        <v>79</v>
      </c>
      <c r="G69" s="131">
        <v>6</v>
      </c>
      <c r="H69" s="147">
        <v>0</v>
      </c>
    </row>
    <row r="70" spans="1:8" x14ac:dyDescent="0.25">
      <c r="A70" s="148"/>
      <c r="D70" s="149" t="s">
        <v>1122</v>
      </c>
      <c r="E70" s="328" t="s">
        <v>53</v>
      </c>
      <c r="F70" s="328"/>
      <c r="G70" s="150">
        <v>6</v>
      </c>
      <c r="H70" s="151"/>
    </row>
    <row r="71" spans="1:8" x14ac:dyDescent="0.25">
      <c r="A71" s="134" t="s">
        <v>165</v>
      </c>
      <c r="B71" s="135" t="s">
        <v>756</v>
      </c>
      <c r="C71" s="135" t="s">
        <v>719</v>
      </c>
      <c r="D71" s="271" t="s">
        <v>720</v>
      </c>
      <c r="E71" s="271"/>
      <c r="F71" s="135" t="s">
        <v>59</v>
      </c>
      <c r="G71" s="131">
        <v>6</v>
      </c>
      <c r="H71" s="147">
        <v>0</v>
      </c>
    </row>
    <row r="72" spans="1:8" x14ac:dyDescent="0.25">
      <c r="A72" s="148"/>
      <c r="D72" s="149" t="s">
        <v>1122</v>
      </c>
      <c r="E72" s="328" t="s">
        <v>53</v>
      </c>
      <c r="F72" s="328"/>
      <c r="G72" s="150">
        <v>6</v>
      </c>
      <c r="H72" s="151"/>
    </row>
    <row r="73" spans="1:8" x14ac:dyDescent="0.25">
      <c r="A73" s="134" t="s">
        <v>169</v>
      </c>
      <c r="B73" s="135" t="s">
        <v>756</v>
      </c>
      <c r="C73" s="135" t="s">
        <v>721</v>
      </c>
      <c r="D73" s="271" t="s">
        <v>722</v>
      </c>
      <c r="E73" s="271"/>
      <c r="F73" s="135" t="s">
        <v>164</v>
      </c>
      <c r="G73" s="131">
        <v>6</v>
      </c>
      <c r="H73" s="147">
        <v>0</v>
      </c>
    </row>
    <row r="74" spans="1:8" x14ac:dyDescent="0.25">
      <c r="A74" s="148"/>
      <c r="D74" s="149" t="s">
        <v>81</v>
      </c>
      <c r="E74" s="328" t="s">
        <v>53</v>
      </c>
      <c r="F74" s="328"/>
      <c r="G74" s="150">
        <v>6</v>
      </c>
      <c r="H74" s="151"/>
    </row>
    <row r="75" spans="1:8" x14ac:dyDescent="0.25">
      <c r="A75" s="134" t="s">
        <v>174</v>
      </c>
      <c r="B75" s="135" t="s">
        <v>756</v>
      </c>
      <c r="C75" s="135" t="s">
        <v>723</v>
      </c>
      <c r="D75" s="271" t="s">
        <v>724</v>
      </c>
      <c r="E75" s="271"/>
      <c r="F75" s="135" t="s">
        <v>164</v>
      </c>
      <c r="G75" s="131">
        <v>12</v>
      </c>
      <c r="H75" s="147">
        <v>0</v>
      </c>
    </row>
    <row r="76" spans="1:8" x14ac:dyDescent="0.25">
      <c r="A76" s="148"/>
      <c r="D76" s="149" t="s">
        <v>1123</v>
      </c>
      <c r="E76" s="328" t="s">
        <v>53</v>
      </c>
      <c r="F76" s="328"/>
      <c r="G76" s="150">
        <v>12</v>
      </c>
      <c r="H76" s="151"/>
    </row>
    <row r="77" spans="1:8" x14ac:dyDescent="0.25">
      <c r="A77" s="134" t="s">
        <v>148</v>
      </c>
      <c r="B77" s="135" t="s">
        <v>756</v>
      </c>
      <c r="C77" s="135" t="s">
        <v>725</v>
      </c>
      <c r="D77" s="271" t="s">
        <v>726</v>
      </c>
      <c r="E77" s="271"/>
      <c r="F77" s="135" t="s">
        <v>164</v>
      </c>
      <c r="G77" s="131">
        <v>4</v>
      </c>
      <c r="H77" s="147">
        <v>0</v>
      </c>
    </row>
    <row r="78" spans="1:8" x14ac:dyDescent="0.25">
      <c r="A78" s="148"/>
      <c r="D78" s="149" t="s">
        <v>71</v>
      </c>
      <c r="E78" s="328" t="s">
        <v>53</v>
      </c>
      <c r="F78" s="328"/>
      <c r="G78" s="150">
        <v>4</v>
      </c>
      <c r="H78" s="151"/>
    </row>
    <row r="79" spans="1:8" x14ac:dyDescent="0.25">
      <c r="A79" s="134" t="s">
        <v>183</v>
      </c>
      <c r="B79" s="135" t="s">
        <v>756</v>
      </c>
      <c r="C79" s="135" t="s">
        <v>727</v>
      </c>
      <c r="D79" s="271" t="s">
        <v>728</v>
      </c>
      <c r="E79" s="271"/>
      <c r="F79" s="135" t="s">
        <v>164</v>
      </c>
      <c r="G79" s="131">
        <v>2</v>
      </c>
      <c r="H79" s="147">
        <v>0</v>
      </c>
    </row>
    <row r="80" spans="1:8" x14ac:dyDescent="0.25">
      <c r="A80" s="148"/>
      <c r="D80" s="149" t="s">
        <v>64</v>
      </c>
      <c r="E80" s="328" t="s">
        <v>53</v>
      </c>
      <c r="F80" s="328"/>
      <c r="G80" s="150">
        <v>2</v>
      </c>
      <c r="H80" s="151"/>
    </row>
    <row r="81" spans="1:8" x14ac:dyDescent="0.25">
      <c r="A81" s="134" t="s">
        <v>186</v>
      </c>
      <c r="B81" s="135" t="s">
        <v>756</v>
      </c>
      <c r="C81" s="135" t="s">
        <v>729</v>
      </c>
      <c r="D81" s="271" t="s">
        <v>730</v>
      </c>
      <c r="E81" s="271"/>
      <c r="F81" s="135" t="s">
        <v>79</v>
      </c>
      <c r="G81" s="131">
        <v>6</v>
      </c>
      <c r="H81" s="147">
        <v>0</v>
      </c>
    </row>
    <row r="82" spans="1:8" x14ac:dyDescent="0.25">
      <c r="A82" s="148"/>
      <c r="D82" s="149" t="s">
        <v>1122</v>
      </c>
      <c r="E82" s="328" t="s">
        <v>53</v>
      </c>
      <c r="F82" s="328"/>
      <c r="G82" s="150">
        <v>6</v>
      </c>
      <c r="H82" s="151"/>
    </row>
    <row r="83" spans="1:8" x14ac:dyDescent="0.25">
      <c r="A83" s="134" t="s">
        <v>189</v>
      </c>
      <c r="B83" s="135" t="s">
        <v>756</v>
      </c>
      <c r="C83" s="135" t="s">
        <v>733</v>
      </c>
      <c r="D83" s="271" t="s">
        <v>734</v>
      </c>
      <c r="E83" s="271"/>
      <c r="F83" s="135" t="s">
        <v>164</v>
      </c>
      <c r="G83" s="131">
        <v>6</v>
      </c>
      <c r="H83" s="147">
        <v>0</v>
      </c>
    </row>
    <row r="84" spans="1:8" x14ac:dyDescent="0.25">
      <c r="A84" s="148"/>
      <c r="D84" s="149" t="s">
        <v>81</v>
      </c>
      <c r="E84" s="328" t="s">
        <v>53</v>
      </c>
      <c r="F84" s="328"/>
      <c r="G84" s="150">
        <v>6</v>
      </c>
      <c r="H84" s="151"/>
    </row>
    <row r="85" spans="1:8" x14ac:dyDescent="0.25">
      <c r="A85" s="134" t="s">
        <v>191</v>
      </c>
      <c r="B85" s="135" t="s">
        <v>756</v>
      </c>
      <c r="C85" s="135" t="s">
        <v>738</v>
      </c>
      <c r="D85" s="271" t="s">
        <v>739</v>
      </c>
      <c r="E85" s="271"/>
      <c r="F85" s="135" t="s">
        <v>122</v>
      </c>
      <c r="G85" s="131">
        <v>35.33</v>
      </c>
      <c r="H85" s="147">
        <v>0</v>
      </c>
    </row>
    <row r="86" spans="1:8" x14ac:dyDescent="0.25">
      <c r="A86" s="148"/>
      <c r="D86" s="149" t="s">
        <v>1125</v>
      </c>
      <c r="E86" s="328" t="s">
        <v>53</v>
      </c>
      <c r="F86" s="328"/>
      <c r="G86" s="150">
        <v>35.33</v>
      </c>
      <c r="H86" s="151"/>
    </row>
    <row r="87" spans="1:8" x14ac:dyDescent="0.25">
      <c r="A87" s="134" t="s">
        <v>194</v>
      </c>
      <c r="B87" s="135" t="s">
        <v>756</v>
      </c>
      <c r="C87" s="135" t="s">
        <v>741</v>
      </c>
      <c r="D87" s="271" t="s">
        <v>742</v>
      </c>
      <c r="E87" s="271"/>
      <c r="F87" s="135" t="s">
        <v>164</v>
      </c>
      <c r="G87" s="131">
        <v>6</v>
      </c>
      <c r="H87" s="147">
        <v>0</v>
      </c>
    </row>
    <row r="88" spans="1:8" x14ac:dyDescent="0.25">
      <c r="A88" s="148"/>
      <c r="D88" s="149" t="s">
        <v>81</v>
      </c>
      <c r="E88" s="328" t="s">
        <v>53</v>
      </c>
      <c r="F88" s="328"/>
      <c r="G88" s="150">
        <v>6</v>
      </c>
      <c r="H88" s="151"/>
    </row>
    <row r="89" spans="1:8" x14ac:dyDescent="0.25">
      <c r="A89" s="134" t="s">
        <v>197</v>
      </c>
      <c r="B89" s="135" t="s">
        <v>756</v>
      </c>
      <c r="C89" s="135" t="s">
        <v>746</v>
      </c>
      <c r="D89" s="271" t="s">
        <v>747</v>
      </c>
      <c r="E89" s="271"/>
      <c r="F89" s="135" t="s">
        <v>164</v>
      </c>
      <c r="G89" s="131">
        <v>6</v>
      </c>
      <c r="H89" s="147">
        <v>0</v>
      </c>
    </row>
    <row r="90" spans="1:8" x14ac:dyDescent="0.25">
      <c r="A90" s="148"/>
      <c r="D90" s="149" t="s">
        <v>81</v>
      </c>
      <c r="E90" s="328" t="s">
        <v>53</v>
      </c>
      <c r="F90" s="328"/>
      <c r="G90" s="150">
        <v>6</v>
      </c>
      <c r="H90" s="151"/>
    </row>
    <row r="91" spans="1:8" x14ac:dyDescent="0.25">
      <c r="A91" s="134" t="s">
        <v>199</v>
      </c>
      <c r="B91" s="135" t="s">
        <v>756</v>
      </c>
      <c r="C91" s="135" t="s">
        <v>748</v>
      </c>
      <c r="D91" s="271" t="s">
        <v>749</v>
      </c>
      <c r="E91" s="271"/>
      <c r="F91" s="135" t="s">
        <v>164</v>
      </c>
      <c r="G91" s="131">
        <v>6</v>
      </c>
      <c r="H91" s="147">
        <v>0</v>
      </c>
    </row>
    <row r="92" spans="1:8" x14ac:dyDescent="0.25">
      <c r="A92" s="148"/>
      <c r="D92" s="149" t="s">
        <v>81</v>
      </c>
      <c r="E92" s="328" t="s">
        <v>53</v>
      </c>
      <c r="F92" s="328"/>
      <c r="G92" s="150">
        <v>6</v>
      </c>
      <c r="H92" s="151"/>
    </row>
    <row r="93" spans="1:8" x14ac:dyDescent="0.25">
      <c r="A93" s="134" t="s">
        <v>201</v>
      </c>
      <c r="B93" s="135" t="s">
        <v>756</v>
      </c>
      <c r="C93" s="135" t="s">
        <v>750</v>
      </c>
      <c r="D93" s="271" t="s">
        <v>751</v>
      </c>
      <c r="E93" s="271"/>
      <c r="F93" s="135" t="s">
        <v>164</v>
      </c>
      <c r="G93" s="131">
        <v>4</v>
      </c>
      <c r="H93" s="147">
        <v>0</v>
      </c>
    </row>
    <row r="94" spans="1:8" x14ac:dyDescent="0.25">
      <c r="A94" s="148"/>
      <c r="D94" s="149" t="s">
        <v>71</v>
      </c>
      <c r="E94" s="328" t="s">
        <v>53</v>
      </c>
      <c r="F94" s="328"/>
      <c r="G94" s="150">
        <v>4</v>
      </c>
      <c r="H94" s="151"/>
    </row>
    <row r="95" spans="1:8" x14ac:dyDescent="0.25">
      <c r="A95" s="134" t="s">
        <v>203</v>
      </c>
      <c r="B95" s="135" t="s">
        <v>756</v>
      </c>
      <c r="C95" s="135" t="s">
        <v>752</v>
      </c>
      <c r="D95" s="271" t="s">
        <v>753</v>
      </c>
      <c r="E95" s="271"/>
      <c r="F95" s="135" t="s">
        <v>164</v>
      </c>
      <c r="G95" s="131">
        <v>2</v>
      </c>
      <c r="H95" s="147">
        <v>0</v>
      </c>
    </row>
    <row r="96" spans="1:8" x14ac:dyDescent="0.25">
      <c r="A96" s="148"/>
      <c r="D96" s="149" t="s">
        <v>64</v>
      </c>
      <c r="E96" s="328" t="s">
        <v>53</v>
      </c>
      <c r="F96" s="328"/>
      <c r="G96" s="150">
        <v>2</v>
      </c>
      <c r="H96" s="151"/>
    </row>
    <row r="97" spans="1:8" x14ac:dyDescent="0.25">
      <c r="A97" s="134" t="s">
        <v>208</v>
      </c>
      <c r="B97" s="135" t="s">
        <v>756</v>
      </c>
      <c r="C97" s="135" t="s">
        <v>414</v>
      </c>
      <c r="D97" s="271" t="s">
        <v>415</v>
      </c>
      <c r="E97" s="271"/>
      <c r="F97" s="135" t="s">
        <v>416</v>
      </c>
      <c r="G97" s="131">
        <v>1</v>
      </c>
      <c r="H97" s="147">
        <v>0</v>
      </c>
    </row>
    <row r="98" spans="1:8" x14ac:dyDescent="0.25">
      <c r="A98" s="148"/>
      <c r="D98" s="149" t="s">
        <v>56</v>
      </c>
      <c r="E98" s="328" t="s">
        <v>53</v>
      </c>
      <c r="F98" s="328"/>
      <c r="G98" s="150">
        <v>1</v>
      </c>
      <c r="H98" s="151"/>
    </row>
    <row r="99" spans="1:8" x14ac:dyDescent="0.25">
      <c r="A99" s="134" t="s">
        <v>212</v>
      </c>
      <c r="B99" s="135" t="s">
        <v>756</v>
      </c>
      <c r="C99" s="135" t="s">
        <v>422</v>
      </c>
      <c r="D99" s="271" t="s">
        <v>420</v>
      </c>
      <c r="E99" s="271"/>
      <c r="F99" s="135" t="s">
        <v>416</v>
      </c>
      <c r="G99" s="131">
        <v>1</v>
      </c>
      <c r="H99" s="147">
        <v>0</v>
      </c>
    </row>
    <row r="100" spans="1:8" x14ac:dyDescent="0.25">
      <c r="A100" s="148"/>
      <c r="D100" s="149" t="s">
        <v>56</v>
      </c>
      <c r="E100" s="328" t="s">
        <v>53</v>
      </c>
      <c r="F100" s="328"/>
      <c r="G100" s="150">
        <v>1</v>
      </c>
      <c r="H100" s="151"/>
    </row>
    <row r="101" spans="1:8" x14ac:dyDescent="0.25">
      <c r="A101" s="134" t="s">
        <v>167</v>
      </c>
      <c r="B101" s="135" t="s">
        <v>756</v>
      </c>
      <c r="C101" s="135" t="s">
        <v>427</v>
      </c>
      <c r="D101" s="271" t="s">
        <v>428</v>
      </c>
      <c r="E101" s="271"/>
      <c r="F101" s="135" t="s">
        <v>416</v>
      </c>
      <c r="G101" s="131">
        <v>1</v>
      </c>
      <c r="H101" s="147">
        <v>0</v>
      </c>
    </row>
    <row r="102" spans="1:8" x14ac:dyDescent="0.25">
      <c r="A102" s="148"/>
      <c r="D102" s="149" t="s">
        <v>619</v>
      </c>
      <c r="E102" s="328" t="s">
        <v>53</v>
      </c>
      <c r="F102" s="328"/>
      <c r="G102" s="150">
        <v>1</v>
      </c>
      <c r="H102" s="151"/>
    </row>
    <row r="103" spans="1:8" x14ac:dyDescent="0.25">
      <c r="A103" s="170" t="s">
        <v>53</v>
      </c>
      <c r="B103" s="124" t="s">
        <v>764</v>
      </c>
      <c r="C103" s="124" t="s">
        <v>53</v>
      </c>
      <c r="D103" s="273" t="s">
        <v>763</v>
      </c>
      <c r="E103" s="273"/>
      <c r="F103" s="124" t="s">
        <v>53</v>
      </c>
      <c r="G103" s="115" t="s">
        <v>53</v>
      </c>
      <c r="H103" s="126" t="s">
        <v>53</v>
      </c>
    </row>
    <row r="104" spans="1:8" x14ac:dyDescent="0.25">
      <c r="A104" s="134" t="s">
        <v>220</v>
      </c>
      <c r="B104" s="135" t="s">
        <v>764</v>
      </c>
      <c r="C104" s="135" t="s">
        <v>703</v>
      </c>
      <c r="D104" s="271" t="s">
        <v>704</v>
      </c>
      <c r="E104" s="271"/>
      <c r="F104" s="135" t="s">
        <v>705</v>
      </c>
      <c r="G104" s="131">
        <v>8</v>
      </c>
      <c r="H104" s="147">
        <v>0</v>
      </c>
    </row>
    <row r="105" spans="1:8" x14ac:dyDescent="0.25">
      <c r="A105" s="148"/>
      <c r="D105" s="149" t="s">
        <v>87</v>
      </c>
      <c r="E105" s="328" t="s">
        <v>53</v>
      </c>
      <c r="F105" s="328"/>
      <c r="G105" s="150">
        <v>8</v>
      </c>
      <c r="H105" s="151"/>
    </row>
    <row r="106" spans="1:8" x14ac:dyDescent="0.25">
      <c r="A106" s="134" t="s">
        <v>223</v>
      </c>
      <c r="B106" s="135" t="s">
        <v>764</v>
      </c>
      <c r="C106" s="135" t="s">
        <v>708</v>
      </c>
      <c r="D106" s="271" t="s">
        <v>709</v>
      </c>
      <c r="E106" s="271"/>
      <c r="F106" s="135" t="s">
        <v>79</v>
      </c>
      <c r="G106" s="131">
        <v>16</v>
      </c>
      <c r="H106" s="147">
        <v>0</v>
      </c>
    </row>
    <row r="107" spans="1:8" x14ac:dyDescent="0.25">
      <c r="A107" s="148"/>
      <c r="D107" s="149" t="s">
        <v>1126</v>
      </c>
      <c r="E107" s="328" t="s">
        <v>53</v>
      </c>
      <c r="F107" s="328"/>
      <c r="G107" s="150">
        <v>16</v>
      </c>
      <c r="H107" s="151"/>
    </row>
    <row r="108" spans="1:8" x14ac:dyDescent="0.25">
      <c r="A108" s="134" t="s">
        <v>226</v>
      </c>
      <c r="B108" s="135" t="s">
        <v>764</v>
      </c>
      <c r="C108" s="135" t="s">
        <v>114</v>
      </c>
      <c r="D108" s="271" t="s">
        <v>710</v>
      </c>
      <c r="E108" s="271"/>
      <c r="F108" s="135" t="s">
        <v>79</v>
      </c>
      <c r="G108" s="131">
        <v>4</v>
      </c>
      <c r="H108" s="147">
        <v>0</v>
      </c>
    </row>
    <row r="109" spans="1:8" x14ac:dyDescent="0.25">
      <c r="A109" s="148"/>
      <c r="D109" s="149" t="s">
        <v>1127</v>
      </c>
      <c r="E109" s="328" t="s">
        <v>53</v>
      </c>
      <c r="F109" s="328"/>
      <c r="G109" s="150">
        <v>4</v>
      </c>
      <c r="H109" s="151"/>
    </row>
    <row r="110" spans="1:8" x14ac:dyDescent="0.25">
      <c r="A110" s="134" t="s">
        <v>229</v>
      </c>
      <c r="B110" s="135" t="s">
        <v>764</v>
      </c>
      <c r="C110" s="135" t="s">
        <v>712</v>
      </c>
      <c r="D110" s="271" t="s">
        <v>713</v>
      </c>
      <c r="E110" s="271"/>
      <c r="F110" s="135" t="s">
        <v>122</v>
      </c>
      <c r="G110" s="131">
        <v>10</v>
      </c>
      <c r="H110" s="147">
        <v>0</v>
      </c>
    </row>
    <row r="111" spans="1:8" x14ac:dyDescent="0.25">
      <c r="A111" s="148"/>
      <c r="D111" s="149" t="s">
        <v>1128</v>
      </c>
      <c r="E111" s="328" t="s">
        <v>53</v>
      </c>
      <c r="F111" s="328"/>
      <c r="G111" s="150">
        <v>10</v>
      </c>
      <c r="H111" s="151"/>
    </row>
    <row r="112" spans="1:8" x14ac:dyDescent="0.25">
      <c r="A112" s="134" t="s">
        <v>234</v>
      </c>
      <c r="B112" s="135" t="s">
        <v>764</v>
      </c>
      <c r="C112" s="135" t="s">
        <v>129</v>
      </c>
      <c r="D112" s="271" t="s">
        <v>714</v>
      </c>
      <c r="E112" s="271"/>
      <c r="F112" s="135" t="s">
        <v>79</v>
      </c>
      <c r="G112" s="131">
        <v>16</v>
      </c>
      <c r="H112" s="147">
        <v>0</v>
      </c>
    </row>
    <row r="113" spans="1:8" x14ac:dyDescent="0.25">
      <c r="A113" s="148"/>
      <c r="D113" s="149" t="s">
        <v>101</v>
      </c>
      <c r="E113" s="328" t="s">
        <v>53</v>
      </c>
      <c r="F113" s="328"/>
      <c r="G113" s="150">
        <v>16</v>
      </c>
      <c r="H113" s="151"/>
    </row>
    <row r="114" spans="1:8" x14ac:dyDescent="0.25">
      <c r="A114" s="134" t="s">
        <v>239</v>
      </c>
      <c r="B114" s="135" t="s">
        <v>764</v>
      </c>
      <c r="C114" s="135" t="s">
        <v>716</v>
      </c>
      <c r="D114" s="271" t="s">
        <v>717</v>
      </c>
      <c r="E114" s="271"/>
      <c r="F114" s="135" t="s">
        <v>79</v>
      </c>
      <c r="G114" s="131">
        <v>4</v>
      </c>
      <c r="H114" s="147">
        <v>0</v>
      </c>
    </row>
    <row r="115" spans="1:8" x14ac:dyDescent="0.25">
      <c r="A115" s="148"/>
      <c r="D115" s="149" t="s">
        <v>1129</v>
      </c>
      <c r="E115" s="328" t="s">
        <v>53</v>
      </c>
      <c r="F115" s="328"/>
      <c r="G115" s="150">
        <v>4</v>
      </c>
      <c r="H115" s="151"/>
    </row>
    <row r="116" spans="1:8" x14ac:dyDescent="0.25">
      <c r="A116" s="134" t="s">
        <v>244</v>
      </c>
      <c r="B116" s="135" t="s">
        <v>764</v>
      </c>
      <c r="C116" s="135" t="s">
        <v>719</v>
      </c>
      <c r="D116" s="271" t="s">
        <v>720</v>
      </c>
      <c r="E116" s="271"/>
      <c r="F116" s="135" t="s">
        <v>59</v>
      </c>
      <c r="G116" s="131">
        <v>4</v>
      </c>
      <c r="H116" s="147">
        <v>0</v>
      </c>
    </row>
    <row r="117" spans="1:8" x14ac:dyDescent="0.25">
      <c r="A117" s="148"/>
      <c r="D117" s="149" t="s">
        <v>1129</v>
      </c>
      <c r="E117" s="328" t="s">
        <v>53</v>
      </c>
      <c r="F117" s="328"/>
      <c r="G117" s="150">
        <v>4</v>
      </c>
      <c r="H117" s="151"/>
    </row>
    <row r="118" spans="1:8" x14ac:dyDescent="0.25">
      <c r="A118" s="134" t="s">
        <v>251</v>
      </c>
      <c r="B118" s="135" t="s">
        <v>764</v>
      </c>
      <c r="C118" s="135" t="s">
        <v>721</v>
      </c>
      <c r="D118" s="271" t="s">
        <v>722</v>
      </c>
      <c r="E118" s="271"/>
      <c r="F118" s="135" t="s">
        <v>164</v>
      </c>
      <c r="G118" s="131">
        <v>4</v>
      </c>
      <c r="H118" s="147">
        <v>0</v>
      </c>
    </row>
    <row r="119" spans="1:8" x14ac:dyDescent="0.25">
      <c r="A119" s="148"/>
      <c r="D119" s="149" t="s">
        <v>71</v>
      </c>
      <c r="E119" s="328" t="s">
        <v>53</v>
      </c>
      <c r="F119" s="328"/>
      <c r="G119" s="150">
        <v>4</v>
      </c>
      <c r="H119" s="151"/>
    </row>
    <row r="120" spans="1:8" x14ac:dyDescent="0.25">
      <c r="A120" s="134" t="s">
        <v>257</v>
      </c>
      <c r="B120" s="135" t="s">
        <v>764</v>
      </c>
      <c r="C120" s="135" t="s">
        <v>723</v>
      </c>
      <c r="D120" s="271" t="s">
        <v>724</v>
      </c>
      <c r="E120" s="271"/>
      <c r="F120" s="135" t="s">
        <v>164</v>
      </c>
      <c r="G120" s="131">
        <v>8</v>
      </c>
      <c r="H120" s="147">
        <v>0</v>
      </c>
    </row>
    <row r="121" spans="1:8" x14ac:dyDescent="0.25">
      <c r="A121" s="148"/>
      <c r="D121" s="149" t="s">
        <v>1130</v>
      </c>
      <c r="E121" s="328" t="s">
        <v>53</v>
      </c>
      <c r="F121" s="328"/>
      <c r="G121" s="150">
        <v>8</v>
      </c>
      <c r="H121" s="151"/>
    </row>
    <row r="122" spans="1:8" x14ac:dyDescent="0.25">
      <c r="A122" s="134" t="s">
        <v>262</v>
      </c>
      <c r="B122" s="135" t="s">
        <v>764</v>
      </c>
      <c r="C122" s="135" t="s">
        <v>725</v>
      </c>
      <c r="D122" s="271" t="s">
        <v>726</v>
      </c>
      <c r="E122" s="271"/>
      <c r="F122" s="135" t="s">
        <v>164</v>
      </c>
      <c r="G122" s="131">
        <v>1</v>
      </c>
      <c r="H122" s="147">
        <v>0</v>
      </c>
    </row>
    <row r="123" spans="1:8" x14ac:dyDescent="0.25">
      <c r="A123" s="148"/>
      <c r="D123" s="149" t="s">
        <v>56</v>
      </c>
      <c r="E123" s="328" t="s">
        <v>53</v>
      </c>
      <c r="F123" s="328"/>
      <c r="G123" s="150">
        <v>1</v>
      </c>
      <c r="H123" s="151"/>
    </row>
    <row r="124" spans="1:8" x14ac:dyDescent="0.25">
      <c r="A124" s="134" t="s">
        <v>177</v>
      </c>
      <c r="B124" s="135" t="s">
        <v>764</v>
      </c>
      <c r="C124" s="135" t="s">
        <v>727</v>
      </c>
      <c r="D124" s="271" t="s">
        <v>728</v>
      </c>
      <c r="E124" s="271"/>
      <c r="F124" s="135" t="s">
        <v>164</v>
      </c>
      <c r="G124" s="131">
        <v>3</v>
      </c>
      <c r="H124" s="147">
        <v>0</v>
      </c>
    </row>
    <row r="125" spans="1:8" x14ac:dyDescent="0.25">
      <c r="A125" s="148"/>
      <c r="D125" s="149" t="s">
        <v>68</v>
      </c>
      <c r="E125" s="328" t="s">
        <v>53</v>
      </c>
      <c r="F125" s="328"/>
      <c r="G125" s="150">
        <v>3</v>
      </c>
      <c r="H125" s="151"/>
    </row>
    <row r="126" spans="1:8" x14ac:dyDescent="0.25">
      <c r="A126" s="134" t="s">
        <v>206</v>
      </c>
      <c r="B126" s="135" t="s">
        <v>764</v>
      </c>
      <c r="C126" s="135" t="s">
        <v>729</v>
      </c>
      <c r="D126" s="271" t="s">
        <v>730</v>
      </c>
      <c r="E126" s="271"/>
      <c r="F126" s="135" t="s">
        <v>79</v>
      </c>
      <c r="G126" s="131">
        <v>4</v>
      </c>
      <c r="H126" s="147">
        <v>0</v>
      </c>
    </row>
    <row r="127" spans="1:8" x14ac:dyDescent="0.25">
      <c r="A127" s="148"/>
      <c r="D127" s="149" t="s">
        <v>1129</v>
      </c>
      <c r="E127" s="328" t="s">
        <v>53</v>
      </c>
      <c r="F127" s="328"/>
      <c r="G127" s="150">
        <v>4</v>
      </c>
      <c r="H127" s="151"/>
    </row>
    <row r="128" spans="1:8" x14ac:dyDescent="0.25">
      <c r="A128" s="134" t="s">
        <v>271</v>
      </c>
      <c r="B128" s="135" t="s">
        <v>764</v>
      </c>
      <c r="C128" s="135" t="s">
        <v>733</v>
      </c>
      <c r="D128" s="271" t="s">
        <v>734</v>
      </c>
      <c r="E128" s="271"/>
      <c r="F128" s="135" t="s">
        <v>164</v>
      </c>
      <c r="G128" s="131">
        <v>4</v>
      </c>
      <c r="H128" s="147">
        <v>0</v>
      </c>
    </row>
    <row r="129" spans="1:8" x14ac:dyDescent="0.25">
      <c r="A129" s="148"/>
      <c r="D129" s="149" t="s">
        <v>71</v>
      </c>
      <c r="E129" s="328" t="s">
        <v>53</v>
      </c>
      <c r="F129" s="328"/>
      <c r="G129" s="150">
        <v>4</v>
      </c>
      <c r="H129" s="151"/>
    </row>
    <row r="130" spans="1:8" x14ac:dyDescent="0.25">
      <c r="A130" s="134" t="s">
        <v>215</v>
      </c>
      <c r="B130" s="135" t="s">
        <v>764</v>
      </c>
      <c r="C130" s="135" t="s">
        <v>738</v>
      </c>
      <c r="D130" s="271" t="s">
        <v>739</v>
      </c>
      <c r="E130" s="271"/>
      <c r="F130" s="135" t="s">
        <v>122</v>
      </c>
      <c r="G130" s="131">
        <v>23.66</v>
      </c>
      <c r="H130" s="147">
        <v>0</v>
      </c>
    </row>
    <row r="131" spans="1:8" x14ac:dyDescent="0.25">
      <c r="A131" s="148"/>
      <c r="D131" s="149" t="s">
        <v>1131</v>
      </c>
      <c r="E131" s="328" t="s">
        <v>53</v>
      </c>
      <c r="F131" s="328"/>
      <c r="G131" s="150">
        <v>23.66</v>
      </c>
      <c r="H131" s="151"/>
    </row>
    <row r="132" spans="1:8" x14ac:dyDescent="0.25">
      <c r="A132" s="134" t="s">
        <v>277</v>
      </c>
      <c r="B132" s="135" t="s">
        <v>764</v>
      </c>
      <c r="C132" s="135" t="s">
        <v>741</v>
      </c>
      <c r="D132" s="271" t="s">
        <v>742</v>
      </c>
      <c r="E132" s="271"/>
      <c r="F132" s="135" t="s">
        <v>164</v>
      </c>
      <c r="G132" s="131">
        <v>4</v>
      </c>
      <c r="H132" s="147">
        <v>0</v>
      </c>
    </row>
    <row r="133" spans="1:8" x14ac:dyDescent="0.25">
      <c r="A133" s="148"/>
      <c r="D133" s="149" t="s">
        <v>71</v>
      </c>
      <c r="E133" s="328" t="s">
        <v>53</v>
      </c>
      <c r="F133" s="328"/>
      <c r="G133" s="150">
        <v>4</v>
      </c>
      <c r="H133" s="151"/>
    </row>
    <row r="134" spans="1:8" x14ac:dyDescent="0.25">
      <c r="A134" s="134" t="s">
        <v>280</v>
      </c>
      <c r="B134" s="135" t="s">
        <v>764</v>
      </c>
      <c r="C134" s="135" t="s">
        <v>746</v>
      </c>
      <c r="D134" s="271" t="s">
        <v>747</v>
      </c>
      <c r="E134" s="271"/>
      <c r="F134" s="135" t="s">
        <v>164</v>
      </c>
      <c r="G134" s="131">
        <v>4</v>
      </c>
      <c r="H134" s="147">
        <v>0</v>
      </c>
    </row>
    <row r="135" spans="1:8" x14ac:dyDescent="0.25">
      <c r="A135" s="148"/>
      <c r="D135" s="149" t="s">
        <v>71</v>
      </c>
      <c r="E135" s="328" t="s">
        <v>53</v>
      </c>
      <c r="F135" s="328"/>
      <c r="G135" s="150">
        <v>4</v>
      </c>
      <c r="H135" s="151"/>
    </row>
    <row r="136" spans="1:8" x14ac:dyDescent="0.25">
      <c r="A136" s="134" t="s">
        <v>283</v>
      </c>
      <c r="B136" s="135" t="s">
        <v>764</v>
      </c>
      <c r="C136" s="135" t="s">
        <v>748</v>
      </c>
      <c r="D136" s="271" t="s">
        <v>749</v>
      </c>
      <c r="E136" s="271"/>
      <c r="F136" s="135" t="s">
        <v>164</v>
      </c>
      <c r="G136" s="131">
        <v>4</v>
      </c>
      <c r="H136" s="147">
        <v>0</v>
      </c>
    </row>
    <row r="137" spans="1:8" x14ac:dyDescent="0.25">
      <c r="A137" s="148"/>
      <c r="D137" s="149" t="s">
        <v>71</v>
      </c>
      <c r="E137" s="328" t="s">
        <v>53</v>
      </c>
      <c r="F137" s="328"/>
      <c r="G137" s="150">
        <v>4</v>
      </c>
      <c r="H137" s="151"/>
    </row>
    <row r="138" spans="1:8" x14ac:dyDescent="0.25">
      <c r="A138" s="134" t="s">
        <v>232</v>
      </c>
      <c r="B138" s="135" t="s">
        <v>764</v>
      </c>
      <c r="C138" s="135" t="s">
        <v>750</v>
      </c>
      <c r="D138" s="271" t="s">
        <v>751</v>
      </c>
      <c r="E138" s="271"/>
      <c r="F138" s="135" t="s">
        <v>164</v>
      </c>
      <c r="G138" s="131">
        <v>1</v>
      </c>
      <c r="H138" s="147">
        <v>0</v>
      </c>
    </row>
    <row r="139" spans="1:8" x14ac:dyDescent="0.25">
      <c r="A139" s="148"/>
      <c r="D139" s="149" t="s">
        <v>56</v>
      </c>
      <c r="E139" s="328" t="s">
        <v>53</v>
      </c>
      <c r="F139" s="328"/>
      <c r="G139" s="150">
        <v>1</v>
      </c>
      <c r="H139" s="151"/>
    </row>
    <row r="140" spans="1:8" x14ac:dyDescent="0.25">
      <c r="A140" s="134" t="s">
        <v>287</v>
      </c>
      <c r="B140" s="135" t="s">
        <v>764</v>
      </c>
      <c r="C140" s="135" t="s">
        <v>752</v>
      </c>
      <c r="D140" s="271" t="s">
        <v>753</v>
      </c>
      <c r="E140" s="271"/>
      <c r="F140" s="135" t="s">
        <v>164</v>
      </c>
      <c r="G140" s="131">
        <v>3</v>
      </c>
      <c r="H140" s="147">
        <v>0</v>
      </c>
    </row>
    <row r="141" spans="1:8" x14ac:dyDescent="0.25">
      <c r="A141" s="148"/>
      <c r="D141" s="149" t="s">
        <v>68</v>
      </c>
      <c r="E141" s="328" t="s">
        <v>53</v>
      </c>
      <c r="F141" s="328"/>
      <c r="G141" s="150">
        <v>3</v>
      </c>
      <c r="H141" s="151"/>
    </row>
    <row r="142" spans="1:8" x14ac:dyDescent="0.25">
      <c r="A142" s="134" t="s">
        <v>290</v>
      </c>
      <c r="B142" s="135" t="s">
        <v>764</v>
      </c>
      <c r="C142" s="135" t="s">
        <v>414</v>
      </c>
      <c r="D142" s="271" t="s">
        <v>415</v>
      </c>
      <c r="E142" s="271"/>
      <c r="F142" s="135" t="s">
        <v>416</v>
      </c>
      <c r="G142" s="131">
        <v>1</v>
      </c>
      <c r="H142" s="147">
        <v>0</v>
      </c>
    </row>
    <row r="143" spans="1:8" x14ac:dyDescent="0.25">
      <c r="A143" s="148"/>
      <c r="D143" s="149" t="s">
        <v>56</v>
      </c>
      <c r="E143" s="328" t="s">
        <v>53</v>
      </c>
      <c r="F143" s="328"/>
      <c r="G143" s="150">
        <v>1</v>
      </c>
      <c r="H143" s="151"/>
    </row>
    <row r="144" spans="1:8" x14ac:dyDescent="0.25">
      <c r="A144" s="134" t="s">
        <v>293</v>
      </c>
      <c r="B144" s="135" t="s">
        <v>764</v>
      </c>
      <c r="C144" s="135" t="s">
        <v>422</v>
      </c>
      <c r="D144" s="271" t="s">
        <v>420</v>
      </c>
      <c r="E144" s="271"/>
      <c r="F144" s="135" t="s">
        <v>416</v>
      </c>
      <c r="G144" s="131">
        <v>1</v>
      </c>
      <c r="H144" s="147">
        <v>0</v>
      </c>
    </row>
    <row r="145" spans="1:8" x14ac:dyDescent="0.25">
      <c r="A145" s="148"/>
      <c r="D145" s="149" t="s">
        <v>56</v>
      </c>
      <c r="E145" s="328" t="s">
        <v>53</v>
      </c>
      <c r="F145" s="328"/>
      <c r="G145" s="150">
        <v>1</v>
      </c>
      <c r="H145" s="151"/>
    </row>
    <row r="146" spans="1:8" x14ac:dyDescent="0.25">
      <c r="A146" s="134" t="s">
        <v>296</v>
      </c>
      <c r="B146" s="135" t="s">
        <v>764</v>
      </c>
      <c r="C146" s="135" t="s">
        <v>427</v>
      </c>
      <c r="D146" s="271" t="s">
        <v>428</v>
      </c>
      <c r="E146" s="271"/>
      <c r="F146" s="135" t="s">
        <v>416</v>
      </c>
      <c r="G146" s="131">
        <v>1</v>
      </c>
      <c r="H146" s="147">
        <v>0</v>
      </c>
    </row>
    <row r="147" spans="1:8" x14ac:dyDescent="0.25">
      <c r="A147" s="148"/>
      <c r="D147" s="149" t="s">
        <v>619</v>
      </c>
      <c r="E147" s="328" t="s">
        <v>53</v>
      </c>
      <c r="F147" s="328"/>
      <c r="G147" s="150">
        <v>1</v>
      </c>
      <c r="H147" s="151"/>
    </row>
    <row r="148" spans="1:8" x14ac:dyDescent="0.25">
      <c r="A148" s="170" t="s">
        <v>53</v>
      </c>
      <c r="B148" s="124" t="s">
        <v>772</v>
      </c>
      <c r="C148" s="124" t="s">
        <v>53</v>
      </c>
      <c r="D148" s="273" t="s">
        <v>771</v>
      </c>
      <c r="E148" s="273"/>
      <c r="F148" s="124" t="s">
        <v>53</v>
      </c>
      <c r="G148" s="115" t="s">
        <v>53</v>
      </c>
      <c r="H148" s="126" t="s">
        <v>53</v>
      </c>
    </row>
    <row r="149" spans="1:8" x14ac:dyDescent="0.25">
      <c r="A149" s="134" t="s">
        <v>301</v>
      </c>
      <c r="B149" s="135" t="s">
        <v>772</v>
      </c>
      <c r="C149" s="135" t="s">
        <v>703</v>
      </c>
      <c r="D149" s="271" t="s">
        <v>704</v>
      </c>
      <c r="E149" s="271"/>
      <c r="F149" s="135" t="s">
        <v>705</v>
      </c>
      <c r="G149" s="131">
        <v>1</v>
      </c>
      <c r="H149" s="147">
        <v>0</v>
      </c>
    </row>
    <row r="150" spans="1:8" x14ac:dyDescent="0.25">
      <c r="A150" s="148"/>
      <c r="D150" s="149" t="s">
        <v>56</v>
      </c>
      <c r="E150" s="328" t="s">
        <v>53</v>
      </c>
      <c r="F150" s="328"/>
      <c r="G150" s="150">
        <v>1</v>
      </c>
      <c r="H150" s="151"/>
    </row>
    <row r="151" spans="1:8" x14ac:dyDescent="0.25">
      <c r="A151" s="134" t="s">
        <v>307</v>
      </c>
      <c r="B151" s="135" t="s">
        <v>772</v>
      </c>
      <c r="C151" s="135" t="s">
        <v>77</v>
      </c>
      <c r="D151" s="271" t="s">
        <v>78</v>
      </c>
      <c r="E151" s="271"/>
      <c r="F151" s="135" t="s">
        <v>79</v>
      </c>
      <c r="G151" s="131">
        <v>12</v>
      </c>
      <c r="H151" s="147">
        <v>0</v>
      </c>
    </row>
    <row r="152" spans="1:8" x14ac:dyDescent="0.25">
      <c r="A152" s="148"/>
      <c r="D152" s="149" t="s">
        <v>1132</v>
      </c>
      <c r="E152" s="328" t="s">
        <v>53</v>
      </c>
      <c r="F152" s="328"/>
      <c r="G152" s="150">
        <v>12</v>
      </c>
      <c r="H152" s="151"/>
    </row>
    <row r="153" spans="1:8" x14ac:dyDescent="0.25">
      <c r="A153" s="134" t="s">
        <v>311</v>
      </c>
      <c r="B153" s="135" t="s">
        <v>772</v>
      </c>
      <c r="C153" s="135" t="s">
        <v>775</v>
      </c>
      <c r="D153" s="271" t="s">
        <v>776</v>
      </c>
      <c r="E153" s="271"/>
      <c r="F153" s="135" t="s">
        <v>79</v>
      </c>
      <c r="G153" s="131">
        <v>22.67</v>
      </c>
      <c r="H153" s="147">
        <v>0</v>
      </c>
    </row>
    <row r="154" spans="1:8" x14ac:dyDescent="0.25">
      <c r="A154" s="148"/>
      <c r="D154" s="149" t="s">
        <v>1133</v>
      </c>
      <c r="E154" s="328" t="s">
        <v>53</v>
      </c>
      <c r="F154" s="328"/>
      <c r="G154" s="150">
        <v>22.67</v>
      </c>
      <c r="H154" s="151"/>
    </row>
    <row r="155" spans="1:8" x14ac:dyDescent="0.25">
      <c r="A155" s="134" t="s">
        <v>314</v>
      </c>
      <c r="B155" s="135" t="s">
        <v>772</v>
      </c>
      <c r="C155" s="135" t="s">
        <v>777</v>
      </c>
      <c r="D155" s="271" t="s">
        <v>778</v>
      </c>
      <c r="E155" s="271"/>
      <c r="F155" s="135" t="s">
        <v>79</v>
      </c>
      <c r="G155" s="131">
        <v>34.01</v>
      </c>
      <c r="H155" s="147">
        <v>0</v>
      </c>
    </row>
    <row r="156" spans="1:8" x14ac:dyDescent="0.25">
      <c r="A156" s="148"/>
      <c r="D156" s="149" t="s">
        <v>1134</v>
      </c>
      <c r="E156" s="328" t="s">
        <v>53</v>
      </c>
      <c r="F156" s="328"/>
      <c r="G156" s="150">
        <v>34.01</v>
      </c>
      <c r="H156" s="151"/>
    </row>
    <row r="157" spans="1:8" x14ac:dyDescent="0.25">
      <c r="A157" s="134" t="s">
        <v>317</v>
      </c>
      <c r="B157" s="135" t="s">
        <v>772</v>
      </c>
      <c r="C157" s="135" t="s">
        <v>780</v>
      </c>
      <c r="D157" s="271" t="s">
        <v>781</v>
      </c>
      <c r="E157" s="271"/>
      <c r="F157" s="135" t="s">
        <v>59</v>
      </c>
      <c r="G157" s="131">
        <v>38</v>
      </c>
      <c r="H157" s="147">
        <v>0</v>
      </c>
    </row>
    <row r="158" spans="1:8" x14ac:dyDescent="0.25">
      <c r="A158" s="148"/>
      <c r="D158" s="149" t="s">
        <v>1135</v>
      </c>
      <c r="E158" s="328" t="s">
        <v>53</v>
      </c>
      <c r="F158" s="328"/>
      <c r="G158" s="150">
        <v>38</v>
      </c>
      <c r="H158" s="151"/>
    </row>
    <row r="159" spans="1:8" x14ac:dyDescent="0.25">
      <c r="A159" s="134" t="s">
        <v>322</v>
      </c>
      <c r="B159" s="135" t="s">
        <v>772</v>
      </c>
      <c r="C159" s="135" t="s">
        <v>783</v>
      </c>
      <c r="D159" s="271" t="s">
        <v>784</v>
      </c>
      <c r="E159" s="271"/>
      <c r="F159" s="135" t="s">
        <v>59</v>
      </c>
      <c r="G159" s="131">
        <v>38</v>
      </c>
      <c r="H159" s="147">
        <v>0</v>
      </c>
    </row>
    <row r="160" spans="1:8" x14ac:dyDescent="0.25">
      <c r="A160" s="148"/>
      <c r="D160" s="149" t="s">
        <v>1135</v>
      </c>
      <c r="E160" s="328" t="s">
        <v>53</v>
      </c>
      <c r="F160" s="328"/>
      <c r="G160" s="150">
        <v>38</v>
      </c>
      <c r="H160" s="151"/>
    </row>
    <row r="161" spans="1:8" x14ac:dyDescent="0.25">
      <c r="A161" s="134" t="s">
        <v>328</v>
      </c>
      <c r="B161" s="135" t="s">
        <v>772</v>
      </c>
      <c r="C161" s="135" t="s">
        <v>114</v>
      </c>
      <c r="D161" s="271" t="s">
        <v>785</v>
      </c>
      <c r="E161" s="271"/>
      <c r="F161" s="135" t="s">
        <v>79</v>
      </c>
      <c r="G161" s="131">
        <v>27.02</v>
      </c>
      <c r="H161" s="147">
        <v>0</v>
      </c>
    </row>
    <row r="162" spans="1:8" x14ac:dyDescent="0.25">
      <c r="A162" s="148"/>
      <c r="D162" s="149" t="s">
        <v>1136</v>
      </c>
      <c r="E162" s="328" t="s">
        <v>53</v>
      </c>
      <c r="F162" s="328"/>
      <c r="G162" s="150">
        <v>27.02</v>
      </c>
      <c r="H162" s="151"/>
    </row>
    <row r="163" spans="1:8" x14ac:dyDescent="0.25">
      <c r="A163" s="134" t="s">
        <v>332</v>
      </c>
      <c r="B163" s="135" t="s">
        <v>772</v>
      </c>
      <c r="C163" s="135" t="s">
        <v>117</v>
      </c>
      <c r="D163" s="271" t="s">
        <v>118</v>
      </c>
      <c r="E163" s="271"/>
      <c r="F163" s="135" t="s">
        <v>79</v>
      </c>
      <c r="G163" s="131">
        <v>270.2</v>
      </c>
      <c r="H163" s="147">
        <v>0</v>
      </c>
    </row>
    <row r="164" spans="1:8" x14ac:dyDescent="0.25">
      <c r="A164" s="148"/>
      <c r="D164" s="149" t="s">
        <v>1137</v>
      </c>
      <c r="E164" s="328" t="s">
        <v>53</v>
      </c>
      <c r="F164" s="328"/>
      <c r="G164" s="150">
        <v>270.2</v>
      </c>
      <c r="H164" s="151"/>
    </row>
    <row r="165" spans="1:8" x14ac:dyDescent="0.25">
      <c r="A165" s="134" t="s">
        <v>335</v>
      </c>
      <c r="B165" s="135" t="s">
        <v>772</v>
      </c>
      <c r="C165" s="135" t="s">
        <v>120</v>
      </c>
      <c r="D165" s="271" t="s">
        <v>121</v>
      </c>
      <c r="E165" s="271"/>
      <c r="F165" s="135" t="s">
        <v>122</v>
      </c>
      <c r="G165" s="131">
        <v>48.64</v>
      </c>
      <c r="H165" s="147">
        <v>0</v>
      </c>
    </row>
    <row r="166" spans="1:8" x14ac:dyDescent="0.25">
      <c r="A166" s="148"/>
      <c r="D166" s="149" t="s">
        <v>1138</v>
      </c>
      <c r="E166" s="328" t="s">
        <v>53</v>
      </c>
      <c r="F166" s="328"/>
      <c r="G166" s="150">
        <v>48.64</v>
      </c>
      <c r="H166" s="151"/>
    </row>
    <row r="167" spans="1:8" x14ac:dyDescent="0.25">
      <c r="A167" s="134" t="s">
        <v>340</v>
      </c>
      <c r="B167" s="135" t="s">
        <v>772</v>
      </c>
      <c r="C167" s="135" t="s">
        <v>129</v>
      </c>
      <c r="D167" s="271" t="s">
        <v>130</v>
      </c>
      <c r="E167" s="271"/>
      <c r="F167" s="135" t="s">
        <v>79</v>
      </c>
      <c r="G167" s="131">
        <v>29.66</v>
      </c>
      <c r="H167" s="147">
        <v>0</v>
      </c>
    </row>
    <row r="168" spans="1:8" x14ac:dyDescent="0.25">
      <c r="A168" s="148"/>
      <c r="D168" s="149" t="s">
        <v>1139</v>
      </c>
      <c r="E168" s="328" t="s">
        <v>53</v>
      </c>
      <c r="F168" s="328"/>
      <c r="G168" s="150">
        <v>29.66</v>
      </c>
      <c r="H168" s="151"/>
    </row>
    <row r="169" spans="1:8" x14ac:dyDescent="0.25">
      <c r="A169" s="134" t="s">
        <v>346</v>
      </c>
      <c r="B169" s="135" t="s">
        <v>772</v>
      </c>
      <c r="C169" s="135" t="s">
        <v>786</v>
      </c>
      <c r="D169" s="271" t="s">
        <v>787</v>
      </c>
      <c r="E169" s="271"/>
      <c r="F169" s="135" t="s">
        <v>79</v>
      </c>
      <c r="G169" s="131">
        <v>15.48</v>
      </c>
      <c r="H169" s="147">
        <v>0</v>
      </c>
    </row>
    <row r="170" spans="1:8" x14ac:dyDescent="0.25">
      <c r="A170" s="148"/>
      <c r="D170" s="149" t="s">
        <v>1140</v>
      </c>
      <c r="E170" s="328" t="s">
        <v>53</v>
      </c>
      <c r="F170" s="328"/>
      <c r="G170" s="150">
        <v>15.48</v>
      </c>
      <c r="H170" s="151"/>
    </row>
    <row r="171" spans="1:8" x14ac:dyDescent="0.25">
      <c r="A171" s="134" t="s">
        <v>349</v>
      </c>
      <c r="B171" s="135" t="s">
        <v>772</v>
      </c>
      <c r="C171" s="135" t="s">
        <v>788</v>
      </c>
      <c r="D171" s="271" t="s">
        <v>789</v>
      </c>
      <c r="E171" s="271"/>
      <c r="F171" s="135" t="s">
        <v>79</v>
      </c>
      <c r="G171" s="131">
        <v>27.02</v>
      </c>
      <c r="H171" s="147">
        <v>0</v>
      </c>
    </row>
    <row r="172" spans="1:8" x14ac:dyDescent="0.25">
      <c r="A172" s="148"/>
      <c r="D172" s="149" t="s">
        <v>1141</v>
      </c>
      <c r="E172" s="328" t="s">
        <v>53</v>
      </c>
      <c r="F172" s="328"/>
      <c r="G172" s="150">
        <v>27.02</v>
      </c>
      <c r="H172" s="151"/>
    </row>
    <row r="173" spans="1:8" x14ac:dyDescent="0.25">
      <c r="A173" s="134" t="s">
        <v>352</v>
      </c>
      <c r="B173" s="135" t="s">
        <v>772</v>
      </c>
      <c r="C173" s="135" t="s">
        <v>790</v>
      </c>
      <c r="D173" s="271" t="s">
        <v>791</v>
      </c>
      <c r="E173" s="271"/>
      <c r="F173" s="135" t="s">
        <v>59</v>
      </c>
      <c r="G173" s="131">
        <v>80</v>
      </c>
      <c r="H173" s="147">
        <v>0</v>
      </c>
    </row>
    <row r="174" spans="1:8" x14ac:dyDescent="0.25">
      <c r="A174" s="148"/>
      <c r="D174" s="149" t="s">
        <v>1142</v>
      </c>
      <c r="E174" s="328" t="s">
        <v>53</v>
      </c>
      <c r="F174" s="328"/>
      <c r="G174" s="150">
        <v>80</v>
      </c>
      <c r="H174" s="151"/>
    </row>
    <row r="175" spans="1:8" x14ac:dyDescent="0.25">
      <c r="A175" s="134" t="s">
        <v>355</v>
      </c>
      <c r="B175" s="135" t="s">
        <v>772</v>
      </c>
      <c r="C175" s="135" t="s">
        <v>792</v>
      </c>
      <c r="D175" s="271" t="s">
        <v>793</v>
      </c>
      <c r="E175" s="271"/>
      <c r="F175" s="135" t="s">
        <v>59</v>
      </c>
      <c r="G175" s="131">
        <v>80</v>
      </c>
      <c r="H175" s="147">
        <v>0</v>
      </c>
    </row>
    <row r="176" spans="1:8" x14ac:dyDescent="0.25">
      <c r="A176" s="148"/>
      <c r="D176" s="149" t="s">
        <v>1142</v>
      </c>
      <c r="E176" s="328" t="s">
        <v>53</v>
      </c>
      <c r="F176" s="328"/>
      <c r="G176" s="150">
        <v>80</v>
      </c>
      <c r="H176" s="151"/>
    </row>
    <row r="177" spans="1:8" x14ac:dyDescent="0.25">
      <c r="A177" s="134" t="s">
        <v>358</v>
      </c>
      <c r="B177" s="135" t="s">
        <v>772</v>
      </c>
      <c r="C177" s="135" t="s">
        <v>795</v>
      </c>
      <c r="D177" s="271" t="s">
        <v>796</v>
      </c>
      <c r="E177" s="271"/>
      <c r="F177" s="135" t="s">
        <v>79</v>
      </c>
      <c r="G177" s="131">
        <v>7.22</v>
      </c>
      <c r="H177" s="147">
        <v>0</v>
      </c>
    </row>
    <row r="178" spans="1:8" x14ac:dyDescent="0.25">
      <c r="A178" s="148"/>
      <c r="D178" s="149" t="s">
        <v>1143</v>
      </c>
      <c r="E178" s="328" t="s">
        <v>53</v>
      </c>
      <c r="F178" s="328"/>
      <c r="G178" s="150">
        <v>7.22</v>
      </c>
      <c r="H178" s="151"/>
    </row>
    <row r="179" spans="1:8" x14ac:dyDescent="0.25">
      <c r="A179" s="134" t="s">
        <v>361</v>
      </c>
      <c r="B179" s="135" t="s">
        <v>772</v>
      </c>
      <c r="C179" s="135" t="s">
        <v>799</v>
      </c>
      <c r="D179" s="271" t="s">
        <v>800</v>
      </c>
      <c r="E179" s="271"/>
      <c r="F179" s="135" t="s">
        <v>67</v>
      </c>
      <c r="G179" s="131">
        <v>40</v>
      </c>
      <c r="H179" s="147">
        <v>0</v>
      </c>
    </row>
    <row r="180" spans="1:8" x14ac:dyDescent="0.25">
      <c r="A180" s="148"/>
      <c r="D180" s="149" t="s">
        <v>199</v>
      </c>
      <c r="E180" s="328" t="s">
        <v>53</v>
      </c>
      <c r="F180" s="328"/>
      <c r="G180" s="150">
        <v>40</v>
      </c>
      <c r="H180" s="151"/>
    </row>
    <row r="181" spans="1:8" x14ac:dyDescent="0.25">
      <c r="A181" s="134" t="s">
        <v>364</v>
      </c>
      <c r="B181" s="135" t="s">
        <v>772</v>
      </c>
      <c r="C181" s="135" t="s">
        <v>803</v>
      </c>
      <c r="D181" s="271" t="s">
        <v>804</v>
      </c>
      <c r="E181" s="271"/>
      <c r="F181" s="135" t="s">
        <v>164</v>
      </c>
      <c r="G181" s="131">
        <v>1</v>
      </c>
      <c r="H181" s="147">
        <v>0</v>
      </c>
    </row>
    <row r="182" spans="1:8" x14ac:dyDescent="0.25">
      <c r="A182" s="148"/>
      <c r="D182" s="149" t="s">
        <v>56</v>
      </c>
      <c r="E182" s="328" t="s">
        <v>53</v>
      </c>
      <c r="F182" s="328"/>
      <c r="G182" s="150">
        <v>1</v>
      </c>
      <c r="H182" s="151"/>
    </row>
    <row r="183" spans="1:8" x14ac:dyDescent="0.25">
      <c r="A183" s="134" t="s">
        <v>367</v>
      </c>
      <c r="B183" s="135" t="s">
        <v>772</v>
      </c>
      <c r="C183" s="135" t="s">
        <v>721</v>
      </c>
      <c r="D183" s="271" t="s">
        <v>722</v>
      </c>
      <c r="E183" s="271"/>
      <c r="F183" s="135" t="s">
        <v>164</v>
      </c>
      <c r="G183" s="131">
        <v>1</v>
      </c>
      <c r="H183" s="147">
        <v>0</v>
      </c>
    </row>
    <row r="184" spans="1:8" x14ac:dyDescent="0.25">
      <c r="A184" s="148"/>
      <c r="D184" s="149" t="s">
        <v>56</v>
      </c>
      <c r="E184" s="328" t="s">
        <v>53</v>
      </c>
      <c r="F184" s="328"/>
      <c r="G184" s="150">
        <v>1</v>
      </c>
      <c r="H184" s="151"/>
    </row>
    <row r="185" spans="1:8" x14ac:dyDescent="0.25">
      <c r="A185" s="134" t="s">
        <v>370</v>
      </c>
      <c r="B185" s="135" t="s">
        <v>772</v>
      </c>
      <c r="C185" s="135" t="s">
        <v>721</v>
      </c>
      <c r="D185" s="271" t="s">
        <v>805</v>
      </c>
      <c r="E185" s="271"/>
      <c r="F185" s="135" t="s">
        <v>164</v>
      </c>
      <c r="G185" s="131">
        <v>1</v>
      </c>
      <c r="H185" s="147">
        <v>0</v>
      </c>
    </row>
    <row r="186" spans="1:8" x14ac:dyDescent="0.25">
      <c r="A186" s="148"/>
      <c r="D186" s="149" t="s">
        <v>56</v>
      </c>
      <c r="E186" s="328" t="s">
        <v>53</v>
      </c>
      <c r="F186" s="328"/>
      <c r="G186" s="150">
        <v>1</v>
      </c>
      <c r="H186" s="151"/>
    </row>
    <row r="187" spans="1:8" x14ac:dyDescent="0.25">
      <c r="A187" s="134" t="s">
        <v>373</v>
      </c>
      <c r="B187" s="135" t="s">
        <v>772</v>
      </c>
      <c r="C187" s="135" t="s">
        <v>806</v>
      </c>
      <c r="D187" s="271" t="s">
        <v>807</v>
      </c>
      <c r="E187" s="271"/>
      <c r="F187" s="135" t="s">
        <v>164</v>
      </c>
      <c r="G187" s="131">
        <v>2</v>
      </c>
      <c r="H187" s="147">
        <v>0</v>
      </c>
    </row>
    <row r="188" spans="1:8" x14ac:dyDescent="0.25">
      <c r="A188" s="148"/>
      <c r="D188" s="149" t="s">
        <v>64</v>
      </c>
      <c r="E188" s="328" t="s">
        <v>53</v>
      </c>
      <c r="F188" s="328"/>
      <c r="G188" s="150">
        <v>2</v>
      </c>
      <c r="H188" s="151"/>
    </row>
    <row r="189" spans="1:8" x14ac:dyDescent="0.25">
      <c r="A189" s="134" t="s">
        <v>376</v>
      </c>
      <c r="B189" s="135" t="s">
        <v>772</v>
      </c>
      <c r="C189" s="135" t="s">
        <v>725</v>
      </c>
      <c r="D189" s="271" t="s">
        <v>726</v>
      </c>
      <c r="E189" s="271"/>
      <c r="F189" s="135" t="s">
        <v>164</v>
      </c>
      <c r="G189" s="131">
        <v>2</v>
      </c>
      <c r="H189" s="147">
        <v>0</v>
      </c>
    </row>
    <row r="190" spans="1:8" x14ac:dyDescent="0.25">
      <c r="A190" s="148"/>
      <c r="D190" s="149" t="s">
        <v>64</v>
      </c>
      <c r="E190" s="328" t="s">
        <v>53</v>
      </c>
      <c r="F190" s="328"/>
      <c r="G190" s="150">
        <v>2</v>
      </c>
      <c r="H190" s="151"/>
    </row>
    <row r="191" spans="1:8" x14ac:dyDescent="0.25">
      <c r="A191" s="134" t="s">
        <v>255</v>
      </c>
      <c r="B191" s="135" t="s">
        <v>772</v>
      </c>
      <c r="C191" s="135" t="s">
        <v>723</v>
      </c>
      <c r="D191" s="271" t="s">
        <v>724</v>
      </c>
      <c r="E191" s="271"/>
      <c r="F191" s="135" t="s">
        <v>164</v>
      </c>
      <c r="G191" s="131">
        <v>2</v>
      </c>
      <c r="H191" s="147">
        <v>0</v>
      </c>
    </row>
    <row r="192" spans="1:8" x14ac:dyDescent="0.25">
      <c r="A192" s="148"/>
      <c r="D192" s="149" t="s">
        <v>64</v>
      </c>
      <c r="E192" s="328" t="s">
        <v>53</v>
      </c>
      <c r="F192" s="328"/>
      <c r="G192" s="150">
        <v>2</v>
      </c>
      <c r="H192" s="151"/>
    </row>
    <row r="193" spans="1:8" x14ac:dyDescent="0.25">
      <c r="A193" s="134" t="s">
        <v>381</v>
      </c>
      <c r="B193" s="135" t="s">
        <v>772</v>
      </c>
      <c r="C193" s="135" t="s">
        <v>808</v>
      </c>
      <c r="D193" s="271" t="s">
        <v>809</v>
      </c>
      <c r="E193" s="271"/>
      <c r="F193" s="135" t="s">
        <v>79</v>
      </c>
      <c r="G193" s="131">
        <v>0.25</v>
      </c>
      <c r="H193" s="147">
        <v>0</v>
      </c>
    </row>
    <row r="194" spans="1:8" x14ac:dyDescent="0.25">
      <c r="A194" s="148"/>
      <c r="D194" s="149" t="s">
        <v>1144</v>
      </c>
      <c r="E194" s="328" t="s">
        <v>53</v>
      </c>
      <c r="F194" s="328"/>
      <c r="G194" s="150">
        <v>0.25</v>
      </c>
      <c r="H194" s="151"/>
    </row>
    <row r="195" spans="1:8" x14ac:dyDescent="0.25">
      <c r="A195" s="134" t="s">
        <v>269</v>
      </c>
      <c r="B195" s="135" t="s">
        <v>772</v>
      </c>
      <c r="C195" s="135" t="s">
        <v>810</v>
      </c>
      <c r="D195" s="271" t="s">
        <v>811</v>
      </c>
      <c r="E195" s="271"/>
      <c r="F195" s="135" t="s">
        <v>164</v>
      </c>
      <c r="G195" s="131">
        <v>1</v>
      </c>
      <c r="H195" s="147">
        <v>0</v>
      </c>
    </row>
    <row r="196" spans="1:8" x14ac:dyDescent="0.25">
      <c r="A196" s="148"/>
      <c r="D196" s="149" t="s">
        <v>56</v>
      </c>
      <c r="E196" s="328" t="s">
        <v>53</v>
      </c>
      <c r="F196" s="328"/>
      <c r="G196" s="150">
        <v>1</v>
      </c>
      <c r="H196" s="151"/>
    </row>
    <row r="197" spans="1:8" x14ac:dyDescent="0.25">
      <c r="A197" s="134" t="s">
        <v>386</v>
      </c>
      <c r="B197" s="135" t="s">
        <v>772</v>
      </c>
      <c r="C197" s="135" t="s">
        <v>738</v>
      </c>
      <c r="D197" s="271" t="s">
        <v>739</v>
      </c>
      <c r="E197" s="271"/>
      <c r="F197" s="135" t="s">
        <v>122</v>
      </c>
      <c r="G197" s="131">
        <v>46.02</v>
      </c>
      <c r="H197" s="147">
        <v>0</v>
      </c>
    </row>
    <row r="198" spans="1:8" x14ac:dyDescent="0.25">
      <c r="A198" s="148"/>
      <c r="D198" s="149" t="s">
        <v>1145</v>
      </c>
      <c r="E198" s="328" t="s">
        <v>53</v>
      </c>
      <c r="F198" s="328"/>
      <c r="G198" s="150">
        <v>46.02</v>
      </c>
      <c r="H198" s="151"/>
    </row>
    <row r="199" spans="1:8" x14ac:dyDescent="0.25">
      <c r="A199" s="134" t="s">
        <v>299</v>
      </c>
      <c r="B199" s="135" t="s">
        <v>772</v>
      </c>
      <c r="C199" s="135" t="s">
        <v>813</v>
      </c>
      <c r="D199" s="271" t="s">
        <v>814</v>
      </c>
      <c r="E199" s="271"/>
      <c r="F199" s="135" t="s">
        <v>164</v>
      </c>
      <c r="G199" s="131">
        <v>7</v>
      </c>
      <c r="H199" s="147">
        <v>0</v>
      </c>
    </row>
    <row r="200" spans="1:8" x14ac:dyDescent="0.25">
      <c r="A200" s="148"/>
      <c r="D200" s="149" t="s">
        <v>84</v>
      </c>
      <c r="E200" s="328" t="s">
        <v>53</v>
      </c>
      <c r="F200" s="328"/>
      <c r="G200" s="150">
        <v>7</v>
      </c>
      <c r="H200" s="151"/>
    </row>
    <row r="201" spans="1:8" x14ac:dyDescent="0.25">
      <c r="A201" s="134" t="s">
        <v>391</v>
      </c>
      <c r="B201" s="135" t="s">
        <v>772</v>
      </c>
      <c r="C201" s="135" t="s">
        <v>816</v>
      </c>
      <c r="D201" s="271" t="s">
        <v>817</v>
      </c>
      <c r="E201" s="271"/>
      <c r="F201" s="135" t="s">
        <v>164</v>
      </c>
      <c r="G201" s="131">
        <v>1</v>
      </c>
      <c r="H201" s="147">
        <v>0</v>
      </c>
    </row>
    <row r="202" spans="1:8" x14ac:dyDescent="0.25">
      <c r="A202" s="148"/>
      <c r="D202" s="149" t="s">
        <v>56</v>
      </c>
      <c r="E202" s="328" t="s">
        <v>53</v>
      </c>
      <c r="F202" s="328"/>
      <c r="G202" s="150">
        <v>1</v>
      </c>
      <c r="H202" s="151"/>
    </row>
    <row r="203" spans="1:8" x14ac:dyDescent="0.25">
      <c r="A203" s="134" t="s">
        <v>394</v>
      </c>
      <c r="B203" s="135" t="s">
        <v>772</v>
      </c>
      <c r="C203" s="135" t="s">
        <v>818</v>
      </c>
      <c r="D203" s="271" t="s">
        <v>819</v>
      </c>
      <c r="E203" s="271"/>
      <c r="F203" s="135" t="s">
        <v>164</v>
      </c>
      <c r="G203" s="131">
        <v>2</v>
      </c>
      <c r="H203" s="147">
        <v>0</v>
      </c>
    </row>
    <row r="204" spans="1:8" x14ac:dyDescent="0.25">
      <c r="A204" s="148"/>
      <c r="D204" s="149" t="s">
        <v>64</v>
      </c>
      <c r="E204" s="328" t="s">
        <v>53</v>
      </c>
      <c r="F204" s="328"/>
      <c r="G204" s="150">
        <v>2</v>
      </c>
      <c r="H204" s="151"/>
    </row>
    <row r="205" spans="1:8" x14ac:dyDescent="0.25">
      <c r="A205" s="134" t="s">
        <v>305</v>
      </c>
      <c r="B205" s="135" t="s">
        <v>772</v>
      </c>
      <c r="C205" s="135" t="s">
        <v>820</v>
      </c>
      <c r="D205" s="271" t="s">
        <v>821</v>
      </c>
      <c r="E205" s="271"/>
      <c r="F205" s="135" t="s">
        <v>164</v>
      </c>
      <c r="G205" s="131">
        <v>2</v>
      </c>
      <c r="H205" s="147">
        <v>0</v>
      </c>
    </row>
    <row r="206" spans="1:8" x14ac:dyDescent="0.25">
      <c r="A206" s="148"/>
      <c r="D206" s="149" t="s">
        <v>64</v>
      </c>
      <c r="E206" s="328" t="s">
        <v>53</v>
      </c>
      <c r="F206" s="328"/>
      <c r="G206" s="150">
        <v>2</v>
      </c>
      <c r="H206" s="151"/>
    </row>
    <row r="207" spans="1:8" x14ac:dyDescent="0.25">
      <c r="A207" s="134" t="s">
        <v>399</v>
      </c>
      <c r="B207" s="135" t="s">
        <v>772</v>
      </c>
      <c r="C207" s="135" t="s">
        <v>822</v>
      </c>
      <c r="D207" s="271" t="s">
        <v>823</v>
      </c>
      <c r="E207" s="271"/>
      <c r="F207" s="135" t="s">
        <v>164</v>
      </c>
      <c r="G207" s="131">
        <v>1</v>
      </c>
      <c r="H207" s="147">
        <v>0</v>
      </c>
    </row>
    <row r="208" spans="1:8" x14ac:dyDescent="0.25">
      <c r="A208" s="148"/>
      <c r="D208" s="149" t="s">
        <v>56</v>
      </c>
      <c r="E208" s="328" t="s">
        <v>53</v>
      </c>
      <c r="F208" s="328"/>
      <c r="G208" s="150">
        <v>1</v>
      </c>
      <c r="H208" s="151"/>
    </row>
    <row r="209" spans="1:8" x14ac:dyDescent="0.25">
      <c r="A209" s="134" t="s">
        <v>402</v>
      </c>
      <c r="B209" s="135" t="s">
        <v>772</v>
      </c>
      <c r="C209" s="135" t="s">
        <v>824</v>
      </c>
      <c r="D209" s="271" t="s">
        <v>825</v>
      </c>
      <c r="E209" s="271"/>
      <c r="F209" s="135" t="s">
        <v>164</v>
      </c>
      <c r="G209" s="131">
        <v>1</v>
      </c>
      <c r="H209" s="147">
        <v>0</v>
      </c>
    </row>
    <row r="210" spans="1:8" x14ac:dyDescent="0.25">
      <c r="A210" s="148"/>
      <c r="D210" s="149" t="s">
        <v>56</v>
      </c>
      <c r="E210" s="328" t="s">
        <v>53</v>
      </c>
      <c r="F210" s="328"/>
      <c r="G210" s="150">
        <v>1</v>
      </c>
      <c r="H210" s="151"/>
    </row>
    <row r="211" spans="1:8" x14ac:dyDescent="0.25">
      <c r="A211" s="134" t="s">
        <v>405</v>
      </c>
      <c r="B211" s="135" t="s">
        <v>772</v>
      </c>
      <c r="C211" s="135" t="s">
        <v>826</v>
      </c>
      <c r="D211" s="271" t="s">
        <v>749</v>
      </c>
      <c r="E211" s="271"/>
      <c r="F211" s="135" t="s">
        <v>164</v>
      </c>
      <c r="G211" s="131">
        <v>1</v>
      </c>
      <c r="H211" s="147">
        <v>0</v>
      </c>
    </row>
    <row r="212" spans="1:8" x14ac:dyDescent="0.25">
      <c r="A212" s="148"/>
      <c r="D212" s="149" t="s">
        <v>56</v>
      </c>
      <c r="E212" s="328" t="s">
        <v>53</v>
      </c>
      <c r="F212" s="328"/>
      <c r="G212" s="150">
        <v>1</v>
      </c>
      <c r="H212" s="151"/>
    </row>
    <row r="213" spans="1:8" x14ac:dyDescent="0.25">
      <c r="A213" s="134" t="s">
        <v>413</v>
      </c>
      <c r="B213" s="135" t="s">
        <v>772</v>
      </c>
      <c r="C213" s="135" t="s">
        <v>827</v>
      </c>
      <c r="D213" s="271" t="s">
        <v>828</v>
      </c>
      <c r="E213" s="271"/>
      <c r="F213" s="135" t="s">
        <v>164</v>
      </c>
      <c r="G213" s="131">
        <v>1</v>
      </c>
      <c r="H213" s="147">
        <v>0</v>
      </c>
    </row>
    <row r="214" spans="1:8" x14ac:dyDescent="0.25">
      <c r="A214" s="148"/>
      <c r="D214" s="149" t="s">
        <v>56</v>
      </c>
      <c r="E214" s="328" t="s">
        <v>53</v>
      </c>
      <c r="F214" s="328"/>
      <c r="G214" s="150">
        <v>1</v>
      </c>
      <c r="H214" s="151"/>
    </row>
    <row r="215" spans="1:8" x14ac:dyDescent="0.25">
      <c r="A215" s="134" t="s">
        <v>421</v>
      </c>
      <c r="B215" s="135" t="s">
        <v>772</v>
      </c>
      <c r="C215" s="135" t="s">
        <v>750</v>
      </c>
      <c r="D215" s="271" t="s">
        <v>751</v>
      </c>
      <c r="E215" s="271"/>
      <c r="F215" s="135" t="s">
        <v>164</v>
      </c>
      <c r="G215" s="131">
        <v>2</v>
      </c>
      <c r="H215" s="147">
        <v>0</v>
      </c>
    </row>
    <row r="216" spans="1:8" x14ac:dyDescent="0.25">
      <c r="A216" s="148"/>
      <c r="D216" s="149" t="s">
        <v>64</v>
      </c>
      <c r="E216" s="328" t="s">
        <v>53</v>
      </c>
      <c r="F216" s="328"/>
      <c r="G216" s="150">
        <v>2</v>
      </c>
      <c r="H216" s="151"/>
    </row>
    <row r="217" spans="1:8" x14ac:dyDescent="0.25">
      <c r="A217" s="134" t="s">
        <v>426</v>
      </c>
      <c r="B217" s="135" t="s">
        <v>772</v>
      </c>
      <c r="C217" s="135" t="s">
        <v>829</v>
      </c>
      <c r="D217" s="271" t="s">
        <v>830</v>
      </c>
      <c r="E217" s="271"/>
      <c r="F217" s="135" t="s">
        <v>831</v>
      </c>
      <c r="G217" s="131">
        <v>27.86</v>
      </c>
      <c r="H217" s="147">
        <v>0</v>
      </c>
    </row>
    <row r="218" spans="1:8" x14ac:dyDescent="0.25">
      <c r="A218" s="148"/>
      <c r="D218" s="149" t="s">
        <v>1146</v>
      </c>
      <c r="E218" s="328" t="s">
        <v>53</v>
      </c>
      <c r="F218" s="328"/>
      <c r="G218" s="150">
        <v>27.86</v>
      </c>
      <c r="H218" s="151"/>
    </row>
    <row r="219" spans="1:8" x14ac:dyDescent="0.25">
      <c r="A219" s="134" t="s">
        <v>832</v>
      </c>
      <c r="B219" s="135" t="s">
        <v>772</v>
      </c>
      <c r="C219" s="135" t="s">
        <v>414</v>
      </c>
      <c r="D219" s="271" t="s">
        <v>415</v>
      </c>
      <c r="E219" s="271"/>
      <c r="F219" s="135" t="s">
        <v>416</v>
      </c>
      <c r="G219" s="131">
        <v>1</v>
      </c>
      <c r="H219" s="147">
        <v>0</v>
      </c>
    </row>
    <row r="220" spans="1:8" x14ac:dyDescent="0.25">
      <c r="A220" s="148"/>
      <c r="D220" s="149" t="s">
        <v>56</v>
      </c>
      <c r="E220" s="328" t="s">
        <v>53</v>
      </c>
      <c r="F220" s="328"/>
      <c r="G220" s="150">
        <v>1</v>
      </c>
      <c r="H220" s="151"/>
    </row>
    <row r="221" spans="1:8" x14ac:dyDescent="0.25">
      <c r="A221" s="134" t="s">
        <v>834</v>
      </c>
      <c r="B221" s="135" t="s">
        <v>772</v>
      </c>
      <c r="C221" s="135" t="s">
        <v>422</v>
      </c>
      <c r="D221" s="271" t="s">
        <v>420</v>
      </c>
      <c r="E221" s="271"/>
      <c r="F221" s="135" t="s">
        <v>416</v>
      </c>
      <c r="G221" s="131">
        <v>1</v>
      </c>
      <c r="H221" s="147">
        <v>0</v>
      </c>
    </row>
    <row r="222" spans="1:8" x14ac:dyDescent="0.25">
      <c r="A222" s="148"/>
      <c r="D222" s="149" t="s">
        <v>56</v>
      </c>
      <c r="E222" s="328" t="s">
        <v>53</v>
      </c>
      <c r="F222" s="328"/>
      <c r="G222" s="150">
        <v>1</v>
      </c>
      <c r="H222" s="151"/>
    </row>
    <row r="223" spans="1:8" x14ac:dyDescent="0.25">
      <c r="A223" s="134" t="s">
        <v>835</v>
      </c>
      <c r="B223" s="135" t="s">
        <v>772</v>
      </c>
      <c r="C223" s="135" t="s">
        <v>427</v>
      </c>
      <c r="D223" s="271" t="s">
        <v>428</v>
      </c>
      <c r="E223" s="271"/>
      <c r="F223" s="135" t="s">
        <v>416</v>
      </c>
      <c r="G223" s="131">
        <v>1</v>
      </c>
      <c r="H223" s="147">
        <v>0</v>
      </c>
    </row>
    <row r="224" spans="1:8" x14ac:dyDescent="0.25">
      <c r="A224" s="148"/>
      <c r="D224" s="149" t="s">
        <v>619</v>
      </c>
      <c r="E224" s="328" t="s">
        <v>53</v>
      </c>
      <c r="F224" s="328"/>
      <c r="G224" s="150">
        <v>1</v>
      </c>
      <c r="H224" s="151"/>
    </row>
    <row r="225" spans="1:8" x14ac:dyDescent="0.25">
      <c r="A225" s="170" t="s">
        <v>53</v>
      </c>
      <c r="B225" s="124" t="s">
        <v>837</v>
      </c>
      <c r="C225" s="124" t="s">
        <v>53</v>
      </c>
      <c r="D225" s="273" t="s">
        <v>836</v>
      </c>
      <c r="E225" s="273"/>
      <c r="F225" s="124" t="s">
        <v>53</v>
      </c>
      <c r="G225" s="115" t="s">
        <v>53</v>
      </c>
      <c r="H225" s="126" t="s">
        <v>53</v>
      </c>
    </row>
    <row r="226" spans="1:8" x14ac:dyDescent="0.25">
      <c r="A226" s="134" t="s">
        <v>838</v>
      </c>
      <c r="B226" s="135" t="s">
        <v>837</v>
      </c>
      <c r="C226" s="135" t="s">
        <v>703</v>
      </c>
      <c r="D226" s="271" t="s">
        <v>704</v>
      </c>
      <c r="E226" s="271"/>
      <c r="F226" s="135" t="s">
        <v>705</v>
      </c>
      <c r="G226" s="131">
        <v>16</v>
      </c>
      <c r="H226" s="147">
        <v>0</v>
      </c>
    </row>
    <row r="227" spans="1:8" x14ac:dyDescent="0.25">
      <c r="A227" s="148"/>
      <c r="D227" s="149" t="s">
        <v>101</v>
      </c>
      <c r="E227" s="328" t="s">
        <v>53</v>
      </c>
      <c r="F227" s="328"/>
      <c r="G227" s="150">
        <v>16</v>
      </c>
      <c r="H227" s="151"/>
    </row>
    <row r="228" spans="1:8" x14ac:dyDescent="0.25">
      <c r="A228" s="134" t="s">
        <v>841</v>
      </c>
      <c r="B228" s="135" t="s">
        <v>837</v>
      </c>
      <c r="C228" s="135" t="s">
        <v>842</v>
      </c>
      <c r="D228" s="271" t="s">
        <v>843</v>
      </c>
      <c r="E228" s="271"/>
      <c r="F228" s="135" t="s">
        <v>59</v>
      </c>
      <c r="G228" s="131">
        <v>57.6</v>
      </c>
      <c r="H228" s="147">
        <v>0</v>
      </c>
    </row>
    <row r="229" spans="1:8" x14ac:dyDescent="0.25">
      <c r="A229" s="148"/>
      <c r="D229" s="149" t="s">
        <v>1147</v>
      </c>
      <c r="E229" s="328" t="s">
        <v>53</v>
      </c>
      <c r="F229" s="328"/>
      <c r="G229" s="150">
        <v>57.6</v>
      </c>
      <c r="H229" s="151"/>
    </row>
    <row r="230" spans="1:8" x14ac:dyDescent="0.25">
      <c r="A230" s="134" t="s">
        <v>844</v>
      </c>
      <c r="B230" s="135" t="s">
        <v>837</v>
      </c>
      <c r="C230" s="135" t="s">
        <v>777</v>
      </c>
      <c r="D230" s="271" t="s">
        <v>778</v>
      </c>
      <c r="E230" s="271"/>
      <c r="F230" s="135" t="s">
        <v>79</v>
      </c>
      <c r="G230" s="131">
        <v>18.72</v>
      </c>
      <c r="H230" s="147">
        <v>0</v>
      </c>
    </row>
    <row r="231" spans="1:8" x14ac:dyDescent="0.25">
      <c r="A231" s="148"/>
      <c r="D231" s="149" t="s">
        <v>1148</v>
      </c>
      <c r="E231" s="328" t="s">
        <v>53</v>
      </c>
      <c r="F231" s="328"/>
      <c r="G231" s="150">
        <v>18.72</v>
      </c>
      <c r="H231" s="151"/>
    </row>
    <row r="232" spans="1:8" x14ac:dyDescent="0.25">
      <c r="A232" s="134" t="s">
        <v>845</v>
      </c>
      <c r="B232" s="135" t="s">
        <v>837</v>
      </c>
      <c r="C232" s="135" t="s">
        <v>846</v>
      </c>
      <c r="D232" s="271" t="s">
        <v>847</v>
      </c>
      <c r="E232" s="271"/>
      <c r="F232" s="135" t="s">
        <v>79</v>
      </c>
      <c r="G232" s="131">
        <v>12.8</v>
      </c>
      <c r="H232" s="147">
        <v>0</v>
      </c>
    </row>
    <row r="233" spans="1:8" x14ac:dyDescent="0.25">
      <c r="A233" s="148"/>
      <c r="D233" s="149" t="s">
        <v>1149</v>
      </c>
      <c r="E233" s="328" t="s">
        <v>53</v>
      </c>
      <c r="F233" s="328"/>
      <c r="G233" s="150">
        <v>12.8</v>
      </c>
      <c r="H233" s="151"/>
    </row>
    <row r="234" spans="1:8" x14ac:dyDescent="0.25">
      <c r="A234" s="134" t="s">
        <v>848</v>
      </c>
      <c r="B234" s="135" t="s">
        <v>837</v>
      </c>
      <c r="C234" s="135" t="s">
        <v>849</v>
      </c>
      <c r="D234" s="271" t="s">
        <v>850</v>
      </c>
      <c r="E234" s="271"/>
      <c r="F234" s="135" t="s">
        <v>79</v>
      </c>
      <c r="G234" s="131">
        <v>3.84</v>
      </c>
      <c r="H234" s="147">
        <v>0</v>
      </c>
    </row>
    <row r="235" spans="1:8" x14ac:dyDescent="0.25">
      <c r="A235" s="148"/>
      <c r="D235" s="149" t="s">
        <v>1150</v>
      </c>
      <c r="E235" s="328" t="s">
        <v>53</v>
      </c>
      <c r="F235" s="328"/>
      <c r="G235" s="150">
        <v>3.84</v>
      </c>
      <c r="H235" s="151"/>
    </row>
    <row r="236" spans="1:8" x14ac:dyDescent="0.25">
      <c r="A236" s="134" t="s">
        <v>851</v>
      </c>
      <c r="B236" s="135" t="s">
        <v>837</v>
      </c>
      <c r="C236" s="135" t="s">
        <v>780</v>
      </c>
      <c r="D236" s="271" t="s">
        <v>781</v>
      </c>
      <c r="E236" s="271"/>
      <c r="F236" s="135" t="s">
        <v>59</v>
      </c>
      <c r="G236" s="131">
        <v>48</v>
      </c>
      <c r="H236" s="147">
        <v>0</v>
      </c>
    </row>
    <row r="237" spans="1:8" x14ac:dyDescent="0.25">
      <c r="A237" s="148"/>
      <c r="D237" s="149" t="s">
        <v>1151</v>
      </c>
      <c r="E237" s="328" t="s">
        <v>53</v>
      </c>
      <c r="F237" s="328"/>
      <c r="G237" s="150">
        <v>48</v>
      </c>
      <c r="H237" s="151"/>
    </row>
    <row r="238" spans="1:8" x14ac:dyDescent="0.25">
      <c r="A238" s="134" t="s">
        <v>852</v>
      </c>
      <c r="B238" s="135" t="s">
        <v>837</v>
      </c>
      <c r="C238" s="135" t="s">
        <v>783</v>
      </c>
      <c r="D238" s="271" t="s">
        <v>784</v>
      </c>
      <c r="E238" s="271"/>
      <c r="F238" s="135" t="s">
        <v>59</v>
      </c>
      <c r="G238" s="131">
        <v>48</v>
      </c>
      <c r="H238" s="147">
        <v>0</v>
      </c>
    </row>
    <row r="239" spans="1:8" x14ac:dyDescent="0.25">
      <c r="A239" s="148"/>
      <c r="D239" s="149" t="s">
        <v>1151</v>
      </c>
      <c r="E239" s="328" t="s">
        <v>53</v>
      </c>
      <c r="F239" s="328"/>
      <c r="G239" s="150">
        <v>48</v>
      </c>
      <c r="H239" s="151"/>
    </row>
    <row r="240" spans="1:8" x14ac:dyDescent="0.25">
      <c r="A240" s="134" t="s">
        <v>853</v>
      </c>
      <c r="B240" s="135" t="s">
        <v>837</v>
      </c>
      <c r="C240" s="135" t="s">
        <v>854</v>
      </c>
      <c r="D240" s="271" t="s">
        <v>855</v>
      </c>
      <c r="E240" s="271"/>
      <c r="F240" s="135" t="s">
        <v>79</v>
      </c>
      <c r="G240" s="131">
        <v>31.2</v>
      </c>
      <c r="H240" s="147">
        <v>0</v>
      </c>
    </row>
    <row r="241" spans="1:8" x14ac:dyDescent="0.25">
      <c r="A241" s="148"/>
      <c r="D241" s="149" t="s">
        <v>1152</v>
      </c>
      <c r="E241" s="328" t="s">
        <v>53</v>
      </c>
      <c r="F241" s="328"/>
      <c r="G241" s="150">
        <v>31.2</v>
      </c>
      <c r="H241" s="151"/>
    </row>
    <row r="242" spans="1:8" x14ac:dyDescent="0.25">
      <c r="A242" s="134" t="s">
        <v>856</v>
      </c>
      <c r="B242" s="135" t="s">
        <v>837</v>
      </c>
      <c r="C242" s="135" t="s">
        <v>857</v>
      </c>
      <c r="D242" s="271" t="s">
        <v>858</v>
      </c>
      <c r="E242" s="271"/>
      <c r="F242" s="135" t="s">
        <v>79</v>
      </c>
      <c r="G242" s="131">
        <v>31.2</v>
      </c>
      <c r="H242" s="147">
        <v>0</v>
      </c>
    </row>
    <row r="243" spans="1:8" x14ac:dyDescent="0.25">
      <c r="A243" s="148"/>
      <c r="D243" s="149" t="s">
        <v>1152</v>
      </c>
      <c r="E243" s="328" t="s">
        <v>53</v>
      </c>
      <c r="F243" s="328"/>
      <c r="G243" s="150">
        <v>31.2</v>
      </c>
      <c r="H243" s="151"/>
    </row>
    <row r="244" spans="1:8" x14ac:dyDescent="0.25">
      <c r="A244" s="134" t="s">
        <v>859</v>
      </c>
      <c r="B244" s="135" t="s">
        <v>837</v>
      </c>
      <c r="C244" s="135" t="s">
        <v>854</v>
      </c>
      <c r="D244" s="271" t="s">
        <v>860</v>
      </c>
      <c r="E244" s="271"/>
      <c r="F244" s="135" t="s">
        <v>79</v>
      </c>
      <c r="G244" s="131">
        <v>8.64</v>
      </c>
      <c r="H244" s="147">
        <v>0</v>
      </c>
    </row>
    <row r="245" spans="1:8" x14ac:dyDescent="0.25">
      <c r="A245" s="148"/>
      <c r="D245" s="149" t="s">
        <v>1153</v>
      </c>
      <c r="E245" s="328" t="s">
        <v>53</v>
      </c>
      <c r="F245" s="328"/>
      <c r="G245" s="150">
        <v>8.64</v>
      </c>
      <c r="H245" s="151"/>
    </row>
    <row r="246" spans="1:8" x14ac:dyDescent="0.25">
      <c r="A246" s="134" t="s">
        <v>861</v>
      </c>
      <c r="B246" s="135" t="s">
        <v>837</v>
      </c>
      <c r="C246" s="135" t="s">
        <v>114</v>
      </c>
      <c r="D246" s="271" t="s">
        <v>710</v>
      </c>
      <c r="E246" s="271"/>
      <c r="F246" s="135" t="s">
        <v>79</v>
      </c>
      <c r="G246" s="131">
        <v>16.64</v>
      </c>
      <c r="H246" s="147">
        <v>0</v>
      </c>
    </row>
    <row r="247" spans="1:8" x14ac:dyDescent="0.25">
      <c r="A247" s="148"/>
      <c r="D247" s="149" t="s">
        <v>1154</v>
      </c>
      <c r="E247" s="328" t="s">
        <v>53</v>
      </c>
      <c r="F247" s="328"/>
      <c r="G247" s="150">
        <v>16.64</v>
      </c>
      <c r="H247" s="151"/>
    </row>
    <row r="248" spans="1:8" x14ac:dyDescent="0.25">
      <c r="A248" s="134" t="s">
        <v>862</v>
      </c>
      <c r="B248" s="135" t="s">
        <v>837</v>
      </c>
      <c r="C248" s="135" t="s">
        <v>712</v>
      </c>
      <c r="D248" s="271" t="s">
        <v>713</v>
      </c>
      <c r="E248" s="271"/>
      <c r="F248" s="135" t="s">
        <v>122</v>
      </c>
      <c r="G248" s="131">
        <v>41.6</v>
      </c>
      <c r="H248" s="147">
        <v>0</v>
      </c>
    </row>
    <row r="249" spans="1:8" x14ac:dyDescent="0.25">
      <c r="A249" s="148"/>
      <c r="D249" s="149" t="s">
        <v>1155</v>
      </c>
      <c r="E249" s="328" t="s">
        <v>53</v>
      </c>
      <c r="F249" s="328"/>
      <c r="G249" s="150">
        <v>41.6</v>
      </c>
      <c r="H249" s="151"/>
    </row>
    <row r="250" spans="1:8" x14ac:dyDescent="0.25">
      <c r="A250" s="134" t="s">
        <v>863</v>
      </c>
      <c r="B250" s="135" t="s">
        <v>837</v>
      </c>
      <c r="C250" s="135" t="s">
        <v>114</v>
      </c>
      <c r="D250" s="271" t="s">
        <v>785</v>
      </c>
      <c r="E250" s="271"/>
      <c r="F250" s="135" t="s">
        <v>79</v>
      </c>
      <c r="G250" s="131">
        <v>18.72</v>
      </c>
      <c r="H250" s="147">
        <v>0</v>
      </c>
    </row>
    <row r="251" spans="1:8" x14ac:dyDescent="0.25">
      <c r="A251" s="148"/>
      <c r="D251" s="149" t="s">
        <v>1156</v>
      </c>
      <c r="E251" s="328" t="s">
        <v>53</v>
      </c>
      <c r="F251" s="328"/>
      <c r="G251" s="150">
        <v>18.72</v>
      </c>
      <c r="H251" s="151"/>
    </row>
    <row r="252" spans="1:8" x14ac:dyDescent="0.25">
      <c r="A252" s="134" t="s">
        <v>864</v>
      </c>
      <c r="B252" s="135" t="s">
        <v>837</v>
      </c>
      <c r="C252" s="135" t="s">
        <v>117</v>
      </c>
      <c r="D252" s="271" t="s">
        <v>118</v>
      </c>
      <c r="E252" s="271"/>
      <c r="F252" s="135" t="s">
        <v>79</v>
      </c>
      <c r="G252" s="131">
        <v>187.2</v>
      </c>
      <c r="H252" s="147">
        <v>0</v>
      </c>
    </row>
    <row r="253" spans="1:8" x14ac:dyDescent="0.25">
      <c r="A253" s="148"/>
      <c r="D253" s="149" t="s">
        <v>1157</v>
      </c>
      <c r="E253" s="328" t="s">
        <v>53</v>
      </c>
      <c r="F253" s="328"/>
      <c r="G253" s="150">
        <v>187.2</v>
      </c>
      <c r="H253" s="151"/>
    </row>
    <row r="254" spans="1:8" x14ac:dyDescent="0.25">
      <c r="A254" s="134" t="s">
        <v>865</v>
      </c>
      <c r="B254" s="135" t="s">
        <v>837</v>
      </c>
      <c r="C254" s="135" t="s">
        <v>120</v>
      </c>
      <c r="D254" s="271" t="s">
        <v>121</v>
      </c>
      <c r="E254" s="271"/>
      <c r="F254" s="135" t="s">
        <v>122</v>
      </c>
      <c r="G254" s="131">
        <v>33.700000000000003</v>
      </c>
      <c r="H254" s="147">
        <v>0</v>
      </c>
    </row>
    <row r="255" spans="1:8" x14ac:dyDescent="0.25">
      <c r="A255" s="148"/>
      <c r="D255" s="149" t="s">
        <v>1158</v>
      </c>
      <c r="E255" s="328" t="s">
        <v>53</v>
      </c>
      <c r="F255" s="328"/>
      <c r="G255" s="150">
        <v>33.700000000000003</v>
      </c>
      <c r="H255" s="151"/>
    </row>
    <row r="256" spans="1:8" x14ac:dyDescent="0.25">
      <c r="A256" s="134" t="s">
        <v>866</v>
      </c>
      <c r="B256" s="135" t="s">
        <v>837</v>
      </c>
      <c r="C256" s="135" t="s">
        <v>129</v>
      </c>
      <c r="D256" s="271" t="s">
        <v>130</v>
      </c>
      <c r="E256" s="271"/>
      <c r="F256" s="135" t="s">
        <v>79</v>
      </c>
      <c r="G256" s="131">
        <v>31.2</v>
      </c>
      <c r="H256" s="147">
        <v>0</v>
      </c>
    </row>
    <row r="257" spans="1:8" x14ac:dyDescent="0.25">
      <c r="A257" s="148"/>
      <c r="D257" s="149" t="s">
        <v>1159</v>
      </c>
      <c r="E257" s="328" t="s">
        <v>53</v>
      </c>
      <c r="F257" s="328"/>
      <c r="G257" s="150">
        <v>31.2</v>
      </c>
      <c r="H257" s="151"/>
    </row>
    <row r="258" spans="1:8" x14ac:dyDescent="0.25">
      <c r="A258" s="134" t="s">
        <v>867</v>
      </c>
      <c r="B258" s="135" t="s">
        <v>837</v>
      </c>
      <c r="C258" s="135" t="s">
        <v>786</v>
      </c>
      <c r="D258" s="271" t="s">
        <v>787</v>
      </c>
      <c r="E258" s="271"/>
      <c r="F258" s="135" t="s">
        <v>79</v>
      </c>
      <c r="G258" s="131">
        <v>29.9</v>
      </c>
      <c r="H258" s="147">
        <v>0</v>
      </c>
    </row>
    <row r="259" spans="1:8" x14ac:dyDescent="0.25">
      <c r="A259" s="148"/>
      <c r="D259" s="149" t="s">
        <v>1160</v>
      </c>
      <c r="E259" s="328" t="s">
        <v>53</v>
      </c>
      <c r="F259" s="328"/>
      <c r="G259" s="150">
        <v>29.9</v>
      </c>
      <c r="H259" s="151"/>
    </row>
    <row r="260" spans="1:8" x14ac:dyDescent="0.25">
      <c r="A260" s="134" t="s">
        <v>868</v>
      </c>
      <c r="B260" s="135" t="s">
        <v>837</v>
      </c>
      <c r="C260" s="135" t="s">
        <v>788</v>
      </c>
      <c r="D260" s="271" t="s">
        <v>789</v>
      </c>
      <c r="E260" s="271"/>
      <c r="F260" s="135" t="s">
        <v>79</v>
      </c>
      <c r="G260" s="131">
        <v>18.72</v>
      </c>
      <c r="H260" s="147">
        <v>0</v>
      </c>
    </row>
    <row r="261" spans="1:8" x14ac:dyDescent="0.25">
      <c r="A261" s="148"/>
      <c r="D261" s="149" t="s">
        <v>1156</v>
      </c>
      <c r="E261" s="328" t="s">
        <v>53</v>
      </c>
      <c r="F261" s="328"/>
      <c r="G261" s="150">
        <v>18.72</v>
      </c>
      <c r="H261" s="151"/>
    </row>
    <row r="262" spans="1:8" x14ac:dyDescent="0.25">
      <c r="A262" s="134" t="s">
        <v>869</v>
      </c>
      <c r="B262" s="135" t="s">
        <v>837</v>
      </c>
      <c r="C262" s="135" t="s">
        <v>795</v>
      </c>
      <c r="D262" s="271" t="s">
        <v>796</v>
      </c>
      <c r="E262" s="271"/>
      <c r="F262" s="135" t="s">
        <v>79</v>
      </c>
      <c r="G262" s="131">
        <v>9.1199999999999992</v>
      </c>
      <c r="H262" s="147">
        <v>0</v>
      </c>
    </row>
    <row r="263" spans="1:8" x14ac:dyDescent="0.25">
      <c r="A263" s="148"/>
      <c r="D263" s="149" t="s">
        <v>1161</v>
      </c>
      <c r="E263" s="328" t="s">
        <v>53</v>
      </c>
      <c r="F263" s="328"/>
      <c r="G263" s="150">
        <v>9.1199999999999992</v>
      </c>
      <c r="H263" s="151"/>
    </row>
    <row r="264" spans="1:8" x14ac:dyDescent="0.25">
      <c r="A264" s="134" t="s">
        <v>872</v>
      </c>
      <c r="B264" s="135" t="s">
        <v>837</v>
      </c>
      <c r="C264" s="135" t="s">
        <v>873</v>
      </c>
      <c r="D264" s="271" t="s">
        <v>874</v>
      </c>
      <c r="E264" s="271"/>
      <c r="F264" s="135" t="s">
        <v>59</v>
      </c>
      <c r="G264" s="131">
        <v>6</v>
      </c>
      <c r="H264" s="147">
        <v>0</v>
      </c>
    </row>
    <row r="265" spans="1:8" x14ac:dyDescent="0.25">
      <c r="A265" s="148"/>
      <c r="D265" s="149" t="s">
        <v>1162</v>
      </c>
      <c r="E265" s="328" t="s">
        <v>53</v>
      </c>
      <c r="F265" s="328"/>
      <c r="G265" s="150">
        <v>6</v>
      </c>
      <c r="H265" s="151"/>
    </row>
    <row r="266" spans="1:8" x14ac:dyDescent="0.25">
      <c r="A266" s="134" t="s">
        <v>876</v>
      </c>
      <c r="B266" s="135" t="s">
        <v>837</v>
      </c>
      <c r="C266" s="135" t="s">
        <v>877</v>
      </c>
      <c r="D266" s="271" t="s">
        <v>878</v>
      </c>
      <c r="E266" s="271"/>
      <c r="F266" s="135" t="s">
        <v>67</v>
      </c>
      <c r="G266" s="131">
        <v>48</v>
      </c>
      <c r="H266" s="147">
        <v>0</v>
      </c>
    </row>
    <row r="267" spans="1:8" x14ac:dyDescent="0.25">
      <c r="A267" s="148"/>
      <c r="D267" s="149" t="s">
        <v>226</v>
      </c>
      <c r="E267" s="328" t="s">
        <v>53</v>
      </c>
      <c r="F267" s="328"/>
      <c r="G267" s="150">
        <v>48</v>
      </c>
      <c r="H267" s="151"/>
    </row>
    <row r="268" spans="1:8" x14ac:dyDescent="0.25">
      <c r="A268" s="134" t="s">
        <v>880</v>
      </c>
      <c r="B268" s="135" t="s">
        <v>837</v>
      </c>
      <c r="C268" s="135" t="s">
        <v>881</v>
      </c>
      <c r="D268" s="271" t="s">
        <v>882</v>
      </c>
      <c r="E268" s="271"/>
      <c r="F268" s="135" t="s">
        <v>164</v>
      </c>
      <c r="G268" s="131">
        <v>2</v>
      </c>
      <c r="H268" s="147">
        <v>0</v>
      </c>
    </row>
    <row r="269" spans="1:8" x14ac:dyDescent="0.25">
      <c r="A269" s="148"/>
      <c r="D269" s="149" t="s">
        <v>64</v>
      </c>
      <c r="E269" s="328" t="s">
        <v>53</v>
      </c>
      <c r="F269" s="328"/>
      <c r="G269" s="150">
        <v>2</v>
      </c>
      <c r="H269" s="151"/>
    </row>
    <row r="270" spans="1:8" x14ac:dyDescent="0.25">
      <c r="A270" s="134" t="s">
        <v>883</v>
      </c>
      <c r="B270" s="135" t="s">
        <v>837</v>
      </c>
      <c r="C270" s="135" t="s">
        <v>721</v>
      </c>
      <c r="D270" s="271" t="s">
        <v>722</v>
      </c>
      <c r="E270" s="271"/>
      <c r="F270" s="135" t="s">
        <v>164</v>
      </c>
      <c r="G270" s="131">
        <v>2</v>
      </c>
      <c r="H270" s="147">
        <v>0</v>
      </c>
    </row>
    <row r="271" spans="1:8" x14ac:dyDescent="0.25">
      <c r="A271" s="148"/>
      <c r="D271" s="149" t="s">
        <v>64</v>
      </c>
      <c r="E271" s="328" t="s">
        <v>53</v>
      </c>
      <c r="F271" s="328"/>
      <c r="G271" s="150">
        <v>2</v>
      </c>
      <c r="H271" s="151"/>
    </row>
    <row r="272" spans="1:8" x14ac:dyDescent="0.25">
      <c r="A272" s="134" t="s">
        <v>884</v>
      </c>
      <c r="B272" s="135" t="s">
        <v>837</v>
      </c>
      <c r="C272" s="135" t="s">
        <v>806</v>
      </c>
      <c r="D272" s="271" t="s">
        <v>807</v>
      </c>
      <c r="E272" s="271"/>
      <c r="F272" s="135" t="s">
        <v>164</v>
      </c>
      <c r="G272" s="131">
        <v>2</v>
      </c>
      <c r="H272" s="147">
        <v>0</v>
      </c>
    </row>
    <row r="273" spans="1:8" x14ac:dyDescent="0.25">
      <c r="A273" s="148"/>
      <c r="D273" s="149" t="s">
        <v>64</v>
      </c>
      <c r="E273" s="328" t="s">
        <v>53</v>
      </c>
      <c r="F273" s="328"/>
      <c r="G273" s="150">
        <v>2</v>
      </c>
      <c r="H273" s="151"/>
    </row>
    <row r="274" spans="1:8" x14ac:dyDescent="0.25">
      <c r="A274" s="134" t="s">
        <v>885</v>
      </c>
      <c r="B274" s="135" t="s">
        <v>837</v>
      </c>
      <c r="C274" s="135" t="s">
        <v>725</v>
      </c>
      <c r="D274" s="271" t="s">
        <v>726</v>
      </c>
      <c r="E274" s="271"/>
      <c r="F274" s="135" t="s">
        <v>164</v>
      </c>
      <c r="G274" s="131">
        <v>2</v>
      </c>
      <c r="H274" s="147">
        <v>0</v>
      </c>
    </row>
    <row r="275" spans="1:8" x14ac:dyDescent="0.25">
      <c r="A275" s="148"/>
      <c r="D275" s="149" t="s">
        <v>64</v>
      </c>
      <c r="E275" s="328" t="s">
        <v>53</v>
      </c>
      <c r="F275" s="328"/>
      <c r="G275" s="150">
        <v>2</v>
      </c>
      <c r="H275" s="151"/>
    </row>
    <row r="276" spans="1:8" x14ac:dyDescent="0.25">
      <c r="A276" s="134" t="s">
        <v>886</v>
      </c>
      <c r="B276" s="135" t="s">
        <v>837</v>
      </c>
      <c r="C276" s="135" t="s">
        <v>723</v>
      </c>
      <c r="D276" s="271" t="s">
        <v>724</v>
      </c>
      <c r="E276" s="271"/>
      <c r="F276" s="135" t="s">
        <v>164</v>
      </c>
      <c r="G276" s="131">
        <v>2</v>
      </c>
      <c r="H276" s="147">
        <v>0</v>
      </c>
    </row>
    <row r="277" spans="1:8" x14ac:dyDescent="0.25">
      <c r="A277" s="148"/>
      <c r="D277" s="149" t="s">
        <v>64</v>
      </c>
      <c r="E277" s="328" t="s">
        <v>53</v>
      </c>
      <c r="F277" s="328"/>
      <c r="G277" s="150">
        <v>2</v>
      </c>
      <c r="H277" s="151"/>
    </row>
    <row r="278" spans="1:8" x14ac:dyDescent="0.25">
      <c r="A278" s="134" t="s">
        <v>887</v>
      </c>
      <c r="B278" s="135" t="s">
        <v>837</v>
      </c>
      <c r="C278" s="135" t="s">
        <v>808</v>
      </c>
      <c r="D278" s="271" t="s">
        <v>888</v>
      </c>
      <c r="E278" s="271"/>
      <c r="F278" s="135" t="s">
        <v>79</v>
      </c>
      <c r="G278" s="131">
        <v>1</v>
      </c>
      <c r="H278" s="147">
        <v>0</v>
      </c>
    </row>
    <row r="279" spans="1:8" x14ac:dyDescent="0.25">
      <c r="A279" s="148"/>
      <c r="D279" s="149" t="s">
        <v>1163</v>
      </c>
      <c r="E279" s="328" t="s">
        <v>53</v>
      </c>
      <c r="F279" s="328"/>
      <c r="G279" s="150">
        <v>1</v>
      </c>
      <c r="H279" s="151"/>
    </row>
    <row r="280" spans="1:8" x14ac:dyDescent="0.25">
      <c r="A280" s="134" t="s">
        <v>676</v>
      </c>
      <c r="B280" s="135" t="s">
        <v>837</v>
      </c>
      <c r="C280" s="135" t="s">
        <v>738</v>
      </c>
      <c r="D280" s="271" t="s">
        <v>739</v>
      </c>
      <c r="E280" s="271"/>
      <c r="F280" s="135" t="s">
        <v>122</v>
      </c>
      <c r="G280" s="131">
        <v>101.3</v>
      </c>
      <c r="H280" s="147">
        <v>0</v>
      </c>
    </row>
    <row r="281" spans="1:8" x14ac:dyDescent="0.25">
      <c r="A281" s="148"/>
      <c r="D281" s="149" t="s">
        <v>1164</v>
      </c>
      <c r="E281" s="328" t="s">
        <v>53</v>
      </c>
      <c r="F281" s="328"/>
      <c r="G281" s="150">
        <v>101.3</v>
      </c>
      <c r="H281" s="151"/>
    </row>
    <row r="282" spans="1:8" x14ac:dyDescent="0.25">
      <c r="A282" s="134" t="s">
        <v>890</v>
      </c>
      <c r="B282" s="135" t="s">
        <v>837</v>
      </c>
      <c r="C282" s="135" t="s">
        <v>891</v>
      </c>
      <c r="D282" s="271" t="s">
        <v>892</v>
      </c>
      <c r="E282" s="271"/>
      <c r="F282" s="135" t="s">
        <v>164</v>
      </c>
      <c r="G282" s="131">
        <v>8</v>
      </c>
      <c r="H282" s="147">
        <v>0</v>
      </c>
    </row>
    <row r="283" spans="1:8" x14ac:dyDescent="0.25">
      <c r="A283" s="148"/>
      <c r="D283" s="149" t="s">
        <v>87</v>
      </c>
      <c r="E283" s="328" t="s">
        <v>53</v>
      </c>
      <c r="F283" s="328"/>
      <c r="G283" s="150">
        <v>8</v>
      </c>
      <c r="H283" s="151"/>
    </row>
    <row r="284" spans="1:8" x14ac:dyDescent="0.25">
      <c r="A284" s="134" t="s">
        <v>572</v>
      </c>
      <c r="B284" s="135" t="s">
        <v>837</v>
      </c>
      <c r="C284" s="135" t="s">
        <v>894</v>
      </c>
      <c r="D284" s="271" t="s">
        <v>895</v>
      </c>
      <c r="E284" s="271"/>
      <c r="F284" s="135" t="s">
        <v>164</v>
      </c>
      <c r="G284" s="131">
        <v>2</v>
      </c>
      <c r="H284" s="147">
        <v>0</v>
      </c>
    </row>
    <row r="285" spans="1:8" x14ac:dyDescent="0.25">
      <c r="A285" s="148"/>
      <c r="D285" s="149" t="s">
        <v>64</v>
      </c>
      <c r="E285" s="328" t="s">
        <v>53</v>
      </c>
      <c r="F285" s="328"/>
      <c r="G285" s="150">
        <v>2</v>
      </c>
      <c r="H285" s="151"/>
    </row>
    <row r="286" spans="1:8" x14ac:dyDescent="0.25">
      <c r="A286" s="134" t="s">
        <v>896</v>
      </c>
      <c r="B286" s="135" t="s">
        <v>837</v>
      </c>
      <c r="C286" s="135" t="s">
        <v>818</v>
      </c>
      <c r="D286" s="271" t="s">
        <v>819</v>
      </c>
      <c r="E286" s="271"/>
      <c r="F286" s="135" t="s">
        <v>164</v>
      </c>
      <c r="G286" s="131">
        <v>3</v>
      </c>
      <c r="H286" s="147">
        <v>0</v>
      </c>
    </row>
    <row r="287" spans="1:8" x14ac:dyDescent="0.25">
      <c r="A287" s="148"/>
      <c r="D287" s="149" t="s">
        <v>68</v>
      </c>
      <c r="E287" s="328" t="s">
        <v>53</v>
      </c>
      <c r="F287" s="328"/>
      <c r="G287" s="150">
        <v>3</v>
      </c>
      <c r="H287" s="151"/>
    </row>
    <row r="288" spans="1:8" x14ac:dyDescent="0.25">
      <c r="A288" s="134" t="s">
        <v>897</v>
      </c>
      <c r="B288" s="135" t="s">
        <v>837</v>
      </c>
      <c r="C288" s="135" t="s">
        <v>820</v>
      </c>
      <c r="D288" s="271" t="s">
        <v>898</v>
      </c>
      <c r="E288" s="271"/>
      <c r="F288" s="135" t="s">
        <v>164</v>
      </c>
      <c r="G288" s="131">
        <v>2</v>
      </c>
      <c r="H288" s="147">
        <v>0</v>
      </c>
    </row>
    <row r="289" spans="1:8" x14ac:dyDescent="0.25">
      <c r="A289" s="148"/>
      <c r="D289" s="149" t="s">
        <v>64</v>
      </c>
      <c r="E289" s="328" t="s">
        <v>53</v>
      </c>
      <c r="F289" s="328"/>
      <c r="G289" s="150">
        <v>2</v>
      </c>
      <c r="H289" s="151"/>
    </row>
    <row r="290" spans="1:8" x14ac:dyDescent="0.25">
      <c r="A290" s="134" t="s">
        <v>899</v>
      </c>
      <c r="B290" s="135" t="s">
        <v>837</v>
      </c>
      <c r="C290" s="135" t="s">
        <v>822</v>
      </c>
      <c r="D290" s="271" t="s">
        <v>823</v>
      </c>
      <c r="E290" s="271"/>
      <c r="F290" s="135" t="s">
        <v>164</v>
      </c>
      <c r="G290" s="131">
        <v>2</v>
      </c>
      <c r="H290" s="147">
        <v>0</v>
      </c>
    </row>
    <row r="291" spans="1:8" x14ac:dyDescent="0.25">
      <c r="A291" s="148"/>
      <c r="D291" s="149" t="s">
        <v>64</v>
      </c>
      <c r="E291" s="328" t="s">
        <v>53</v>
      </c>
      <c r="F291" s="328"/>
      <c r="G291" s="150">
        <v>2</v>
      </c>
      <c r="H291" s="151"/>
    </row>
    <row r="292" spans="1:8" x14ac:dyDescent="0.25">
      <c r="A292" s="134" t="s">
        <v>900</v>
      </c>
      <c r="B292" s="135" t="s">
        <v>837</v>
      </c>
      <c r="C292" s="135" t="s">
        <v>746</v>
      </c>
      <c r="D292" s="271" t="s">
        <v>747</v>
      </c>
      <c r="E292" s="271"/>
      <c r="F292" s="135" t="s">
        <v>164</v>
      </c>
      <c r="G292" s="131">
        <v>2</v>
      </c>
      <c r="H292" s="147">
        <v>0</v>
      </c>
    </row>
    <row r="293" spans="1:8" x14ac:dyDescent="0.25">
      <c r="A293" s="148"/>
      <c r="D293" s="149" t="s">
        <v>64</v>
      </c>
      <c r="E293" s="328" t="s">
        <v>53</v>
      </c>
      <c r="F293" s="328"/>
      <c r="G293" s="150">
        <v>2</v>
      </c>
      <c r="H293" s="151"/>
    </row>
    <row r="294" spans="1:8" x14ac:dyDescent="0.25">
      <c r="A294" s="134" t="s">
        <v>585</v>
      </c>
      <c r="B294" s="135" t="s">
        <v>837</v>
      </c>
      <c r="C294" s="135" t="s">
        <v>750</v>
      </c>
      <c r="D294" s="271" t="s">
        <v>751</v>
      </c>
      <c r="E294" s="271"/>
      <c r="F294" s="135" t="s">
        <v>164</v>
      </c>
      <c r="G294" s="131">
        <v>2</v>
      </c>
      <c r="H294" s="147">
        <v>0</v>
      </c>
    </row>
    <row r="295" spans="1:8" x14ac:dyDescent="0.25">
      <c r="A295" s="148"/>
      <c r="D295" s="149" t="s">
        <v>64</v>
      </c>
      <c r="E295" s="328" t="s">
        <v>53</v>
      </c>
      <c r="F295" s="328"/>
      <c r="G295" s="150">
        <v>2</v>
      </c>
      <c r="H295" s="151"/>
    </row>
    <row r="296" spans="1:8" x14ac:dyDescent="0.25">
      <c r="A296" s="134" t="s">
        <v>901</v>
      </c>
      <c r="B296" s="135" t="s">
        <v>837</v>
      </c>
      <c r="C296" s="135" t="s">
        <v>829</v>
      </c>
      <c r="D296" s="271" t="s">
        <v>830</v>
      </c>
      <c r="E296" s="271"/>
      <c r="F296" s="135" t="s">
        <v>831</v>
      </c>
      <c r="G296" s="131">
        <v>53.82</v>
      </c>
      <c r="H296" s="147">
        <v>0</v>
      </c>
    </row>
    <row r="297" spans="1:8" x14ac:dyDescent="0.25">
      <c r="A297" s="148"/>
      <c r="D297" s="149" t="s">
        <v>1165</v>
      </c>
      <c r="E297" s="328" t="s">
        <v>53</v>
      </c>
      <c r="F297" s="328"/>
      <c r="G297" s="150">
        <v>53.82</v>
      </c>
      <c r="H297" s="151"/>
    </row>
    <row r="298" spans="1:8" x14ac:dyDescent="0.25">
      <c r="A298" s="134" t="s">
        <v>650</v>
      </c>
      <c r="B298" s="135" t="s">
        <v>837</v>
      </c>
      <c r="C298" s="135" t="s">
        <v>414</v>
      </c>
      <c r="D298" s="271" t="s">
        <v>415</v>
      </c>
      <c r="E298" s="271"/>
      <c r="F298" s="135" t="s">
        <v>416</v>
      </c>
      <c r="G298" s="131">
        <v>1</v>
      </c>
      <c r="H298" s="147">
        <v>0</v>
      </c>
    </row>
    <row r="299" spans="1:8" x14ac:dyDescent="0.25">
      <c r="A299" s="148"/>
      <c r="D299" s="149" t="s">
        <v>56</v>
      </c>
      <c r="E299" s="328" t="s">
        <v>53</v>
      </c>
      <c r="F299" s="328"/>
      <c r="G299" s="150">
        <v>1</v>
      </c>
      <c r="H299" s="151"/>
    </row>
    <row r="300" spans="1:8" x14ac:dyDescent="0.25">
      <c r="A300" s="134" t="s">
        <v>903</v>
      </c>
      <c r="B300" s="135" t="s">
        <v>837</v>
      </c>
      <c r="C300" s="135" t="s">
        <v>422</v>
      </c>
      <c r="D300" s="271" t="s">
        <v>420</v>
      </c>
      <c r="E300" s="271"/>
      <c r="F300" s="135" t="s">
        <v>416</v>
      </c>
      <c r="G300" s="131">
        <v>1</v>
      </c>
      <c r="H300" s="147">
        <v>0</v>
      </c>
    </row>
    <row r="301" spans="1:8" x14ac:dyDescent="0.25">
      <c r="A301" s="148"/>
      <c r="D301" s="149" t="s">
        <v>56</v>
      </c>
      <c r="E301" s="328" t="s">
        <v>53</v>
      </c>
      <c r="F301" s="328"/>
      <c r="G301" s="150">
        <v>1</v>
      </c>
      <c r="H301" s="151"/>
    </row>
    <row r="302" spans="1:8" x14ac:dyDescent="0.25">
      <c r="A302" s="134" t="s">
        <v>904</v>
      </c>
      <c r="B302" s="135" t="s">
        <v>837</v>
      </c>
      <c r="C302" s="135" t="s">
        <v>427</v>
      </c>
      <c r="D302" s="271" t="s">
        <v>428</v>
      </c>
      <c r="E302" s="271"/>
      <c r="F302" s="135" t="s">
        <v>416</v>
      </c>
      <c r="G302" s="131">
        <v>1</v>
      </c>
      <c r="H302" s="147">
        <v>0</v>
      </c>
    </row>
    <row r="303" spans="1:8" x14ac:dyDescent="0.25">
      <c r="A303" s="148"/>
      <c r="D303" s="149" t="s">
        <v>619</v>
      </c>
      <c r="E303" s="328" t="s">
        <v>53</v>
      </c>
      <c r="F303" s="328"/>
      <c r="G303" s="150">
        <v>1</v>
      </c>
      <c r="H303" s="151"/>
    </row>
    <row r="304" spans="1:8" x14ac:dyDescent="0.25">
      <c r="A304" s="170" t="s">
        <v>53</v>
      </c>
      <c r="B304" s="124" t="s">
        <v>906</v>
      </c>
      <c r="C304" s="124" t="s">
        <v>53</v>
      </c>
      <c r="D304" s="273" t="s">
        <v>905</v>
      </c>
      <c r="E304" s="273"/>
      <c r="F304" s="124" t="s">
        <v>53</v>
      </c>
      <c r="G304" s="115" t="s">
        <v>53</v>
      </c>
      <c r="H304" s="126" t="s">
        <v>53</v>
      </c>
    </row>
    <row r="305" spans="1:8" x14ac:dyDescent="0.25">
      <c r="A305" s="134" t="s">
        <v>907</v>
      </c>
      <c r="B305" s="135" t="s">
        <v>906</v>
      </c>
      <c r="C305" s="135" t="s">
        <v>703</v>
      </c>
      <c r="D305" s="271" t="s">
        <v>704</v>
      </c>
      <c r="E305" s="271"/>
      <c r="F305" s="135" t="s">
        <v>705</v>
      </c>
      <c r="G305" s="131">
        <v>1</v>
      </c>
      <c r="H305" s="147">
        <v>0</v>
      </c>
    </row>
    <row r="306" spans="1:8" x14ac:dyDescent="0.25">
      <c r="A306" s="148"/>
      <c r="D306" s="149" t="s">
        <v>56</v>
      </c>
      <c r="E306" s="328" t="s">
        <v>53</v>
      </c>
      <c r="F306" s="328"/>
      <c r="G306" s="150">
        <v>1</v>
      </c>
      <c r="H306" s="151"/>
    </row>
    <row r="307" spans="1:8" x14ac:dyDescent="0.25">
      <c r="A307" s="134" t="s">
        <v>910</v>
      </c>
      <c r="B307" s="135" t="s">
        <v>906</v>
      </c>
      <c r="C307" s="135" t="s">
        <v>911</v>
      </c>
      <c r="D307" s="271" t="s">
        <v>912</v>
      </c>
      <c r="E307" s="271"/>
      <c r="F307" s="135" t="s">
        <v>67</v>
      </c>
      <c r="G307" s="131">
        <v>2</v>
      </c>
      <c r="H307" s="147">
        <v>0</v>
      </c>
    </row>
    <row r="308" spans="1:8" x14ac:dyDescent="0.25">
      <c r="A308" s="148"/>
      <c r="D308" s="149" t="s">
        <v>64</v>
      </c>
      <c r="E308" s="328" t="s">
        <v>53</v>
      </c>
      <c r="F308" s="328"/>
      <c r="G308" s="150">
        <v>2</v>
      </c>
      <c r="H308" s="151"/>
    </row>
    <row r="309" spans="1:8" x14ac:dyDescent="0.25">
      <c r="A309" s="134" t="s">
        <v>913</v>
      </c>
      <c r="B309" s="135" t="s">
        <v>906</v>
      </c>
      <c r="C309" s="135" t="s">
        <v>914</v>
      </c>
      <c r="D309" s="271" t="s">
        <v>915</v>
      </c>
      <c r="E309" s="271"/>
      <c r="F309" s="135" t="s">
        <v>79</v>
      </c>
      <c r="G309" s="131">
        <v>4.16</v>
      </c>
      <c r="H309" s="147">
        <v>0</v>
      </c>
    </row>
    <row r="310" spans="1:8" x14ac:dyDescent="0.25">
      <c r="A310" s="148"/>
      <c r="D310" s="149" t="s">
        <v>1166</v>
      </c>
      <c r="E310" s="328" t="s">
        <v>53</v>
      </c>
      <c r="F310" s="328"/>
      <c r="G310" s="150">
        <v>4.16</v>
      </c>
      <c r="H310" s="151"/>
    </row>
    <row r="311" spans="1:8" x14ac:dyDescent="0.25">
      <c r="A311" s="134" t="s">
        <v>916</v>
      </c>
      <c r="B311" s="135" t="s">
        <v>906</v>
      </c>
      <c r="C311" s="135" t="s">
        <v>775</v>
      </c>
      <c r="D311" s="271" t="s">
        <v>776</v>
      </c>
      <c r="E311" s="271"/>
      <c r="F311" s="135" t="s">
        <v>79</v>
      </c>
      <c r="G311" s="131">
        <v>39.1</v>
      </c>
      <c r="H311" s="147">
        <v>0</v>
      </c>
    </row>
    <row r="312" spans="1:8" x14ac:dyDescent="0.25">
      <c r="A312" s="148"/>
      <c r="D312" s="149" t="s">
        <v>1167</v>
      </c>
      <c r="E312" s="328" t="s">
        <v>53</v>
      </c>
      <c r="F312" s="328"/>
      <c r="G312" s="150">
        <v>39.1</v>
      </c>
      <c r="H312" s="151"/>
    </row>
    <row r="313" spans="1:8" x14ac:dyDescent="0.25">
      <c r="A313" s="134" t="s">
        <v>917</v>
      </c>
      <c r="B313" s="135" t="s">
        <v>906</v>
      </c>
      <c r="C313" s="135" t="s">
        <v>777</v>
      </c>
      <c r="D313" s="271" t="s">
        <v>778</v>
      </c>
      <c r="E313" s="271"/>
      <c r="F313" s="135" t="s">
        <v>79</v>
      </c>
      <c r="G313" s="131">
        <v>58.66</v>
      </c>
      <c r="H313" s="147">
        <v>0</v>
      </c>
    </row>
    <row r="314" spans="1:8" x14ac:dyDescent="0.25">
      <c r="A314" s="148"/>
      <c r="D314" s="149" t="s">
        <v>1168</v>
      </c>
      <c r="E314" s="328" t="s">
        <v>53</v>
      </c>
      <c r="F314" s="328"/>
      <c r="G314" s="150">
        <v>58.66</v>
      </c>
      <c r="H314" s="151"/>
    </row>
    <row r="315" spans="1:8" x14ac:dyDescent="0.25">
      <c r="A315" s="134" t="s">
        <v>918</v>
      </c>
      <c r="B315" s="135" t="s">
        <v>906</v>
      </c>
      <c r="C315" s="135" t="s">
        <v>780</v>
      </c>
      <c r="D315" s="271" t="s">
        <v>781</v>
      </c>
      <c r="E315" s="271"/>
      <c r="F315" s="135" t="s">
        <v>59</v>
      </c>
      <c r="G315" s="131">
        <v>94</v>
      </c>
      <c r="H315" s="147">
        <v>0</v>
      </c>
    </row>
    <row r="316" spans="1:8" x14ac:dyDescent="0.25">
      <c r="A316" s="148"/>
      <c r="D316" s="149" t="s">
        <v>1169</v>
      </c>
      <c r="E316" s="328" t="s">
        <v>53</v>
      </c>
      <c r="F316" s="328"/>
      <c r="G316" s="150">
        <v>94</v>
      </c>
      <c r="H316" s="151"/>
    </row>
    <row r="317" spans="1:8" x14ac:dyDescent="0.25">
      <c r="A317" s="134" t="s">
        <v>919</v>
      </c>
      <c r="B317" s="135" t="s">
        <v>906</v>
      </c>
      <c r="C317" s="135" t="s">
        <v>783</v>
      </c>
      <c r="D317" s="271" t="s">
        <v>784</v>
      </c>
      <c r="E317" s="271"/>
      <c r="F317" s="135" t="s">
        <v>59</v>
      </c>
      <c r="G317" s="131">
        <v>94</v>
      </c>
      <c r="H317" s="147">
        <v>0</v>
      </c>
    </row>
    <row r="318" spans="1:8" x14ac:dyDescent="0.25">
      <c r="A318" s="148"/>
      <c r="D318" s="149" t="s">
        <v>1169</v>
      </c>
      <c r="E318" s="328" t="s">
        <v>53</v>
      </c>
      <c r="F318" s="328"/>
      <c r="G318" s="150">
        <v>94</v>
      </c>
      <c r="H318" s="151"/>
    </row>
    <row r="319" spans="1:8" x14ac:dyDescent="0.25">
      <c r="A319" s="134" t="s">
        <v>920</v>
      </c>
      <c r="B319" s="135" t="s">
        <v>906</v>
      </c>
      <c r="C319" s="135" t="s">
        <v>921</v>
      </c>
      <c r="D319" s="271" t="s">
        <v>922</v>
      </c>
      <c r="E319" s="271"/>
      <c r="F319" s="135" t="s">
        <v>79</v>
      </c>
      <c r="G319" s="131">
        <v>4.16</v>
      </c>
      <c r="H319" s="147">
        <v>0</v>
      </c>
    </row>
    <row r="320" spans="1:8" x14ac:dyDescent="0.25">
      <c r="A320" s="148"/>
      <c r="D320" s="149" t="s">
        <v>1170</v>
      </c>
      <c r="E320" s="328" t="s">
        <v>53</v>
      </c>
      <c r="F320" s="328"/>
      <c r="G320" s="150">
        <v>4.16</v>
      </c>
      <c r="H320" s="151"/>
    </row>
    <row r="321" spans="1:8" x14ac:dyDescent="0.25">
      <c r="A321" s="134" t="s">
        <v>923</v>
      </c>
      <c r="B321" s="135" t="s">
        <v>906</v>
      </c>
      <c r="C321" s="135" t="s">
        <v>114</v>
      </c>
      <c r="D321" s="271" t="s">
        <v>785</v>
      </c>
      <c r="E321" s="271"/>
      <c r="F321" s="135" t="s">
        <v>79</v>
      </c>
      <c r="G321" s="131">
        <v>39.33</v>
      </c>
      <c r="H321" s="147">
        <v>0</v>
      </c>
    </row>
    <row r="322" spans="1:8" x14ac:dyDescent="0.25">
      <c r="A322" s="148"/>
      <c r="D322" s="149" t="s">
        <v>1171</v>
      </c>
      <c r="E322" s="328" t="s">
        <v>53</v>
      </c>
      <c r="F322" s="328"/>
      <c r="G322" s="150">
        <v>39.33</v>
      </c>
      <c r="H322" s="151"/>
    </row>
    <row r="323" spans="1:8" x14ac:dyDescent="0.25">
      <c r="A323" s="134" t="s">
        <v>924</v>
      </c>
      <c r="B323" s="135" t="s">
        <v>906</v>
      </c>
      <c r="C323" s="135" t="s">
        <v>117</v>
      </c>
      <c r="D323" s="271" t="s">
        <v>118</v>
      </c>
      <c r="E323" s="271"/>
      <c r="F323" s="135" t="s">
        <v>79</v>
      </c>
      <c r="G323" s="131">
        <v>393.3</v>
      </c>
      <c r="H323" s="147">
        <v>0</v>
      </c>
    </row>
    <row r="324" spans="1:8" x14ac:dyDescent="0.25">
      <c r="A324" s="148"/>
      <c r="D324" s="149" t="s">
        <v>1172</v>
      </c>
      <c r="E324" s="328" t="s">
        <v>53</v>
      </c>
      <c r="F324" s="328"/>
      <c r="G324" s="150">
        <v>393.3</v>
      </c>
      <c r="H324" s="151"/>
    </row>
    <row r="325" spans="1:8" x14ac:dyDescent="0.25">
      <c r="A325" s="134" t="s">
        <v>925</v>
      </c>
      <c r="B325" s="135" t="s">
        <v>906</v>
      </c>
      <c r="C325" s="135" t="s">
        <v>120</v>
      </c>
      <c r="D325" s="271" t="s">
        <v>121</v>
      </c>
      <c r="E325" s="271"/>
      <c r="F325" s="135" t="s">
        <v>122</v>
      </c>
      <c r="G325" s="131">
        <v>70.790000000000006</v>
      </c>
      <c r="H325" s="147">
        <v>0</v>
      </c>
    </row>
    <row r="326" spans="1:8" x14ac:dyDescent="0.25">
      <c r="A326" s="148"/>
      <c r="D326" s="149" t="s">
        <v>1173</v>
      </c>
      <c r="E326" s="328" t="s">
        <v>53</v>
      </c>
      <c r="F326" s="328"/>
      <c r="G326" s="150">
        <v>70.790000000000006</v>
      </c>
      <c r="H326" s="151"/>
    </row>
    <row r="327" spans="1:8" x14ac:dyDescent="0.25">
      <c r="A327" s="134" t="s">
        <v>926</v>
      </c>
      <c r="B327" s="135" t="s">
        <v>906</v>
      </c>
      <c r="C327" s="135" t="s">
        <v>129</v>
      </c>
      <c r="D327" s="271" t="s">
        <v>130</v>
      </c>
      <c r="E327" s="271"/>
      <c r="F327" s="135" t="s">
        <v>79</v>
      </c>
      <c r="G327" s="131">
        <v>58.43</v>
      </c>
      <c r="H327" s="147">
        <v>0</v>
      </c>
    </row>
    <row r="328" spans="1:8" x14ac:dyDescent="0.25">
      <c r="A328" s="148"/>
      <c r="D328" s="149" t="s">
        <v>1174</v>
      </c>
      <c r="E328" s="328" t="s">
        <v>53</v>
      </c>
      <c r="F328" s="328"/>
      <c r="G328" s="150">
        <v>58.43</v>
      </c>
      <c r="H328" s="151"/>
    </row>
    <row r="329" spans="1:8" x14ac:dyDescent="0.25">
      <c r="A329" s="134" t="s">
        <v>927</v>
      </c>
      <c r="B329" s="135" t="s">
        <v>906</v>
      </c>
      <c r="C329" s="135" t="s">
        <v>786</v>
      </c>
      <c r="D329" s="271" t="s">
        <v>787</v>
      </c>
      <c r="E329" s="271"/>
      <c r="F329" s="135" t="s">
        <v>79</v>
      </c>
      <c r="G329" s="131">
        <v>19.350000000000001</v>
      </c>
      <c r="H329" s="147">
        <v>0</v>
      </c>
    </row>
    <row r="330" spans="1:8" x14ac:dyDescent="0.25">
      <c r="A330" s="148"/>
      <c r="D330" s="149" t="s">
        <v>1175</v>
      </c>
      <c r="E330" s="328" t="s">
        <v>53</v>
      </c>
      <c r="F330" s="328"/>
      <c r="G330" s="150">
        <v>19.350000000000001</v>
      </c>
      <c r="H330" s="151"/>
    </row>
    <row r="331" spans="1:8" x14ac:dyDescent="0.25">
      <c r="A331" s="134" t="s">
        <v>928</v>
      </c>
      <c r="B331" s="135" t="s">
        <v>906</v>
      </c>
      <c r="C331" s="135" t="s">
        <v>788</v>
      </c>
      <c r="D331" s="271" t="s">
        <v>789</v>
      </c>
      <c r="E331" s="271"/>
      <c r="F331" s="135" t="s">
        <v>79</v>
      </c>
      <c r="G331" s="131">
        <v>39.33</v>
      </c>
      <c r="H331" s="147">
        <v>0</v>
      </c>
    </row>
    <row r="332" spans="1:8" x14ac:dyDescent="0.25">
      <c r="A332" s="148"/>
      <c r="D332" s="149" t="s">
        <v>1176</v>
      </c>
      <c r="E332" s="328" t="s">
        <v>53</v>
      </c>
      <c r="F332" s="328"/>
      <c r="G332" s="150">
        <v>39.33</v>
      </c>
      <c r="H332" s="151"/>
    </row>
    <row r="333" spans="1:8" x14ac:dyDescent="0.25">
      <c r="A333" s="134" t="s">
        <v>929</v>
      </c>
      <c r="B333" s="135" t="s">
        <v>906</v>
      </c>
      <c r="C333" s="135" t="s">
        <v>795</v>
      </c>
      <c r="D333" s="271" t="s">
        <v>796</v>
      </c>
      <c r="E333" s="271"/>
      <c r="F333" s="135" t="s">
        <v>79</v>
      </c>
      <c r="G333" s="131">
        <v>8.93</v>
      </c>
      <c r="H333" s="147">
        <v>0</v>
      </c>
    </row>
    <row r="334" spans="1:8" x14ac:dyDescent="0.25">
      <c r="A334" s="148"/>
      <c r="D334" s="149" t="s">
        <v>1177</v>
      </c>
      <c r="E334" s="328" t="s">
        <v>53</v>
      </c>
      <c r="F334" s="328"/>
      <c r="G334" s="150">
        <v>8.93</v>
      </c>
      <c r="H334" s="151"/>
    </row>
    <row r="335" spans="1:8" x14ac:dyDescent="0.25">
      <c r="A335" s="134" t="s">
        <v>931</v>
      </c>
      <c r="B335" s="135" t="s">
        <v>906</v>
      </c>
      <c r="C335" s="135" t="s">
        <v>799</v>
      </c>
      <c r="D335" s="271" t="s">
        <v>932</v>
      </c>
      <c r="E335" s="271"/>
      <c r="F335" s="135" t="s">
        <v>67</v>
      </c>
      <c r="G335" s="131">
        <v>47</v>
      </c>
      <c r="H335" s="147">
        <v>0</v>
      </c>
    </row>
    <row r="336" spans="1:8" x14ac:dyDescent="0.25">
      <c r="A336" s="148"/>
      <c r="D336" s="149" t="s">
        <v>223</v>
      </c>
      <c r="E336" s="328" t="s">
        <v>53</v>
      </c>
      <c r="F336" s="328"/>
      <c r="G336" s="150">
        <v>47</v>
      </c>
      <c r="H336" s="151"/>
    </row>
    <row r="337" spans="1:8" x14ac:dyDescent="0.25">
      <c r="A337" s="134" t="s">
        <v>934</v>
      </c>
      <c r="B337" s="135" t="s">
        <v>906</v>
      </c>
      <c r="C337" s="135" t="s">
        <v>803</v>
      </c>
      <c r="D337" s="271" t="s">
        <v>935</v>
      </c>
      <c r="E337" s="271"/>
      <c r="F337" s="135" t="s">
        <v>164</v>
      </c>
      <c r="G337" s="131">
        <v>2</v>
      </c>
      <c r="H337" s="147">
        <v>0</v>
      </c>
    </row>
    <row r="338" spans="1:8" x14ac:dyDescent="0.25">
      <c r="A338" s="148"/>
      <c r="D338" s="149" t="s">
        <v>64</v>
      </c>
      <c r="E338" s="328" t="s">
        <v>53</v>
      </c>
      <c r="F338" s="328"/>
      <c r="G338" s="150">
        <v>2</v>
      </c>
      <c r="H338" s="151"/>
    </row>
    <row r="339" spans="1:8" x14ac:dyDescent="0.25">
      <c r="A339" s="134" t="s">
        <v>936</v>
      </c>
      <c r="B339" s="135" t="s">
        <v>906</v>
      </c>
      <c r="C339" s="135" t="s">
        <v>937</v>
      </c>
      <c r="D339" s="271" t="s">
        <v>938</v>
      </c>
      <c r="E339" s="271"/>
      <c r="F339" s="135" t="s">
        <v>164</v>
      </c>
      <c r="G339" s="131">
        <v>2</v>
      </c>
      <c r="H339" s="147">
        <v>0</v>
      </c>
    </row>
    <row r="340" spans="1:8" x14ac:dyDescent="0.25">
      <c r="A340" s="148"/>
      <c r="D340" s="149" t="s">
        <v>64</v>
      </c>
      <c r="E340" s="328" t="s">
        <v>53</v>
      </c>
      <c r="F340" s="328"/>
      <c r="G340" s="150">
        <v>2</v>
      </c>
      <c r="H340" s="151"/>
    </row>
    <row r="341" spans="1:8" x14ac:dyDescent="0.25">
      <c r="A341" s="134" t="s">
        <v>940</v>
      </c>
      <c r="B341" s="135" t="s">
        <v>906</v>
      </c>
      <c r="C341" s="135" t="s">
        <v>721</v>
      </c>
      <c r="D341" s="271" t="s">
        <v>722</v>
      </c>
      <c r="E341" s="271"/>
      <c r="F341" s="135" t="s">
        <v>164</v>
      </c>
      <c r="G341" s="131">
        <v>2</v>
      </c>
      <c r="H341" s="147">
        <v>0</v>
      </c>
    </row>
    <row r="342" spans="1:8" x14ac:dyDescent="0.25">
      <c r="A342" s="148"/>
      <c r="D342" s="149" t="s">
        <v>64</v>
      </c>
      <c r="E342" s="328" t="s">
        <v>53</v>
      </c>
      <c r="F342" s="328"/>
      <c r="G342" s="150">
        <v>2</v>
      </c>
      <c r="H342" s="151"/>
    </row>
    <row r="343" spans="1:8" x14ac:dyDescent="0.25">
      <c r="A343" s="134" t="s">
        <v>941</v>
      </c>
      <c r="B343" s="135" t="s">
        <v>906</v>
      </c>
      <c r="C343" s="135" t="s">
        <v>806</v>
      </c>
      <c r="D343" s="271" t="s">
        <v>807</v>
      </c>
      <c r="E343" s="271"/>
      <c r="F343" s="135" t="s">
        <v>164</v>
      </c>
      <c r="G343" s="131">
        <v>2</v>
      </c>
      <c r="H343" s="147">
        <v>0</v>
      </c>
    </row>
    <row r="344" spans="1:8" x14ac:dyDescent="0.25">
      <c r="A344" s="148"/>
      <c r="D344" s="149" t="s">
        <v>64</v>
      </c>
      <c r="E344" s="328" t="s">
        <v>53</v>
      </c>
      <c r="F344" s="328"/>
      <c r="G344" s="150">
        <v>2</v>
      </c>
      <c r="H344" s="151"/>
    </row>
    <row r="345" spans="1:8" x14ac:dyDescent="0.25">
      <c r="A345" s="134" t="s">
        <v>600</v>
      </c>
      <c r="B345" s="135" t="s">
        <v>906</v>
      </c>
      <c r="C345" s="135" t="s">
        <v>942</v>
      </c>
      <c r="D345" s="271" t="s">
        <v>943</v>
      </c>
      <c r="E345" s="271"/>
      <c r="F345" s="135" t="s">
        <v>164</v>
      </c>
      <c r="G345" s="131">
        <v>2</v>
      </c>
      <c r="H345" s="147">
        <v>0</v>
      </c>
    </row>
    <row r="346" spans="1:8" x14ac:dyDescent="0.25">
      <c r="A346" s="148"/>
      <c r="D346" s="149" t="s">
        <v>64</v>
      </c>
      <c r="E346" s="328" t="s">
        <v>53</v>
      </c>
      <c r="F346" s="328"/>
      <c r="G346" s="150">
        <v>2</v>
      </c>
      <c r="H346" s="151"/>
    </row>
    <row r="347" spans="1:8" x14ac:dyDescent="0.25">
      <c r="A347" s="134" t="s">
        <v>944</v>
      </c>
      <c r="B347" s="135" t="s">
        <v>906</v>
      </c>
      <c r="C347" s="135" t="s">
        <v>723</v>
      </c>
      <c r="D347" s="271" t="s">
        <v>724</v>
      </c>
      <c r="E347" s="271"/>
      <c r="F347" s="135" t="s">
        <v>164</v>
      </c>
      <c r="G347" s="131">
        <v>4</v>
      </c>
      <c r="H347" s="147">
        <v>0</v>
      </c>
    </row>
    <row r="348" spans="1:8" x14ac:dyDescent="0.25">
      <c r="A348" s="148"/>
      <c r="D348" s="149" t="s">
        <v>71</v>
      </c>
      <c r="E348" s="328" t="s">
        <v>53</v>
      </c>
      <c r="F348" s="328"/>
      <c r="G348" s="150">
        <v>4</v>
      </c>
      <c r="H348" s="151"/>
    </row>
    <row r="349" spans="1:8" x14ac:dyDescent="0.25">
      <c r="A349" s="134" t="s">
        <v>945</v>
      </c>
      <c r="B349" s="135" t="s">
        <v>906</v>
      </c>
      <c r="C349" s="135" t="s">
        <v>946</v>
      </c>
      <c r="D349" s="271" t="s">
        <v>947</v>
      </c>
      <c r="E349" s="271"/>
      <c r="F349" s="135" t="s">
        <v>948</v>
      </c>
      <c r="G349" s="131">
        <v>2</v>
      </c>
      <c r="H349" s="147">
        <v>0</v>
      </c>
    </row>
    <row r="350" spans="1:8" x14ac:dyDescent="0.25">
      <c r="A350" s="148"/>
      <c r="D350" s="149" t="s">
        <v>64</v>
      </c>
      <c r="E350" s="328" t="s">
        <v>53</v>
      </c>
      <c r="F350" s="328"/>
      <c r="G350" s="150">
        <v>2</v>
      </c>
      <c r="H350" s="151"/>
    </row>
    <row r="351" spans="1:8" x14ac:dyDescent="0.25">
      <c r="A351" s="134" t="s">
        <v>949</v>
      </c>
      <c r="B351" s="135" t="s">
        <v>906</v>
      </c>
      <c r="C351" s="135" t="s">
        <v>738</v>
      </c>
      <c r="D351" s="271" t="s">
        <v>739</v>
      </c>
      <c r="E351" s="271"/>
      <c r="F351" s="135" t="s">
        <v>122</v>
      </c>
      <c r="G351" s="131">
        <v>51.91</v>
      </c>
      <c r="H351" s="147">
        <v>0</v>
      </c>
    </row>
    <row r="352" spans="1:8" x14ac:dyDescent="0.25">
      <c r="A352" s="148"/>
      <c r="D352" s="149" t="s">
        <v>1178</v>
      </c>
      <c r="E352" s="328" t="s">
        <v>53</v>
      </c>
      <c r="F352" s="328"/>
      <c r="G352" s="150">
        <v>51.91</v>
      </c>
      <c r="H352" s="151"/>
    </row>
    <row r="353" spans="1:8" x14ac:dyDescent="0.25">
      <c r="A353" s="134" t="s">
        <v>951</v>
      </c>
      <c r="B353" s="135" t="s">
        <v>906</v>
      </c>
      <c r="C353" s="135" t="s">
        <v>952</v>
      </c>
      <c r="D353" s="271" t="s">
        <v>953</v>
      </c>
      <c r="E353" s="271"/>
      <c r="F353" s="135" t="s">
        <v>164</v>
      </c>
      <c r="G353" s="131">
        <v>8</v>
      </c>
      <c r="H353" s="147">
        <v>0</v>
      </c>
    </row>
    <row r="354" spans="1:8" x14ac:dyDescent="0.25">
      <c r="A354" s="148"/>
      <c r="D354" s="149" t="s">
        <v>87</v>
      </c>
      <c r="E354" s="328" t="s">
        <v>53</v>
      </c>
      <c r="F354" s="328"/>
      <c r="G354" s="150">
        <v>8</v>
      </c>
      <c r="H354" s="151"/>
    </row>
    <row r="355" spans="1:8" x14ac:dyDescent="0.25">
      <c r="A355" s="134" t="s">
        <v>955</v>
      </c>
      <c r="B355" s="135" t="s">
        <v>906</v>
      </c>
      <c r="C355" s="135" t="s">
        <v>956</v>
      </c>
      <c r="D355" s="271" t="s">
        <v>957</v>
      </c>
      <c r="E355" s="271"/>
      <c r="F355" s="135" t="s">
        <v>164</v>
      </c>
      <c r="G355" s="131">
        <v>2</v>
      </c>
      <c r="H355" s="147">
        <v>0</v>
      </c>
    </row>
    <row r="356" spans="1:8" x14ac:dyDescent="0.25">
      <c r="A356" s="148"/>
      <c r="D356" s="149" t="s">
        <v>64</v>
      </c>
      <c r="E356" s="328" t="s">
        <v>53</v>
      </c>
      <c r="F356" s="328"/>
      <c r="G356" s="150">
        <v>2</v>
      </c>
      <c r="H356" s="151"/>
    </row>
    <row r="357" spans="1:8" x14ac:dyDescent="0.25">
      <c r="A357" s="134" t="s">
        <v>958</v>
      </c>
      <c r="B357" s="135" t="s">
        <v>906</v>
      </c>
      <c r="C357" s="135" t="s">
        <v>818</v>
      </c>
      <c r="D357" s="271" t="s">
        <v>819</v>
      </c>
      <c r="E357" s="271"/>
      <c r="F357" s="135" t="s">
        <v>164</v>
      </c>
      <c r="G357" s="131">
        <v>3</v>
      </c>
      <c r="H357" s="147">
        <v>0</v>
      </c>
    </row>
    <row r="358" spans="1:8" x14ac:dyDescent="0.25">
      <c r="A358" s="148"/>
      <c r="D358" s="149" t="s">
        <v>68</v>
      </c>
      <c r="E358" s="328" t="s">
        <v>53</v>
      </c>
      <c r="F358" s="328"/>
      <c r="G358" s="150">
        <v>3</v>
      </c>
      <c r="H358" s="151"/>
    </row>
    <row r="359" spans="1:8" x14ac:dyDescent="0.25">
      <c r="A359" s="134" t="s">
        <v>959</v>
      </c>
      <c r="B359" s="135" t="s">
        <v>906</v>
      </c>
      <c r="C359" s="135" t="s">
        <v>820</v>
      </c>
      <c r="D359" s="271" t="s">
        <v>960</v>
      </c>
      <c r="E359" s="271"/>
      <c r="F359" s="135" t="s">
        <v>164</v>
      </c>
      <c r="G359" s="131">
        <v>2</v>
      </c>
      <c r="H359" s="147">
        <v>0</v>
      </c>
    </row>
    <row r="360" spans="1:8" x14ac:dyDescent="0.25">
      <c r="A360" s="148"/>
      <c r="D360" s="149" t="s">
        <v>64</v>
      </c>
      <c r="E360" s="328" t="s">
        <v>53</v>
      </c>
      <c r="F360" s="328"/>
      <c r="G360" s="150">
        <v>2</v>
      </c>
      <c r="H360" s="151"/>
    </row>
    <row r="361" spans="1:8" x14ac:dyDescent="0.25">
      <c r="A361" s="134" t="s">
        <v>961</v>
      </c>
      <c r="B361" s="135" t="s">
        <v>906</v>
      </c>
      <c r="C361" s="135" t="s">
        <v>962</v>
      </c>
      <c r="D361" s="271" t="s">
        <v>963</v>
      </c>
      <c r="E361" s="271"/>
      <c r="F361" s="135" t="s">
        <v>164</v>
      </c>
      <c r="G361" s="131">
        <v>2</v>
      </c>
      <c r="H361" s="147">
        <v>0</v>
      </c>
    </row>
    <row r="362" spans="1:8" x14ac:dyDescent="0.25">
      <c r="A362" s="148"/>
      <c r="D362" s="149" t="s">
        <v>64</v>
      </c>
      <c r="E362" s="328" t="s">
        <v>53</v>
      </c>
      <c r="F362" s="328"/>
      <c r="G362" s="150">
        <v>2</v>
      </c>
      <c r="H362" s="151"/>
    </row>
    <row r="363" spans="1:8" x14ac:dyDescent="0.25">
      <c r="A363" s="134" t="s">
        <v>964</v>
      </c>
      <c r="B363" s="135" t="s">
        <v>906</v>
      </c>
      <c r="C363" s="135" t="s">
        <v>822</v>
      </c>
      <c r="D363" s="271" t="s">
        <v>823</v>
      </c>
      <c r="E363" s="271"/>
      <c r="F363" s="135" t="s">
        <v>164</v>
      </c>
      <c r="G363" s="131">
        <v>2</v>
      </c>
      <c r="H363" s="147">
        <v>0</v>
      </c>
    </row>
    <row r="364" spans="1:8" x14ac:dyDescent="0.25">
      <c r="A364" s="148"/>
      <c r="D364" s="149" t="s">
        <v>64</v>
      </c>
      <c r="E364" s="328" t="s">
        <v>53</v>
      </c>
      <c r="F364" s="328"/>
      <c r="G364" s="150">
        <v>2</v>
      </c>
      <c r="H364" s="151"/>
    </row>
    <row r="365" spans="1:8" x14ac:dyDescent="0.25">
      <c r="A365" s="134" t="s">
        <v>965</v>
      </c>
      <c r="B365" s="135" t="s">
        <v>906</v>
      </c>
      <c r="C365" s="135" t="s">
        <v>966</v>
      </c>
      <c r="D365" s="271" t="s">
        <v>967</v>
      </c>
      <c r="E365" s="271"/>
      <c r="F365" s="135" t="s">
        <v>164</v>
      </c>
      <c r="G365" s="131">
        <v>2</v>
      </c>
      <c r="H365" s="147">
        <v>0</v>
      </c>
    </row>
    <row r="366" spans="1:8" x14ac:dyDescent="0.25">
      <c r="A366" s="148"/>
      <c r="D366" s="149" t="s">
        <v>64</v>
      </c>
      <c r="E366" s="328" t="s">
        <v>53</v>
      </c>
      <c r="F366" s="328"/>
      <c r="G366" s="150">
        <v>2</v>
      </c>
      <c r="H366" s="151"/>
    </row>
    <row r="367" spans="1:8" x14ac:dyDescent="0.25">
      <c r="A367" s="134" t="s">
        <v>968</v>
      </c>
      <c r="B367" s="135" t="s">
        <v>906</v>
      </c>
      <c r="C367" s="135" t="s">
        <v>826</v>
      </c>
      <c r="D367" s="271" t="s">
        <v>749</v>
      </c>
      <c r="E367" s="271"/>
      <c r="F367" s="135" t="s">
        <v>164</v>
      </c>
      <c r="G367" s="131">
        <v>2</v>
      </c>
      <c r="H367" s="147">
        <v>0</v>
      </c>
    </row>
    <row r="368" spans="1:8" x14ac:dyDescent="0.25">
      <c r="A368" s="148"/>
      <c r="D368" s="149" t="s">
        <v>64</v>
      </c>
      <c r="E368" s="328" t="s">
        <v>53</v>
      </c>
      <c r="F368" s="328"/>
      <c r="G368" s="150">
        <v>2</v>
      </c>
      <c r="H368" s="151"/>
    </row>
    <row r="369" spans="1:8" x14ac:dyDescent="0.25">
      <c r="A369" s="134" t="s">
        <v>969</v>
      </c>
      <c r="B369" s="135" t="s">
        <v>906</v>
      </c>
      <c r="C369" s="135" t="s">
        <v>752</v>
      </c>
      <c r="D369" s="271" t="s">
        <v>753</v>
      </c>
      <c r="E369" s="271"/>
      <c r="F369" s="135" t="s">
        <v>164</v>
      </c>
      <c r="G369" s="131">
        <v>2</v>
      </c>
      <c r="H369" s="147">
        <v>0</v>
      </c>
    </row>
    <row r="370" spans="1:8" x14ac:dyDescent="0.25">
      <c r="A370" s="148"/>
      <c r="D370" s="149" t="s">
        <v>64</v>
      </c>
      <c r="E370" s="328" t="s">
        <v>53</v>
      </c>
      <c r="F370" s="328"/>
      <c r="G370" s="150">
        <v>2</v>
      </c>
      <c r="H370" s="151"/>
    </row>
    <row r="371" spans="1:8" x14ac:dyDescent="0.25">
      <c r="A371" s="134" t="s">
        <v>970</v>
      </c>
      <c r="B371" s="135" t="s">
        <v>906</v>
      </c>
      <c r="C371" s="135" t="s">
        <v>829</v>
      </c>
      <c r="D371" s="271" t="s">
        <v>830</v>
      </c>
      <c r="E371" s="271"/>
      <c r="F371" s="135" t="s">
        <v>831</v>
      </c>
      <c r="G371" s="131">
        <v>34.83</v>
      </c>
      <c r="H371" s="147">
        <v>0</v>
      </c>
    </row>
    <row r="372" spans="1:8" x14ac:dyDescent="0.25">
      <c r="A372" s="148"/>
      <c r="D372" s="149" t="s">
        <v>1179</v>
      </c>
      <c r="E372" s="328" t="s">
        <v>53</v>
      </c>
      <c r="F372" s="328"/>
      <c r="G372" s="150">
        <v>34.83</v>
      </c>
      <c r="H372" s="151"/>
    </row>
    <row r="373" spans="1:8" x14ac:dyDescent="0.25">
      <c r="A373" s="134" t="s">
        <v>971</v>
      </c>
      <c r="B373" s="135" t="s">
        <v>906</v>
      </c>
      <c r="C373" s="135" t="s">
        <v>414</v>
      </c>
      <c r="D373" s="271" t="s">
        <v>415</v>
      </c>
      <c r="E373" s="271"/>
      <c r="F373" s="135" t="s">
        <v>416</v>
      </c>
      <c r="G373" s="131">
        <v>1</v>
      </c>
      <c r="H373" s="147">
        <v>0</v>
      </c>
    </row>
    <row r="374" spans="1:8" x14ac:dyDescent="0.25">
      <c r="A374" s="148"/>
      <c r="D374" s="149" t="s">
        <v>56</v>
      </c>
      <c r="E374" s="328" t="s">
        <v>53</v>
      </c>
      <c r="F374" s="328"/>
      <c r="G374" s="150">
        <v>1</v>
      </c>
      <c r="H374" s="151"/>
    </row>
    <row r="375" spans="1:8" x14ac:dyDescent="0.25">
      <c r="A375" s="134" t="s">
        <v>973</v>
      </c>
      <c r="B375" s="135" t="s">
        <v>906</v>
      </c>
      <c r="C375" s="135" t="s">
        <v>422</v>
      </c>
      <c r="D375" s="271" t="s">
        <v>420</v>
      </c>
      <c r="E375" s="271"/>
      <c r="F375" s="135" t="s">
        <v>416</v>
      </c>
      <c r="G375" s="131">
        <v>1</v>
      </c>
      <c r="H375" s="147">
        <v>0</v>
      </c>
    </row>
    <row r="376" spans="1:8" x14ac:dyDescent="0.25">
      <c r="A376" s="148"/>
      <c r="D376" s="149" t="s">
        <v>56</v>
      </c>
      <c r="E376" s="328" t="s">
        <v>53</v>
      </c>
      <c r="F376" s="328"/>
      <c r="G376" s="150">
        <v>1</v>
      </c>
      <c r="H376" s="151"/>
    </row>
    <row r="377" spans="1:8" x14ac:dyDescent="0.25">
      <c r="A377" s="134" t="s">
        <v>974</v>
      </c>
      <c r="B377" s="135" t="s">
        <v>906</v>
      </c>
      <c r="C377" s="135" t="s">
        <v>427</v>
      </c>
      <c r="D377" s="271" t="s">
        <v>428</v>
      </c>
      <c r="E377" s="271"/>
      <c r="F377" s="135" t="s">
        <v>416</v>
      </c>
      <c r="G377" s="131">
        <v>1</v>
      </c>
      <c r="H377" s="147">
        <v>0</v>
      </c>
    </row>
    <row r="378" spans="1:8" x14ac:dyDescent="0.25">
      <c r="A378" s="148"/>
      <c r="D378" s="149" t="s">
        <v>619</v>
      </c>
      <c r="E378" s="328" t="s">
        <v>53</v>
      </c>
      <c r="F378" s="328"/>
      <c r="G378" s="150">
        <v>1</v>
      </c>
      <c r="H378" s="151"/>
    </row>
    <row r="379" spans="1:8" x14ac:dyDescent="0.25">
      <c r="A379" s="170" t="s">
        <v>53</v>
      </c>
      <c r="B379" s="124" t="s">
        <v>976</v>
      </c>
      <c r="C379" s="124" t="s">
        <v>53</v>
      </c>
      <c r="D379" s="273" t="s">
        <v>975</v>
      </c>
      <c r="E379" s="273"/>
      <c r="F379" s="124" t="s">
        <v>53</v>
      </c>
      <c r="G379" s="115" t="s">
        <v>53</v>
      </c>
      <c r="H379" s="126" t="s">
        <v>53</v>
      </c>
    </row>
    <row r="380" spans="1:8" x14ac:dyDescent="0.25">
      <c r="A380" s="134" t="s">
        <v>977</v>
      </c>
      <c r="B380" s="135" t="s">
        <v>976</v>
      </c>
      <c r="C380" s="135" t="s">
        <v>703</v>
      </c>
      <c r="D380" s="271" t="s">
        <v>704</v>
      </c>
      <c r="E380" s="271"/>
      <c r="F380" s="135" t="s">
        <v>705</v>
      </c>
      <c r="G380" s="131">
        <v>1</v>
      </c>
      <c r="H380" s="147">
        <v>0</v>
      </c>
    </row>
    <row r="381" spans="1:8" x14ac:dyDescent="0.25">
      <c r="A381" s="148"/>
      <c r="D381" s="149" t="s">
        <v>56</v>
      </c>
      <c r="E381" s="328" t="s">
        <v>53</v>
      </c>
      <c r="F381" s="328"/>
      <c r="G381" s="150">
        <v>1</v>
      </c>
      <c r="H381" s="151"/>
    </row>
    <row r="382" spans="1:8" x14ac:dyDescent="0.25">
      <c r="A382" s="134" t="s">
        <v>980</v>
      </c>
      <c r="B382" s="135" t="s">
        <v>976</v>
      </c>
      <c r="C382" s="135" t="s">
        <v>911</v>
      </c>
      <c r="D382" s="271" t="s">
        <v>912</v>
      </c>
      <c r="E382" s="271"/>
      <c r="F382" s="135" t="s">
        <v>67</v>
      </c>
      <c r="G382" s="131">
        <v>3</v>
      </c>
      <c r="H382" s="147">
        <v>0</v>
      </c>
    </row>
    <row r="383" spans="1:8" x14ac:dyDescent="0.25">
      <c r="A383" s="148"/>
      <c r="D383" s="149" t="s">
        <v>68</v>
      </c>
      <c r="E383" s="328" t="s">
        <v>53</v>
      </c>
      <c r="F383" s="328"/>
      <c r="G383" s="150">
        <v>3</v>
      </c>
      <c r="H383" s="151"/>
    </row>
    <row r="384" spans="1:8" x14ac:dyDescent="0.25">
      <c r="A384" s="134" t="s">
        <v>981</v>
      </c>
      <c r="B384" s="135" t="s">
        <v>976</v>
      </c>
      <c r="C384" s="135" t="s">
        <v>911</v>
      </c>
      <c r="D384" s="271" t="s">
        <v>982</v>
      </c>
      <c r="E384" s="271"/>
      <c r="F384" s="135" t="s">
        <v>67</v>
      </c>
      <c r="G384" s="131">
        <v>6</v>
      </c>
      <c r="H384" s="147">
        <v>0</v>
      </c>
    </row>
    <row r="385" spans="1:8" x14ac:dyDescent="0.25">
      <c r="A385" s="148"/>
      <c r="D385" s="149" t="s">
        <v>81</v>
      </c>
      <c r="E385" s="328" t="s">
        <v>53</v>
      </c>
      <c r="F385" s="328"/>
      <c r="G385" s="150">
        <v>6</v>
      </c>
      <c r="H385" s="151"/>
    </row>
    <row r="386" spans="1:8" x14ac:dyDescent="0.25">
      <c r="A386" s="134" t="s">
        <v>983</v>
      </c>
      <c r="B386" s="135" t="s">
        <v>976</v>
      </c>
      <c r="C386" s="135" t="s">
        <v>911</v>
      </c>
      <c r="D386" s="271" t="s">
        <v>984</v>
      </c>
      <c r="E386" s="271"/>
      <c r="F386" s="135" t="s">
        <v>67</v>
      </c>
      <c r="G386" s="131">
        <v>3</v>
      </c>
      <c r="H386" s="147">
        <v>0</v>
      </c>
    </row>
    <row r="387" spans="1:8" x14ac:dyDescent="0.25">
      <c r="A387" s="148"/>
      <c r="D387" s="149" t="s">
        <v>68</v>
      </c>
      <c r="E387" s="328" t="s">
        <v>53</v>
      </c>
      <c r="F387" s="328"/>
      <c r="G387" s="150">
        <v>3</v>
      </c>
      <c r="H387" s="151"/>
    </row>
    <row r="388" spans="1:8" x14ac:dyDescent="0.25">
      <c r="A388" s="134" t="s">
        <v>985</v>
      </c>
      <c r="B388" s="135" t="s">
        <v>976</v>
      </c>
      <c r="C388" s="135" t="s">
        <v>986</v>
      </c>
      <c r="D388" s="271" t="s">
        <v>987</v>
      </c>
      <c r="E388" s="271"/>
      <c r="F388" s="135" t="s">
        <v>59</v>
      </c>
      <c r="G388" s="131">
        <v>15</v>
      </c>
      <c r="H388" s="147">
        <v>0</v>
      </c>
    </row>
    <row r="389" spans="1:8" x14ac:dyDescent="0.25">
      <c r="A389" s="148"/>
      <c r="D389" s="149" t="s">
        <v>111</v>
      </c>
      <c r="E389" s="328" t="s">
        <v>53</v>
      </c>
      <c r="F389" s="328"/>
      <c r="G389" s="150">
        <v>15</v>
      </c>
      <c r="H389" s="151"/>
    </row>
    <row r="390" spans="1:8" x14ac:dyDescent="0.25">
      <c r="A390" s="134" t="s">
        <v>988</v>
      </c>
      <c r="B390" s="135" t="s">
        <v>976</v>
      </c>
      <c r="C390" s="135" t="s">
        <v>914</v>
      </c>
      <c r="D390" s="271" t="s">
        <v>915</v>
      </c>
      <c r="E390" s="271"/>
      <c r="F390" s="135" t="s">
        <v>79</v>
      </c>
      <c r="G390" s="131">
        <v>24.96</v>
      </c>
      <c r="H390" s="147">
        <v>0</v>
      </c>
    </row>
    <row r="391" spans="1:8" x14ac:dyDescent="0.25">
      <c r="A391" s="148"/>
      <c r="D391" s="149" t="s">
        <v>1180</v>
      </c>
      <c r="E391" s="328" t="s">
        <v>53</v>
      </c>
      <c r="F391" s="328"/>
      <c r="G391" s="150">
        <v>24.96</v>
      </c>
      <c r="H391" s="151"/>
    </row>
    <row r="392" spans="1:8" x14ac:dyDescent="0.25">
      <c r="A392" s="134" t="s">
        <v>989</v>
      </c>
      <c r="B392" s="135" t="s">
        <v>976</v>
      </c>
      <c r="C392" s="135" t="s">
        <v>775</v>
      </c>
      <c r="D392" s="271" t="s">
        <v>776</v>
      </c>
      <c r="E392" s="271"/>
      <c r="F392" s="135" t="s">
        <v>79</v>
      </c>
      <c r="G392" s="131">
        <v>90.69</v>
      </c>
      <c r="H392" s="147">
        <v>0</v>
      </c>
    </row>
    <row r="393" spans="1:8" x14ac:dyDescent="0.25">
      <c r="A393" s="148"/>
      <c r="D393" s="149" t="s">
        <v>1181</v>
      </c>
      <c r="E393" s="328" t="s">
        <v>53</v>
      </c>
      <c r="F393" s="328"/>
      <c r="G393" s="150">
        <v>90.69</v>
      </c>
      <c r="H393" s="151"/>
    </row>
    <row r="394" spans="1:8" x14ac:dyDescent="0.25">
      <c r="A394" s="134" t="s">
        <v>990</v>
      </c>
      <c r="B394" s="135" t="s">
        <v>976</v>
      </c>
      <c r="C394" s="135" t="s">
        <v>777</v>
      </c>
      <c r="D394" s="271" t="s">
        <v>778</v>
      </c>
      <c r="E394" s="271"/>
      <c r="F394" s="135" t="s">
        <v>79</v>
      </c>
      <c r="G394" s="131">
        <v>136.03</v>
      </c>
      <c r="H394" s="147">
        <v>0</v>
      </c>
    </row>
    <row r="395" spans="1:8" x14ac:dyDescent="0.25">
      <c r="A395" s="148"/>
      <c r="D395" s="149" t="s">
        <v>1182</v>
      </c>
      <c r="E395" s="328" t="s">
        <v>53</v>
      </c>
      <c r="F395" s="328"/>
      <c r="G395" s="150">
        <v>136.03</v>
      </c>
      <c r="H395" s="151"/>
    </row>
    <row r="396" spans="1:8" x14ac:dyDescent="0.25">
      <c r="A396" s="134" t="s">
        <v>991</v>
      </c>
      <c r="B396" s="135" t="s">
        <v>976</v>
      </c>
      <c r="C396" s="135" t="s">
        <v>780</v>
      </c>
      <c r="D396" s="271" t="s">
        <v>781</v>
      </c>
      <c r="E396" s="271"/>
      <c r="F396" s="135" t="s">
        <v>59</v>
      </c>
      <c r="G396" s="131">
        <v>218</v>
      </c>
      <c r="H396" s="147">
        <v>0</v>
      </c>
    </row>
    <row r="397" spans="1:8" x14ac:dyDescent="0.25">
      <c r="A397" s="148"/>
      <c r="D397" s="149" t="s">
        <v>1183</v>
      </c>
      <c r="E397" s="328" t="s">
        <v>53</v>
      </c>
      <c r="F397" s="328"/>
      <c r="G397" s="150">
        <v>218</v>
      </c>
      <c r="H397" s="151"/>
    </row>
    <row r="398" spans="1:8" x14ac:dyDescent="0.25">
      <c r="A398" s="134" t="s">
        <v>992</v>
      </c>
      <c r="B398" s="135" t="s">
        <v>976</v>
      </c>
      <c r="C398" s="135" t="s">
        <v>783</v>
      </c>
      <c r="D398" s="271" t="s">
        <v>784</v>
      </c>
      <c r="E398" s="271"/>
      <c r="F398" s="135" t="s">
        <v>59</v>
      </c>
      <c r="G398" s="131">
        <v>218</v>
      </c>
      <c r="H398" s="147">
        <v>0</v>
      </c>
    </row>
    <row r="399" spans="1:8" x14ac:dyDescent="0.25">
      <c r="A399" s="148"/>
      <c r="D399" s="149" t="s">
        <v>1183</v>
      </c>
      <c r="E399" s="328" t="s">
        <v>53</v>
      </c>
      <c r="F399" s="328"/>
      <c r="G399" s="150">
        <v>218</v>
      </c>
      <c r="H399" s="151"/>
    </row>
    <row r="400" spans="1:8" x14ac:dyDescent="0.25">
      <c r="A400" s="134" t="s">
        <v>993</v>
      </c>
      <c r="B400" s="135" t="s">
        <v>976</v>
      </c>
      <c r="C400" s="135" t="s">
        <v>921</v>
      </c>
      <c r="D400" s="271" t="s">
        <v>922</v>
      </c>
      <c r="E400" s="271"/>
      <c r="F400" s="135" t="s">
        <v>79</v>
      </c>
      <c r="G400" s="131">
        <v>24.96</v>
      </c>
      <c r="H400" s="147">
        <v>0</v>
      </c>
    </row>
    <row r="401" spans="1:8" x14ac:dyDescent="0.25">
      <c r="A401" s="148"/>
      <c r="D401" s="149" t="s">
        <v>1184</v>
      </c>
      <c r="E401" s="328" t="s">
        <v>53</v>
      </c>
      <c r="F401" s="328"/>
      <c r="G401" s="150">
        <v>24.96</v>
      </c>
      <c r="H401" s="151"/>
    </row>
    <row r="402" spans="1:8" x14ac:dyDescent="0.25">
      <c r="A402" s="134" t="s">
        <v>994</v>
      </c>
      <c r="B402" s="135" t="s">
        <v>976</v>
      </c>
      <c r="C402" s="135" t="s">
        <v>114</v>
      </c>
      <c r="D402" s="271" t="s">
        <v>995</v>
      </c>
      <c r="E402" s="271"/>
      <c r="F402" s="135" t="s">
        <v>79</v>
      </c>
      <c r="G402" s="131">
        <v>1.5</v>
      </c>
      <c r="H402" s="147">
        <v>0</v>
      </c>
    </row>
    <row r="403" spans="1:8" x14ac:dyDescent="0.25">
      <c r="A403" s="148"/>
      <c r="D403" s="149" t="s">
        <v>1185</v>
      </c>
      <c r="E403" s="328" t="s">
        <v>53</v>
      </c>
      <c r="F403" s="328"/>
      <c r="G403" s="150">
        <v>1.5</v>
      </c>
      <c r="H403" s="151"/>
    </row>
    <row r="404" spans="1:8" x14ac:dyDescent="0.25">
      <c r="A404" s="134" t="s">
        <v>996</v>
      </c>
      <c r="B404" s="135" t="s">
        <v>976</v>
      </c>
      <c r="C404" s="135" t="s">
        <v>712</v>
      </c>
      <c r="D404" s="271" t="s">
        <v>997</v>
      </c>
      <c r="E404" s="271"/>
      <c r="F404" s="135" t="s">
        <v>122</v>
      </c>
      <c r="G404" s="131">
        <v>3.75</v>
      </c>
      <c r="H404" s="147">
        <v>0</v>
      </c>
    </row>
    <row r="405" spans="1:8" x14ac:dyDescent="0.25">
      <c r="A405" s="148"/>
      <c r="D405" s="149" t="s">
        <v>1186</v>
      </c>
      <c r="E405" s="328" t="s">
        <v>53</v>
      </c>
      <c r="F405" s="328"/>
      <c r="G405" s="150">
        <v>3.75</v>
      </c>
      <c r="H405" s="151"/>
    </row>
    <row r="406" spans="1:8" x14ac:dyDescent="0.25">
      <c r="A406" s="134" t="s">
        <v>998</v>
      </c>
      <c r="B406" s="135" t="s">
        <v>976</v>
      </c>
      <c r="C406" s="135" t="s">
        <v>114</v>
      </c>
      <c r="D406" s="271" t="s">
        <v>785</v>
      </c>
      <c r="E406" s="271"/>
      <c r="F406" s="135" t="s">
        <v>79</v>
      </c>
      <c r="G406" s="131">
        <v>74.430000000000007</v>
      </c>
      <c r="H406" s="147">
        <v>0</v>
      </c>
    </row>
    <row r="407" spans="1:8" x14ac:dyDescent="0.25">
      <c r="A407" s="148"/>
      <c r="D407" s="149" t="s">
        <v>1187</v>
      </c>
      <c r="E407" s="328" t="s">
        <v>53</v>
      </c>
      <c r="F407" s="328"/>
      <c r="G407" s="150">
        <v>74.430000000000007</v>
      </c>
      <c r="H407" s="151"/>
    </row>
    <row r="408" spans="1:8" x14ac:dyDescent="0.25">
      <c r="A408" s="134" t="s">
        <v>999</v>
      </c>
      <c r="B408" s="135" t="s">
        <v>976</v>
      </c>
      <c r="C408" s="135" t="s">
        <v>117</v>
      </c>
      <c r="D408" s="271" t="s">
        <v>118</v>
      </c>
      <c r="E408" s="271"/>
      <c r="F408" s="135" t="s">
        <v>79</v>
      </c>
      <c r="G408" s="131">
        <v>744.3</v>
      </c>
      <c r="H408" s="147">
        <v>0</v>
      </c>
    </row>
    <row r="409" spans="1:8" x14ac:dyDescent="0.25">
      <c r="A409" s="148"/>
      <c r="D409" s="149" t="s">
        <v>1188</v>
      </c>
      <c r="E409" s="328" t="s">
        <v>53</v>
      </c>
      <c r="F409" s="328"/>
      <c r="G409" s="150">
        <v>744.3</v>
      </c>
      <c r="H409" s="151"/>
    </row>
    <row r="410" spans="1:8" x14ac:dyDescent="0.25">
      <c r="A410" s="134" t="s">
        <v>1000</v>
      </c>
      <c r="B410" s="135" t="s">
        <v>976</v>
      </c>
      <c r="C410" s="135" t="s">
        <v>120</v>
      </c>
      <c r="D410" s="271" t="s">
        <v>121</v>
      </c>
      <c r="E410" s="271"/>
      <c r="F410" s="135" t="s">
        <v>122</v>
      </c>
      <c r="G410" s="131">
        <v>133.97</v>
      </c>
      <c r="H410" s="147">
        <v>0</v>
      </c>
    </row>
    <row r="411" spans="1:8" x14ac:dyDescent="0.25">
      <c r="A411" s="148"/>
      <c r="D411" s="149" t="s">
        <v>1189</v>
      </c>
      <c r="E411" s="328" t="s">
        <v>53</v>
      </c>
      <c r="F411" s="328"/>
      <c r="G411" s="150">
        <v>133.97</v>
      </c>
      <c r="H411" s="151"/>
    </row>
    <row r="412" spans="1:8" x14ac:dyDescent="0.25">
      <c r="A412" s="134" t="s">
        <v>1001</v>
      </c>
      <c r="B412" s="135" t="s">
        <v>976</v>
      </c>
      <c r="C412" s="135" t="s">
        <v>129</v>
      </c>
      <c r="D412" s="271" t="s">
        <v>130</v>
      </c>
      <c r="E412" s="271"/>
      <c r="F412" s="135" t="s">
        <v>79</v>
      </c>
      <c r="G412" s="131">
        <v>152.29</v>
      </c>
      <c r="H412" s="147">
        <v>0</v>
      </c>
    </row>
    <row r="413" spans="1:8" x14ac:dyDescent="0.25">
      <c r="A413" s="148"/>
      <c r="D413" s="149" t="s">
        <v>1190</v>
      </c>
      <c r="E413" s="328" t="s">
        <v>53</v>
      </c>
      <c r="F413" s="328"/>
      <c r="G413" s="150">
        <v>152.29</v>
      </c>
      <c r="H413" s="151"/>
    </row>
    <row r="414" spans="1:8" x14ac:dyDescent="0.25">
      <c r="A414" s="134" t="s">
        <v>1002</v>
      </c>
      <c r="B414" s="135" t="s">
        <v>976</v>
      </c>
      <c r="C414" s="135" t="s">
        <v>786</v>
      </c>
      <c r="D414" s="271" t="s">
        <v>787</v>
      </c>
      <c r="E414" s="271"/>
      <c r="F414" s="135" t="s">
        <v>79</v>
      </c>
      <c r="G414" s="131">
        <v>45.15</v>
      </c>
      <c r="H414" s="147">
        <v>0</v>
      </c>
    </row>
    <row r="415" spans="1:8" x14ac:dyDescent="0.25">
      <c r="A415" s="148"/>
      <c r="D415" s="149" t="s">
        <v>1191</v>
      </c>
      <c r="E415" s="328" t="s">
        <v>53</v>
      </c>
      <c r="F415" s="328"/>
      <c r="G415" s="150">
        <v>45.15</v>
      </c>
      <c r="H415" s="151"/>
    </row>
    <row r="416" spans="1:8" x14ac:dyDescent="0.25">
      <c r="A416" s="134" t="s">
        <v>1003</v>
      </c>
      <c r="B416" s="135" t="s">
        <v>976</v>
      </c>
      <c r="C416" s="135" t="s">
        <v>788</v>
      </c>
      <c r="D416" s="271" t="s">
        <v>789</v>
      </c>
      <c r="E416" s="271"/>
      <c r="F416" s="135" t="s">
        <v>79</v>
      </c>
      <c r="G416" s="131">
        <v>74.430000000000007</v>
      </c>
      <c r="H416" s="147">
        <v>0</v>
      </c>
    </row>
    <row r="417" spans="1:8" x14ac:dyDescent="0.25">
      <c r="A417" s="148"/>
      <c r="D417" s="149" t="s">
        <v>1192</v>
      </c>
      <c r="E417" s="328" t="s">
        <v>53</v>
      </c>
      <c r="F417" s="328"/>
      <c r="G417" s="150">
        <v>74.430000000000007</v>
      </c>
      <c r="H417" s="151"/>
    </row>
    <row r="418" spans="1:8" x14ac:dyDescent="0.25">
      <c r="A418" s="134" t="s">
        <v>1004</v>
      </c>
      <c r="B418" s="135" t="s">
        <v>976</v>
      </c>
      <c r="C418" s="135" t="s">
        <v>795</v>
      </c>
      <c r="D418" s="271" t="s">
        <v>796</v>
      </c>
      <c r="E418" s="271"/>
      <c r="F418" s="135" t="s">
        <v>79</v>
      </c>
      <c r="G418" s="131">
        <v>20.71</v>
      </c>
      <c r="H418" s="147">
        <v>0</v>
      </c>
    </row>
    <row r="419" spans="1:8" x14ac:dyDescent="0.25">
      <c r="A419" s="148"/>
      <c r="D419" s="149" t="s">
        <v>1193</v>
      </c>
      <c r="E419" s="328" t="s">
        <v>53</v>
      </c>
      <c r="F419" s="328"/>
      <c r="G419" s="150">
        <v>20.71</v>
      </c>
      <c r="H419" s="151"/>
    </row>
    <row r="420" spans="1:8" x14ac:dyDescent="0.25">
      <c r="A420" s="134" t="s">
        <v>1006</v>
      </c>
      <c r="B420" s="135" t="s">
        <v>976</v>
      </c>
      <c r="C420" s="135" t="s">
        <v>1007</v>
      </c>
      <c r="D420" s="271" t="s">
        <v>1008</v>
      </c>
      <c r="E420" s="271"/>
      <c r="F420" s="135" t="s">
        <v>59</v>
      </c>
      <c r="G420" s="131">
        <v>18</v>
      </c>
      <c r="H420" s="147">
        <v>0</v>
      </c>
    </row>
    <row r="421" spans="1:8" x14ac:dyDescent="0.25">
      <c r="A421" s="148"/>
      <c r="D421" s="149" t="s">
        <v>1194</v>
      </c>
      <c r="E421" s="328" t="s">
        <v>53</v>
      </c>
      <c r="F421" s="328"/>
      <c r="G421" s="150">
        <v>18</v>
      </c>
      <c r="H421" s="151"/>
    </row>
    <row r="422" spans="1:8" x14ac:dyDescent="0.25">
      <c r="A422" s="134" t="s">
        <v>1010</v>
      </c>
      <c r="B422" s="135" t="s">
        <v>976</v>
      </c>
      <c r="C422" s="135" t="s">
        <v>187</v>
      </c>
      <c r="D422" s="271" t="s">
        <v>1011</v>
      </c>
      <c r="E422" s="271"/>
      <c r="F422" s="135" t="s">
        <v>59</v>
      </c>
      <c r="G422" s="131">
        <v>17.25</v>
      </c>
      <c r="H422" s="147">
        <v>0</v>
      </c>
    </row>
    <row r="423" spans="1:8" x14ac:dyDescent="0.25">
      <c r="A423" s="148"/>
      <c r="D423" s="149" t="s">
        <v>1195</v>
      </c>
      <c r="E423" s="328" t="s">
        <v>53</v>
      </c>
      <c r="F423" s="328"/>
      <c r="G423" s="150">
        <v>17.25</v>
      </c>
      <c r="H423" s="151"/>
    </row>
    <row r="424" spans="1:8" x14ac:dyDescent="0.25">
      <c r="A424" s="134" t="s">
        <v>1012</v>
      </c>
      <c r="B424" s="135" t="s">
        <v>976</v>
      </c>
      <c r="C424" s="135" t="s">
        <v>187</v>
      </c>
      <c r="D424" s="271" t="s">
        <v>1013</v>
      </c>
      <c r="E424" s="271"/>
      <c r="F424" s="135" t="s">
        <v>59</v>
      </c>
      <c r="G424" s="131">
        <v>16.5</v>
      </c>
      <c r="H424" s="147">
        <v>0</v>
      </c>
    </row>
    <row r="425" spans="1:8" x14ac:dyDescent="0.25">
      <c r="A425" s="148"/>
      <c r="D425" s="149" t="s">
        <v>1196</v>
      </c>
      <c r="E425" s="328" t="s">
        <v>53</v>
      </c>
      <c r="F425" s="328"/>
      <c r="G425" s="150">
        <v>16.5</v>
      </c>
      <c r="H425" s="151"/>
    </row>
    <row r="426" spans="1:8" x14ac:dyDescent="0.25">
      <c r="A426" s="134" t="s">
        <v>1014</v>
      </c>
      <c r="B426" s="135" t="s">
        <v>976</v>
      </c>
      <c r="C426" s="135" t="s">
        <v>1015</v>
      </c>
      <c r="D426" s="271" t="s">
        <v>1016</v>
      </c>
      <c r="E426" s="271"/>
      <c r="F426" s="135" t="s">
        <v>59</v>
      </c>
      <c r="G426" s="131">
        <v>15.75</v>
      </c>
      <c r="H426" s="147">
        <v>0</v>
      </c>
    </row>
    <row r="427" spans="1:8" x14ac:dyDescent="0.25">
      <c r="A427" s="148"/>
      <c r="D427" s="149" t="s">
        <v>1197</v>
      </c>
      <c r="E427" s="328" t="s">
        <v>53</v>
      </c>
      <c r="F427" s="328"/>
      <c r="G427" s="150">
        <v>15.75</v>
      </c>
      <c r="H427" s="151"/>
    </row>
    <row r="428" spans="1:8" x14ac:dyDescent="0.25">
      <c r="A428" s="134" t="s">
        <v>1017</v>
      </c>
      <c r="B428" s="135" t="s">
        <v>976</v>
      </c>
      <c r="C428" s="135" t="s">
        <v>213</v>
      </c>
      <c r="D428" s="271" t="s">
        <v>1018</v>
      </c>
      <c r="E428" s="271"/>
      <c r="F428" s="135" t="s">
        <v>59</v>
      </c>
      <c r="G428" s="131">
        <v>15</v>
      </c>
      <c r="H428" s="147">
        <v>0</v>
      </c>
    </row>
    <row r="429" spans="1:8" x14ac:dyDescent="0.25">
      <c r="A429" s="148"/>
      <c r="D429" s="149" t="s">
        <v>111</v>
      </c>
      <c r="E429" s="328" t="s">
        <v>53</v>
      </c>
      <c r="F429" s="328"/>
      <c r="G429" s="150">
        <v>15</v>
      </c>
      <c r="H429" s="151"/>
    </row>
    <row r="430" spans="1:8" x14ac:dyDescent="0.25">
      <c r="A430" s="134" t="s">
        <v>1019</v>
      </c>
      <c r="B430" s="135" t="s">
        <v>976</v>
      </c>
      <c r="C430" s="135" t="s">
        <v>799</v>
      </c>
      <c r="D430" s="271" t="s">
        <v>932</v>
      </c>
      <c r="E430" s="271"/>
      <c r="F430" s="135" t="s">
        <v>67</v>
      </c>
      <c r="G430" s="131">
        <v>109</v>
      </c>
      <c r="H430" s="147">
        <v>0</v>
      </c>
    </row>
    <row r="431" spans="1:8" x14ac:dyDescent="0.25">
      <c r="A431" s="148"/>
      <c r="D431" s="149" t="s">
        <v>845</v>
      </c>
      <c r="E431" s="328" t="s">
        <v>53</v>
      </c>
      <c r="F431" s="328"/>
      <c r="G431" s="150">
        <v>109</v>
      </c>
      <c r="H431" s="151"/>
    </row>
    <row r="432" spans="1:8" x14ac:dyDescent="0.25">
      <c r="A432" s="134" t="s">
        <v>1021</v>
      </c>
      <c r="B432" s="135" t="s">
        <v>976</v>
      </c>
      <c r="C432" s="135" t="s">
        <v>803</v>
      </c>
      <c r="D432" s="271" t="s">
        <v>935</v>
      </c>
      <c r="E432" s="271"/>
      <c r="F432" s="135" t="s">
        <v>164</v>
      </c>
      <c r="G432" s="131">
        <v>5</v>
      </c>
      <c r="H432" s="147">
        <v>0</v>
      </c>
    </row>
    <row r="433" spans="1:8" x14ac:dyDescent="0.25">
      <c r="A433" s="148"/>
      <c r="D433" s="149" t="s">
        <v>76</v>
      </c>
      <c r="E433" s="328" t="s">
        <v>53</v>
      </c>
      <c r="F433" s="328"/>
      <c r="G433" s="150">
        <v>5</v>
      </c>
      <c r="H433" s="151"/>
    </row>
    <row r="434" spans="1:8" x14ac:dyDescent="0.25">
      <c r="A434" s="134" t="s">
        <v>1022</v>
      </c>
      <c r="B434" s="135" t="s">
        <v>976</v>
      </c>
      <c r="C434" s="135" t="s">
        <v>937</v>
      </c>
      <c r="D434" s="271" t="s">
        <v>938</v>
      </c>
      <c r="E434" s="271"/>
      <c r="F434" s="135" t="s">
        <v>164</v>
      </c>
      <c r="G434" s="131">
        <v>4</v>
      </c>
      <c r="H434" s="147">
        <v>0</v>
      </c>
    </row>
    <row r="435" spans="1:8" x14ac:dyDescent="0.25">
      <c r="A435" s="148"/>
      <c r="D435" s="149" t="s">
        <v>661</v>
      </c>
      <c r="E435" s="328" t="s">
        <v>53</v>
      </c>
      <c r="F435" s="328"/>
      <c r="G435" s="150">
        <v>4</v>
      </c>
      <c r="H435" s="151"/>
    </row>
    <row r="436" spans="1:8" x14ac:dyDescent="0.25">
      <c r="A436" s="134" t="s">
        <v>1023</v>
      </c>
      <c r="B436" s="135" t="s">
        <v>976</v>
      </c>
      <c r="C436" s="135" t="s">
        <v>721</v>
      </c>
      <c r="D436" s="271" t="s">
        <v>722</v>
      </c>
      <c r="E436" s="271"/>
      <c r="F436" s="135" t="s">
        <v>164</v>
      </c>
      <c r="G436" s="131">
        <v>1</v>
      </c>
      <c r="H436" s="147">
        <v>0</v>
      </c>
    </row>
    <row r="437" spans="1:8" x14ac:dyDescent="0.25">
      <c r="A437" s="148"/>
      <c r="D437" s="149" t="s">
        <v>56</v>
      </c>
      <c r="E437" s="328" t="s">
        <v>53</v>
      </c>
      <c r="F437" s="328"/>
      <c r="G437" s="150">
        <v>1</v>
      </c>
      <c r="H437" s="151"/>
    </row>
    <row r="438" spans="1:8" x14ac:dyDescent="0.25">
      <c r="A438" s="134" t="s">
        <v>1024</v>
      </c>
      <c r="B438" s="135" t="s">
        <v>976</v>
      </c>
      <c r="C438" s="135" t="s">
        <v>721</v>
      </c>
      <c r="D438" s="271" t="s">
        <v>805</v>
      </c>
      <c r="E438" s="271"/>
      <c r="F438" s="135" t="s">
        <v>164</v>
      </c>
      <c r="G438" s="131">
        <v>3</v>
      </c>
      <c r="H438" s="147">
        <v>0</v>
      </c>
    </row>
    <row r="439" spans="1:8" x14ac:dyDescent="0.25">
      <c r="A439" s="148"/>
      <c r="D439" s="149" t="s">
        <v>68</v>
      </c>
      <c r="E439" s="328" t="s">
        <v>53</v>
      </c>
      <c r="F439" s="328"/>
      <c r="G439" s="150">
        <v>3</v>
      </c>
      <c r="H439" s="151"/>
    </row>
    <row r="440" spans="1:8" x14ac:dyDescent="0.25">
      <c r="A440" s="134" t="s">
        <v>1025</v>
      </c>
      <c r="B440" s="135" t="s">
        <v>976</v>
      </c>
      <c r="C440" s="135" t="s">
        <v>806</v>
      </c>
      <c r="D440" s="271" t="s">
        <v>807</v>
      </c>
      <c r="E440" s="271"/>
      <c r="F440" s="135" t="s">
        <v>164</v>
      </c>
      <c r="G440" s="131">
        <v>4</v>
      </c>
      <c r="H440" s="147">
        <v>0</v>
      </c>
    </row>
    <row r="441" spans="1:8" x14ac:dyDescent="0.25">
      <c r="A441" s="148"/>
      <c r="D441" s="149" t="s">
        <v>71</v>
      </c>
      <c r="E441" s="328" t="s">
        <v>53</v>
      </c>
      <c r="F441" s="328"/>
      <c r="G441" s="150">
        <v>4</v>
      </c>
      <c r="H441" s="151"/>
    </row>
    <row r="442" spans="1:8" x14ac:dyDescent="0.25">
      <c r="A442" s="134" t="s">
        <v>1026</v>
      </c>
      <c r="B442" s="135" t="s">
        <v>976</v>
      </c>
      <c r="C442" s="135" t="s">
        <v>942</v>
      </c>
      <c r="D442" s="271" t="s">
        <v>943</v>
      </c>
      <c r="E442" s="271"/>
      <c r="F442" s="135" t="s">
        <v>164</v>
      </c>
      <c r="G442" s="131">
        <v>4</v>
      </c>
      <c r="H442" s="147">
        <v>0</v>
      </c>
    </row>
    <row r="443" spans="1:8" x14ac:dyDescent="0.25">
      <c r="A443" s="148"/>
      <c r="D443" s="149" t="s">
        <v>71</v>
      </c>
      <c r="E443" s="328" t="s">
        <v>53</v>
      </c>
      <c r="F443" s="328"/>
      <c r="G443" s="150">
        <v>4</v>
      </c>
      <c r="H443" s="151"/>
    </row>
    <row r="444" spans="1:8" x14ac:dyDescent="0.25">
      <c r="A444" s="134" t="s">
        <v>1027</v>
      </c>
      <c r="B444" s="135" t="s">
        <v>976</v>
      </c>
      <c r="C444" s="135" t="s">
        <v>723</v>
      </c>
      <c r="D444" s="271" t="s">
        <v>724</v>
      </c>
      <c r="E444" s="271"/>
      <c r="F444" s="135" t="s">
        <v>164</v>
      </c>
      <c r="G444" s="131">
        <v>7</v>
      </c>
      <c r="H444" s="147">
        <v>0</v>
      </c>
    </row>
    <row r="445" spans="1:8" x14ac:dyDescent="0.25">
      <c r="A445" s="148"/>
      <c r="D445" s="149" t="s">
        <v>84</v>
      </c>
      <c r="E445" s="328" t="s">
        <v>53</v>
      </c>
      <c r="F445" s="328"/>
      <c r="G445" s="150">
        <v>7</v>
      </c>
      <c r="H445" s="151"/>
    </row>
    <row r="446" spans="1:8" x14ac:dyDescent="0.25">
      <c r="A446" s="134" t="s">
        <v>1028</v>
      </c>
      <c r="B446" s="135" t="s">
        <v>976</v>
      </c>
      <c r="C446" s="135" t="s">
        <v>946</v>
      </c>
      <c r="D446" s="271" t="s">
        <v>947</v>
      </c>
      <c r="E446" s="271"/>
      <c r="F446" s="135" t="s">
        <v>948</v>
      </c>
      <c r="G446" s="131">
        <v>3</v>
      </c>
      <c r="H446" s="147">
        <v>0</v>
      </c>
    </row>
    <row r="447" spans="1:8" x14ac:dyDescent="0.25">
      <c r="A447" s="148"/>
      <c r="D447" s="149" t="s">
        <v>68</v>
      </c>
      <c r="E447" s="328" t="s">
        <v>53</v>
      </c>
      <c r="F447" s="328"/>
      <c r="G447" s="150">
        <v>3</v>
      </c>
      <c r="H447" s="151"/>
    </row>
    <row r="448" spans="1:8" x14ac:dyDescent="0.25">
      <c r="A448" s="134" t="s">
        <v>1029</v>
      </c>
      <c r="B448" s="135" t="s">
        <v>976</v>
      </c>
      <c r="C448" s="135" t="s">
        <v>635</v>
      </c>
      <c r="D448" s="271" t="s">
        <v>636</v>
      </c>
      <c r="E448" s="271"/>
      <c r="F448" s="135" t="s">
        <v>67</v>
      </c>
      <c r="G448" s="131">
        <v>14</v>
      </c>
      <c r="H448" s="147">
        <v>0</v>
      </c>
    </row>
    <row r="449" spans="1:8" x14ac:dyDescent="0.25">
      <c r="A449" s="148"/>
      <c r="D449" s="149" t="s">
        <v>108</v>
      </c>
      <c r="E449" s="328" t="s">
        <v>53</v>
      </c>
      <c r="F449" s="328"/>
      <c r="G449" s="150">
        <v>14</v>
      </c>
      <c r="H449" s="151"/>
    </row>
    <row r="450" spans="1:8" x14ac:dyDescent="0.25">
      <c r="A450" s="134" t="s">
        <v>1031</v>
      </c>
      <c r="B450" s="135" t="s">
        <v>976</v>
      </c>
      <c r="C450" s="135" t="s">
        <v>738</v>
      </c>
      <c r="D450" s="271" t="s">
        <v>739</v>
      </c>
      <c r="E450" s="271"/>
      <c r="F450" s="135" t="s">
        <v>122</v>
      </c>
      <c r="G450" s="131">
        <v>142.13</v>
      </c>
      <c r="H450" s="147">
        <v>0</v>
      </c>
    </row>
    <row r="451" spans="1:8" x14ac:dyDescent="0.25">
      <c r="A451" s="148"/>
      <c r="D451" s="149" t="s">
        <v>1198</v>
      </c>
      <c r="E451" s="328" t="s">
        <v>53</v>
      </c>
      <c r="F451" s="328"/>
      <c r="G451" s="150">
        <v>142.13</v>
      </c>
      <c r="H451" s="151"/>
    </row>
    <row r="452" spans="1:8" x14ac:dyDescent="0.25">
      <c r="A452" s="134" t="s">
        <v>1032</v>
      </c>
      <c r="B452" s="135" t="s">
        <v>976</v>
      </c>
      <c r="C452" s="135" t="s">
        <v>952</v>
      </c>
      <c r="D452" s="271" t="s">
        <v>953</v>
      </c>
      <c r="E452" s="271"/>
      <c r="F452" s="135" t="s">
        <v>164</v>
      </c>
      <c r="G452" s="131">
        <v>18</v>
      </c>
      <c r="H452" s="147">
        <v>0</v>
      </c>
    </row>
    <row r="453" spans="1:8" x14ac:dyDescent="0.25">
      <c r="A453" s="148"/>
      <c r="D453" s="149" t="s">
        <v>119</v>
      </c>
      <c r="E453" s="328" t="s">
        <v>53</v>
      </c>
      <c r="F453" s="328"/>
      <c r="G453" s="150">
        <v>18</v>
      </c>
      <c r="H453" s="151"/>
    </row>
    <row r="454" spans="1:8" x14ac:dyDescent="0.25">
      <c r="A454" s="134" t="s">
        <v>1034</v>
      </c>
      <c r="B454" s="135" t="s">
        <v>976</v>
      </c>
      <c r="C454" s="135" t="s">
        <v>956</v>
      </c>
      <c r="D454" s="271" t="s">
        <v>957</v>
      </c>
      <c r="E454" s="271"/>
      <c r="F454" s="135" t="s">
        <v>164</v>
      </c>
      <c r="G454" s="131">
        <v>5</v>
      </c>
      <c r="H454" s="147">
        <v>0</v>
      </c>
    </row>
    <row r="455" spans="1:8" x14ac:dyDescent="0.25">
      <c r="A455" s="148"/>
      <c r="D455" s="149" t="s">
        <v>76</v>
      </c>
      <c r="E455" s="328" t="s">
        <v>53</v>
      </c>
      <c r="F455" s="328"/>
      <c r="G455" s="150">
        <v>5</v>
      </c>
      <c r="H455" s="151"/>
    </row>
    <row r="456" spans="1:8" x14ac:dyDescent="0.25">
      <c r="A456" s="134" t="s">
        <v>1035</v>
      </c>
      <c r="B456" s="135" t="s">
        <v>976</v>
      </c>
      <c r="C456" s="135" t="s">
        <v>818</v>
      </c>
      <c r="D456" s="271" t="s">
        <v>819</v>
      </c>
      <c r="E456" s="271"/>
      <c r="F456" s="135" t="s">
        <v>164</v>
      </c>
      <c r="G456" s="131">
        <v>6</v>
      </c>
      <c r="H456" s="147">
        <v>0</v>
      </c>
    </row>
    <row r="457" spans="1:8" x14ac:dyDescent="0.25">
      <c r="A457" s="148"/>
      <c r="D457" s="149" t="s">
        <v>81</v>
      </c>
      <c r="E457" s="328" t="s">
        <v>53</v>
      </c>
      <c r="F457" s="328"/>
      <c r="G457" s="150">
        <v>6</v>
      </c>
      <c r="H457" s="151"/>
    </row>
    <row r="458" spans="1:8" x14ac:dyDescent="0.25">
      <c r="A458" s="134" t="s">
        <v>1036</v>
      </c>
      <c r="B458" s="135" t="s">
        <v>976</v>
      </c>
      <c r="C458" s="135" t="s">
        <v>820</v>
      </c>
      <c r="D458" s="271" t="s">
        <v>960</v>
      </c>
      <c r="E458" s="271"/>
      <c r="F458" s="135" t="s">
        <v>164</v>
      </c>
      <c r="G458" s="131">
        <v>4</v>
      </c>
      <c r="H458" s="147">
        <v>0</v>
      </c>
    </row>
    <row r="459" spans="1:8" x14ac:dyDescent="0.25">
      <c r="A459" s="148"/>
      <c r="D459" s="149" t="s">
        <v>71</v>
      </c>
      <c r="E459" s="328" t="s">
        <v>53</v>
      </c>
      <c r="F459" s="328"/>
      <c r="G459" s="150">
        <v>4</v>
      </c>
      <c r="H459" s="151"/>
    </row>
    <row r="460" spans="1:8" x14ac:dyDescent="0.25">
      <c r="A460" s="134" t="s">
        <v>652</v>
      </c>
      <c r="B460" s="135" t="s">
        <v>976</v>
      </c>
      <c r="C460" s="135" t="s">
        <v>962</v>
      </c>
      <c r="D460" s="271" t="s">
        <v>963</v>
      </c>
      <c r="E460" s="271"/>
      <c r="F460" s="135" t="s">
        <v>164</v>
      </c>
      <c r="G460" s="131">
        <v>3</v>
      </c>
      <c r="H460" s="147">
        <v>0</v>
      </c>
    </row>
    <row r="461" spans="1:8" x14ac:dyDescent="0.25">
      <c r="A461" s="148"/>
      <c r="D461" s="149" t="s">
        <v>68</v>
      </c>
      <c r="E461" s="328" t="s">
        <v>53</v>
      </c>
      <c r="F461" s="328"/>
      <c r="G461" s="150">
        <v>3</v>
      </c>
      <c r="H461" s="151"/>
    </row>
    <row r="462" spans="1:8" x14ac:dyDescent="0.25">
      <c r="A462" s="134" t="s">
        <v>1037</v>
      </c>
      <c r="B462" s="135" t="s">
        <v>976</v>
      </c>
      <c r="C462" s="135" t="s">
        <v>1038</v>
      </c>
      <c r="D462" s="271" t="s">
        <v>1039</v>
      </c>
      <c r="E462" s="271"/>
      <c r="F462" s="135" t="s">
        <v>164</v>
      </c>
      <c r="G462" s="131">
        <v>1</v>
      </c>
      <c r="H462" s="147">
        <v>0</v>
      </c>
    </row>
    <row r="463" spans="1:8" x14ac:dyDescent="0.25">
      <c r="A463" s="148"/>
      <c r="D463" s="149" t="s">
        <v>56</v>
      </c>
      <c r="E463" s="328" t="s">
        <v>53</v>
      </c>
      <c r="F463" s="328"/>
      <c r="G463" s="150">
        <v>1</v>
      </c>
      <c r="H463" s="151"/>
    </row>
    <row r="464" spans="1:8" x14ac:dyDescent="0.25">
      <c r="A464" s="134" t="s">
        <v>1041</v>
      </c>
      <c r="B464" s="135" t="s">
        <v>976</v>
      </c>
      <c r="C464" s="135" t="s">
        <v>824</v>
      </c>
      <c r="D464" s="271" t="s">
        <v>825</v>
      </c>
      <c r="E464" s="271"/>
      <c r="F464" s="135" t="s">
        <v>164</v>
      </c>
      <c r="G464" s="131">
        <v>3</v>
      </c>
      <c r="H464" s="147">
        <v>0</v>
      </c>
    </row>
    <row r="465" spans="1:8" x14ac:dyDescent="0.25">
      <c r="A465" s="148"/>
      <c r="D465" s="149" t="s">
        <v>68</v>
      </c>
      <c r="E465" s="328" t="s">
        <v>53</v>
      </c>
      <c r="F465" s="328"/>
      <c r="G465" s="150">
        <v>3</v>
      </c>
      <c r="H465" s="151"/>
    </row>
    <row r="466" spans="1:8" x14ac:dyDescent="0.25">
      <c r="A466" s="134" t="s">
        <v>1042</v>
      </c>
      <c r="B466" s="135" t="s">
        <v>976</v>
      </c>
      <c r="C466" s="135" t="s">
        <v>822</v>
      </c>
      <c r="D466" s="271" t="s">
        <v>823</v>
      </c>
      <c r="E466" s="271"/>
      <c r="F466" s="135" t="s">
        <v>164</v>
      </c>
      <c r="G466" s="131">
        <v>1</v>
      </c>
      <c r="H466" s="147">
        <v>0</v>
      </c>
    </row>
    <row r="467" spans="1:8" x14ac:dyDescent="0.25">
      <c r="A467" s="148"/>
      <c r="D467" s="149" t="s">
        <v>56</v>
      </c>
      <c r="E467" s="328" t="s">
        <v>53</v>
      </c>
      <c r="F467" s="328"/>
      <c r="G467" s="150">
        <v>1</v>
      </c>
      <c r="H467" s="151"/>
    </row>
    <row r="468" spans="1:8" x14ac:dyDescent="0.25">
      <c r="A468" s="134" t="s">
        <v>1043</v>
      </c>
      <c r="B468" s="135" t="s">
        <v>976</v>
      </c>
      <c r="C468" s="135" t="s">
        <v>746</v>
      </c>
      <c r="D468" s="271" t="s">
        <v>747</v>
      </c>
      <c r="E468" s="271"/>
      <c r="F468" s="135" t="s">
        <v>164</v>
      </c>
      <c r="G468" s="131">
        <v>1</v>
      </c>
      <c r="H468" s="147">
        <v>0</v>
      </c>
    </row>
    <row r="469" spans="1:8" x14ac:dyDescent="0.25">
      <c r="A469" s="148"/>
      <c r="D469" s="149" t="s">
        <v>56</v>
      </c>
      <c r="E469" s="328" t="s">
        <v>53</v>
      </c>
      <c r="F469" s="328"/>
      <c r="G469" s="150">
        <v>1</v>
      </c>
      <c r="H469" s="151"/>
    </row>
    <row r="470" spans="1:8" x14ac:dyDescent="0.25">
      <c r="A470" s="134" t="s">
        <v>1044</v>
      </c>
      <c r="B470" s="135" t="s">
        <v>976</v>
      </c>
      <c r="C470" s="135" t="s">
        <v>966</v>
      </c>
      <c r="D470" s="271" t="s">
        <v>967</v>
      </c>
      <c r="E470" s="271"/>
      <c r="F470" s="135" t="s">
        <v>164</v>
      </c>
      <c r="G470" s="131">
        <v>1</v>
      </c>
      <c r="H470" s="147">
        <v>0</v>
      </c>
    </row>
    <row r="471" spans="1:8" x14ac:dyDescent="0.25">
      <c r="A471" s="148"/>
      <c r="D471" s="149" t="s">
        <v>56</v>
      </c>
      <c r="E471" s="328" t="s">
        <v>53</v>
      </c>
      <c r="F471" s="328"/>
      <c r="G471" s="150">
        <v>1</v>
      </c>
      <c r="H471" s="151"/>
    </row>
    <row r="472" spans="1:8" x14ac:dyDescent="0.25">
      <c r="A472" s="134" t="s">
        <v>1045</v>
      </c>
      <c r="B472" s="135" t="s">
        <v>976</v>
      </c>
      <c r="C472" s="135" t="s">
        <v>826</v>
      </c>
      <c r="D472" s="271" t="s">
        <v>749</v>
      </c>
      <c r="E472" s="271"/>
      <c r="F472" s="135" t="s">
        <v>164</v>
      </c>
      <c r="G472" s="131">
        <v>1</v>
      </c>
      <c r="H472" s="147">
        <v>0</v>
      </c>
    </row>
    <row r="473" spans="1:8" x14ac:dyDescent="0.25">
      <c r="A473" s="148"/>
      <c r="D473" s="149" t="s">
        <v>56</v>
      </c>
      <c r="E473" s="328" t="s">
        <v>53</v>
      </c>
      <c r="F473" s="328"/>
      <c r="G473" s="150">
        <v>1</v>
      </c>
      <c r="H473" s="151"/>
    </row>
    <row r="474" spans="1:8" x14ac:dyDescent="0.25">
      <c r="A474" s="134" t="s">
        <v>1046</v>
      </c>
      <c r="B474" s="135" t="s">
        <v>976</v>
      </c>
      <c r="C474" s="135" t="s">
        <v>827</v>
      </c>
      <c r="D474" s="271" t="s">
        <v>828</v>
      </c>
      <c r="E474" s="271"/>
      <c r="F474" s="135" t="s">
        <v>164</v>
      </c>
      <c r="G474" s="131">
        <v>2</v>
      </c>
      <c r="H474" s="147">
        <v>0</v>
      </c>
    </row>
    <row r="475" spans="1:8" x14ac:dyDescent="0.25">
      <c r="A475" s="148"/>
      <c r="D475" s="149" t="s">
        <v>64</v>
      </c>
      <c r="E475" s="328" t="s">
        <v>53</v>
      </c>
      <c r="F475" s="328"/>
      <c r="G475" s="150">
        <v>2</v>
      </c>
      <c r="H475" s="151"/>
    </row>
    <row r="476" spans="1:8" x14ac:dyDescent="0.25">
      <c r="A476" s="134" t="s">
        <v>1047</v>
      </c>
      <c r="B476" s="135" t="s">
        <v>976</v>
      </c>
      <c r="C476" s="135" t="s">
        <v>1048</v>
      </c>
      <c r="D476" s="271" t="s">
        <v>1049</v>
      </c>
      <c r="E476" s="271"/>
      <c r="F476" s="135" t="s">
        <v>164</v>
      </c>
      <c r="G476" s="131">
        <v>2</v>
      </c>
      <c r="H476" s="147">
        <v>0</v>
      </c>
    </row>
    <row r="477" spans="1:8" x14ac:dyDescent="0.25">
      <c r="A477" s="148"/>
      <c r="D477" s="149" t="s">
        <v>64</v>
      </c>
      <c r="E477" s="328" t="s">
        <v>53</v>
      </c>
      <c r="F477" s="328"/>
      <c r="G477" s="150">
        <v>2</v>
      </c>
      <c r="H477" s="151"/>
    </row>
    <row r="478" spans="1:8" x14ac:dyDescent="0.25">
      <c r="A478" s="134" t="s">
        <v>597</v>
      </c>
      <c r="B478" s="135" t="s">
        <v>976</v>
      </c>
      <c r="C478" s="135" t="s">
        <v>752</v>
      </c>
      <c r="D478" s="271" t="s">
        <v>753</v>
      </c>
      <c r="E478" s="271"/>
      <c r="F478" s="135" t="s">
        <v>164</v>
      </c>
      <c r="G478" s="131">
        <v>4</v>
      </c>
      <c r="H478" s="147">
        <v>0</v>
      </c>
    </row>
    <row r="479" spans="1:8" x14ac:dyDescent="0.25">
      <c r="A479" s="148"/>
      <c r="D479" s="149" t="s">
        <v>71</v>
      </c>
      <c r="E479" s="328" t="s">
        <v>53</v>
      </c>
      <c r="F479" s="328"/>
      <c r="G479" s="150">
        <v>4</v>
      </c>
      <c r="H479" s="151"/>
    </row>
    <row r="480" spans="1:8" x14ac:dyDescent="0.25">
      <c r="A480" s="134" t="s">
        <v>1050</v>
      </c>
      <c r="B480" s="135" t="s">
        <v>976</v>
      </c>
      <c r="C480" s="135" t="s">
        <v>829</v>
      </c>
      <c r="D480" s="271" t="s">
        <v>830</v>
      </c>
      <c r="E480" s="271"/>
      <c r="F480" s="135" t="s">
        <v>831</v>
      </c>
      <c r="G480" s="131">
        <v>81.27</v>
      </c>
      <c r="H480" s="147">
        <v>0</v>
      </c>
    </row>
    <row r="481" spans="1:8" x14ac:dyDescent="0.25">
      <c r="A481" s="148"/>
      <c r="D481" s="149" t="s">
        <v>1199</v>
      </c>
      <c r="E481" s="328" t="s">
        <v>53</v>
      </c>
      <c r="F481" s="328"/>
      <c r="G481" s="150">
        <v>81.27</v>
      </c>
      <c r="H481" s="151"/>
    </row>
    <row r="482" spans="1:8" x14ac:dyDescent="0.25">
      <c r="A482" s="134" t="s">
        <v>1051</v>
      </c>
      <c r="B482" s="135" t="s">
        <v>976</v>
      </c>
      <c r="C482" s="135" t="s">
        <v>414</v>
      </c>
      <c r="D482" s="271" t="s">
        <v>415</v>
      </c>
      <c r="E482" s="271"/>
      <c r="F482" s="135" t="s">
        <v>416</v>
      </c>
      <c r="G482" s="131">
        <v>1</v>
      </c>
      <c r="H482" s="147">
        <v>0</v>
      </c>
    </row>
    <row r="483" spans="1:8" x14ac:dyDescent="0.25">
      <c r="A483" s="148"/>
      <c r="D483" s="149" t="s">
        <v>56</v>
      </c>
      <c r="E483" s="328" t="s">
        <v>53</v>
      </c>
      <c r="F483" s="328"/>
      <c r="G483" s="150">
        <v>1</v>
      </c>
      <c r="H483" s="151"/>
    </row>
    <row r="484" spans="1:8" x14ac:dyDescent="0.25">
      <c r="A484" s="134" t="s">
        <v>1053</v>
      </c>
      <c r="B484" s="135" t="s">
        <v>976</v>
      </c>
      <c r="C484" s="135" t="s">
        <v>422</v>
      </c>
      <c r="D484" s="271" t="s">
        <v>420</v>
      </c>
      <c r="E484" s="271"/>
      <c r="F484" s="135" t="s">
        <v>416</v>
      </c>
      <c r="G484" s="131">
        <v>1</v>
      </c>
      <c r="H484" s="147">
        <v>0</v>
      </c>
    </row>
    <row r="485" spans="1:8" x14ac:dyDescent="0.25">
      <c r="A485" s="148"/>
      <c r="D485" s="149" t="s">
        <v>56</v>
      </c>
      <c r="E485" s="328" t="s">
        <v>53</v>
      </c>
      <c r="F485" s="328"/>
      <c r="G485" s="150">
        <v>1</v>
      </c>
      <c r="H485" s="151"/>
    </row>
    <row r="486" spans="1:8" x14ac:dyDescent="0.25">
      <c r="A486" s="134" t="s">
        <v>1054</v>
      </c>
      <c r="B486" s="135" t="s">
        <v>976</v>
      </c>
      <c r="C486" s="135" t="s">
        <v>427</v>
      </c>
      <c r="D486" s="271" t="s">
        <v>428</v>
      </c>
      <c r="E486" s="271"/>
      <c r="F486" s="135" t="s">
        <v>416</v>
      </c>
      <c r="G486" s="131">
        <v>1</v>
      </c>
      <c r="H486" s="147">
        <v>0</v>
      </c>
    </row>
    <row r="487" spans="1:8" x14ac:dyDescent="0.25">
      <c r="A487" s="148"/>
      <c r="D487" s="149" t="s">
        <v>619</v>
      </c>
      <c r="E487" s="328" t="s">
        <v>53</v>
      </c>
      <c r="F487" s="328"/>
      <c r="G487" s="150">
        <v>1</v>
      </c>
      <c r="H487" s="151"/>
    </row>
    <row r="488" spans="1:8" x14ac:dyDescent="0.25">
      <c r="A488" s="170" t="s">
        <v>53</v>
      </c>
      <c r="B488" s="124" t="s">
        <v>1056</v>
      </c>
      <c r="C488" s="124" t="s">
        <v>53</v>
      </c>
      <c r="D488" s="273" t="s">
        <v>1055</v>
      </c>
      <c r="E488" s="273"/>
      <c r="F488" s="124" t="s">
        <v>53</v>
      </c>
      <c r="G488" s="115" t="s">
        <v>53</v>
      </c>
      <c r="H488" s="126" t="s">
        <v>53</v>
      </c>
    </row>
    <row r="489" spans="1:8" x14ac:dyDescent="0.25">
      <c r="A489" s="134" t="s">
        <v>1057</v>
      </c>
      <c r="B489" s="135" t="s">
        <v>1056</v>
      </c>
      <c r="C489" s="135" t="s">
        <v>703</v>
      </c>
      <c r="D489" s="271" t="s">
        <v>704</v>
      </c>
      <c r="E489" s="271"/>
      <c r="F489" s="135" t="s">
        <v>705</v>
      </c>
      <c r="G489" s="131">
        <v>4</v>
      </c>
      <c r="H489" s="147">
        <v>0</v>
      </c>
    </row>
    <row r="490" spans="1:8" x14ac:dyDescent="0.25">
      <c r="A490" s="148"/>
      <c r="D490" s="149" t="s">
        <v>71</v>
      </c>
      <c r="E490" s="328" t="s">
        <v>53</v>
      </c>
      <c r="F490" s="328"/>
      <c r="G490" s="150">
        <v>4</v>
      </c>
      <c r="H490" s="151"/>
    </row>
    <row r="491" spans="1:8" x14ac:dyDescent="0.25">
      <c r="A491" s="134" t="s">
        <v>1060</v>
      </c>
      <c r="B491" s="135" t="s">
        <v>1056</v>
      </c>
      <c r="C491" s="135" t="s">
        <v>911</v>
      </c>
      <c r="D491" s="271" t="s">
        <v>912</v>
      </c>
      <c r="E491" s="271"/>
      <c r="F491" s="135" t="s">
        <v>67</v>
      </c>
      <c r="G491" s="131">
        <v>6</v>
      </c>
      <c r="H491" s="147">
        <v>0</v>
      </c>
    </row>
    <row r="492" spans="1:8" x14ac:dyDescent="0.25">
      <c r="A492" s="148"/>
      <c r="D492" s="149" t="s">
        <v>81</v>
      </c>
      <c r="E492" s="328" t="s">
        <v>53</v>
      </c>
      <c r="F492" s="328"/>
      <c r="G492" s="150">
        <v>6</v>
      </c>
      <c r="H492" s="151"/>
    </row>
    <row r="493" spans="1:8" x14ac:dyDescent="0.25">
      <c r="A493" s="134" t="s">
        <v>1061</v>
      </c>
      <c r="B493" s="135" t="s">
        <v>1056</v>
      </c>
      <c r="C493" s="135" t="s">
        <v>911</v>
      </c>
      <c r="D493" s="271" t="s">
        <v>982</v>
      </c>
      <c r="E493" s="271"/>
      <c r="F493" s="135" t="s">
        <v>67</v>
      </c>
      <c r="G493" s="131">
        <v>2</v>
      </c>
      <c r="H493" s="147">
        <v>0</v>
      </c>
    </row>
    <row r="494" spans="1:8" x14ac:dyDescent="0.25">
      <c r="A494" s="148"/>
      <c r="D494" s="149" t="s">
        <v>64</v>
      </c>
      <c r="E494" s="328" t="s">
        <v>53</v>
      </c>
      <c r="F494" s="328"/>
      <c r="G494" s="150">
        <v>2</v>
      </c>
      <c r="H494" s="151"/>
    </row>
    <row r="495" spans="1:8" x14ac:dyDescent="0.25">
      <c r="A495" s="134" t="s">
        <v>1062</v>
      </c>
      <c r="B495" s="135" t="s">
        <v>1056</v>
      </c>
      <c r="C495" s="135" t="s">
        <v>911</v>
      </c>
      <c r="D495" s="271" t="s">
        <v>1063</v>
      </c>
      <c r="E495" s="271"/>
      <c r="F495" s="135" t="s">
        <v>67</v>
      </c>
      <c r="G495" s="131">
        <v>2</v>
      </c>
      <c r="H495" s="147">
        <v>0</v>
      </c>
    </row>
    <row r="496" spans="1:8" x14ac:dyDescent="0.25">
      <c r="A496" s="148"/>
      <c r="D496" s="149" t="s">
        <v>64</v>
      </c>
      <c r="E496" s="328" t="s">
        <v>53</v>
      </c>
      <c r="F496" s="328"/>
      <c r="G496" s="150">
        <v>2</v>
      </c>
      <c r="H496" s="151"/>
    </row>
    <row r="497" spans="1:8" x14ac:dyDescent="0.25">
      <c r="A497" s="134" t="s">
        <v>573</v>
      </c>
      <c r="B497" s="135" t="s">
        <v>1056</v>
      </c>
      <c r="C497" s="135" t="s">
        <v>986</v>
      </c>
      <c r="D497" s="271" t="s">
        <v>987</v>
      </c>
      <c r="E497" s="271"/>
      <c r="F497" s="135" t="s">
        <v>59</v>
      </c>
      <c r="G497" s="131">
        <v>13</v>
      </c>
      <c r="H497" s="147">
        <v>0</v>
      </c>
    </row>
    <row r="498" spans="1:8" x14ac:dyDescent="0.25">
      <c r="A498" s="148"/>
      <c r="D498" s="149" t="s">
        <v>96</v>
      </c>
      <c r="E498" s="328" t="s">
        <v>53</v>
      </c>
      <c r="F498" s="328"/>
      <c r="G498" s="150">
        <v>13</v>
      </c>
      <c r="H498" s="151"/>
    </row>
    <row r="499" spans="1:8" x14ac:dyDescent="0.25">
      <c r="A499" s="134" t="s">
        <v>1064</v>
      </c>
      <c r="B499" s="135" t="s">
        <v>1056</v>
      </c>
      <c r="C499" s="135" t="s">
        <v>77</v>
      </c>
      <c r="D499" s="271" t="s">
        <v>78</v>
      </c>
      <c r="E499" s="271"/>
      <c r="F499" s="135" t="s">
        <v>79</v>
      </c>
      <c r="G499" s="131">
        <v>27</v>
      </c>
      <c r="H499" s="147">
        <v>0</v>
      </c>
    </row>
    <row r="500" spans="1:8" x14ac:dyDescent="0.25">
      <c r="A500" s="148"/>
      <c r="D500" s="149" t="s">
        <v>1200</v>
      </c>
      <c r="E500" s="328" t="s">
        <v>53</v>
      </c>
      <c r="F500" s="328"/>
      <c r="G500" s="150">
        <v>27</v>
      </c>
      <c r="H500" s="151"/>
    </row>
    <row r="501" spans="1:8" x14ac:dyDescent="0.25">
      <c r="A501" s="134" t="s">
        <v>1065</v>
      </c>
      <c r="B501" s="135" t="s">
        <v>1056</v>
      </c>
      <c r="C501" s="135" t="s">
        <v>914</v>
      </c>
      <c r="D501" s="271" t="s">
        <v>915</v>
      </c>
      <c r="E501" s="271"/>
      <c r="F501" s="135" t="s">
        <v>79</v>
      </c>
      <c r="G501" s="131">
        <v>22.49</v>
      </c>
      <c r="H501" s="147">
        <v>0</v>
      </c>
    </row>
    <row r="502" spans="1:8" x14ac:dyDescent="0.25">
      <c r="A502" s="148"/>
      <c r="D502" s="149" t="s">
        <v>1201</v>
      </c>
      <c r="E502" s="328" t="s">
        <v>53</v>
      </c>
      <c r="F502" s="328"/>
      <c r="G502" s="150">
        <v>22.49</v>
      </c>
      <c r="H502" s="151"/>
    </row>
    <row r="503" spans="1:8" x14ac:dyDescent="0.25">
      <c r="A503" s="134" t="s">
        <v>1066</v>
      </c>
      <c r="B503" s="135" t="s">
        <v>1056</v>
      </c>
      <c r="C503" s="135" t="s">
        <v>775</v>
      </c>
      <c r="D503" s="271" t="s">
        <v>776</v>
      </c>
      <c r="E503" s="271"/>
      <c r="F503" s="135" t="s">
        <v>79</v>
      </c>
      <c r="G503" s="131">
        <v>96.26</v>
      </c>
      <c r="H503" s="147">
        <v>0</v>
      </c>
    </row>
    <row r="504" spans="1:8" x14ac:dyDescent="0.25">
      <c r="A504" s="148"/>
      <c r="D504" s="149" t="s">
        <v>1202</v>
      </c>
      <c r="E504" s="328" t="s">
        <v>53</v>
      </c>
      <c r="F504" s="328"/>
      <c r="G504" s="150">
        <v>96.26</v>
      </c>
      <c r="H504" s="151"/>
    </row>
    <row r="505" spans="1:8" x14ac:dyDescent="0.25">
      <c r="A505" s="134" t="s">
        <v>1067</v>
      </c>
      <c r="B505" s="135" t="s">
        <v>1056</v>
      </c>
      <c r="C505" s="135" t="s">
        <v>777</v>
      </c>
      <c r="D505" s="271" t="s">
        <v>778</v>
      </c>
      <c r="E505" s="271"/>
      <c r="F505" s="135" t="s">
        <v>79</v>
      </c>
      <c r="G505" s="131">
        <v>144.38999999999999</v>
      </c>
      <c r="H505" s="147">
        <v>0</v>
      </c>
    </row>
    <row r="506" spans="1:8" x14ac:dyDescent="0.25">
      <c r="A506" s="148"/>
      <c r="D506" s="149" t="s">
        <v>1203</v>
      </c>
      <c r="E506" s="328" t="s">
        <v>53</v>
      </c>
      <c r="F506" s="328"/>
      <c r="G506" s="150">
        <v>144.38999999999999</v>
      </c>
      <c r="H506" s="151"/>
    </row>
    <row r="507" spans="1:8" x14ac:dyDescent="0.25">
      <c r="A507" s="134" t="s">
        <v>1068</v>
      </c>
      <c r="B507" s="135" t="s">
        <v>1056</v>
      </c>
      <c r="C507" s="135" t="s">
        <v>780</v>
      </c>
      <c r="D507" s="271" t="s">
        <v>781</v>
      </c>
      <c r="E507" s="271"/>
      <c r="F507" s="135" t="s">
        <v>59</v>
      </c>
      <c r="G507" s="131">
        <v>214</v>
      </c>
      <c r="H507" s="147">
        <v>0</v>
      </c>
    </row>
    <row r="508" spans="1:8" x14ac:dyDescent="0.25">
      <c r="A508" s="148"/>
      <c r="D508" s="149" t="s">
        <v>1204</v>
      </c>
      <c r="E508" s="328" t="s">
        <v>53</v>
      </c>
      <c r="F508" s="328"/>
      <c r="G508" s="150">
        <v>214</v>
      </c>
      <c r="H508" s="151"/>
    </row>
    <row r="509" spans="1:8" x14ac:dyDescent="0.25">
      <c r="A509" s="134" t="s">
        <v>1069</v>
      </c>
      <c r="B509" s="135" t="s">
        <v>1056</v>
      </c>
      <c r="C509" s="135" t="s">
        <v>783</v>
      </c>
      <c r="D509" s="271" t="s">
        <v>784</v>
      </c>
      <c r="E509" s="271"/>
      <c r="F509" s="135" t="s">
        <v>59</v>
      </c>
      <c r="G509" s="131">
        <v>214</v>
      </c>
      <c r="H509" s="147">
        <v>0</v>
      </c>
    </row>
    <row r="510" spans="1:8" x14ac:dyDescent="0.25">
      <c r="A510" s="148"/>
      <c r="D510" s="149" t="s">
        <v>1204</v>
      </c>
      <c r="E510" s="328" t="s">
        <v>53</v>
      </c>
      <c r="F510" s="328"/>
      <c r="G510" s="150">
        <v>214</v>
      </c>
      <c r="H510" s="151"/>
    </row>
    <row r="511" spans="1:8" x14ac:dyDescent="0.25">
      <c r="A511" s="134" t="s">
        <v>1070</v>
      </c>
      <c r="B511" s="135" t="s">
        <v>1056</v>
      </c>
      <c r="C511" s="135" t="s">
        <v>921</v>
      </c>
      <c r="D511" s="271" t="s">
        <v>922</v>
      </c>
      <c r="E511" s="271"/>
      <c r="F511" s="135" t="s">
        <v>79</v>
      </c>
      <c r="G511" s="131">
        <v>22.49</v>
      </c>
      <c r="H511" s="147">
        <v>0</v>
      </c>
    </row>
    <row r="512" spans="1:8" x14ac:dyDescent="0.25">
      <c r="A512" s="148"/>
      <c r="D512" s="149" t="s">
        <v>1201</v>
      </c>
      <c r="E512" s="328" t="s">
        <v>53</v>
      </c>
      <c r="F512" s="328"/>
      <c r="G512" s="150">
        <v>22.49</v>
      </c>
      <c r="H512" s="151"/>
    </row>
    <row r="513" spans="1:8" x14ac:dyDescent="0.25">
      <c r="A513" s="134" t="s">
        <v>1071</v>
      </c>
      <c r="B513" s="135" t="s">
        <v>1056</v>
      </c>
      <c r="C513" s="135" t="s">
        <v>114</v>
      </c>
      <c r="D513" s="271" t="s">
        <v>995</v>
      </c>
      <c r="E513" s="271"/>
      <c r="F513" s="135" t="s">
        <v>79</v>
      </c>
      <c r="G513" s="131">
        <v>1.3</v>
      </c>
      <c r="H513" s="147">
        <v>0</v>
      </c>
    </row>
    <row r="514" spans="1:8" x14ac:dyDescent="0.25">
      <c r="A514" s="148"/>
      <c r="D514" s="149" t="s">
        <v>1205</v>
      </c>
      <c r="E514" s="328" t="s">
        <v>53</v>
      </c>
      <c r="F514" s="328"/>
      <c r="G514" s="150">
        <v>1.3</v>
      </c>
      <c r="H514" s="151"/>
    </row>
    <row r="515" spans="1:8" x14ac:dyDescent="0.25">
      <c r="A515" s="134" t="s">
        <v>1072</v>
      </c>
      <c r="B515" s="135" t="s">
        <v>1056</v>
      </c>
      <c r="C515" s="135" t="s">
        <v>712</v>
      </c>
      <c r="D515" s="271" t="s">
        <v>997</v>
      </c>
      <c r="E515" s="271"/>
      <c r="F515" s="135" t="s">
        <v>122</v>
      </c>
      <c r="G515" s="131">
        <v>3.25</v>
      </c>
      <c r="H515" s="147">
        <v>0</v>
      </c>
    </row>
    <row r="516" spans="1:8" x14ac:dyDescent="0.25">
      <c r="A516" s="148"/>
      <c r="D516" s="149" t="s">
        <v>1206</v>
      </c>
      <c r="E516" s="328" t="s">
        <v>53</v>
      </c>
      <c r="F516" s="328"/>
      <c r="G516" s="150">
        <v>3.25</v>
      </c>
      <c r="H516" s="151"/>
    </row>
    <row r="517" spans="1:8" x14ac:dyDescent="0.25">
      <c r="A517" s="134" t="s">
        <v>1073</v>
      </c>
      <c r="B517" s="135" t="s">
        <v>1056</v>
      </c>
      <c r="C517" s="135" t="s">
        <v>114</v>
      </c>
      <c r="D517" s="271" t="s">
        <v>785</v>
      </c>
      <c r="E517" s="271"/>
      <c r="F517" s="135" t="s">
        <v>79</v>
      </c>
      <c r="G517" s="131">
        <v>78.540000000000006</v>
      </c>
      <c r="H517" s="147">
        <v>0</v>
      </c>
    </row>
    <row r="518" spans="1:8" x14ac:dyDescent="0.25">
      <c r="A518" s="148"/>
      <c r="D518" s="149" t="s">
        <v>1207</v>
      </c>
      <c r="E518" s="328" t="s">
        <v>53</v>
      </c>
      <c r="F518" s="328"/>
      <c r="G518" s="150">
        <v>78.540000000000006</v>
      </c>
      <c r="H518" s="151"/>
    </row>
    <row r="519" spans="1:8" x14ac:dyDescent="0.25">
      <c r="A519" s="134" t="s">
        <v>1074</v>
      </c>
      <c r="B519" s="135" t="s">
        <v>1056</v>
      </c>
      <c r="C519" s="135" t="s">
        <v>117</v>
      </c>
      <c r="D519" s="271" t="s">
        <v>118</v>
      </c>
      <c r="E519" s="271"/>
      <c r="F519" s="135" t="s">
        <v>79</v>
      </c>
      <c r="G519" s="131">
        <v>785.4</v>
      </c>
      <c r="H519" s="147">
        <v>0</v>
      </c>
    </row>
    <row r="520" spans="1:8" x14ac:dyDescent="0.25">
      <c r="A520" s="148"/>
      <c r="D520" s="149" t="s">
        <v>1208</v>
      </c>
      <c r="E520" s="328" t="s">
        <v>53</v>
      </c>
      <c r="F520" s="328"/>
      <c r="G520" s="150">
        <v>785.4</v>
      </c>
      <c r="H520" s="151"/>
    </row>
    <row r="521" spans="1:8" x14ac:dyDescent="0.25">
      <c r="A521" s="134" t="s">
        <v>1075</v>
      </c>
      <c r="B521" s="135" t="s">
        <v>1056</v>
      </c>
      <c r="C521" s="135" t="s">
        <v>120</v>
      </c>
      <c r="D521" s="271" t="s">
        <v>121</v>
      </c>
      <c r="E521" s="271"/>
      <c r="F521" s="135" t="s">
        <v>122</v>
      </c>
      <c r="G521" s="131">
        <v>141.37</v>
      </c>
      <c r="H521" s="147">
        <v>0</v>
      </c>
    </row>
    <row r="522" spans="1:8" x14ac:dyDescent="0.25">
      <c r="A522" s="148"/>
      <c r="D522" s="149" t="s">
        <v>1209</v>
      </c>
      <c r="E522" s="328" t="s">
        <v>53</v>
      </c>
      <c r="F522" s="328"/>
      <c r="G522" s="150">
        <v>141.37</v>
      </c>
      <c r="H522" s="151"/>
    </row>
    <row r="523" spans="1:8" x14ac:dyDescent="0.25">
      <c r="A523" s="134" t="s">
        <v>1076</v>
      </c>
      <c r="B523" s="135" t="s">
        <v>1056</v>
      </c>
      <c r="C523" s="135" t="s">
        <v>129</v>
      </c>
      <c r="D523" s="271" t="s">
        <v>130</v>
      </c>
      <c r="E523" s="271"/>
      <c r="F523" s="135" t="s">
        <v>79</v>
      </c>
      <c r="G523" s="131">
        <v>162.11000000000001</v>
      </c>
      <c r="H523" s="147">
        <v>0</v>
      </c>
    </row>
    <row r="524" spans="1:8" x14ac:dyDescent="0.25">
      <c r="A524" s="148"/>
      <c r="D524" s="149" t="s">
        <v>1210</v>
      </c>
      <c r="E524" s="328" t="s">
        <v>53</v>
      </c>
      <c r="F524" s="328"/>
      <c r="G524" s="150">
        <v>162.11000000000001</v>
      </c>
      <c r="H524" s="151"/>
    </row>
    <row r="525" spans="1:8" x14ac:dyDescent="0.25">
      <c r="A525" s="134" t="s">
        <v>1077</v>
      </c>
      <c r="B525" s="135" t="s">
        <v>1056</v>
      </c>
      <c r="C525" s="135" t="s">
        <v>786</v>
      </c>
      <c r="D525" s="271" t="s">
        <v>787</v>
      </c>
      <c r="E525" s="271"/>
      <c r="F525" s="135" t="s">
        <v>79</v>
      </c>
      <c r="G525" s="131">
        <v>43.43</v>
      </c>
      <c r="H525" s="147">
        <v>0</v>
      </c>
    </row>
    <row r="526" spans="1:8" x14ac:dyDescent="0.25">
      <c r="A526" s="148"/>
      <c r="D526" s="149" t="s">
        <v>1211</v>
      </c>
      <c r="E526" s="328" t="s">
        <v>53</v>
      </c>
      <c r="F526" s="328"/>
      <c r="G526" s="150">
        <v>43.43</v>
      </c>
      <c r="H526" s="151"/>
    </row>
    <row r="527" spans="1:8" x14ac:dyDescent="0.25">
      <c r="A527" s="134" t="s">
        <v>1078</v>
      </c>
      <c r="B527" s="135" t="s">
        <v>1056</v>
      </c>
      <c r="C527" s="135" t="s">
        <v>788</v>
      </c>
      <c r="D527" s="271" t="s">
        <v>789</v>
      </c>
      <c r="E527" s="271"/>
      <c r="F527" s="135" t="s">
        <v>79</v>
      </c>
      <c r="G527" s="131">
        <v>78.540000000000006</v>
      </c>
      <c r="H527" s="147">
        <v>0</v>
      </c>
    </row>
    <row r="528" spans="1:8" x14ac:dyDescent="0.25">
      <c r="A528" s="148"/>
      <c r="D528" s="149" t="s">
        <v>1212</v>
      </c>
      <c r="E528" s="328" t="s">
        <v>53</v>
      </c>
      <c r="F528" s="328"/>
      <c r="G528" s="150">
        <v>78.540000000000006</v>
      </c>
      <c r="H528" s="151"/>
    </row>
    <row r="529" spans="1:8" x14ac:dyDescent="0.25">
      <c r="A529" s="134" t="s">
        <v>1079</v>
      </c>
      <c r="B529" s="135" t="s">
        <v>1056</v>
      </c>
      <c r="C529" s="135" t="s">
        <v>790</v>
      </c>
      <c r="D529" s="271" t="s">
        <v>791</v>
      </c>
      <c r="E529" s="271"/>
      <c r="F529" s="135" t="s">
        <v>59</v>
      </c>
      <c r="G529" s="131">
        <v>180</v>
      </c>
      <c r="H529" s="147">
        <v>0</v>
      </c>
    </row>
    <row r="530" spans="1:8" x14ac:dyDescent="0.25">
      <c r="A530" s="148"/>
      <c r="D530" s="149" t="s">
        <v>1213</v>
      </c>
      <c r="E530" s="328" t="s">
        <v>53</v>
      </c>
      <c r="F530" s="328"/>
      <c r="G530" s="150">
        <v>180</v>
      </c>
      <c r="H530" s="151"/>
    </row>
    <row r="531" spans="1:8" x14ac:dyDescent="0.25">
      <c r="A531" s="134" t="s">
        <v>1080</v>
      </c>
      <c r="B531" s="135" t="s">
        <v>1056</v>
      </c>
      <c r="C531" s="135" t="s">
        <v>792</v>
      </c>
      <c r="D531" s="271" t="s">
        <v>793</v>
      </c>
      <c r="E531" s="271"/>
      <c r="F531" s="135" t="s">
        <v>59</v>
      </c>
      <c r="G531" s="131">
        <v>180</v>
      </c>
      <c r="H531" s="147">
        <v>0</v>
      </c>
    </row>
    <row r="532" spans="1:8" x14ac:dyDescent="0.25">
      <c r="A532" s="148"/>
      <c r="D532" s="149" t="s">
        <v>1213</v>
      </c>
      <c r="E532" s="328" t="s">
        <v>53</v>
      </c>
      <c r="F532" s="328"/>
      <c r="G532" s="150">
        <v>180</v>
      </c>
      <c r="H532" s="151"/>
    </row>
    <row r="533" spans="1:8" x14ac:dyDescent="0.25">
      <c r="A533" s="134" t="s">
        <v>1081</v>
      </c>
      <c r="B533" s="135" t="s">
        <v>1056</v>
      </c>
      <c r="C533" s="135" t="s">
        <v>795</v>
      </c>
      <c r="D533" s="271" t="s">
        <v>796</v>
      </c>
      <c r="E533" s="271"/>
      <c r="F533" s="135" t="s">
        <v>79</v>
      </c>
      <c r="G533" s="131">
        <v>20.329999999999998</v>
      </c>
      <c r="H533" s="147">
        <v>0</v>
      </c>
    </row>
    <row r="534" spans="1:8" x14ac:dyDescent="0.25">
      <c r="A534" s="148"/>
      <c r="D534" s="149" t="s">
        <v>1214</v>
      </c>
      <c r="E534" s="328" t="s">
        <v>53</v>
      </c>
      <c r="F534" s="328"/>
      <c r="G534" s="150">
        <v>20.329999999999998</v>
      </c>
      <c r="H534" s="151"/>
    </row>
    <row r="535" spans="1:8" x14ac:dyDescent="0.25">
      <c r="A535" s="134" t="s">
        <v>471</v>
      </c>
      <c r="B535" s="135" t="s">
        <v>1056</v>
      </c>
      <c r="C535" s="135" t="s">
        <v>1007</v>
      </c>
      <c r="D535" s="271" t="s">
        <v>1008</v>
      </c>
      <c r="E535" s="271"/>
      <c r="F535" s="135" t="s">
        <v>59</v>
      </c>
      <c r="G535" s="131">
        <v>15.6</v>
      </c>
      <c r="H535" s="147">
        <v>0</v>
      </c>
    </row>
    <row r="536" spans="1:8" x14ac:dyDescent="0.25">
      <c r="A536" s="148"/>
      <c r="D536" s="149" t="s">
        <v>1215</v>
      </c>
      <c r="E536" s="328" t="s">
        <v>53</v>
      </c>
      <c r="F536" s="328"/>
      <c r="G536" s="150">
        <v>15.6</v>
      </c>
      <c r="H536" s="151"/>
    </row>
    <row r="537" spans="1:8" x14ac:dyDescent="0.25">
      <c r="A537" s="134" t="s">
        <v>1084</v>
      </c>
      <c r="B537" s="135" t="s">
        <v>1056</v>
      </c>
      <c r="C537" s="135" t="s">
        <v>187</v>
      </c>
      <c r="D537" s="271" t="s">
        <v>1011</v>
      </c>
      <c r="E537" s="271"/>
      <c r="F537" s="135" t="s">
        <v>59</v>
      </c>
      <c r="G537" s="131">
        <v>14.95</v>
      </c>
      <c r="H537" s="147">
        <v>0</v>
      </c>
    </row>
    <row r="538" spans="1:8" x14ac:dyDescent="0.25">
      <c r="A538" s="148"/>
      <c r="D538" s="149" t="s">
        <v>1216</v>
      </c>
      <c r="E538" s="328" t="s">
        <v>53</v>
      </c>
      <c r="F538" s="328"/>
      <c r="G538" s="150">
        <v>14.95</v>
      </c>
      <c r="H538" s="151"/>
    </row>
    <row r="539" spans="1:8" x14ac:dyDescent="0.25">
      <c r="A539" s="134" t="s">
        <v>1085</v>
      </c>
      <c r="B539" s="135" t="s">
        <v>1056</v>
      </c>
      <c r="C539" s="135" t="s">
        <v>187</v>
      </c>
      <c r="D539" s="271" t="s">
        <v>1013</v>
      </c>
      <c r="E539" s="271"/>
      <c r="F539" s="135" t="s">
        <v>59</v>
      </c>
      <c r="G539" s="131">
        <v>14.3</v>
      </c>
      <c r="H539" s="147">
        <v>0</v>
      </c>
    </row>
    <row r="540" spans="1:8" x14ac:dyDescent="0.25">
      <c r="A540" s="148"/>
      <c r="D540" s="149" t="s">
        <v>1217</v>
      </c>
      <c r="E540" s="328" t="s">
        <v>53</v>
      </c>
      <c r="F540" s="328"/>
      <c r="G540" s="150">
        <v>14.3</v>
      </c>
      <c r="H540" s="151"/>
    </row>
    <row r="541" spans="1:8" x14ac:dyDescent="0.25">
      <c r="A541" s="134" t="s">
        <v>1086</v>
      </c>
      <c r="B541" s="135" t="s">
        <v>1056</v>
      </c>
      <c r="C541" s="135" t="s">
        <v>1015</v>
      </c>
      <c r="D541" s="271" t="s">
        <v>1016</v>
      </c>
      <c r="E541" s="271"/>
      <c r="F541" s="135" t="s">
        <v>59</v>
      </c>
      <c r="G541" s="131">
        <v>13.65</v>
      </c>
      <c r="H541" s="147">
        <v>0</v>
      </c>
    </row>
    <row r="542" spans="1:8" x14ac:dyDescent="0.25">
      <c r="A542" s="148"/>
      <c r="D542" s="149" t="s">
        <v>1218</v>
      </c>
      <c r="E542" s="328" t="s">
        <v>53</v>
      </c>
      <c r="F542" s="328"/>
      <c r="G542" s="150">
        <v>13.65</v>
      </c>
      <c r="H542" s="151"/>
    </row>
    <row r="543" spans="1:8" x14ac:dyDescent="0.25">
      <c r="A543" s="134" t="s">
        <v>1087</v>
      </c>
      <c r="B543" s="135" t="s">
        <v>1056</v>
      </c>
      <c r="C543" s="135" t="s">
        <v>213</v>
      </c>
      <c r="D543" s="271" t="s">
        <v>1018</v>
      </c>
      <c r="E543" s="271"/>
      <c r="F543" s="135" t="s">
        <v>59</v>
      </c>
      <c r="G543" s="131">
        <v>13</v>
      </c>
      <c r="H543" s="147">
        <v>0</v>
      </c>
    </row>
    <row r="544" spans="1:8" x14ac:dyDescent="0.25">
      <c r="A544" s="148"/>
      <c r="D544" s="149" t="s">
        <v>96</v>
      </c>
      <c r="E544" s="328" t="s">
        <v>53</v>
      </c>
      <c r="F544" s="328"/>
      <c r="G544" s="150">
        <v>13</v>
      </c>
      <c r="H544" s="151"/>
    </row>
    <row r="545" spans="1:8" x14ac:dyDescent="0.25">
      <c r="A545" s="134" t="s">
        <v>1088</v>
      </c>
      <c r="B545" s="135" t="s">
        <v>1056</v>
      </c>
      <c r="C545" s="135" t="s">
        <v>799</v>
      </c>
      <c r="D545" s="271" t="s">
        <v>800</v>
      </c>
      <c r="E545" s="271"/>
      <c r="F545" s="135" t="s">
        <v>67</v>
      </c>
      <c r="G545" s="131">
        <v>107</v>
      </c>
      <c r="H545" s="147">
        <v>0</v>
      </c>
    </row>
    <row r="546" spans="1:8" x14ac:dyDescent="0.25">
      <c r="A546" s="148"/>
      <c r="D546" s="149" t="s">
        <v>841</v>
      </c>
      <c r="E546" s="328" t="s">
        <v>53</v>
      </c>
      <c r="F546" s="328"/>
      <c r="G546" s="150">
        <v>107</v>
      </c>
      <c r="H546" s="151"/>
    </row>
    <row r="547" spans="1:8" x14ac:dyDescent="0.25">
      <c r="A547" s="134" t="s">
        <v>1090</v>
      </c>
      <c r="B547" s="135" t="s">
        <v>1056</v>
      </c>
      <c r="C547" s="135" t="s">
        <v>803</v>
      </c>
      <c r="D547" s="271" t="s">
        <v>804</v>
      </c>
      <c r="E547" s="271"/>
      <c r="F547" s="135" t="s">
        <v>164</v>
      </c>
      <c r="G547" s="131">
        <v>4</v>
      </c>
      <c r="H547" s="147">
        <v>0</v>
      </c>
    </row>
    <row r="548" spans="1:8" x14ac:dyDescent="0.25">
      <c r="A548" s="148"/>
      <c r="D548" s="149" t="s">
        <v>71</v>
      </c>
      <c r="E548" s="328" t="s">
        <v>53</v>
      </c>
      <c r="F548" s="328"/>
      <c r="G548" s="150">
        <v>4</v>
      </c>
      <c r="H548" s="151"/>
    </row>
    <row r="549" spans="1:8" x14ac:dyDescent="0.25">
      <c r="A549" s="134" t="s">
        <v>1091</v>
      </c>
      <c r="B549" s="135" t="s">
        <v>1056</v>
      </c>
      <c r="C549" s="135" t="s">
        <v>937</v>
      </c>
      <c r="D549" s="271" t="s">
        <v>938</v>
      </c>
      <c r="E549" s="271"/>
      <c r="F549" s="135" t="s">
        <v>164</v>
      </c>
      <c r="G549" s="131">
        <v>5</v>
      </c>
      <c r="H549" s="147">
        <v>0</v>
      </c>
    </row>
    <row r="550" spans="1:8" x14ac:dyDescent="0.25">
      <c r="A550" s="148"/>
      <c r="D550" s="149" t="s">
        <v>1219</v>
      </c>
      <c r="E550" s="328" t="s">
        <v>53</v>
      </c>
      <c r="F550" s="328"/>
      <c r="G550" s="150">
        <v>5</v>
      </c>
      <c r="H550" s="151"/>
    </row>
    <row r="551" spans="1:8" x14ac:dyDescent="0.25">
      <c r="A551" s="134" t="s">
        <v>1092</v>
      </c>
      <c r="B551" s="135" t="s">
        <v>1056</v>
      </c>
      <c r="C551" s="135" t="s">
        <v>721</v>
      </c>
      <c r="D551" s="271" t="s">
        <v>805</v>
      </c>
      <c r="E551" s="271"/>
      <c r="F551" s="135" t="s">
        <v>164</v>
      </c>
      <c r="G551" s="131">
        <v>6</v>
      </c>
      <c r="H551" s="147">
        <v>0</v>
      </c>
    </row>
    <row r="552" spans="1:8" x14ac:dyDescent="0.25">
      <c r="A552" s="148"/>
      <c r="D552" s="149" t="s">
        <v>81</v>
      </c>
      <c r="E552" s="328" t="s">
        <v>53</v>
      </c>
      <c r="F552" s="328"/>
      <c r="G552" s="150">
        <v>6</v>
      </c>
      <c r="H552" s="151"/>
    </row>
    <row r="553" spans="1:8" x14ac:dyDescent="0.25">
      <c r="A553" s="134" t="s">
        <v>1093</v>
      </c>
      <c r="B553" s="135" t="s">
        <v>1056</v>
      </c>
      <c r="C553" s="135" t="s">
        <v>806</v>
      </c>
      <c r="D553" s="271" t="s">
        <v>807</v>
      </c>
      <c r="E553" s="271"/>
      <c r="F553" s="135" t="s">
        <v>164</v>
      </c>
      <c r="G553" s="131">
        <v>6</v>
      </c>
      <c r="H553" s="147">
        <v>0</v>
      </c>
    </row>
    <row r="554" spans="1:8" x14ac:dyDescent="0.25">
      <c r="A554" s="148"/>
      <c r="D554" s="149" t="s">
        <v>81</v>
      </c>
      <c r="E554" s="328" t="s">
        <v>53</v>
      </c>
      <c r="F554" s="328"/>
      <c r="G554" s="150">
        <v>6</v>
      </c>
      <c r="H554" s="151"/>
    </row>
    <row r="555" spans="1:8" x14ac:dyDescent="0.25">
      <c r="A555" s="134" t="s">
        <v>1094</v>
      </c>
      <c r="B555" s="135" t="s">
        <v>1056</v>
      </c>
      <c r="C555" s="135" t="s">
        <v>725</v>
      </c>
      <c r="D555" s="271" t="s">
        <v>726</v>
      </c>
      <c r="E555" s="271"/>
      <c r="F555" s="135" t="s">
        <v>164</v>
      </c>
      <c r="G555" s="131">
        <v>4</v>
      </c>
      <c r="H555" s="147">
        <v>0</v>
      </c>
    </row>
    <row r="556" spans="1:8" x14ac:dyDescent="0.25">
      <c r="A556" s="148"/>
      <c r="D556" s="149" t="s">
        <v>71</v>
      </c>
      <c r="E556" s="328" t="s">
        <v>53</v>
      </c>
      <c r="F556" s="328"/>
      <c r="G556" s="150">
        <v>4</v>
      </c>
      <c r="H556" s="151"/>
    </row>
    <row r="557" spans="1:8" x14ac:dyDescent="0.25">
      <c r="A557" s="134" t="s">
        <v>1095</v>
      </c>
      <c r="B557" s="135" t="s">
        <v>1056</v>
      </c>
      <c r="C557" s="135" t="s">
        <v>942</v>
      </c>
      <c r="D557" s="271" t="s">
        <v>943</v>
      </c>
      <c r="E557" s="271"/>
      <c r="F557" s="135" t="s">
        <v>164</v>
      </c>
      <c r="G557" s="131">
        <v>2</v>
      </c>
      <c r="H557" s="147">
        <v>0</v>
      </c>
    </row>
    <row r="558" spans="1:8" x14ac:dyDescent="0.25">
      <c r="A558" s="148"/>
      <c r="D558" s="149" t="s">
        <v>64</v>
      </c>
      <c r="E558" s="328" t="s">
        <v>53</v>
      </c>
      <c r="F558" s="328"/>
      <c r="G558" s="150">
        <v>2</v>
      </c>
      <c r="H558" s="151"/>
    </row>
    <row r="559" spans="1:8" x14ac:dyDescent="0.25">
      <c r="A559" s="134" t="s">
        <v>1096</v>
      </c>
      <c r="B559" s="135" t="s">
        <v>1056</v>
      </c>
      <c r="C559" s="135" t="s">
        <v>723</v>
      </c>
      <c r="D559" s="271" t="s">
        <v>724</v>
      </c>
      <c r="E559" s="271"/>
      <c r="F559" s="135" t="s">
        <v>164</v>
      </c>
      <c r="G559" s="131">
        <v>12</v>
      </c>
      <c r="H559" s="147">
        <v>0</v>
      </c>
    </row>
    <row r="560" spans="1:8" x14ac:dyDescent="0.25">
      <c r="A560" s="148"/>
      <c r="D560" s="149" t="s">
        <v>74</v>
      </c>
      <c r="E560" s="328" t="s">
        <v>53</v>
      </c>
      <c r="F560" s="328"/>
      <c r="G560" s="150">
        <v>12</v>
      </c>
      <c r="H560" s="151"/>
    </row>
    <row r="561" spans="1:8" x14ac:dyDescent="0.25">
      <c r="A561" s="134" t="s">
        <v>1097</v>
      </c>
      <c r="B561" s="135" t="s">
        <v>1056</v>
      </c>
      <c r="C561" s="135" t="s">
        <v>810</v>
      </c>
      <c r="D561" s="271" t="s">
        <v>811</v>
      </c>
      <c r="E561" s="271"/>
      <c r="F561" s="135" t="s">
        <v>164</v>
      </c>
      <c r="G561" s="131">
        <v>1</v>
      </c>
      <c r="H561" s="147">
        <v>0</v>
      </c>
    </row>
    <row r="562" spans="1:8" x14ac:dyDescent="0.25">
      <c r="A562" s="148"/>
      <c r="D562" s="149" t="s">
        <v>56</v>
      </c>
      <c r="E562" s="328" t="s">
        <v>53</v>
      </c>
      <c r="F562" s="328"/>
      <c r="G562" s="150">
        <v>1</v>
      </c>
      <c r="H562" s="151"/>
    </row>
    <row r="563" spans="1:8" x14ac:dyDescent="0.25">
      <c r="A563" s="134" t="s">
        <v>1098</v>
      </c>
      <c r="B563" s="135" t="s">
        <v>1056</v>
      </c>
      <c r="C563" s="135" t="s">
        <v>946</v>
      </c>
      <c r="D563" s="271" t="s">
        <v>947</v>
      </c>
      <c r="E563" s="271"/>
      <c r="F563" s="135" t="s">
        <v>948</v>
      </c>
      <c r="G563" s="131">
        <v>2</v>
      </c>
      <c r="H563" s="147">
        <v>0</v>
      </c>
    </row>
    <row r="564" spans="1:8" x14ac:dyDescent="0.25">
      <c r="A564" s="148"/>
      <c r="D564" s="149" t="s">
        <v>64</v>
      </c>
      <c r="E564" s="328" t="s">
        <v>53</v>
      </c>
      <c r="F564" s="328"/>
      <c r="G564" s="150">
        <v>2</v>
      </c>
      <c r="H564" s="151"/>
    </row>
    <row r="565" spans="1:8" x14ac:dyDescent="0.25">
      <c r="A565" s="134" t="s">
        <v>1099</v>
      </c>
      <c r="B565" s="135" t="s">
        <v>1056</v>
      </c>
      <c r="C565" s="135" t="s">
        <v>635</v>
      </c>
      <c r="D565" s="271" t="s">
        <v>636</v>
      </c>
      <c r="E565" s="271"/>
      <c r="F565" s="135" t="s">
        <v>67</v>
      </c>
      <c r="G565" s="131">
        <v>15</v>
      </c>
      <c r="H565" s="147">
        <v>0</v>
      </c>
    </row>
    <row r="566" spans="1:8" x14ac:dyDescent="0.25">
      <c r="A566" s="148"/>
      <c r="D566" s="149" t="s">
        <v>111</v>
      </c>
      <c r="E566" s="328" t="s">
        <v>53</v>
      </c>
      <c r="F566" s="328"/>
      <c r="G566" s="150">
        <v>15</v>
      </c>
      <c r="H566" s="151"/>
    </row>
    <row r="567" spans="1:8" x14ac:dyDescent="0.25">
      <c r="A567" s="134" t="s">
        <v>1101</v>
      </c>
      <c r="B567" s="135" t="s">
        <v>1056</v>
      </c>
      <c r="C567" s="135" t="s">
        <v>738</v>
      </c>
      <c r="D567" s="271" t="s">
        <v>739</v>
      </c>
      <c r="E567" s="271"/>
      <c r="F567" s="135" t="s">
        <v>122</v>
      </c>
      <c r="G567" s="131">
        <v>146.02000000000001</v>
      </c>
      <c r="H567" s="147">
        <v>0</v>
      </c>
    </row>
    <row r="568" spans="1:8" x14ac:dyDescent="0.25">
      <c r="A568" s="148"/>
      <c r="D568" s="149" t="s">
        <v>1220</v>
      </c>
      <c r="E568" s="328" t="s">
        <v>53</v>
      </c>
      <c r="F568" s="328"/>
      <c r="G568" s="150">
        <v>146.02000000000001</v>
      </c>
      <c r="H568" s="151"/>
    </row>
    <row r="569" spans="1:8" x14ac:dyDescent="0.25">
      <c r="A569" s="134" t="s">
        <v>1102</v>
      </c>
      <c r="B569" s="135" t="s">
        <v>1056</v>
      </c>
      <c r="C569" s="135" t="s">
        <v>813</v>
      </c>
      <c r="D569" s="271" t="s">
        <v>814</v>
      </c>
      <c r="E569" s="271"/>
      <c r="F569" s="135" t="s">
        <v>164</v>
      </c>
      <c r="G569" s="131">
        <v>17</v>
      </c>
      <c r="H569" s="147">
        <v>0</v>
      </c>
    </row>
    <row r="570" spans="1:8" x14ac:dyDescent="0.25">
      <c r="A570" s="148"/>
      <c r="D570" s="149" t="s">
        <v>116</v>
      </c>
      <c r="E570" s="328" t="s">
        <v>53</v>
      </c>
      <c r="F570" s="328"/>
      <c r="G570" s="150">
        <v>17</v>
      </c>
      <c r="H570" s="151"/>
    </row>
    <row r="571" spans="1:8" x14ac:dyDescent="0.25">
      <c r="A571" s="134" t="s">
        <v>1104</v>
      </c>
      <c r="B571" s="135" t="s">
        <v>1056</v>
      </c>
      <c r="C571" s="135" t="s">
        <v>816</v>
      </c>
      <c r="D571" s="271" t="s">
        <v>817</v>
      </c>
      <c r="E571" s="271"/>
      <c r="F571" s="135" t="s">
        <v>164</v>
      </c>
      <c r="G571" s="131">
        <v>4</v>
      </c>
      <c r="H571" s="147">
        <v>0</v>
      </c>
    </row>
    <row r="572" spans="1:8" x14ac:dyDescent="0.25">
      <c r="A572" s="148"/>
      <c r="D572" s="149" t="s">
        <v>71</v>
      </c>
      <c r="E572" s="328" t="s">
        <v>53</v>
      </c>
      <c r="F572" s="328"/>
      <c r="G572" s="150">
        <v>4</v>
      </c>
      <c r="H572" s="151"/>
    </row>
    <row r="573" spans="1:8" x14ac:dyDescent="0.25">
      <c r="A573" s="134" t="s">
        <v>1105</v>
      </c>
      <c r="B573" s="135" t="s">
        <v>1056</v>
      </c>
      <c r="C573" s="135" t="s">
        <v>818</v>
      </c>
      <c r="D573" s="271" t="s">
        <v>819</v>
      </c>
      <c r="E573" s="271"/>
      <c r="F573" s="135" t="s">
        <v>164</v>
      </c>
      <c r="G573" s="131">
        <v>5</v>
      </c>
      <c r="H573" s="147">
        <v>0</v>
      </c>
    </row>
    <row r="574" spans="1:8" x14ac:dyDescent="0.25">
      <c r="A574" s="148"/>
      <c r="D574" s="149" t="s">
        <v>76</v>
      </c>
      <c r="E574" s="328" t="s">
        <v>53</v>
      </c>
      <c r="F574" s="328"/>
      <c r="G574" s="150">
        <v>5</v>
      </c>
      <c r="H574" s="151"/>
    </row>
    <row r="575" spans="1:8" x14ac:dyDescent="0.25">
      <c r="A575" s="134" t="s">
        <v>1106</v>
      </c>
      <c r="B575" s="135" t="s">
        <v>1056</v>
      </c>
      <c r="C575" s="135" t="s">
        <v>820</v>
      </c>
      <c r="D575" s="271" t="s">
        <v>821</v>
      </c>
      <c r="E575" s="271"/>
      <c r="F575" s="135" t="s">
        <v>164</v>
      </c>
      <c r="G575" s="131">
        <v>6</v>
      </c>
      <c r="H575" s="147">
        <v>0</v>
      </c>
    </row>
    <row r="576" spans="1:8" x14ac:dyDescent="0.25">
      <c r="A576" s="148"/>
      <c r="D576" s="149" t="s">
        <v>81</v>
      </c>
      <c r="E576" s="328" t="s">
        <v>53</v>
      </c>
      <c r="F576" s="328"/>
      <c r="G576" s="150">
        <v>6</v>
      </c>
      <c r="H576" s="151"/>
    </row>
    <row r="577" spans="1:8" x14ac:dyDescent="0.25">
      <c r="A577" s="134" t="s">
        <v>1107</v>
      </c>
      <c r="B577" s="135" t="s">
        <v>1056</v>
      </c>
      <c r="C577" s="135" t="s">
        <v>962</v>
      </c>
      <c r="D577" s="271" t="s">
        <v>963</v>
      </c>
      <c r="E577" s="271"/>
      <c r="F577" s="135" t="s">
        <v>164</v>
      </c>
      <c r="G577" s="131">
        <v>2</v>
      </c>
      <c r="H577" s="147">
        <v>0</v>
      </c>
    </row>
    <row r="578" spans="1:8" x14ac:dyDescent="0.25">
      <c r="A578" s="148"/>
      <c r="D578" s="149" t="s">
        <v>64</v>
      </c>
      <c r="E578" s="328" t="s">
        <v>53</v>
      </c>
      <c r="F578" s="328"/>
      <c r="G578" s="150">
        <v>2</v>
      </c>
      <c r="H578" s="151"/>
    </row>
    <row r="579" spans="1:8" x14ac:dyDescent="0.25">
      <c r="A579" s="134" t="s">
        <v>1108</v>
      </c>
      <c r="B579" s="135" t="s">
        <v>1056</v>
      </c>
      <c r="C579" s="135" t="s">
        <v>1038</v>
      </c>
      <c r="D579" s="271" t="s">
        <v>1039</v>
      </c>
      <c r="E579" s="271"/>
      <c r="F579" s="135" t="s">
        <v>164</v>
      </c>
      <c r="G579" s="131">
        <v>3</v>
      </c>
      <c r="H579" s="147">
        <v>0</v>
      </c>
    </row>
    <row r="580" spans="1:8" x14ac:dyDescent="0.25">
      <c r="A580" s="148"/>
      <c r="D580" s="149" t="s">
        <v>68</v>
      </c>
      <c r="E580" s="328" t="s">
        <v>53</v>
      </c>
      <c r="F580" s="328"/>
      <c r="G580" s="150">
        <v>3</v>
      </c>
      <c r="H580" s="151"/>
    </row>
    <row r="581" spans="1:8" x14ac:dyDescent="0.25">
      <c r="A581" s="134" t="s">
        <v>1109</v>
      </c>
      <c r="B581" s="135" t="s">
        <v>1056</v>
      </c>
      <c r="C581" s="135" t="s">
        <v>824</v>
      </c>
      <c r="D581" s="271" t="s">
        <v>825</v>
      </c>
      <c r="E581" s="271"/>
      <c r="F581" s="135" t="s">
        <v>164</v>
      </c>
      <c r="G581" s="131">
        <v>6</v>
      </c>
      <c r="H581" s="147">
        <v>0</v>
      </c>
    </row>
    <row r="582" spans="1:8" x14ac:dyDescent="0.25">
      <c r="A582" s="148"/>
      <c r="D582" s="149" t="s">
        <v>81</v>
      </c>
      <c r="E582" s="328" t="s">
        <v>53</v>
      </c>
      <c r="F582" s="328"/>
      <c r="G582" s="150">
        <v>6</v>
      </c>
      <c r="H582" s="151"/>
    </row>
    <row r="583" spans="1:8" x14ac:dyDescent="0.25">
      <c r="A583" s="134" t="s">
        <v>1110</v>
      </c>
      <c r="B583" s="135" t="s">
        <v>1056</v>
      </c>
      <c r="C583" s="135" t="s">
        <v>966</v>
      </c>
      <c r="D583" s="271" t="s">
        <v>967</v>
      </c>
      <c r="E583" s="271"/>
      <c r="F583" s="135" t="s">
        <v>164</v>
      </c>
      <c r="G583" s="131">
        <v>1</v>
      </c>
      <c r="H583" s="147">
        <v>0</v>
      </c>
    </row>
    <row r="584" spans="1:8" x14ac:dyDescent="0.25">
      <c r="A584" s="148"/>
      <c r="D584" s="149" t="s">
        <v>56</v>
      </c>
      <c r="E584" s="328" t="s">
        <v>53</v>
      </c>
      <c r="F584" s="328"/>
      <c r="G584" s="150">
        <v>1</v>
      </c>
      <c r="H584" s="151"/>
    </row>
    <row r="585" spans="1:8" x14ac:dyDescent="0.25">
      <c r="A585" s="134" t="s">
        <v>596</v>
      </c>
      <c r="B585" s="135" t="s">
        <v>1056</v>
      </c>
      <c r="C585" s="135" t="s">
        <v>826</v>
      </c>
      <c r="D585" s="271" t="s">
        <v>749</v>
      </c>
      <c r="E585" s="271"/>
      <c r="F585" s="135" t="s">
        <v>164</v>
      </c>
      <c r="G585" s="131">
        <v>6</v>
      </c>
      <c r="H585" s="147">
        <v>0</v>
      </c>
    </row>
    <row r="586" spans="1:8" x14ac:dyDescent="0.25">
      <c r="A586" s="148"/>
      <c r="D586" s="149" t="s">
        <v>81</v>
      </c>
      <c r="E586" s="328" t="s">
        <v>53</v>
      </c>
      <c r="F586" s="328"/>
      <c r="G586" s="150">
        <v>6</v>
      </c>
      <c r="H586" s="151"/>
    </row>
    <row r="587" spans="1:8" x14ac:dyDescent="0.25">
      <c r="A587" s="134" t="s">
        <v>1111</v>
      </c>
      <c r="B587" s="135" t="s">
        <v>1056</v>
      </c>
      <c r="C587" s="135" t="s">
        <v>827</v>
      </c>
      <c r="D587" s="271" t="s">
        <v>828</v>
      </c>
      <c r="E587" s="271"/>
      <c r="F587" s="135" t="s">
        <v>164</v>
      </c>
      <c r="G587" s="131">
        <v>5</v>
      </c>
      <c r="H587" s="147">
        <v>0</v>
      </c>
    </row>
    <row r="588" spans="1:8" x14ac:dyDescent="0.25">
      <c r="A588" s="148"/>
      <c r="D588" s="149" t="s">
        <v>76</v>
      </c>
      <c r="E588" s="328" t="s">
        <v>53</v>
      </c>
      <c r="F588" s="328"/>
      <c r="G588" s="150">
        <v>5</v>
      </c>
      <c r="H588" s="151"/>
    </row>
    <row r="589" spans="1:8" x14ac:dyDescent="0.25">
      <c r="A589" s="134" t="s">
        <v>1112</v>
      </c>
      <c r="B589" s="135" t="s">
        <v>1056</v>
      </c>
      <c r="C589" s="135" t="s">
        <v>750</v>
      </c>
      <c r="D589" s="271" t="s">
        <v>751</v>
      </c>
      <c r="E589" s="271"/>
      <c r="F589" s="135" t="s">
        <v>164</v>
      </c>
      <c r="G589" s="131">
        <v>4</v>
      </c>
      <c r="H589" s="147">
        <v>0</v>
      </c>
    </row>
    <row r="590" spans="1:8" x14ac:dyDescent="0.25">
      <c r="A590" s="148"/>
      <c r="D590" s="149" t="s">
        <v>71</v>
      </c>
      <c r="E590" s="328" t="s">
        <v>53</v>
      </c>
      <c r="F590" s="328"/>
      <c r="G590" s="150">
        <v>4</v>
      </c>
      <c r="H590" s="151"/>
    </row>
    <row r="591" spans="1:8" x14ac:dyDescent="0.25">
      <c r="A591" s="134" t="s">
        <v>1113</v>
      </c>
      <c r="B591" s="135" t="s">
        <v>1056</v>
      </c>
      <c r="C591" s="135" t="s">
        <v>752</v>
      </c>
      <c r="D591" s="271" t="s">
        <v>753</v>
      </c>
      <c r="E591" s="271"/>
      <c r="F591" s="135" t="s">
        <v>164</v>
      </c>
      <c r="G591" s="131">
        <v>2</v>
      </c>
      <c r="H591" s="147">
        <v>0</v>
      </c>
    </row>
    <row r="592" spans="1:8" x14ac:dyDescent="0.25">
      <c r="A592" s="148"/>
      <c r="D592" s="149" t="s">
        <v>64</v>
      </c>
      <c r="E592" s="328" t="s">
        <v>53</v>
      </c>
      <c r="F592" s="328"/>
      <c r="G592" s="150">
        <v>2</v>
      </c>
      <c r="H592" s="151"/>
    </row>
    <row r="593" spans="1:8" x14ac:dyDescent="0.25">
      <c r="A593" s="134" t="s">
        <v>1114</v>
      </c>
      <c r="B593" s="135" t="s">
        <v>1056</v>
      </c>
      <c r="C593" s="135" t="s">
        <v>829</v>
      </c>
      <c r="D593" s="271" t="s">
        <v>830</v>
      </c>
      <c r="E593" s="271"/>
      <c r="F593" s="135" t="s">
        <v>831</v>
      </c>
      <c r="G593" s="131">
        <v>78.17</v>
      </c>
      <c r="H593" s="147">
        <v>0</v>
      </c>
    </row>
    <row r="594" spans="1:8" x14ac:dyDescent="0.25">
      <c r="A594" s="148"/>
      <c r="D594" s="149" t="s">
        <v>1221</v>
      </c>
      <c r="E594" s="328" t="s">
        <v>53</v>
      </c>
      <c r="F594" s="328"/>
      <c r="G594" s="150">
        <v>78.17</v>
      </c>
      <c r="H594" s="151"/>
    </row>
    <row r="595" spans="1:8" x14ac:dyDescent="0.25">
      <c r="A595" s="134" t="s">
        <v>1115</v>
      </c>
      <c r="B595" s="135" t="s">
        <v>1056</v>
      </c>
      <c r="C595" s="135" t="s">
        <v>414</v>
      </c>
      <c r="D595" s="271" t="s">
        <v>415</v>
      </c>
      <c r="E595" s="271"/>
      <c r="F595" s="135" t="s">
        <v>416</v>
      </c>
      <c r="G595" s="131">
        <v>1</v>
      </c>
      <c r="H595" s="147">
        <v>0</v>
      </c>
    </row>
    <row r="596" spans="1:8" x14ac:dyDescent="0.25">
      <c r="A596" s="148"/>
      <c r="D596" s="149" t="s">
        <v>56</v>
      </c>
      <c r="E596" s="328" t="s">
        <v>53</v>
      </c>
      <c r="F596" s="328"/>
      <c r="G596" s="150">
        <v>1</v>
      </c>
      <c r="H596" s="151"/>
    </row>
    <row r="597" spans="1:8" x14ac:dyDescent="0.25">
      <c r="A597" s="134" t="s">
        <v>1117</v>
      </c>
      <c r="B597" s="135" t="s">
        <v>1056</v>
      </c>
      <c r="C597" s="135" t="s">
        <v>422</v>
      </c>
      <c r="D597" s="271" t="s">
        <v>420</v>
      </c>
      <c r="E597" s="271"/>
      <c r="F597" s="135" t="s">
        <v>416</v>
      </c>
      <c r="G597" s="131">
        <v>1</v>
      </c>
      <c r="H597" s="147">
        <v>0</v>
      </c>
    </row>
    <row r="598" spans="1:8" x14ac:dyDescent="0.25">
      <c r="A598" s="148"/>
      <c r="D598" s="149" t="s">
        <v>56</v>
      </c>
      <c r="E598" s="328" t="s">
        <v>53</v>
      </c>
      <c r="F598" s="328"/>
      <c r="G598" s="150">
        <v>1</v>
      </c>
      <c r="H598" s="151"/>
    </row>
    <row r="599" spans="1:8" x14ac:dyDescent="0.25">
      <c r="A599" s="134" t="s">
        <v>1118</v>
      </c>
      <c r="B599" s="135" t="s">
        <v>1056</v>
      </c>
      <c r="C599" s="135" t="s">
        <v>427</v>
      </c>
      <c r="D599" s="271" t="s">
        <v>428</v>
      </c>
      <c r="E599" s="271"/>
      <c r="F599" s="135" t="s">
        <v>416</v>
      </c>
      <c r="G599" s="131">
        <v>1</v>
      </c>
      <c r="H599" s="147">
        <v>0</v>
      </c>
    </row>
    <row r="600" spans="1:8" x14ac:dyDescent="0.25">
      <c r="A600" s="152"/>
      <c r="B600" s="153"/>
      <c r="C600" s="153"/>
      <c r="D600" s="154" t="s">
        <v>619</v>
      </c>
      <c r="E600" s="329" t="s">
        <v>53</v>
      </c>
      <c r="F600" s="329"/>
      <c r="G600" s="155">
        <v>1</v>
      </c>
      <c r="H600" s="156"/>
    </row>
    <row r="602" spans="1:8" x14ac:dyDescent="0.25">
      <c r="A602" s="142" t="s">
        <v>431</v>
      </c>
    </row>
    <row r="603" spans="1:8" ht="12.75" customHeight="1" x14ac:dyDescent="0.25">
      <c r="A603" s="270" t="s">
        <v>53</v>
      </c>
      <c r="B603" s="271"/>
      <c r="C603" s="271"/>
      <c r="D603" s="271"/>
      <c r="E603" s="271"/>
      <c r="F603" s="271"/>
      <c r="G603" s="271"/>
    </row>
  </sheetData>
  <mergeCells count="609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10:E10"/>
    <mergeCell ref="D11:E11"/>
    <mergeCell ref="D12:E12"/>
    <mergeCell ref="E13:F13"/>
    <mergeCell ref="D14:E14"/>
    <mergeCell ref="E15:F15"/>
    <mergeCell ref="A6:B7"/>
    <mergeCell ref="C6:D7"/>
    <mergeCell ref="E6:E7"/>
    <mergeCell ref="F6:H7"/>
    <mergeCell ref="A8:B9"/>
    <mergeCell ref="C8:D9"/>
    <mergeCell ref="E8:E9"/>
    <mergeCell ref="F8:H9"/>
    <mergeCell ref="D22:E22"/>
    <mergeCell ref="E23:F23"/>
    <mergeCell ref="D24:E24"/>
    <mergeCell ref="E25:F25"/>
    <mergeCell ref="D26:E26"/>
    <mergeCell ref="E27:F27"/>
    <mergeCell ref="D16:E16"/>
    <mergeCell ref="E17:F17"/>
    <mergeCell ref="D18:E18"/>
    <mergeCell ref="E19:F19"/>
    <mergeCell ref="D20:E20"/>
    <mergeCell ref="E21:F21"/>
    <mergeCell ref="D34:E34"/>
    <mergeCell ref="E35:F35"/>
    <mergeCell ref="D36:E36"/>
    <mergeCell ref="E37:F37"/>
    <mergeCell ref="D38:E38"/>
    <mergeCell ref="E39:F39"/>
    <mergeCell ref="D28:E28"/>
    <mergeCell ref="E29:F29"/>
    <mergeCell ref="D30:E30"/>
    <mergeCell ref="E31:F31"/>
    <mergeCell ref="D32:E32"/>
    <mergeCell ref="E33:F33"/>
    <mergeCell ref="D46:E46"/>
    <mergeCell ref="E47:F47"/>
    <mergeCell ref="D48:E48"/>
    <mergeCell ref="E49:F49"/>
    <mergeCell ref="D50:E50"/>
    <mergeCell ref="E51:F51"/>
    <mergeCell ref="D40:E40"/>
    <mergeCell ref="E41:F41"/>
    <mergeCell ref="D42:E42"/>
    <mergeCell ref="E43:F43"/>
    <mergeCell ref="D44:E44"/>
    <mergeCell ref="E45:F45"/>
    <mergeCell ref="D58:E58"/>
    <mergeCell ref="D59:E59"/>
    <mergeCell ref="E60:F60"/>
    <mergeCell ref="D61:E61"/>
    <mergeCell ref="E62:F62"/>
    <mergeCell ref="D63:E63"/>
    <mergeCell ref="D52:E52"/>
    <mergeCell ref="E53:F53"/>
    <mergeCell ref="D54:E54"/>
    <mergeCell ref="E55:F55"/>
    <mergeCell ref="D56:E56"/>
    <mergeCell ref="E57:F57"/>
    <mergeCell ref="E70:F70"/>
    <mergeCell ref="D71:E71"/>
    <mergeCell ref="E72:F72"/>
    <mergeCell ref="D73:E73"/>
    <mergeCell ref="E74:F74"/>
    <mergeCell ref="D75:E75"/>
    <mergeCell ref="E64:F64"/>
    <mergeCell ref="D65:E65"/>
    <mergeCell ref="E66:F66"/>
    <mergeCell ref="D67:E67"/>
    <mergeCell ref="E68:F68"/>
    <mergeCell ref="D69:E69"/>
    <mergeCell ref="E82:F82"/>
    <mergeCell ref="D83:E83"/>
    <mergeCell ref="E84:F84"/>
    <mergeCell ref="D85:E85"/>
    <mergeCell ref="E86:F86"/>
    <mergeCell ref="D87:E87"/>
    <mergeCell ref="E76:F76"/>
    <mergeCell ref="D77:E77"/>
    <mergeCell ref="E78:F78"/>
    <mergeCell ref="D79:E79"/>
    <mergeCell ref="E80:F80"/>
    <mergeCell ref="D81:E81"/>
    <mergeCell ref="E94:F94"/>
    <mergeCell ref="D95:E95"/>
    <mergeCell ref="E96:F96"/>
    <mergeCell ref="D97:E97"/>
    <mergeCell ref="E98:F98"/>
    <mergeCell ref="D99:E99"/>
    <mergeCell ref="E88:F88"/>
    <mergeCell ref="D89:E89"/>
    <mergeCell ref="E90:F90"/>
    <mergeCell ref="D91:E91"/>
    <mergeCell ref="E92:F92"/>
    <mergeCell ref="D93:E93"/>
    <mergeCell ref="D106:E106"/>
    <mergeCell ref="E107:F107"/>
    <mergeCell ref="D108:E108"/>
    <mergeCell ref="E109:F109"/>
    <mergeCell ref="D110:E110"/>
    <mergeCell ref="E111:F111"/>
    <mergeCell ref="E100:F100"/>
    <mergeCell ref="D101:E101"/>
    <mergeCell ref="E102:F102"/>
    <mergeCell ref="D103:E103"/>
    <mergeCell ref="D104:E104"/>
    <mergeCell ref="E105:F105"/>
    <mergeCell ref="D118:E118"/>
    <mergeCell ref="E119:F119"/>
    <mergeCell ref="D120:E120"/>
    <mergeCell ref="E121:F121"/>
    <mergeCell ref="D122:E122"/>
    <mergeCell ref="E123:F123"/>
    <mergeCell ref="D112:E112"/>
    <mergeCell ref="E113:F113"/>
    <mergeCell ref="D114:E114"/>
    <mergeCell ref="E115:F115"/>
    <mergeCell ref="D116:E116"/>
    <mergeCell ref="E117:F117"/>
    <mergeCell ref="D130:E130"/>
    <mergeCell ref="E131:F131"/>
    <mergeCell ref="D132:E132"/>
    <mergeCell ref="E133:F133"/>
    <mergeCell ref="D134:E134"/>
    <mergeCell ref="E135:F135"/>
    <mergeCell ref="D124:E124"/>
    <mergeCell ref="E125:F125"/>
    <mergeCell ref="D126:E126"/>
    <mergeCell ref="E127:F127"/>
    <mergeCell ref="D128:E128"/>
    <mergeCell ref="E129:F129"/>
    <mergeCell ref="D142:E142"/>
    <mergeCell ref="E143:F143"/>
    <mergeCell ref="D144:E144"/>
    <mergeCell ref="E145:F145"/>
    <mergeCell ref="D146:E146"/>
    <mergeCell ref="E147:F147"/>
    <mergeCell ref="D136:E136"/>
    <mergeCell ref="E137:F137"/>
    <mergeCell ref="D138:E138"/>
    <mergeCell ref="E139:F139"/>
    <mergeCell ref="D140:E140"/>
    <mergeCell ref="E141:F141"/>
    <mergeCell ref="E154:F154"/>
    <mergeCell ref="D155:E155"/>
    <mergeCell ref="E156:F156"/>
    <mergeCell ref="D157:E157"/>
    <mergeCell ref="E158:F158"/>
    <mergeCell ref="D159:E159"/>
    <mergeCell ref="D148:E148"/>
    <mergeCell ref="D149:E149"/>
    <mergeCell ref="E150:F150"/>
    <mergeCell ref="D151:E151"/>
    <mergeCell ref="E152:F152"/>
    <mergeCell ref="D153:E153"/>
    <mergeCell ref="E166:F166"/>
    <mergeCell ref="D167:E167"/>
    <mergeCell ref="E168:F168"/>
    <mergeCell ref="D169:E169"/>
    <mergeCell ref="E170:F170"/>
    <mergeCell ref="D171:E171"/>
    <mergeCell ref="E160:F160"/>
    <mergeCell ref="D161:E161"/>
    <mergeCell ref="E162:F162"/>
    <mergeCell ref="D163:E163"/>
    <mergeCell ref="E164:F164"/>
    <mergeCell ref="D165:E165"/>
    <mergeCell ref="E178:F178"/>
    <mergeCell ref="D179:E179"/>
    <mergeCell ref="E180:F180"/>
    <mergeCell ref="D181:E181"/>
    <mergeCell ref="E182:F182"/>
    <mergeCell ref="D183:E183"/>
    <mergeCell ref="E172:F172"/>
    <mergeCell ref="D173:E173"/>
    <mergeCell ref="E174:F174"/>
    <mergeCell ref="D175:E175"/>
    <mergeCell ref="E176:F176"/>
    <mergeCell ref="D177:E177"/>
    <mergeCell ref="E190:F190"/>
    <mergeCell ref="D191:E191"/>
    <mergeCell ref="E192:F192"/>
    <mergeCell ref="D193:E193"/>
    <mergeCell ref="E194:F194"/>
    <mergeCell ref="D195:E195"/>
    <mergeCell ref="E184:F184"/>
    <mergeCell ref="D185:E185"/>
    <mergeCell ref="E186:F186"/>
    <mergeCell ref="D187:E187"/>
    <mergeCell ref="E188:F188"/>
    <mergeCell ref="D189:E189"/>
    <mergeCell ref="E202:F202"/>
    <mergeCell ref="D203:E203"/>
    <mergeCell ref="E204:F204"/>
    <mergeCell ref="D205:E205"/>
    <mergeCell ref="E206:F206"/>
    <mergeCell ref="D207:E207"/>
    <mergeCell ref="E196:F196"/>
    <mergeCell ref="D197:E197"/>
    <mergeCell ref="E198:F198"/>
    <mergeCell ref="D199:E199"/>
    <mergeCell ref="E200:F200"/>
    <mergeCell ref="D201:E201"/>
    <mergeCell ref="E214:F214"/>
    <mergeCell ref="D215:E215"/>
    <mergeCell ref="E216:F216"/>
    <mergeCell ref="D217:E217"/>
    <mergeCell ref="E218:F218"/>
    <mergeCell ref="D219:E219"/>
    <mergeCell ref="E208:F208"/>
    <mergeCell ref="D209:E209"/>
    <mergeCell ref="E210:F210"/>
    <mergeCell ref="D211:E211"/>
    <mergeCell ref="E212:F212"/>
    <mergeCell ref="D213:E213"/>
    <mergeCell ref="D226:E226"/>
    <mergeCell ref="E227:F227"/>
    <mergeCell ref="D228:E228"/>
    <mergeCell ref="E229:F229"/>
    <mergeCell ref="D230:E230"/>
    <mergeCell ref="E231:F231"/>
    <mergeCell ref="E220:F220"/>
    <mergeCell ref="D221:E221"/>
    <mergeCell ref="E222:F222"/>
    <mergeCell ref="D223:E223"/>
    <mergeCell ref="E224:F224"/>
    <mergeCell ref="D225:E225"/>
    <mergeCell ref="D238:E238"/>
    <mergeCell ref="E239:F239"/>
    <mergeCell ref="D240:E240"/>
    <mergeCell ref="E241:F241"/>
    <mergeCell ref="D242:E242"/>
    <mergeCell ref="E243:F243"/>
    <mergeCell ref="D232:E232"/>
    <mergeCell ref="E233:F233"/>
    <mergeCell ref="D234:E234"/>
    <mergeCell ref="E235:F235"/>
    <mergeCell ref="D236:E236"/>
    <mergeCell ref="E237:F237"/>
    <mergeCell ref="D250:E250"/>
    <mergeCell ref="E251:F251"/>
    <mergeCell ref="D252:E252"/>
    <mergeCell ref="E253:F253"/>
    <mergeCell ref="D254:E254"/>
    <mergeCell ref="E255:F255"/>
    <mergeCell ref="D244:E244"/>
    <mergeCell ref="E245:F245"/>
    <mergeCell ref="D246:E246"/>
    <mergeCell ref="E247:F247"/>
    <mergeCell ref="D248:E248"/>
    <mergeCell ref="E249:F249"/>
    <mergeCell ref="D262:E262"/>
    <mergeCell ref="E263:F263"/>
    <mergeCell ref="D264:E264"/>
    <mergeCell ref="E265:F265"/>
    <mergeCell ref="D266:E266"/>
    <mergeCell ref="E267:F267"/>
    <mergeCell ref="D256:E256"/>
    <mergeCell ref="E257:F257"/>
    <mergeCell ref="D258:E258"/>
    <mergeCell ref="E259:F259"/>
    <mergeCell ref="D260:E260"/>
    <mergeCell ref="E261:F261"/>
    <mergeCell ref="D274:E274"/>
    <mergeCell ref="E275:F275"/>
    <mergeCell ref="D276:E276"/>
    <mergeCell ref="E277:F277"/>
    <mergeCell ref="D278:E278"/>
    <mergeCell ref="E279:F279"/>
    <mergeCell ref="D268:E268"/>
    <mergeCell ref="E269:F269"/>
    <mergeCell ref="D270:E270"/>
    <mergeCell ref="E271:F271"/>
    <mergeCell ref="D272:E272"/>
    <mergeCell ref="E273:F273"/>
    <mergeCell ref="D286:E286"/>
    <mergeCell ref="E287:F287"/>
    <mergeCell ref="D288:E288"/>
    <mergeCell ref="E289:F289"/>
    <mergeCell ref="D290:E290"/>
    <mergeCell ref="E291:F291"/>
    <mergeCell ref="D280:E280"/>
    <mergeCell ref="E281:F281"/>
    <mergeCell ref="D282:E282"/>
    <mergeCell ref="E283:F283"/>
    <mergeCell ref="D284:E284"/>
    <mergeCell ref="E285:F285"/>
    <mergeCell ref="D298:E298"/>
    <mergeCell ref="E299:F299"/>
    <mergeCell ref="D300:E300"/>
    <mergeCell ref="E301:F301"/>
    <mergeCell ref="D302:E302"/>
    <mergeCell ref="E303:F303"/>
    <mergeCell ref="D292:E292"/>
    <mergeCell ref="E293:F293"/>
    <mergeCell ref="D294:E294"/>
    <mergeCell ref="E295:F295"/>
    <mergeCell ref="D296:E296"/>
    <mergeCell ref="E297:F297"/>
    <mergeCell ref="E310:F310"/>
    <mergeCell ref="D311:E311"/>
    <mergeCell ref="E312:F312"/>
    <mergeCell ref="D313:E313"/>
    <mergeCell ref="E314:F314"/>
    <mergeCell ref="D315:E315"/>
    <mergeCell ref="D304:E304"/>
    <mergeCell ref="D305:E305"/>
    <mergeCell ref="E306:F306"/>
    <mergeCell ref="D307:E307"/>
    <mergeCell ref="E308:F308"/>
    <mergeCell ref="D309:E309"/>
    <mergeCell ref="E322:F322"/>
    <mergeCell ref="D323:E323"/>
    <mergeCell ref="E324:F324"/>
    <mergeCell ref="D325:E325"/>
    <mergeCell ref="E326:F326"/>
    <mergeCell ref="D327:E327"/>
    <mergeCell ref="E316:F316"/>
    <mergeCell ref="D317:E317"/>
    <mergeCell ref="E318:F318"/>
    <mergeCell ref="D319:E319"/>
    <mergeCell ref="E320:F320"/>
    <mergeCell ref="D321:E321"/>
    <mergeCell ref="E334:F334"/>
    <mergeCell ref="D335:E335"/>
    <mergeCell ref="E336:F336"/>
    <mergeCell ref="D337:E337"/>
    <mergeCell ref="E338:F338"/>
    <mergeCell ref="D339:E339"/>
    <mergeCell ref="E328:F328"/>
    <mergeCell ref="D329:E329"/>
    <mergeCell ref="E330:F330"/>
    <mergeCell ref="D331:E331"/>
    <mergeCell ref="E332:F332"/>
    <mergeCell ref="D333:E333"/>
    <mergeCell ref="E346:F346"/>
    <mergeCell ref="D347:E347"/>
    <mergeCell ref="E348:F348"/>
    <mergeCell ref="D349:E349"/>
    <mergeCell ref="E350:F350"/>
    <mergeCell ref="D351:E351"/>
    <mergeCell ref="E340:F340"/>
    <mergeCell ref="D341:E341"/>
    <mergeCell ref="E342:F342"/>
    <mergeCell ref="D343:E343"/>
    <mergeCell ref="E344:F344"/>
    <mergeCell ref="D345:E345"/>
    <mergeCell ref="E358:F358"/>
    <mergeCell ref="D359:E359"/>
    <mergeCell ref="E360:F360"/>
    <mergeCell ref="D361:E361"/>
    <mergeCell ref="E362:F362"/>
    <mergeCell ref="D363:E363"/>
    <mergeCell ref="E352:F352"/>
    <mergeCell ref="D353:E353"/>
    <mergeCell ref="E354:F354"/>
    <mergeCell ref="D355:E355"/>
    <mergeCell ref="E356:F356"/>
    <mergeCell ref="D357:E357"/>
    <mergeCell ref="E370:F370"/>
    <mergeCell ref="D371:E371"/>
    <mergeCell ref="E372:F372"/>
    <mergeCell ref="D373:E373"/>
    <mergeCell ref="E374:F374"/>
    <mergeCell ref="D375:E375"/>
    <mergeCell ref="E364:F364"/>
    <mergeCell ref="D365:E365"/>
    <mergeCell ref="E366:F366"/>
    <mergeCell ref="D367:E367"/>
    <mergeCell ref="E368:F368"/>
    <mergeCell ref="D369:E369"/>
    <mergeCell ref="D382:E382"/>
    <mergeCell ref="E383:F383"/>
    <mergeCell ref="D384:E384"/>
    <mergeCell ref="E385:F385"/>
    <mergeCell ref="D386:E386"/>
    <mergeCell ref="E387:F387"/>
    <mergeCell ref="E376:F376"/>
    <mergeCell ref="D377:E377"/>
    <mergeCell ref="E378:F378"/>
    <mergeCell ref="D379:E379"/>
    <mergeCell ref="D380:E380"/>
    <mergeCell ref="E381:F381"/>
    <mergeCell ref="D394:E394"/>
    <mergeCell ref="E395:F395"/>
    <mergeCell ref="D396:E396"/>
    <mergeCell ref="E397:F397"/>
    <mergeCell ref="D398:E398"/>
    <mergeCell ref="E399:F399"/>
    <mergeCell ref="D388:E388"/>
    <mergeCell ref="E389:F389"/>
    <mergeCell ref="D390:E390"/>
    <mergeCell ref="E391:F391"/>
    <mergeCell ref="D392:E392"/>
    <mergeCell ref="E393:F393"/>
    <mergeCell ref="D406:E406"/>
    <mergeCell ref="E407:F407"/>
    <mergeCell ref="D408:E408"/>
    <mergeCell ref="E409:F409"/>
    <mergeCell ref="D410:E410"/>
    <mergeCell ref="E411:F411"/>
    <mergeCell ref="D400:E400"/>
    <mergeCell ref="E401:F401"/>
    <mergeCell ref="D402:E402"/>
    <mergeCell ref="E403:F403"/>
    <mergeCell ref="D404:E404"/>
    <mergeCell ref="E405:F405"/>
    <mergeCell ref="D418:E418"/>
    <mergeCell ref="E419:F419"/>
    <mergeCell ref="D420:E420"/>
    <mergeCell ref="E421:F421"/>
    <mergeCell ref="D422:E422"/>
    <mergeCell ref="E423:F423"/>
    <mergeCell ref="D412:E412"/>
    <mergeCell ref="E413:F413"/>
    <mergeCell ref="D414:E414"/>
    <mergeCell ref="E415:F415"/>
    <mergeCell ref="D416:E416"/>
    <mergeCell ref="E417:F417"/>
    <mergeCell ref="D430:E430"/>
    <mergeCell ref="E431:F431"/>
    <mergeCell ref="D432:E432"/>
    <mergeCell ref="E433:F433"/>
    <mergeCell ref="D434:E434"/>
    <mergeCell ref="E435:F435"/>
    <mergeCell ref="D424:E424"/>
    <mergeCell ref="E425:F425"/>
    <mergeCell ref="D426:E426"/>
    <mergeCell ref="E427:F427"/>
    <mergeCell ref="D428:E428"/>
    <mergeCell ref="E429:F429"/>
    <mergeCell ref="D442:E442"/>
    <mergeCell ref="E443:F443"/>
    <mergeCell ref="D444:E444"/>
    <mergeCell ref="E445:F445"/>
    <mergeCell ref="D446:E446"/>
    <mergeCell ref="E447:F447"/>
    <mergeCell ref="D436:E436"/>
    <mergeCell ref="E437:F437"/>
    <mergeCell ref="D438:E438"/>
    <mergeCell ref="E439:F439"/>
    <mergeCell ref="D440:E440"/>
    <mergeCell ref="E441:F441"/>
    <mergeCell ref="D454:E454"/>
    <mergeCell ref="E455:F455"/>
    <mergeCell ref="D456:E456"/>
    <mergeCell ref="E457:F457"/>
    <mergeCell ref="D458:E458"/>
    <mergeCell ref="E459:F459"/>
    <mergeCell ref="D448:E448"/>
    <mergeCell ref="E449:F449"/>
    <mergeCell ref="D450:E450"/>
    <mergeCell ref="E451:F451"/>
    <mergeCell ref="D452:E452"/>
    <mergeCell ref="E453:F453"/>
    <mergeCell ref="D466:E466"/>
    <mergeCell ref="E467:F467"/>
    <mergeCell ref="D468:E468"/>
    <mergeCell ref="E469:F469"/>
    <mergeCell ref="D470:E470"/>
    <mergeCell ref="E471:F471"/>
    <mergeCell ref="D460:E460"/>
    <mergeCell ref="E461:F461"/>
    <mergeCell ref="D462:E462"/>
    <mergeCell ref="E463:F463"/>
    <mergeCell ref="D464:E464"/>
    <mergeCell ref="E465:F465"/>
    <mergeCell ref="D478:E478"/>
    <mergeCell ref="E479:F479"/>
    <mergeCell ref="D480:E480"/>
    <mergeCell ref="E481:F481"/>
    <mergeCell ref="D482:E482"/>
    <mergeCell ref="E483:F483"/>
    <mergeCell ref="D472:E472"/>
    <mergeCell ref="E473:F473"/>
    <mergeCell ref="D474:E474"/>
    <mergeCell ref="E475:F475"/>
    <mergeCell ref="D476:E476"/>
    <mergeCell ref="E477:F477"/>
    <mergeCell ref="E490:F490"/>
    <mergeCell ref="D491:E491"/>
    <mergeCell ref="E492:F492"/>
    <mergeCell ref="D493:E493"/>
    <mergeCell ref="E494:F494"/>
    <mergeCell ref="D495:E495"/>
    <mergeCell ref="D484:E484"/>
    <mergeCell ref="E485:F485"/>
    <mergeCell ref="D486:E486"/>
    <mergeCell ref="E487:F487"/>
    <mergeCell ref="D488:E488"/>
    <mergeCell ref="D489:E489"/>
    <mergeCell ref="E502:F502"/>
    <mergeCell ref="D503:E503"/>
    <mergeCell ref="E504:F504"/>
    <mergeCell ref="D505:E505"/>
    <mergeCell ref="E506:F506"/>
    <mergeCell ref="D507:E507"/>
    <mergeCell ref="E496:F496"/>
    <mergeCell ref="D497:E497"/>
    <mergeCell ref="E498:F498"/>
    <mergeCell ref="D499:E499"/>
    <mergeCell ref="E500:F500"/>
    <mergeCell ref="D501:E501"/>
    <mergeCell ref="E514:F514"/>
    <mergeCell ref="D515:E515"/>
    <mergeCell ref="E516:F516"/>
    <mergeCell ref="D517:E517"/>
    <mergeCell ref="E518:F518"/>
    <mergeCell ref="D519:E519"/>
    <mergeCell ref="E508:F508"/>
    <mergeCell ref="D509:E509"/>
    <mergeCell ref="E510:F510"/>
    <mergeCell ref="D511:E511"/>
    <mergeCell ref="E512:F512"/>
    <mergeCell ref="D513:E513"/>
    <mergeCell ref="E526:F526"/>
    <mergeCell ref="D527:E527"/>
    <mergeCell ref="E528:F528"/>
    <mergeCell ref="D529:E529"/>
    <mergeCell ref="E530:F530"/>
    <mergeCell ref="D531:E531"/>
    <mergeCell ref="E520:F520"/>
    <mergeCell ref="D521:E521"/>
    <mergeCell ref="E522:F522"/>
    <mergeCell ref="D523:E523"/>
    <mergeCell ref="E524:F524"/>
    <mergeCell ref="D525:E525"/>
    <mergeCell ref="E538:F538"/>
    <mergeCell ref="D539:E539"/>
    <mergeCell ref="E540:F540"/>
    <mergeCell ref="D541:E541"/>
    <mergeCell ref="E542:F542"/>
    <mergeCell ref="D543:E543"/>
    <mergeCell ref="E532:F532"/>
    <mergeCell ref="D533:E533"/>
    <mergeCell ref="E534:F534"/>
    <mergeCell ref="D535:E535"/>
    <mergeCell ref="E536:F536"/>
    <mergeCell ref="D537:E537"/>
    <mergeCell ref="E550:F550"/>
    <mergeCell ref="D551:E551"/>
    <mergeCell ref="E552:F552"/>
    <mergeCell ref="D553:E553"/>
    <mergeCell ref="E554:F554"/>
    <mergeCell ref="D555:E555"/>
    <mergeCell ref="E544:F544"/>
    <mergeCell ref="D545:E545"/>
    <mergeCell ref="E546:F546"/>
    <mergeCell ref="D547:E547"/>
    <mergeCell ref="E548:F548"/>
    <mergeCell ref="D549:E549"/>
    <mergeCell ref="E562:F562"/>
    <mergeCell ref="D563:E563"/>
    <mergeCell ref="E564:F564"/>
    <mergeCell ref="D565:E565"/>
    <mergeCell ref="E566:F566"/>
    <mergeCell ref="D567:E567"/>
    <mergeCell ref="E556:F556"/>
    <mergeCell ref="D557:E557"/>
    <mergeCell ref="E558:F558"/>
    <mergeCell ref="D559:E559"/>
    <mergeCell ref="E560:F560"/>
    <mergeCell ref="D561:E561"/>
    <mergeCell ref="E574:F574"/>
    <mergeCell ref="D575:E575"/>
    <mergeCell ref="E576:F576"/>
    <mergeCell ref="D577:E577"/>
    <mergeCell ref="E578:F578"/>
    <mergeCell ref="D579:E579"/>
    <mergeCell ref="E568:F568"/>
    <mergeCell ref="D569:E569"/>
    <mergeCell ref="E570:F570"/>
    <mergeCell ref="D571:E571"/>
    <mergeCell ref="E572:F572"/>
    <mergeCell ref="D573:E573"/>
    <mergeCell ref="E586:F586"/>
    <mergeCell ref="D587:E587"/>
    <mergeCell ref="E588:F588"/>
    <mergeCell ref="D589:E589"/>
    <mergeCell ref="E590:F590"/>
    <mergeCell ref="D591:E591"/>
    <mergeCell ref="E580:F580"/>
    <mergeCell ref="D581:E581"/>
    <mergeCell ref="E582:F582"/>
    <mergeCell ref="D583:E583"/>
    <mergeCell ref="E584:F584"/>
    <mergeCell ref="D585:E585"/>
    <mergeCell ref="E598:F598"/>
    <mergeCell ref="D599:E599"/>
    <mergeCell ref="E600:F600"/>
    <mergeCell ref="A603:G603"/>
    <mergeCell ref="E592:F592"/>
    <mergeCell ref="D593:E593"/>
    <mergeCell ref="E594:F594"/>
    <mergeCell ref="D595:E595"/>
    <mergeCell ref="E596:F596"/>
    <mergeCell ref="D597:E59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96"/>
  <sheetViews>
    <sheetView workbookViewId="0">
      <pane ySplit="11" topLeftCell="A78" activePane="bottomLeft" state="frozen"/>
      <selection activeCell="A96" sqref="A96:K96"/>
      <selection pane="bottomLeft" activeCell="F103" sqref="F103"/>
    </sheetView>
  </sheetViews>
  <sheetFormatPr defaultColWidth="12.140625" defaultRowHeight="15" customHeight="1" x14ac:dyDescent="0.25"/>
  <cols>
    <col min="1" max="1" width="4" style="109" customWidth="1"/>
    <col min="2" max="2" width="17.85546875" style="109" customWidth="1"/>
    <col min="3" max="3" width="42.85546875" style="109" customWidth="1"/>
    <col min="4" max="4" width="35.7109375" style="109" customWidth="1"/>
    <col min="5" max="5" width="6.7109375" style="109" customWidth="1"/>
    <col min="6" max="6" width="12.85546875" style="109" customWidth="1"/>
    <col min="7" max="7" width="12" style="109" customWidth="1"/>
    <col min="8" max="10" width="15.7109375" style="109" customWidth="1"/>
    <col min="11" max="11" width="13.42578125" style="109" customWidth="1"/>
    <col min="12" max="75" width="12.140625" style="109"/>
    <col min="76" max="76" width="78.5703125" style="109" hidden="1" customWidth="1"/>
    <col min="77" max="16384" width="12.140625" style="109"/>
  </cols>
  <sheetData>
    <row r="1" spans="1:76" ht="54.75" customHeight="1" x14ac:dyDescent="0.25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AS1" s="110">
        <f>SUM(AJ1:AJ2)</f>
        <v>0</v>
      </c>
      <c r="AT1" s="110">
        <f>SUM(AK1:AK2)</f>
        <v>0</v>
      </c>
      <c r="AU1" s="110">
        <f>SUM(AL1:AL2)</f>
        <v>0</v>
      </c>
    </row>
    <row r="2" spans="1:76" x14ac:dyDescent="0.25">
      <c r="A2" s="290" t="s">
        <v>1</v>
      </c>
      <c r="B2" s="291"/>
      <c r="C2" s="292" t="s">
        <v>2</v>
      </c>
      <c r="D2" s="293"/>
      <c r="E2" s="291" t="s">
        <v>3</v>
      </c>
      <c r="F2" s="291"/>
      <c r="G2" s="291" t="s">
        <v>4</v>
      </c>
      <c r="H2" s="294" t="s">
        <v>5</v>
      </c>
      <c r="I2" s="294" t="s">
        <v>6</v>
      </c>
      <c r="J2" s="291"/>
      <c r="K2" s="295"/>
    </row>
    <row r="3" spans="1:76" x14ac:dyDescent="0.25">
      <c r="A3" s="287"/>
      <c r="B3" s="271"/>
      <c r="C3" s="276"/>
      <c r="D3" s="276"/>
      <c r="E3" s="271"/>
      <c r="F3" s="271"/>
      <c r="G3" s="271"/>
      <c r="H3" s="271"/>
      <c r="I3" s="271"/>
      <c r="J3" s="271"/>
      <c r="K3" s="288"/>
    </row>
    <row r="4" spans="1:76" x14ac:dyDescent="0.25">
      <c r="A4" s="286" t="s">
        <v>7</v>
      </c>
      <c r="B4" s="271"/>
      <c r="C4" s="270" t="s">
        <v>1223</v>
      </c>
      <c r="D4" s="271"/>
      <c r="E4" s="271" t="s">
        <v>8</v>
      </c>
      <c r="F4" s="271"/>
      <c r="G4" s="271" t="s">
        <v>695</v>
      </c>
      <c r="H4" s="270" t="s">
        <v>10</v>
      </c>
      <c r="I4" s="270" t="s">
        <v>696</v>
      </c>
      <c r="J4" s="271"/>
      <c r="K4" s="288"/>
    </row>
    <row r="5" spans="1:76" x14ac:dyDescent="0.25">
      <c r="A5" s="287"/>
      <c r="B5" s="271"/>
      <c r="C5" s="271"/>
      <c r="D5" s="271"/>
      <c r="E5" s="271"/>
      <c r="F5" s="271"/>
      <c r="G5" s="271"/>
      <c r="H5" s="271"/>
      <c r="I5" s="271"/>
      <c r="J5" s="271"/>
      <c r="K5" s="288"/>
    </row>
    <row r="6" spans="1:76" x14ac:dyDescent="0.25">
      <c r="A6" s="286" t="s">
        <v>12</v>
      </c>
      <c r="B6" s="271"/>
      <c r="C6" s="270" t="s">
        <v>13</v>
      </c>
      <c r="D6" s="271"/>
      <c r="E6" s="271" t="s">
        <v>14</v>
      </c>
      <c r="F6" s="271"/>
      <c r="G6" s="271" t="s">
        <v>15</v>
      </c>
      <c r="H6" s="270" t="s">
        <v>16</v>
      </c>
      <c r="I6" s="271" t="s">
        <v>697</v>
      </c>
      <c r="J6" s="271"/>
      <c r="K6" s="288"/>
    </row>
    <row r="7" spans="1:76" x14ac:dyDescent="0.25">
      <c r="A7" s="287"/>
      <c r="B7" s="271"/>
      <c r="C7" s="271"/>
      <c r="D7" s="271"/>
      <c r="E7" s="271"/>
      <c r="F7" s="271"/>
      <c r="G7" s="271"/>
      <c r="H7" s="271"/>
      <c r="I7" s="271"/>
      <c r="J7" s="271"/>
      <c r="K7" s="288"/>
    </row>
    <row r="8" spans="1:76" x14ac:dyDescent="0.25">
      <c r="A8" s="286" t="s">
        <v>18</v>
      </c>
      <c r="B8" s="271"/>
      <c r="C8" s="270" t="s">
        <v>698</v>
      </c>
      <c r="D8" s="271"/>
      <c r="E8" s="271" t="s">
        <v>20</v>
      </c>
      <c r="F8" s="271"/>
      <c r="G8" s="271" t="s">
        <v>699</v>
      </c>
      <c r="H8" s="270" t="s">
        <v>22</v>
      </c>
      <c r="I8" s="270" t="s">
        <v>700</v>
      </c>
      <c r="J8" s="271"/>
      <c r="K8" s="288"/>
    </row>
    <row r="9" spans="1:76" ht="15.75" thickBot="1" x14ac:dyDescent="0.3">
      <c r="A9" s="287"/>
      <c r="B9" s="271"/>
      <c r="C9" s="271"/>
      <c r="D9" s="271"/>
      <c r="E9" s="271"/>
      <c r="F9" s="271"/>
      <c r="G9" s="271"/>
      <c r="H9" s="271"/>
      <c r="I9" s="271"/>
      <c r="J9" s="271"/>
      <c r="K9" s="288"/>
    </row>
    <row r="10" spans="1:76" x14ac:dyDescent="0.25">
      <c r="A10" s="111" t="s">
        <v>24</v>
      </c>
      <c r="B10" s="112" t="s">
        <v>25</v>
      </c>
      <c r="C10" s="279" t="s">
        <v>26</v>
      </c>
      <c r="D10" s="280"/>
      <c r="E10" s="112" t="s">
        <v>27</v>
      </c>
      <c r="F10" s="113" t="s">
        <v>28</v>
      </c>
      <c r="G10" s="114" t="s">
        <v>29</v>
      </c>
      <c r="H10" s="281" t="s">
        <v>30</v>
      </c>
      <c r="I10" s="282"/>
      <c r="J10" s="283"/>
      <c r="K10" s="113" t="s">
        <v>31</v>
      </c>
      <c r="BK10" s="115" t="s">
        <v>32</v>
      </c>
      <c r="BL10" s="116" t="s">
        <v>33</v>
      </c>
      <c r="BW10" s="116" t="s">
        <v>34</v>
      </c>
    </row>
    <row r="11" spans="1:76" ht="15.75" thickBot="1" x14ac:dyDescent="0.3">
      <c r="A11" s="117" t="s">
        <v>9</v>
      </c>
      <c r="B11" s="118" t="s">
        <v>9</v>
      </c>
      <c r="C11" s="284" t="s">
        <v>35</v>
      </c>
      <c r="D11" s="285"/>
      <c r="E11" s="118" t="s">
        <v>9</v>
      </c>
      <c r="F11" s="118" t="s">
        <v>9</v>
      </c>
      <c r="G11" s="119" t="s">
        <v>36</v>
      </c>
      <c r="H11" s="120" t="s">
        <v>37</v>
      </c>
      <c r="I11" s="121" t="s">
        <v>38</v>
      </c>
      <c r="J11" s="122" t="s">
        <v>39</v>
      </c>
      <c r="K11" s="121" t="s">
        <v>40</v>
      </c>
      <c r="Z11" s="115" t="s">
        <v>41</v>
      </c>
      <c r="AA11" s="115" t="s">
        <v>42</v>
      </c>
      <c r="AB11" s="115" t="s">
        <v>43</v>
      </c>
      <c r="AC11" s="115" t="s">
        <v>44</v>
      </c>
      <c r="AD11" s="115" t="s">
        <v>45</v>
      </c>
      <c r="AE11" s="115" t="s">
        <v>46</v>
      </c>
      <c r="AF11" s="115" t="s">
        <v>47</v>
      </c>
      <c r="AG11" s="115" t="s">
        <v>48</v>
      </c>
      <c r="AH11" s="115" t="s">
        <v>49</v>
      </c>
      <c r="BH11" s="115" t="s">
        <v>50</v>
      </c>
      <c r="BI11" s="115" t="s">
        <v>51</v>
      </c>
      <c r="BJ11" s="115" t="s">
        <v>52</v>
      </c>
    </row>
    <row r="12" spans="1:76" x14ac:dyDescent="0.25">
      <c r="A12" s="123" t="s">
        <v>53</v>
      </c>
      <c r="B12" s="124" t="s">
        <v>53</v>
      </c>
      <c r="C12" s="272" t="s">
        <v>1224</v>
      </c>
      <c r="D12" s="273"/>
      <c r="E12" s="125" t="s">
        <v>9</v>
      </c>
      <c r="F12" s="125" t="s">
        <v>9</v>
      </c>
      <c r="G12" s="125" t="s">
        <v>9</v>
      </c>
      <c r="H12" s="110">
        <f>H13+H16+H20+H25+H29+H31+H34+H36+H38+H45+H47+H49</f>
        <v>0</v>
      </c>
      <c r="I12" s="110">
        <f>I13+I16+I20+I25+I29+I31+I34+I36+I38+I45+I47+I49</f>
        <v>0</v>
      </c>
      <c r="J12" s="110">
        <f>J13+J16+J20+J25+J29+J31+J34+J36+J38+J45+J47+J49</f>
        <v>0</v>
      </c>
      <c r="K12" s="126" t="s">
        <v>53</v>
      </c>
    </row>
    <row r="13" spans="1:76" x14ac:dyDescent="0.25">
      <c r="A13" s="123" t="s">
        <v>53</v>
      </c>
      <c r="B13" s="124" t="s">
        <v>54</v>
      </c>
      <c r="C13" s="272" t="s">
        <v>55</v>
      </c>
      <c r="D13" s="273"/>
      <c r="E13" s="125" t="s">
        <v>9</v>
      </c>
      <c r="F13" s="125" t="s">
        <v>9</v>
      </c>
      <c r="G13" s="125" t="s">
        <v>9</v>
      </c>
      <c r="H13" s="110">
        <f>SUM(H14:H15)</f>
        <v>0</v>
      </c>
      <c r="I13" s="110">
        <f>SUM(I14:I15)</f>
        <v>0</v>
      </c>
      <c r="J13" s="110">
        <f>SUM(J14:J15)</f>
        <v>0</v>
      </c>
      <c r="K13" s="126" t="s">
        <v>53</v>
      </c>
      <c r="AI13" s="115" t="s">
        <v>1225</v>
      </c>
      <c r="AS13" s="110">
        <f>SUM(AJ14:AJ15)</f>
        <v>0</v>
      </c>
      <c r="AT13" s="110">
        <f>SUM(AK14:AK15)</f>
        <v>0</v>
      </c>
      <c r="AU13" s="110">
        <f>SUM(AL14:AL15)</f>
        <v>0</v>
      </c>
    </row>
    <row r="14" spans="1:76" x14ac:dyDescent="0.25">
      <c r="A14" s="134" t="s">
        <v>56</v>
      </c>
      <c r="B14" s="135" t="s">
        <v>703</v>
      </c>
      <c r="C14" s="270" t="s">
        <v>704</v>
      </c>
      <c r="D14" s="271"/>
      <c r="E14" s="135" t="s">
        <v>705</v>
      </c>
      <c r="F14" s="131">
        <v>8</v>
      </c>
      <c r="G14" s="179">
        <v>0</v>
      </c>
      <c r="H14" s="131">
        <f>F14*AO14</f>
        <v>0</v>
      </c>
      <c r="I14" s="131">
        <f>F14*AP14</f>
        <v>0</v>
      </c>
      <c r="J14" s="131">
        <f>F14*G14</f>
        <v>0</v>
      </c>
      <c r="K14" s="136" t="s">
        <v>60</v>
      </c>
      <c r="Z14" s="131">
        <f>IF(AQ14="5",BJ14,0)</f>
        <v>0</v>
      </c>
      <c r="AB14" s="131">
        <f>IF(AQ14="1",BH14,0)</f>
        <v>0</v>
      </c>
      <c r="AC14" s="131">
        <f>IF(AQ14="1",BI14,0)</f>
        <v>0</v>
      </c>
      <c r="AD14" s="131">
        <f>IF(AQ14="7",BH14,0)</f>
        <v>0</v>
      </c>
      <c r="AE14" s="131">
        <f>IF(AQ14="7",BI14,0)</f>
        <v>0</v>
      </c>
      <c r="AF14" s="131">
        <f>IF(AQ14="2",BH14,0)</f>
        <v>0</v>
      </c>
      <c r="AG14" s="131">
        <f>IF(AQ14="2",BI14,0)</f>
        <v>0</v>
      </c>
      <c r="AH14" s="131">
        <f>IF(AQ14="0",BJ14,0)</f>
        <v>0</v>
      </c>
      <c r="AI14" s="115" t="s">
        <v>1225</v>
      </c>
      <c r="AJ14" s="131">
        <f>IF(AN14=0,J14,0)</f>
        <v>0</v>
      </c>
      <c r="AK14" s="131">
        <f>IF(AN14=12,J14,0)</f>
        <v>0</v>
      </c>
      <c r="AL14" s="131">
        <f>IF(AN14=21,J14,0)</f>
        <v>0</v>
      </c>
      <c r="AN14" s="131">
        <v>21</v>
      </c>
      <c r="AO14" s="131">
        <f>G14*0</f>
        <v>0</v>
      </c>
      <c r="AP14" s="131">
        <f>G14*(1-0)</f>
        <v>0</v>
      </c>
      <c r="AQ14" s="132" t="s">
        <v>56</v>
      </c>
      <c r="AV14" s="131">
        <f>AW14+AX14</f>
        <v>0</v>
      </c>
      <c r="AW14" s="131">
        <f>F14*AO14</f>
        <v>0</v>
      </c>
      <c r="AX14" s="131">
        <f>F14*AP14</f>
        <v>0</v>
      </c>
      <c r="AY14" s="132" t="s">
        <v>61</v>
      </c>
      <c r="AZ14" s="132" t="s">
        <v>1226</v>
      </c>
      <c r="BA14" s="115" t="s">
        <v>1227</v>
      </c>
      <c r="BC14" s="131">
        <f>AW14+AX14</f>
        <v>0</v>
      </c>
      <c r="BD14" s="131">
        <f>G14/(100-BE14)*100</f>
        <v>0</v>
      </c>
      <c r="BE14" s="131">
        <v>0</v>
      </c>
      <c r="BF14" s="131">
        <f>14</f>
        <v>14</v>
      </c>
      <c r="BH14" s="131">
        <f>F14*AO14</f>
        <v>0</v>
      </c>
      <c r="BI14" s="131">
        <f>F14*AP14</f>
        <v>0</v>
      </c>
      <c r="BJ14" s="131">
        <f>F14*G14</f>
        <v>0</v>
      </c>
      <c r="BK14" s="131"/>
      <c r="BL14" s="131">
        <v>11</v>
      </c>
      <c r="BW14" s="131">
        <v>21</v>
      </c>
      <c r="BX14" s="133" t="s">
        <v>704</v>
      </c>
    </row>
    <row r="15" spans="1:76" x14ac:dyDescent="0.25">
      <c r="A15" s="134" t="s">
        <v>64</v>
      </c>
      <c r="B15" s="135" t="s">
        <v>1228</v>
      </c>
      <c r="C15" s="270" t="s">
        <v>1229</v>
      </c>
      <c r="D15" s="271"/>
      <c r="E15" s="135" t="s">
        <v>67</v>
      </c>
      <c r="F15" s="131">
        <v>9</v>
      </c>
      <c r="G15" s="179">
        <v>0</v>
      </c>
      <c r="H15" s="131">
        <f>F15*AO15</f>
        <v>0</v>
      </c>
      <c r="I15" s="131">
        <f>F15*AP15</f>
        <v>0</v>
      </c>
      <c r="J15" s="131">
        <f>F15*G15</f>
        <v>0</v>
      </c>
      <c r="K15" s="136" t="s">
        <v>60</v>
      </c>
      <c r="Z15" s="131">
        <f>IF(AQ15="5",BJ15,0)</f>
        <v>0</v>
      </c>
      <c r="AB15" s="131">
        <f>IF(AQ15="1",BH15,0)</f>
        <v>0</v>
      </c>
      <c r="AC15" s="131">
        <f>IF(AQ15="1",BI15,0)</f>
        <v>0</v>
      </c>
      <c r="AD15" s="131">
        <f>IF(AQ15="7",BH15,0)</f>
        <v>0</v>
      </c>
      <c r="AE15" s="131">
        <f>IF(AQ15="7",BI15,0)</f>
        <v>0</v>
      </c>
      <c r="AF15" s="131">
        <f>IF(AQ15="2",BH15,0)</f>
        <v>0</v>
      </c>
      <c r="AG15" s="131">
        <f>IF(AQ15="2",BI15,0)</f>
        <v>0</v>
      </c>
      <c r="AH15" s="131">
        <f>IF(AQ15="0",BJ15,0)</f>
        <v>0</v>
      </c>
      <c r="AI15" s="115" t="s">
        <v>1225</v>
      </c>
      <c r="AJ15" s="131">
        <f>IF(AN15=0,J15,0)</f>
        <v>0</v>
      </c>
      <c r="AK15" s="131">
        <f>IF(AN15=12,J15,0)</f>
        <v>0</v>
      </c>
      <c r="AL15" s="131">
        <f>IF(AN15=21,J15,0)</f>
        <v>0</v>
      </c>
      <c r="AN15" s="131">
        <v>21</v>
      </c>
      <c r="AO15" s="131">
        <f>G15*0.257169811</f>
        <v>0</v>
      </c>
      <c r="AP15" s="131">
        <f>G15*(1-0.257169811)</f>
        <v>0</v>
      </c>
      <c r="AQ15" s="132" t="s">
        <v>56</v>
      </c>
      <c r="AV15" s="131">
        <f>AW15+AX15</f>
        <v>0</v>
      </c>
      <c r="AW15" s="131">
        <f>F15*AO15</f>
        <v>0</v>
      </c>
      <c r="AX15" s="131">
        <f>F15*AP15</f>
        <v>0</v>
      </c>
      <c r="AY15" s="132" t="s">
        <v>61</v>
      </c>
      <c r="AZ15" s="132" t="s">
        <v>1226</v>
      </c>
      <c r="BA15" s="115" t="s">
        <v>1227</v>
      </c>
      <c r="BC15" s="131">
        <f>AW15+AX15</f>
        <v>0</v>
      </c>
      <c r="BD15" s="131">
        <f>G15/(100-BE15)*100</f>
        <v>0</v>
      </c>
      <c r="BE15" s="131">
        <v>0</v>
      </c>
      <c r="BF15" s="131">
        <f>15</f>
        <v>15</v>
      </c>
      <c r="BH15" s="131">
        <f>F15*AO15</f>
        <v>0</v>
      </c>
      <c r="BI15" s="131">
        <f>F15*AP15</f>
        <v>0</v>
      </c>
      <c r="BJ15" s="131">
        <f>F15*G15</f>
        <v>0</v>
      </c>
      <c r="BK15" s="131"/>
      <c r="BL15" s="131">
        <v>11</v>
      </c>
      <c r="BW15" s="131">
        <v>21</v>
      </c>
      <c r="BX15" s="133" t="s">
        <v>1229</v>
      </c>
    </row>
    <row r="16" spans="1:76" x14ac:dyDescent="0.25">
      <c r="A16" s="123" t="s">
        <v>53</v>
      </c>
      <c r="B16" s="124" t="s">
        <v>96</v>
      </c>
      <c r="C16" s="272" t="s">
        <v>97</v>
      </c>
      <c r="D16" s="273"/>
      <c r="E16" s="125" t="s">
        <v>9</v>
      </c>
      <c r="F16" s="125" t="s">
        <v>9</v>
      </c>
      <c r="G16" s="125" t="s">
        <v>9</v>
      </c>
      <c r="H16" s="110">
        <f>SUM(H17:H19)</f>
        <v>0</v>
      </c>
      <c r="I16" s="110">
        <f>SUM(I17:I19)</f>
        <v>0</v>
      </c>
      <c r="J16" s="110">
        <f>SUM(J17:J19)</f>
        <v>0</v>
      </c>
      <c r="K16" s="126" t="s">
        <v>53</v>
      </c>
      <c r="AI16" s="115" t="s">
        <v>1225</v>
      </c>
      <c r="AS16" s="110">
        <f>SUM(AJ17:AJ19)</f>
        <v>0</v>
      </c>
      <c r="AT16" s="110">
        <f>SUM(AK17:AK19)</f>
        <v>0</v>
      </c>
      <c r="AU16" s="110">
        <f>SUM(AL17:AL19)</f>
        <v>0</v>
      </c>
    </row>
    <row r="17" spans="1:76" x14ac:dyDescent="0.25">
      <c r="A17" s="134" t="s">
        <v>68</v>
      </c>
      <c r="B17" s="135" t="s">
        <v>1230</v>
      </c>
      <c r="C17" s="270" t="s">
        <v>1231</v>
      </c>
      <c r="D17" s="271"/>
      <c r="E17" s="135" t="s">
        <v>79</v>
      </c>
      <c r="F17" s="131">
        <v>6.72</v>
      </c>
      <c r="G17" s="179">
        <v>0</v>
      </c>
      <c r="H17" s="131">
        <f>F17*AO17</f>
        <v>0</v>
      </c>
      <c r="I17" s="131">
        <f>F17*AP17</f>
        <v>0</v>
      </c>
      <c r="J17" s="131">
        <f>F17*G17</f>
        <v>0</v>
      </c>
      <c r="K17" s="136" t="s">
        <v>60</v>
      </c>
      <c r="Z17" s="131">
        <f>IF(AQ17="5",BJ17,0)</f>
        <v>0</v>
      </c>
      <c r="AB17" s="131">
        <f>IF(AQ17="1",BH17,0)</f>
        <v>0</v>
      </c>
      <c r="AC17" s="131">
        <f>IF(AQ17="1",BI17,0)</f>
        <v>0</v>
      </c>
      <c r="AD17" s="131">
        <f>IF(AQ17="7",BH17,0)</f>
        <v>0</v>
      </c>
      <c r="AE17" s="131">
        <f>IF(AQ17="7",BI17,0)</f>
        <v>0</v>
      </c>
      <c r="AF17" s="131">
        <f>IF(AQ17="2",BH17,0)</f>
        <v>0</v>
      </c>
      <c r="AG17" s="131">
        <f>IF(AQ17="2",BI17,0)</f>
        <v>0</v>
      </c>
      <c r="AH17" s="131">
        <f>IF(AQ17="0",BJ17,0)</f>
        <v>0</v>
      </c>
      <c r="AI17" s="115" t="s">
        <v>1225</v>
      </c>
      <c r="AJ17" s="131">
        <f>IF(AN17=0,J17,0)</f>
        <v>0</v>
      </c>
      <c r="AK17" s="131">
        <f>IF(AN17=12,J17,0)</f>
        <v>0</v>
      </c>
      <c r="AL17" s="131">
        <f>IF(AN17=21,J17,0)</f>
        <v>0</v>
      </c>
      <c r="AN17" s="131">
        <v>21</v>
      </c>
      <c r="AO17" s="131">
        <f>G17*0</f>
        <v>0</v>
      </c>
      <c r="AP17" s="131">
        <f>G17*(1-0)</f>
        <v>0</v>
      </c>
      <c r="AQ17" s="132" t="s">
        <v>56</v>
      </c>
      <c r="AV17" s="131">
        <f>AW17+AX17</f>
        <v>0</v>
      </c>
      <c r="AW17" s="131">
        <f>F17*AO17</f>
        <v>0</v>
      </c>
      <c r="AX17" s="131">
        <f>F17*AP17</f>
        <v>0</v>
      </c>
      <c r="AY17" s="132" t="s">
        <v>100</v>
      </c>
      <c r="AZ17" s="132" t="s">
        <v>1226</v>
      </c>
      <c r="BA17" s="115" t="s">
        <v>1227</v>
      </c>
      <c r="BC17" s="131">
        <f>AW17+AX17</f>
        <v>0</v>
      </c>
      <c r="BD17" s="131">
        <f>G17/(100-BE17)*100</f>
        <v>0</v>
      </c>
      <c r="BE17" s="131">
        <v>0</v>
      </c>
      <c r="BF17" s="131">
        <f>17</f>
        <v>17</v>
      </c>
      <c r="BH17" s="131">
        <f>F17*AO17</f>
        <v>0</v>
      </c>
      <c r="BI17" s="131">
        <f>F17*AP17</f>
        <v>0</v>
      </c>
      <c r="BJ17" s="131">
        <f>F17*G17</f>
        <v>0</v>
      </c>
      <c r="BK17" s="131"/>
      <c r="BL17" s="131">
        <v>13</v>
      </c>
      <c r="BW17" s="131">
        <v>21</v>
      </c>
      <c r="BX17" s="133" t="s">
        <v>1231</v>
      </c>
    </row>
    <row r="18" spans="1:76" x14ac:dyDescent="0.25">
      <c r="A18" s="134" t="s">
        <v>71</v>
      </c>
      <c r="B18" s="135" t="s">
        <v>1232</v>
      </c>
      <c r="C18" s="270" t="s">
        <v>1233</v>
      </c>
      <c r="D18" s="271"/>
      <c r="E18" s="135" t="s">
        <v>79</v>
      </c>
      <c r="F18" s="131">
        <v>10.08</v>
      </c>
      <c r="G18" s="179">
        <v>0</v>
      </c>
      <c r="H18" s="131">
        <f>F18*AO18</f>
        <v>0</v>
      </c>
      <c r="I18" s="131">
        <f>F18*AP18</f>
        <v>0</v>
      </c>
      <c r="J18" s="131">
        <f>F18*G18</f>
        <v>0</v>
      </c>
      <c r="K18" s="136" t="s">
        <v>60</v>
      </c>
      <c r="Z18" s="131">
        <f>IF(AQ18="5",BJ18,0)</f>
        <v>0</v>
      </c>
      <c r="AB18" s="131">
        <f>IF(AQ18="1",BH18,0)</f>
        <v>0</v>
      </c>
      <c r="AC18" s="131">
        <f>IF(AQ18="1",BI18,0)</f>
        <v>0</v>
      </c>
      <c r="AD18" s="131">
        <f>IF(AQ18="7",BH18,0)</f>
        <v>0</v>
      </c>
      <c r="AE18" s="131">
        <f>IF(AQ18="7",BI18,0)</f>
        <v>0</v>
      </c>
      <c r="AF18" s="131">
        <f>IF(AQ18="2",BH18,0)</f>
        <v>0</v>
      </c>
      <c r="AG18" s="131">
        <f>IF(AQ18="2",BI18,0)</f>
        <v>0</v>
      </c>
      <c r="AH18" s="131">
        <f>IF(AQ18="0",BJ18,0)</f>
        <v>0</v>
      </c>
      <c r="AI18" s="115" t="s">
        <v>1225</v>
      </c>
      <c r="AJ18" s="131">
        <f>IF(AN18=0,J18,0)</f>
        <v>0</v>
      </c>
      <c r="AK18" s="131">
        <f>IF(AN18=12,J18,0)</f>
        <v>0</v>
      </c>
      <c r="AL18" s="131">
        <f>IF(AN18=21,J18,0)</f>
        <v>0</v>
      </c>
      <c r="AN18" s="131">
        <v>21</v>
      </c>
      <c r="AO18" s="131">
        <f>G18*0</f>
        <v>0</v>
      </c>
      <c r="AP18" s="131">
        <f>G18*(1-0)</f>
        <v>0</v>
      </c>
      <c r="AQ18" s="132" t="s">
        <v>56</v>
      </c>
      <c r="AV18" s="131">
        <f>AW18+AX18</f>
        <v>0</v>
      </c>
      <c r="AW18" s="131">
        <f>F18*AO18</f>
        <v>0</v>
      </c>
      <c r="AX18" s="131">
        <f>F18*AP18</f>
        <v>0</v>
      </c>
      <c r="AY18" s="132" t="s">
        <v>100</v>
      </c>
      <c r="AZ18" s="132" t="s">
        <v>1226</v>
      </c>
      <c r="BA18" s="115" t="s">
        <v>1227</v>
      </c>
      <c r="BC18" s="131">
        <f>AW18+AX18</f>
        <v>0</v>
      </c>
      <c r="BD18" s="131">
        <f>G18/(100-BE18)*100</f>
        <v>0</v>
      </c>
      <c r="BE18" s="131">
        <v>0</v>
      </c>
      <c r="BF18" s="131">
        <f>18</f>
        <v>18</v>
      </c>
      <c r="BH18" s="131">
        <f>F18*AO18</f>
        <v>0</v>
      </c>
      <c r="BI18" s="131">
        <f>F18*AP18</f>
        <v>0</v>
      </c>
      <c r="BJ18" s="131">
        <f>F18*G18</f>
        <v>0</v>
      </c>
      <c r="BK18" s="131"/>
      <c r="BL18" s="131">
        <v>13</v>
      </c>
      <c r="BW18" s="131">
        <v>21</v>
      </c>
      <c r="BX18" s="133" t="s">
        <v>1233</v>
      </c>
    </row>
    <row r="19" spans="1:76" x14ac:dyDescent="0.25">
      <c r="A19" s="134" t="s">
        <v>76</v>
      </c>
      <c r="B19" s="135" t="s">
        <v>98</v>
      </c>
      <c r="C19" s="270" t="s">
        <v>99</v>
      </c>
      <c r="D19" s="271"/>
      <c r="E19" s="135" t="s">
        <v>79</v>
      </c>
      <c r="F19" s="131">
        <v>7.2</v>
      </c>
      <c r="G19" s="179">
        <v>0</v>
      </c>
      <c r="H19" s="131">
        <f>F19*AO19</f>
        <v>0</v>
      </c>
      <c r="I19" s="131">
        <f>F19*AP19</f>
        <v>0</v>
      </c>
      <c r="J19" s="131">
        <f>F19*G19</f>
        <v>0</v>
      </c>
      <c r="K19" s="136" t="s">
        <v>60</v>
      </c>
      <c r="Z19" s="131">
        <f>IF(AQ19="5",BJ19,0)</f>
        <v>0</v>
      </c>
      <c r="AB19" s="131">
        <f>IF(AQ19="1",BH19,0)</f>
        <v>0</v>
      </c>
      <c r="AC19" s="131">
        <f>IF(AQ19="1",BI19,0)</f>
        <v>0</v>
      </c>
      <c r="AD19" s="131">
        <f>IF(AQ19="7",BH19,0)</f>
        <v>0</v>
      </c>
      <c r="AE19" s="131">
        <f>IF(AQ19="7",BI19,0)</f>
        <v>0</v>
      </c>
      <c r="AF19" s="131">
        <f>IF(AQ19="2",BH19,0)</f>
        <v>0</v>
      </c>
      <c r="AG19" s="131">
        <f>IF(AQ19="2",BI19,0)</f>
        <v>0</v>
      </c>
      <c r="AH19" s="131">
        <f>IF(AQ19="0",BJ19,0)</f>
        <v>0</v>
      </c>
      <c r="AI19" s="115" t="s">
        <v>1225</v>
      </c>
      <c r="AJ19" s="131">
        <f>IF(AN19=0,J19,0)</f>
        <v>0</v>
      </c>
      <c r="AK19" s="131">
        <f>IF(AN19=12,J19,0)</f>
        <v>0</v>
      </c>
      <c r="AL19" s="131">
        <f>IF(AN19=21,J19,0)</f>
        <v>0</v>
      </c>
      <c r="AN19" s="131">
        <v>21</v>
      </c>
      <c r="AO19" s="131">
        <f>G19*0</f>
        <v>0</v>
      </c>
      <c r="AP19" s="131">
        <f>G19*(1-0)</f>
        <v>0</v>
      </c>
      <c r="AQ19" s="132" t="s">
        <v>56</v>
      </c>
      <c r="AV19" s="131">
        <f>AW19+AX19</f>
        <v>0</v>
      </c>
      <c r="AW19" s="131">
        <f>F19*AO19</f>
        <v>0</v>
      </c>
      <c r="AX19" s="131">
        <f>F19*AP19</f>
        <v>0</v>
      </c>
      <c r="AY19" s="132" t="s">
        <v>100</v>
      </c>
      <c r="AZ19" s="132" t="s">
        <v>1226</v>
      </c>
      <c r="BA19" s="115" t="s">
        <v>1227</v>
      </c>
      <c r="BC19" s="131">
        <f>AW19+AX19</f>
        <v>0</v>
      </c>
      <c r="BD19" s="131">
        <f>G19/(100-BE19)*100</f>
        <v>0</v>
      </c>
      <c r="BE19" s="131">
        <v>0</v>
      </c>
      <c r="BF19" s="131">
        <f>19</f>
        <v>19</v>
      </c>
      <c r="BH19" s="131">
        <f>F19*AO19</f>
        <v>0</v>
      </c>
      <c r="BI19" s="131">
        <f>F19*AP19</f>
        <v>0</v>
      </c>
      <c r="BJ19" s="131">
        <f>F19*G19</f>
        <v>0</v>
      </c>
      <c r="BK19" s="131"/>
      <c r="BL19" s="131">
        <v>13</v>
      </c>
      <c r="BW19" s="131">
        <v>21</v>
      </c>
      <c r="BX19" s="133" t="s">
        <v>99</v>
      </c>
    </row>
    <row r="20" spans="1:76" x14ac:dyDescent="0.25">
      <c r="A20" s="123" t="s">
        <v>53</v>
      </c>
      <c r="B20" s="124" t="s">
        <v>101</v>
      </c>
      <c r="C20" s="272" t="s">
        <v>102</v>
      </c>
      <c r="D20" s="273"/>
      <c r="E20" s="125" t="s">
        <v>9</v>
      </c>
      <c r="F20" s="125" t="s">
        <v>9</v>
      </c>
      <c r="G20" s="125" t="s">
        <v>9</v>
      </c>
      <c r="H20" s="110">
        <f>SUM(H21:H24)</f>
        <v>0</v>
      </c>
      <c r="I20" s="110">
        <f>SUM(I21:I24)</f>
        <v>0</v>
      </c>
      <c r="J20" s="110">
        <f>SUM(J21:J24)</f>
        <v>0</v>
      </c>
      <c r="K20" s="126" t="s">
        <v>53</v>
      </c>
      <c r="AI20" s="115" t="s">
        <v>1225</v>
      </c>
      <c r="AS20" s="110">
        <f>SUM(AJ21:AJ24)</f>
        <v>0</v>
      </c>
      <c r="AT20" s="110">
        <f>SUM(AK21:AK24)</f>
        <v>0</v>
      </c>
      <c r="AU20" s="110">
        <f>SUM(AL21:AL24)</f>
        <v>0</v>
      </c>
    </row>
    <row r="21" spans="1:76" x14ac:dyDescent="0.25">
      <c r="A21" s="134" t="s">
        <v>81</v>
      </c>
      <c r="B21" s="135" t="s">
        <v>921</v>
      </c>
      <c r="C21" s="270" t="s">
        <v>922</v>
      </c>
      <c r="D21" s="271"/>
      <c r="E21" s="135" t="s">
        <v>79</v>
      </c>
      <c r="F21" s="131">
        <v>7.2</v>
      </c>
      <c r="G21" s="179">
        <v>0</v>
      </c>
      <c r="H21" s="131">
        <f>F21*AO21</f>
        <v>0</v>
      </c>
      <c r="I21" s="131">
        <f>F21*AP21</f>
        <v>0</v>
      </c>
      <c r="J21" s="131">
        <f>F21*G21</f>
        <v>0</v>
      </c>
      <c r="K21" s="136" t="s">
        <v>60</v>
      </c>
      <c r="Z21" s="131">
        <f>IF(AQ21="5",BJ21,0)</f>
        <v>0</v>
      </c>
      <c r="AB21" s="131">
        <f>IF(AQ21="1",BH21,0)</f>
        <v>0</v>
      </c>
      <c r="AC21" s="131">
        <f>IF(AQ21="1",BI21,0)</f>
        <v>0</v>
      </c>
      <c r="AD21" s="131">
        <f>IF(AQ21="7",BH21,0)</f>
        <v>0</v>
      </c>
      <c r="AE21" s="131">
        <f>IF(AQ21="7",BI21,0)</f>
        <v>0</v>
      </c>
      <c r="AF21" s="131">
        <f>IF(AQ21="2",BH21,0)</f>
        <v>0</v>
      </c>
      <c r="AG21" s="131">
        <f>IF(AQ21="2",BI21,0)</f>
        <v>0</v>
      </c>
      <c r="AH21" s="131">
        <f>IF(AQ21="0",BJ21,0)</f>
        <v>0</v>
      </c>
      <c r="AI21" s="115" t="s">
        <v>1225</v>
      </c>
      <c r="AJ21" s="131">
        <f>IF(AN21=0,J21,0)</f>
        <v>0</v>
      </c>
      <c r="AK21" s="131">
        <f>IF(AN21=12,J21,0)</f>
        <v>0</v>
      </c>
      <c r="AL21" s="131">
        <f>IF(AN21=21,J21,0)</f>
        <v>0</v>
      </c>
      <c r="AN21" s="131">
        <v>21</v>
      </c>
      <c r="AO21" s="131">
        <f>G21*0</f>
        <v>0</v>
      </c>
      <c r="AP21" s="131">
        <f>G21*(1-0)</f>
        <v>0</v>
      </c>
      <c r="AQ21" s="132" t="s">
        <v>56</v>
      </c>
      <c r="AV21" s="131">
        <f>AW21+AX21</f>
        <v>0</v>
      </c>
      <c r="AW21" s="131">
        <f>F21*AO21</f>
        <v>0</v>
      </c>
      <c r="AX21" s="131">
        <f>F21*AP21</f>
        <v>0</v>
      </c>
      <c r="AY21" s="132" t="s">
        <v>105</v>
      </c>
      <c r="AZ21" s="132" t="s">
        <v>1226</v>
      </c>
      <c r="BA21" s="115" t="s">
        <v>1227</v>
      </c>
      <c r="BC21" s="131">
        <f>AW21+AX21</f>
        <v>0</v>
      </c>
      <c r="BD21" s="131">
        <f>G21/(100-BE21)*100</f>
        <v>0</v>
      </c>
      <c r="BE21" s="131">
        <v>0</v>
      </c>
      <c r="BF21" s="131">
        <f>21</f>
        <v>21</v>
      </c>
      <c r="BH21" s="131">
        <f>F21*AO21</f>
        <v>0</v>
      </c>
      <c r="BI21" s="131">
        <f>F21*AP21</f>
        <v>0</v>
      </c>
      <c r="BJ21" s="131">
        <f>F21*G21</f>
        <v>0</v>
      </c>
      <c r="BK21" s="131"/>
      <c r="BL21" s="131">
        <v>16</v>
      </c>
      <c r="BW21" s="131">
        <v>21</v>
      </c>
      <c r="BX21" s="133" t="s">
        <v>922</v>
      </c>
    </row>
    <row r="22" spans="1:76" x14ac:dyDescent="0.25">
      <c r="A22" s="134" t="s">
        <v>84</v>
      </c>
      <c r="B22" s="135" t="s">
        <v>114</v>
      </c>
      <c r="C22" s="270" t="s">
        <v>785</v>
      </c>
      <c r="D22" s="271"/>
      <c r="E22" s="135" t="s">
        <v>79</v>
      </c>
      <c r="F22" s="131">
        <v>4.08</v>
      </c>
      <c r="G22" s="179">
        <v>0</v>
      </c>
      <c r="H22" s="131">
        <f>F22*AO22</f>
        <v>0</v>
      </c>
      <c r="I22" s="131">
        <f>F22*AP22</f>
        <v>0</v>
      </c>
      <c r="J22" s="131">
        <f>F22*G22</f>
        <v>0</v>
      </c>
      <c r="K22" s="136" t="s">
        <v>60</v>
      </c>
      <c r="Z22" s="131">
        <f>IF(AQ22="5",BJ22,0)</f>
        <v>0</v>
      </c>
      <c r="AB22" s="131">
        <f>IF(AQ22="1",BH22,0)</f>
        <v>0</v>
      </c>
      <c r="AC22" s="131">
        <f>IF(AQ22="1",BI22,0)</f>
        <v>0</v>
      </c>
      <c r="AD22" s="131">
        <f>IF(AQ22="7",BH22,0)</f>
        <v>0</v>
      </c>
      <c r="AE22" s="131">
        <f>IF(AQ22="7",BI22,0)</f>
        <v>0</v>
      </c>
      <c r="AF22" s="131">
        <f>IF(AQ22="2",BH22,0)</f>
        <v>0</v>
      </c>
      <c r="AG22" s="131">
        <f>IF(AQ22="2",BI22,0)</f>
        <v>0</v>
      </c>
      <c r="AH22" s="131">
        <f>IF(AQ22="0",BJ22,0)</f>
        <v>0</v>
      </c>
      <c r="AI22" s="115" t="s">
        <v>1225</v>
      </c>
      <c r="AJ22" s="131">
        <f>IF(AN22=0,J22,0)</f>
        <v>0</v>
      </c>
      <c r="AK22" s="131">
        <f>IF(AN22=12,J22,0)</f>
        <v>0</v>
      </c>
      <c r="AL22" s="131">
        <f>IF(AN22=21,J22,0)</f>
        <v>0</v>
      </c>
      <c r="AN22" s="131">
        <v>21</v>
      </c>
      <c r="AO22" s="131">
        <f>G22*0</f>
        <v>0</v>
      </c>
      <c r="AP22" s="131">
        <f>G22*(1-0)</f>
        <v>0</v>
      </c>
      <c r="AQ22" s="132" t="s">
        <v>56</v>
      </c>
      <c r="AV22" s="131">
        <f>AW22+AX22</f>
        <v>0</v>
      </c>
      <c r="AW22" s="131">
        <f>F22*AO22</f>
        <v>0</v>
      </c>
      <c r="AX22" s="131">
        <f>F22*AP22</f>
        <v>0</v>
      </c>
      <c r="AY22" s="132" t="s">
        <v>105</v>
      </c>
      <c r="AZ22" s="132" t="s">
        <v>1226</v>
      </c>
      <c r="BA22" s="115" t="s">
        <v>1227</v>
      </c>
      <c r="BC22" s="131">
        <f>AW22+AX22</f>
        <v>0</v>
      </c>
      <c r="BD22" s="131">
        <f>G22/(100-BE22)*100</f>
        <v>0</v>
      </c>
      <c r="BE22" s="131">
        <v>0</v>
      </c>
      <c r="BF22" s="131">
        <f>22</f>
        <v>22</v>
      </c>
      <c r="BH22" s="131">
        <f>F22*AO22</f>
        <v>0</v>
      </c>
      <c r="BI22" s="131">
        <f>F22*AP22</f>
        <v>0</v>
      </c>
      <c r="BJ22" s="131">
        <f>F22*G22</f>
        <v>0</v>
      </c>
      <c r="BK22" s="131"/>
      <c r="BL22" s="131">
        <v>16</v>
      </c>
      <c r="BW22" s="131">
        <v>21</v>
      </c>
      <c r="BX22" s="133" t="s">
        <v>785</v>
      </c>
    </row>
    <row r="23" spans="1:76" x14ac:dyDescent="0.25">
      <c r="A23" s="134" t="s">
        <v>87</v>
      </c>
      <c r="B23" s="135" t="s">
        <v>117</v>
      </c>
      <c r="C23" s="270" t="s">
        <v>118</v>
      </c>
      <c r="D23" s="271"/>
      <c r="E23" s="135" t="s">
        <v>79</v>
      </c>
      <c r="F23" s="131">
        <v>40.799999999999997</v>
      </c>
      <c r="G23" s="179">
        <v>0</v>
      </c>
      <c r="H23" s="131">
        <f>F23*AO23</f>
        <v>0</v>
      </c>
      <c r="I23" s="131">
        <f>F23*AP23</f>
        <v>0</v>
      </c>
      <c r="J23" s="131">
        <f>F23*G23</f>
        <v>0</v>
      </c>
      <c r="K23" s="136" t="s">
        <v>60</v>
      </c>
      <c r="Z23" s="131">
        <f>IF(AQ23="5",BJ23,0)</f>
        <v>0</v>
      </c>
      <c r="AB23" s="131">
        <f>IF(AQ23="1",BH23,0)</f>
        <v>0</v>
      </c>
      <c r="AC23" s="131">
        <f>IF(AQ23="1",BI23,0)</f>
        <v>0</v>
      </c>
      <c r="AD23" s="131">
        <f>IF(AQ23="7",BH23,0)</f>
        <v>0</v>
      </c>
      <c r="AE23" s="131">
        <f>IF(AQ23="7",BI23,0)</f>
        <v>0</v>
      </c>
      <c r="AF23" s="131">
        <f>IF(AQ23="2",BH23,0)</f>
        <v>0</v>
      </c>
      <c r="AG23" s="131">
        <f>IF(AQ23="2",BI23,0)</f>
        <v>0</v>
      </c>
      <c r="AH23" s="131">
        <f>IF(AQ23="0",BJ23,0)</f>
        <v>0</v>
      </c>
      <c r="AI23" s="115" t="s">
        <v>1225</v>
      </c>
      <c r="AJ23" s="131">
        <f>IF(AN23=0,J23,0)</f>
        <v>0</v>
      </c>
      <c r="AK23" s="131">
        <f>IF(AN23=12,J23,0)</f>
        <v>0</v>
      </c>
      <c r="AL23" s="131">
        <f>IF(AN23=21,J23,0)</f>
        <v>0</v>
      </c>
      <c r="AN23" s="131">
        <v>21</v>
      </c>
      <c r="AO23" s="131">
        <f>G23*0</f>
        <v>0</v>
      </c>
      <c r="AP23" s="131">
        <f>G23*(1-0)</f>
        <v>0</v>
      </c>
      <c r="AQ23" s="132" t="s">
        <v>56</v>
      </c>
      <c r="AV23" s="131">
        <f>AW23+AX23</f>
        <v>0</v>
      </c>
      <c r="AW23" s="131">
        <f>F23*AO23</f>
        <v>0</v>
      </c>
      <c r="AX23" s="131">
        <f>F23*AP23</f>
        <v>0</v>
      </c>
      <c r="AY23" s="132" t="s">
        <v>105</v>
      </c>
      <c r="AZ23" s="132" t="s">
        <v>1226</v>
      </c>
      <c r="BA23" s="115" t="s">
        <v>1227</v>
      </c>
      <c r="BC23" s="131">
        <f>AW23+AX23</f>
        <v>0</v>
      </c>
      <c r="BD23" s="131">
        <f>G23/(100-BE23)*100</f>
        <v>0</v>
      </c>
      <c r="BE23" s="131">
        <v>0</v>
      </c>
      <c r="BF23" s="131">
        <f>23</f>
        <v>23</v>
      </c>
      <c r="BH23" s="131">
        <f>F23*AO23</f>
        <v>0</v>
      </c>
      <c r="BI23" s="131">
        <f>F23*AP23</f>
        <v>0</v>
      </c>
      <c r="BJ23" s="131">
        <f>F23*G23</f>
        <v>0</v>
      </c>
      <c r="BK23" s="131"/>
      <c r="BL23" s="131">
        <v>16</v>
      </c>
      <c r="BW23" s="131">
        <v>21</v>
      </c>
      <c r="BX23" s="133" t="s">
        <v>118</v>
      </c>
    </row>
    <row r="24" spans="1:76" x14ac:dyDescent="0.25">
      <c r="A24" s="134" t="s">
        <v>90</v>
      </c>
      <c r="B24" s="135" t="s">
        <v>120</v>
      </c>
      <c r="C24" s="270" t="s">
        <v>121</v>
      </c>
      <c r="D24" s="271"/>
      <c r="E24" s="135" t="s">
        <v>122</v>
      </c>
      <c r="F24" s="131">
        <v>7.34</v>
      </c>
      <c r="G24" s="179">
        <v>0</v>
      </c>
      <c r="H24" s="131">
        <f>F24*AO24</f>
        <v>0</v>
      </c>
      <c r="I24" s="131">
        <f>F24*AP24</f>
        <v>0</v>
      </c>
      <c r="J24" s="131">
        <f>F24*G24</f>
        <v>0</v>
      </c>
      <c r="K24" s="136" t="s">
        <v>60</v>
      </c>
      <c r="Z24" s="131">
        <f>IF(AQ24="5",BJ24,0)</f>
        <v>0</v>
      </c>
      <c r="AB24" s="131">
        <f>IF(AQ24="1",BH24,0)</f>
        <v>0</v>
      </c>
      <c r="AC24" s="131">
        <f>IF(AQ24="1",BI24,0)</f>
        <v>0</v>
      </c>
      <c r="AD24" s="131">
        <f>IF(AQ24="7",BH24,0)</f>
        <v>0</v>
      </c>
      <c r="AE24" s="131">
        <f>IF(AQ24="7",BI24,0)</f>
        <v>0</v>
      </c>
      <c r="AF24" s="131">
        <f>IF(AQ24="2",BH24,0)</f>
        <v>0</v>
      </c>
      <c r="AG24" s="131">
        <f>IF(AQ24="2",BI24,0)</f>
        <v>0</v>
      </c>
      <c r="AH24" s="131">
        <f>IF(AQ24="0",BJ24,0)</f>
        <v>0</v>
      </c>
      <c r="AI24" s="115" t="s">
        <v>1225</v>
      </c>
      <c r="AJ24" s="131">
        <f>IF(AN24=0,J24,0)</f>
        <v>0</v>
      </c>
      <c r="AK24" s="131">
        <f>IF(AN24=12,J24,0)</f>
        <v>0</v>
      </c>
      <c r="AL24" s="131">
        <f>IF(AN24=21,J24,0)</f>
        <v>0</v>
      </c>
      <c r="AN24" s="131">
        <v>21</v>
      </c>
      <c r="AO24" s="131">
        <f>G24*0</f>
        <v>0</v>
      </c>
      <c r="AP24" s="131">
        <f>G24*(1-0)</f>
        <v>0</v>
      </c>
      <c r="AQ24" s="132" t="s">
        <v>56</v>
      </c>
      <c r="AV24" s="131">
        <f>AW24+AX24</f>
        <v>0</v>
      </c>
      <c r="AW24" s="131">
        <f>F24*AO24</f>
        <v>0</v>
      </c>
      <c r="AX24" s="131">
        <f>F24*AP24</f>
        <v>0</v>
      </c>
      <c r="AY24" s="132" t="s">
        <v>105</v>
      </c>
      <c r="AZ24" s="132" t="s">
        <v>1226</v>
      </c>
      <c r="BA24" s="115" t="s">
        <v>1227</v>
      </c>
      <c r="BC24" s="131">
        <f>AW24+AX24</f>
        <v>0</v>
      </c>
      <c r="BD24" s="131">
        <f>G24/(100-BE24)*100</f>
        <v>0</v>
      </c>
      <c r="BE24" s="131">
        <v>0</v>
      </c>
      <c r="BF24" s="131">
        <f>24</f>
        <v>24</v>
      </c>
      <c r="BH24" s="131">
        <f>F24*AO24</f>
        <v>0</v>
      </c>
      <c r="BI24" s="131">
        <f>F24*AP24</f>
        <v>0</v>
      </c>
      <c r="BJ24" s="131">
        <f>F24*G24</f>
        <v>0</v>
      </c>
      <c r="BK24" s="131"/>
      <c r="BL24" s="131">
        <v>16</v>
      </c>
      <c r="BW24" s="131">
        <v>21</v>
      </c>
      <c r="BX24" s="133" t="s">
        <v>121</v>
      </c>
    </row>
    <row r="25" spans="1:76" x14ac:dyDescent="0.25">
      <c r="A25" s="123" t="s">
        <v>53</v>
      </c>
      <c r="B25" s="124" t="s">
        <v>116</v>
      </c>
      <c r="C25" s="272" t="s">
        <v>123</v>
      </c>
      <c r="D25" s="273"/>
      <c r="E25" s="125" t="s">
        <v>9</v>
      </c>
      <c r="F25" s="125" t="s">
        <v>9</v>
      </c>
      <c r="G25" s="125" t="s">
        <v>9</v>
      </c>
      <c r="H25" s="110">
        <f>SUM(H26:H28)</f>
        <v>0</v>
      </c>
      <c r="I25" s="110">
        <f>SUM(I26:I28)</f>
        <v>0</v>
      </c>
      <c r="J25" s="110">
        <f>SUM(J26:J28)</f>
        <v>0</v>
      </c>
      <c r="K25" s="126" t="s">
        <v>53</v>
      </c>
      <c r="AI25" s="115" t="s">
        <v>1225</v>
      </c>
      <c r="AS25" s="110">
        <f>SUM(AJ26:AJ28)</f>
        <v>0</v>
      </c>
      <c r="AT25" s="110">
        <f>SUM(AK26:AK28)</f>
        <v>0</v>
      </c>
      <c r="AU25" s="110">
        <f>SUM(AL26:AL28)</f>
        <v>0</v>
      </c>
    </row>
    <row r="26" spans="1:76" x14ac:dyDescent="0.25">
      <c r="A26" s="134" t="s">
        <v>93</v>
      </c>
      <c r="B26" s="135" t="s">
        <v>129</v>
      </c>
      <c r="C26" s="270" t="s">
        <v>130</v>
      </c>
      <c r="D26" s="271"/>
      <c r="E26" s="135" t="s">
        <v>79</v>
      </c>
      <c r="F26" s="131">
        <v>12.72</v>
      </c>
      <c r="G26" s="179">
        <v>0</v>
      </c>
      <c r="H26" s="131">
        <f>F26*AO26</f>
        <v>0</v>
      </c>
      <c r="I26" s="131">
        <f>F26*AP26</f>
        <v>0</v>
      </c>
      <c r="J26" s="131">
        <f>F26*G26</f>
        <v>0</v>
      </c>
      <c r="K26" s="136" t="s">
        <v>60</v>
      </c>
      <c r="Z26" s="131">
        <f>IF(AQ26="5",BJ26,0)</f>
        <v>0</v>
      </c>
      <c r="AB26" s="131">
        <f>IF(AQ26="1",BH26,0)</f>
        <v>0</v>
      </c>
      <c r="AC26" s="131">
        <f>IF(AQ26="1",BI26,0)</f>
        <v>0</v>
      </c>
      <c r="AD26" s="131">
        <f>IF(AQ26="7",BH26,0)</f>
        <v>0</v>
      </c>
      <c r="AE26" s="131">
        <f>IF(AQ26="7",BI26,0)</f>
        <v>0</v>
      </c>
      <c r="AF26" s="131">
        <f>IF(AQ26="2",BH26,0)</f>
        <v>0</v>
      </c>
      <c r="AG26" s="131">
        <f>IF(AQ26="2",BI26,0)</f>
        <v>0</v>
      </c>
      <c r="AH26" s="131">
        <f>IF(AQ26="0",BJ26,0)</f>
        <v>0</v>
      </c>
      <c r="AI26" s="115" t="s">
        <v>1225</v>
      </c>
      <c r="AJ26" s="131">
        <f>IF(AN26=0,J26,0)</f>
        <v>0</v>
      </c>
      <c r="AK26" s="131">
        <f>IF(AN26=12,J26,0)</f>
        <v>0</v>
      </c>
      <c r="AL26" s="131">
        <f>IF(AN26=21,J26,0)</f>
        <v>0</v>
      </c>
      <c r="AN26" s="131">
        <v>21</v>
      </c>
      <c r="AO26" s="131">
        <f>G26*0</f>
        <v>0</v>
      </c>
      <c r="AP26" s="131">
        <f>G26*(1-0)</f>
        <v>0</v>
      </c>
      <c r="AQ26" s="132" t="s">
        <v>56</v>
      </c>
      <c r="AV26" s="131">
        <f>AW26+AX26</f>
        <v>0</v>
      </c>
      <c r="AW26" s="131">
        <f>F26*AO26</f>
        <v>0</v>
      </c>
      <c r="AX26" s="131">
        <f>F26*AP26</f>
        <v>0</v>
      </c>
      <c r="AY26" s="132" t="s">
        <v>127</v>
      </c>
      <c r="AZ26" s="132" t="s">
        <v>1226</v>
      </c>
      <c r="BA26" s="115" t="s">
        <v>1227</v>
      </c>
      <c r="BC26" s="131">
        <f>AW26+AX26</f>
        <v>0</v>
      </c>
      <c r="BD26" s="131">
        <f>G26/(100-BE26)*100</f>
        <v>0</v>
      </c>
      <c r="BE26" s="131">
        <v>0</v>
      </c>
      <c r="BF26" s="131">
        <f>26</f>
        <v>26</v>
      </c>
      <c r="BH26" s="131">
        <f>F26*AO26</f>
        <v>0</v>
      </c>
      <c r="BI26" s="131">
        <f>F26*AP26</f>
        <v>0</v>
      </c>
      <c r="BJ26" s="131">
        <f>F26*G26</f>
        <v>0</v>
      </c>
      <c r="BK26" s="131"/>
      <c r="BL26" s="131">
        <v>17</v>
      </c>
      <c r="BW26" s="131">
        <v>21</v>
      </c>
      <c r="BX26" s="133" t="s">
        <v>130</v>
      </c>
    </row>
    <row r="27" spans="1:76" x14ac:dyDescent="0.25">
      <c r="A27" s="134" t="s">
        <v>54</v>
      </c>
      <c r="B27" s="135" t="s">
        <v>786</v>
      </c>
      <c r="C27" s="270" t="s">
        <v>787</v>
      </c>
      <c r="D27" s="271"/>
      <c r="E27" s="135" t="s">
        <v>79</v>
      </c>
      <c r="F27" s="131">
        <v>4.62</v>
      </c>
      <c r="G27" s="179">
        <v>0</v>
      </c>
      <c r="H27" s="131">
        <f>F27*AO27</f>
        <v>0</v>
      </c>
      <c r="I27" s="131">
        <f>F27*AP27</f>
        <v>0</v>
      </c>
      <c r="J27" s="131">
        <f>F27*G27</f>
        <v>0</v>
      </c>
      <c r="K27" s="136" t="s">
        <v>60</v>
      </c>
      <c r="Z27" s="131">
        <f>IF(AQ27="5",BJ27,0)</f>
        <v>0</v>
      </c>
      <c r="AB27" s="131">
        <f>IF(AQ27="1",BH27,0)</f>
        <v>0</v>
      </c>
      <c r="AC27" s="131">
        <f>IF(AQ27="1",BI27,0)</f>
        <v>0</v>
      </c>
      <c r="AD27" s="131">
        <f>IF(AQ27="7",BH27,0)</f>
        <v>0</v>
      </c>
      <c r="AE27" s="131">
        <f>IF(AQ27="7",BI27,0)</f>
        <v>0</v>
      </c>
      <c r="AF27" s="131">
        <f>IF(AQ27="2",BH27,0)</f>
        <v>0</v>
      </c>
      <c r="AG27" s="131">
        <f>IF(AQ27="2",BI27,0)</f>
        <v>0</v>
      </c>
      <c r="AH27" s="131">
        <f>IF(AQ27="0",BJ27,0)</f>
        <v>0</v>
      </c>
      <c r="AI27" s="115" t="s">
        <v>1225</v>
      </c>
      <c r="AJ27" s="131">
        <f>IF(AN27=0,J27,0)</f>
        <v>0</v>
      </c>
      <c r="AK27" s="131">
        <f>IF(AN27=12,J27,0)</f>
        <v>0</v>
      </c>
      <c r="AL27" s="131">
        <f>IF(AN27=21,J27,0)</f>
        <v>0</v>
      </c>
      <c r="AN27" s="131">
        <v>21</v>
      </c>
      <c r="AO27" s="131">
        <f>G27*0</f>
        <v>0</v>
      </c>
      <c r="AP27" s="131">
        <f>G27*(1-0)</f>
        <v>0</v>
      </c>
      <c r="AQ27" s="132" t="s">
        <v>56</v>
      </c>
      <c r="AV27" s="131">
        <f>AW27+AX27</f>
        <v>0</v>
      </c>
      <c r="AW27" s="131">
        <f>F27*AO27</f>
        <v>0</v>
      </c>
      <c r="AX27" s="131">
        <f>F27*AP27</f>
        <v>0</v>
      </c>
      <c r="AY27" s="132" t="s">
        <v>127</v>
      </c>
      <c r="AZ27" s="132" t="s">
        <v>1226</v>
      </c>
      <c r="BA27" s="115" t="s">
        <v>1227</v>
      </c>
      <c r="BC27" s="131">
        <f>AW27+AX27</f>
        <v>0</v>
      </c>
      <c r="BD27" s="131">
        <f>G27/(100-BE27)*100</f>
        <v>0</v>
      </c>
      <c r="BE27" s="131">
        <v>0</v>
      </c>
      <c r="BF27" s="131">
        <f>27</f>
        <v>27</v>
      </c>
      <c r="BH27" s="131">
        <f>F27*AO27</f>
        <v>0</v>
      </c>
      <c r="BI27" s="131">
        <f>F27*AP27</f>
        <v>0</v>
      </c>
      <c r="BJ27" s="131">
        <f>F27*G27</f>
        <v>0</v>
      </c>
      <c r="BK27" s="131"/>
      <c r="BL27" s="131">
        <v>17</v>
      </c>
      <c r="BW27" s="131">
        <v>21</v>
      </c>
      <c r="BX27" s="133" t="s">
        <v>787</v>
      </c>
    </row>
    <row r="28" spans="1:76" x14ac:dyDescent="0.25">
      <c r="A28" s="134" t="s">
        <v>74</v>
      </c>
      <c r="B28" s="135" t="s">
        <v>788</v>
      </c>
      <c r="C28" s="270" t="s">
        <v>789</v>
      </c>
      <c r="D28" s="271"/>
      <c r="E28" s="135" t="s">
        <v>79</v>
      </c>
      <c r="F28" s="131">
        <v>4.08</v>
      </c>
      <c r="G28" s="179">
        <v>0</v>
      </c>
      <c r="H28" s="131">
        <f>F28*AO28</f>
        <v>0</v>
      </c>
      <c r="I28" s="131">
        <f>F28*AP28</f>
        <v>0</v>
      </c>
      <c r="J28" s="131">
        <f>F28*G28</f>
        <v>0</v>
      </c>
      <c r="K28" s="136" t="s">
        <v>60</v>
      </c>
      <c r="Z28" s="131">
        <f>IF(AQ28="5",BJ28,0)</f>
        <v>0</v>
      </c>
      <c r="AB28" s="131">
        <f>IF(AQ28="1",BH28,0)</f>
        <v>0</v>
      </c>
      <c r="AC28" s="131">
        <f>IF(AQ28="1",BI28,0)</f>
        <v>0</v>
      </c>
      <c r="AD28" s="131">
        <f>IF(AQ28="7",BH28,0)</f>
        <v>0</v>
      </c>
      <c r="AE28" s="131">
        <f>IF(AQ28="7",BI28,0)</f>
        <v>0</v>
      </c>
      <c r="AF28" s="131">
        <f>IF(AQ28="2",BH28,0)</f>
        <v>0</v>
      </c>
      <c r="AG28" s="131">
        <f>IF(AQ28="2",BI28,0)</f>
        <v>0</v>
      </c>
      <c r="AH28" s="131">
        <f>IF(AQ28="0",BJ28,0)</f>
        <v>0</v>
      </c>
      <c r="AI28" s="115" t="s">
        <v>1225</v>
      </c>
      <c r="AJ28" s="131">
        <f>IF(AN28=0,J28,0)</f>
        <v>0</v>
      </c>
      <c r="AK28" s="131">
        <f>IF(AN28=12,J28,0)</f>
        <v>0</v>
      </c>
      <c r="AL28" s="131">
        <f>IF(AN28=21,J28,0)</f>
        <v>0</v>
      </c>
      <c r="AN28" s="131">
        <v>21</v>
      </c>
      <c r="AO28" s="131">
        <f>G28*0</f>
        <v>0</v>
      </c>
      <c r="AP28" s="131">
        <f>G28*(1-0)</f>
        <v>0</v>
      </c>
      <c r="AQ28" s="132" t="s">
        <v>56</v>
      </c>
      <c r="AV28" s="131">
        <f>AW28+AX28</f>
        <v>0</v>
      </c>
      <c r="AW28" s="131">
        <f>F28*AO28</f>
        <v>0</v>
      </c>
      <c r="AX28" s="131">
        <f>F28*AP28</f>
        <v>0</v>
      </c>
      <c r="AY28" s="132" t="s">
        <v>127</v>
      </c>
      <c r="AZ28" s="132" t="s">
        <v>1226</v>
      </c>
      <c r="BA28" s="115" t="s">
        <v>1227</v>
      </c>
      <c r="BC28" s="131">
        <f>AW28+AX28</f>
        <v>0</v>
      </c>
      <c r="BD28" s="131">
        <f>G28/(100-BE28)*100</f>
        <v>0</v>
      </c>
      <c r="BE28" s="131">
        <v>0</v>
      </c>
      <c r="BF28" s="131">
        <f>28</f>
        <v>28</v>
      </c>
      <c r="BH28" s="131">
        <f>F28*AO28</f>
        <v>0</v>
      </c>
      <c r="BI28" s="131">
        <f>F28*AP28</f>
        <v>0</v>
      </c>
      <c r="BJ28" s="131">
        <f>F28*G28</f>
        <v>0</v>
      </c>
      <c r="BK28" s="131"/>
      <c r="BL28" s="131">
        <v>17</v>
      </c>
      <c r="BW28" s="131">
        <v>21</v>
      </c>
      <c r="BX28" s="133" t="s">
        <v>789</v>
      </c>
    </row>
    <row r="29" spans="1:76" x14ac:dyDescent="0.25">
      <c r="A29" s="123" t="s">
        <v>53</v>
      </c>
      <c r="B29" s="124" t="s">
        <v>167</v>
      </c>
      <c r="C29" s="272" t="s">
        <v>794</v>
      </c>
      <c r="D29" s="273"/>
      <c r="E29" s="125" t="s">
        <v>9</v>
      </c>
      <c r="F29" s="125" t="s">
        <v>9</v>
      </c>
      <c r="G29" s="125" t="s">
        <v>9</v>
      </c>
      <c r="H29" s="110">
        <f>SUM(H30:H30)</f>
        <v>0</v>
      </c>
      <c r="I29" s="110">
        <f>SUM(I30:I30)</f>
        <v>0</v>
      </c>
      <c r="J29" s="110">
        <f>SUM(J30:J30)</f>
        <v>0</v>
      </c>
      <c r="K29" s="126" t="s">
        <v>53</v>
      </c>
      <c r="AI29" s="115" t="s">
        <v>1225</v>
      </c>
      <c r="AS29" s="110">
        <f>SUM(AJ30:AJ30)</f>
        <v>0</v>
      </c>
      <c r="AT29" s="110">
        <f>SUM(AK30:AK30)</f>
        <v>0</v>
      </c>
      <c r="AU29" s="110">
        <f>SUM(AL30:AL30)</f>
        <v>0</v>
      </c>
    </row>
    <row r="30" spans="1:76" x14ac:dyDescent="0.25">
      <c r="A30" s="134" t="s">
        <v>96</v>
      </c>
      <c r="B30" s="135" t="s">
        <v>795</v>
      </c>
      <c r="C30" s="270" t="s">
        <v>796</v>
      </c>
      <c r="D30" s="271"/>
      <c r="E30" s="135" t="s">
        <v>79</v>
      </c>
      <c r="F30" s="131">
        <v>1.68</v>
      </c>
      <c r="G30" s="179">
        <v>0</v>
      </c>
      <c r="H30" s="131">
        <f>F30*AO30</f>
        <v>0</v>
      </c>
      <c r="I30" s="131">
        <f>F30*AP30</f>
        <v>0</v>
      </c>
      <c r="J30" s="131">
        <f>F30*G30</f>
        <v>0</v>
      </c>
      <c r="K30" s="136" t="s">
        <v>60</v>
      </c>
      <c r="Z30" s="131">
        <f>IF(AQ30="5",BJ30,0)</f>
        <v>0</v>
      </c>
      <c r="AB30" s="131">
        <f>IF(AQ30="1",BH30,0)</f>
        <v>0</v>
      </c>
      <c r="AC30" s="131">
        <f>IF(AQ30="1",BI30,0)</f>
        <v>0</v>
      </c>
      <c r="AD30" s="131">
        <f>IF(AQ30="7",BH30,0)</f>
        <v>0</v>
      </c>
      <c r="AE30" s="131">
        <f>IF(AQ30="7",BI30,0)</f>
        <v>0</v>
      </c>
      <c r="AF30" s="131">
        <f>IF(AQ30="2",BH30,0)</f>
        <v>0</v>
      </c>
      <c r="AG30" s="131">
        <f>IF(AQ30="2",BI30,0)</f>
        <v>0</v>
      </c>
      <c r="AH30" s="131">
        <f>IF(AQ30="0",BJ30,0)</f>
        <v>0</v>
      </c>
      <c r="AI30" s="115" t="s">
        <v>1225</v>
      </c>
      <c r="AJ30" s="131">
        <f>IF(AN30=0,J30,0)</f>
        <v>0</v>
      </c>
      <c r="AK30" s="131">
        <f>IF(AN30=12,J30,0)</f>
        <v>0</v>
      </c>
      <c r="AL30" s="131">
        <f>IF(AN30=21,J30,0)</f>
        <v>0</v>
      </c>
      <c r="AN30" s="131">
        <v>21</v>
      </c>
      <c r="AO30" s="131">
        <f>G30*0.483679945</f>
        <v>0</v>
      </c>
      <c r="AP30" s="131">
        <f>G30*(1-0.483679945)</f>
        <v>0</v>
      </c>
      <c r="AQ30" s="132" t="s">
        <v>56</v>
      </c>
      <c r="AV30" s="131">
        <f>AW30+AX30</f>
        <v>0</v>
      </c>
      <c r="AW30" s="131">
        <f>F30*AO30</f>
        <v>0</v>
      </c>
      <c r="AX30" s="131">
        <f>F30*AP30</f>
        <v>0</v>
      </c>
      <c r="AY30" s="132" t="s">
        <v>172</v>
      </c>
      <c r="AZ30" s="132" t="s">
        <v>1234</v>
      </c>
      <c r="BA30" s="115" t="s">
        <v>1227</v>
      </c>
      <c r="BC30" s="131">
        <f>AW30+AX30</f>
        <v>0</v>
      </c>
      <c r="BD30" s="131">
        <f>G30/(100-BE30)*100</f>
        <v>0</v>
      </c>
      <c r="BE30" s="131">
        <v>0</v>
      </c>
      <c r="BF30" s="131">
        <f>30</f>
        <v>30</v>
      </c>
      <c r="BH30" s="131">
        <f>F30*AO30</f>
        <v>0</v>
      </c>
      <c r="BI30" s="131">
        <f>F30*AP30</f>
        <v>0</v>
      </c>
      <c r="BJ30" s="131">
        <f>F30*G30</f>
        <v>0</v>
      </c>
      <c r="BK30" s="131"/>
      <c r="BL30" s="131">
        <v>45</v>
      </c>
      <c r="BW30" s="131">
        <v>21</v>
      </c>
      <c r="BX30" s="133" t="s">
        <v>796</v>
      </c>
    </row>
    <row r="31" spans="1:76" x14ac:dyDescent="0.25">
      <c r="A31" s="123" t="s">
        <v>53</v>
      </c>
      <c r="B31" s="124" t="s">
        <v>373</v>
      </c>
      <c r="C31" s="272" t="s">
        <v>798</v>
      </c>
      <c r="D31" s="273"/>
      <c r="E31" s="125" t="s">
        <v>9</v>
      </c>
      <c r="F31" s="125" t="s">
        <v>9</v>
      </c>
      <c r="G31" s="125" t="s">
        <v>9</v>
      </c>
      <c r="H31" s="110">
        <f>SUM(H32:H33)</f>
        <v>0</v>
      </c>
      <c r="I31" s="110">
        <f>SUM(I32:I33)</f>
        <v>0</v>
      </c>
      <c r="J31" s="110">
        <f>SUM(J32:J33)</f>
        <v>0</v>
      </c>
      <c r="K31" s="126" t="s">
        <v>53</v>
      </c>
      <c r="AI31" s="115" t="s">
        <v>1225</v>
      </c>
      <c r="AS31" s="110">
        <f>SUM(AJ32:AJ33)</f>
        <v>0</v>
      </c>
      <c r="AT31" s="110">
        <f>SUM(AK32:AK33)</f>
        <v>0</v>
      </c>
      <c r="AU31" s="110">
        <f>SUM(AL32:AL33)</f>
        <v>0</v>
      </c>
    </row>
    <row r="32" spans="1:76" x14ac:dyDescent="0.25">
      <c r="A32" s="134" t="s">
        <v>108</v>
      </c>
      <c r="B32" s="135" t="s">
        <v>1235</v>
      </c>
      <c r="C32" s="270" t="s">
        <v>1236</v>
      </c>
      <c r="D32" s="271"/>
      <c r="E32" s="135" t="s">
        <v>67</v>
      </c>
      <c r="F32" s="131">
        <v>21</v>
      </c>
      <c r="G32" s="179">
        <v>0</v>
      </c>
      <c r="H32" s="131">
        <f>F32*AO32</f>
        <v>0</v>
      </c>
      <c r="I32" s="131">
        <f>F32*AP32</f>
        <v>0</v>
      </c>
      <c r="J32" s="131">
        <f>F32*G32</f>
        <v>0</v>
      </c>
      <c r="K32" s="136" t="s">
        <v>60</v>
      </c>
      <c r="Z32" s="131">
        <f>IF(AQ32="5",BJ32,0)</f>
        <v>0</v>
      </c>
      <c r="AB32" s="131">
        <f>IF(AQ32="1",BH32,0)</f>
        <v>0</v>
      </c>
      <c r="AC32" s="131">
        <f>IF(AQ32="1",BI32,0)</f>
        <v>0</v>
      </c>
      <c r="AD32" s="131">
        <f>IF(AQ32="7",BH32,0)</f>
        <v>0</v>
      </c>
      <c r="AE32" s="131">
        <f>IF(AQ32="7",BI32,0)</f>
        <v>0</v>
      </c>
      <c r="AF32" s="131">
        <f>IF(AQ32="2",BH32,0)</f>
        <v>0</v>
      </c>
      <c r="AG32" s="131">
        <f>IF(AQ32="2",BI32,0)</f>
        <v>0</v>
      </c>
      <c r="AH32" s="131">
        <f>IF(AQ32="0",BJ32,0)</f>
        <v>0</v>
      </c>
      <c r="AI32" s="115" t="s">
        <v>1225</v>
      </c>
      <c r="AJ32" s="131">
        <f>IF(AN32=0,J32,0)</f>
        <v>0</v>
      </c>
      <c r="AK32" s="131">
        <f>IF(AN32=12,J32,0)</f>
        <v>0</v>
      </c>
      <c r="AL32" s="131">
        <f>IF(AN32=21,J32,0)</f>
        <v>0</v>
      </c>
      <c r="AN32" s="131">
        <v>21</v>
      </c>
      <c r="AO32" s="131">
        <f>G32*0.005704971</f>
        <v>0</v>
      </c>
      <c r="AP32" s="131">
        <f>G32*(1-0.005704971)</f>
        <v>0</v>
      </c>
      <c r="AQ32" s="132" t="s">
        <v>56</v>
      </c>
      <c r="AV32" s="131">
        <f>AW32+AX32</f>
        <v>0</v>
      </c>
      <c r="AW32" s="131">
        <f>F32*AO32</f>
        <v>0</v>
      </c>
      <c r="AX32" s="131">
        <f>F32*AP32</f>
        <v>0</v>
      </c>
      <c r="AY32" s="132" t="s">
        <v>801</v>
      </c>
      <c r="AZ32" s="132" t="s">
        <v>1237</v>
      </c>
      <c r="BA32" s="115" t="s">
        <v>1227</v>
      </c>
      <c r="BC32" s="131">
        <f>AW32+AX32</f>
        <v>0</v>
      </c>
      <c r="BD32" s="131">
        <f>G32/(100-BE32)*100</f>
        <v>0</v>
      </c>
      <c r="BE32" s="131">
        <v>0</v>
      </c>
      <c r="BF32" s="131">
        <f>32</f>
        <v>32</v>
      </c>
      <c r="BH32" s="131">
        <f>F32*AO32</f>
        <v>0</v>
      </c>
      <c r="BI32" s="131">
        <f>F32*AP32</f>
        <v>0</v>
      </c>
      <c r="BJ32" s="131">
        <f>F32*G32</f>
        <v>0</v>
      </c>
      <c r="BK32" s="131"/>
      <c r="BL32" s="131">
        <v>87</v>
      </c>
      <c r="BW32" s="131">
        <v>21</v>
      </c>
      <c r="BX32" s="133" t="s">
        <v>1236</v>
      </c>
    </row>
    <row r="33" spans="1:76" ht="25.5" x14ac:dyDescent="0.25">
      <c r="A33" s="134" t="s">
        <v>111</v>
      </c>
      <c r="B33" s="135" t="s">
        <v>1238</v>
      </c>
      <c r="C33" s="270" t="s">
        <v>1239</v>
      </c>
      <c r="D33" s="271"/>
      <c r="E33" s="135" t="s">
        <v>164</v>
      </c>
      <c r="F33" s="131">
        <v>2</v>
      </c>
      <c r="G33" s="179">
        <v>0</v>
      </c>
      <c r="H33" s="131">
        <f>F33*AO33</f>
        <v>0</v>
      </c>
      <c r="I33" s="131">
        <f>F33*AP33</f>
        <v>0</v>
      </c>
      <c r="J33" s="131">
        <f>F33*G33</f>
        <v>0</v>
      </c>
      <c r="K33" s="136" t="s">
        <v>60</v>
      </c>
      <c r="Z33" s="131">
        <f>IF(AQ33="5",BJ33,0)</f>
        <v>0</v>
      </c>
      <c r="AB33" s="131">
        <f>IF(AQ33="1",BH33,0)</f>
        <v>0</v>
      </c>
      <c r="AC33" s="131">
        <f>IF(AQ33="1",BI33,0)</f>
        <v>0</v>
      </c>
      <c r="AD33" s="131">
        <f>IF(AQ33="7",BH33,0)</f>
        <v>0</v>
      </c>
      <c r="AE33" s="131">
        <f>IF(AQ33="7",BI33,0)</f>
        <v>0</v>
      </c>
      <c r="AF33" s="131">
        <f>IF(AQ33="2",BH33,0)</f>
        <v>0</v>
      </c>
      <c r="AG33" s="131">
        <f>IF(AQ33="2",BI33,0)</f>
        <v>0</v>
      </c>
      <c r="AH33" s="131">
        <f>IF(AQ33="0",BJ33,0)</f>
        <v>0</v>
      </c>
      <c r="AI33" s="115" t="s">
        <v>1225</v>
      </c>
      <c r="AJ33" s="131">
        <f>IF(AN33=0,J33,0)</f>
        <v>0</v>
      </c>
      <c r="AK33" s="131">
        <f>IF(AN33=12,J33,0)</f>
        <v>0</v>
      </c>
      <c r="AL33" s="131">
        <f>IF(AN33=21,J33,0)</f>
        <v>0</v>
      </c>
      <c r="AN33" s="131">
        <v>21</v>
      </c>
      <c r="AO33" s="131">
        <f>G33*0.008412609</f>
        <v>0</v>
      </c>
      <c r="AP33" s="131">
        <f>G33*(1-0.008412609)</f>
        <v>0</v>
      </c>
      <c r="AQ33" s="132" t="s">
        <v>56</v>
      </c>
      <c r="AV33" s="131">
        <f>AW33+AX33</f>
        <v>0</v>
      </c>
      <c r="AW33" s="131">
        <f>F33*AO33</f>
        <v>0</v>
      </c>
      <c r="AX33" s="131">
        <f>F33*AP33</f>
        <v>0</v>
      </c>
      <c r="AY33" s="132" t="s">
        <v>801</v>
      </c>
      <c r="AZ33" s="132" t="s">
        <v>1237</v>
      </c>
      <c r="BA33" s="115" t="s">
        <v>1227</v>
      </c>
      <c r="BC33" s="131">
        <f>AW33+AX33</f>
        <v>0</v>
      </c>
      <c r="BD33" s="131">
        <f>G33/(100-BE33)*100</f>
        <v>0</v>
      </c>
      <c r="BE33" s="131">
        <v>0</v>
      </c>
      <c r="BF33" s="131">
        <f>33</f>
        <v>33</v>
      </c>
      <c r="BH33" s="131">
        <f>F33*AO33</f>
        <v>0</v>
      </c>
      <c r="BI33" s="131">
        <f>F33*AP33</f>
        <v>0</v>
      </c>
      <c r="BJ33" s="131">
        <f>F33*G33</f>
        <v>0</v>
      </c>
      <c r="BK33" s="131"/>
      <c r="BL33" s="131">
        <v>87</v>
      </c>
      <c r="BW33" s="131">
        <v>21</v>
      </c>
      <c r="BX33" s="133" t="s">
        <v>1239</v>
      </c>
    </row>
    <row r="34" spans="1:76" x14ac:dyDescent="0.25">
      <c r="A34" s="123" t="s">
        <v>53</v>
      </c>
      <c r="B34" s="124" t="s">
        <v>255</v>
      </c>
      <c r="C34" s="272" t="s">
        <v>256</v>
      </c>
      <c r="D34" s="273"/>
      <c r="E34" s="125" t="s">
        <v>9</v>
      </c>
      <c r="F34" s="125" t="s">
        <v>9</v>
      </c>
      <c r="G34" s="125" t="s">
        <v>9</v>
      </c>
      <c r="H34" s="110">
        <f>SUM(H35:H35)</f>
        <v>0</v>
      </c>
      <c r="I34" s="110">
        <f>SUM(I35:I35)</f>
        <v>0</v>
      </c>
      <c r="J34" s="110">
        <f>SUM(J35:J35)</f>
        <v>0</v>
      </c>
      <c r="K34" s="126" t="s">
        <v>53</v>
      </c>
      <c r="AI34" s="115" t="s">
        <v>1225</v>
      </c>
      <c r="AS34" s="110">
        <f>SUM(AJ35:AJ35)</f>
        <v>0</v>
      </c>
      <c r="AT34" s="110">
        <f>SUM(AK35:AK35)</f>
        <v>0</v>
      </c>
      <c r="AU34" s="110">
        <f>SUM(AL35:AL35)</f>
        <v>0</v>
      </c>
    </row>
    <row r="35" spans="1:76" ht="25.5" x14ac:dyDescent="0.25">
      <c r="A35" s="134" t="s">
        <v>101</v>
      </c>
      <c r="B35" s="135" t="s">
        <v>808</v>
      </c>
      <c r="C35" s="270" t="s">
        <v>1240</v>
      </c>
      <c r="D35" s="271"/>
      <c r="E35" s="135" t="s">
        <v>79</v>
      </c>
      <c r="F35" s="131">
        <v>0.25</v>
      </c>
      <c r="G35" s="179">
        <v>0</v>
      </c>
      <c r="H35" s="131">
        <f>F35*AO35</f>
        <v>0</v>
      </c>
      <c r="I35" s="131">
        <f>F35*AP35</f>
        <v>0</v>
      </c>
      <c r="J35" s="131">
        <f>F35*G35</f>
        <v>0</v>
      </c>
      <c r="K35" s="136" t="s">
        <v>60</v>
      </c>
      <c r="Z35" s="131">
        <f>IF(AQ35="5",BJ35,0)</f>
        <v>0</v>
      </c>
      <c r="AB35" s="131">
        <f>IF(AQ35="1",BH35,0)</f>
        <v>0</v>
      </c>
      <c r="AC35" s="131">
        <f>IF(AQ35="1",BI35,0)</f>
        <v>0</v>
      </c>
      <c r="AD35" s="131">
        <f>IF(AQ35="7",BH35,0)</f>
        <v>0</v>
      </c>
      <c r="AE35" s="131">
        <f>IF(AQ35="7",BI35,0)</f>
        <v>0</v>
      </c>
      <c r="AF35" s="131">
        <f>IF(AQ35="2",BH35,0)</f>
        <v>0</v>
      </c>
      <c r="AG35" s="131">
        <f>IF(AQ35="2",BI35,0)</f>
        <v>0</v>
      </c>
      <c r="AH35" s="131">
        <f>IF(AQ35="0",BJ35,0)</f>
        <v>0</v>
      </c>
      <c r="AI35" s="115" t="s">
        <v>1225</v>
      </c>
      <c r="AJ35" s="131">
        <f>IF(AN35=0,J35,0)</f>
        <v>0</v>
      </c>
      <c r="AK35" s="131">
        <f>IF(AN35=12,J35,0)</f>
        <v>0</v>
      </c>
      <c r="AL35" s="131">
        <f>IF(AN35=21,J35,0)</f>
        <v>0</v>
      </c>
      <c r="AN35" s="131">
        <v>21</v>
      </c>
      <c r="AO35" s="131">
        <f>G35*0.84313413</f>
        <v>0</v>
      </c>
      <c r="AP35" s="131">
        <f>G35*(1-0.84313413)</f>
        <v>0</v>
      </c>
      <c r="AQ35" s="132" t="s">
        <v>56</v>
      </c>
      <c r="AV35" s="131">
        <f>AW35+AX35</f>
        <v>0</v>
      </c>
      <c r="AW35" s="131">
        <f>F35*AO35</f>
        <v>0</v>
      </c>
      <c r="AX35" s="131">
        <f>F35*AP35</f>
        <v>0</v>
      </c>
      <c r="AY35" s="132" t="s">
        <v>260</v>
      </c>
      <c r="AZ35" s="132" t="s">
        <v>1237</v>
      </c>
      <c r="BA35" s="115" t="s">
        <v>1227</v>
      </c>
      <c r="BC35" s="131">
        <f>AW35+AX35</f>
        <v>0</v>
      </c>
      <c r="BD35" s="131">
        <f>G35/(100-BE35)*100</f>
        <v>0</v>
      </c>
      <c r="BE35" s="131">
        <v>0</v>
      </c>
      <c r="BF35" s="131">
        <f>35</f>
        <v>35</v>
      </c>
      <c r="BH35" s="131">
        <f>F35*AO35</f>
        <v>0</v>
      </c>
      <c r="BI35" s="131">
        <f>F35*AP35</f>
        <v>0</v>
      </c>
      <c r="BJ35" s="131">
        <f>F35*G35</f>
        <v>0</v>
      </c>
      <c r="BK35" s="131"/>
      <c r="BL35" s="131">
        <v>89</v>
      </c>
      <c r="BW35" s="131">
        <v>21</v>
      </c>
      <c r="BX35" s="133" t="s">
        <v>1240</v>
      </c>
    </row>
    <row r="36" spans="1:76" x14ac:dyDescent="0.25">
      <c r="A36" s="123" t="s">
        <v>53</v>
      </c>
      <c r="B36" s="124" t="s">
        <v>736</v>
      </c>
      <c r="C36" s="272" t="s">
        <v>737</v>
      </c>
      <c r="D36" s="273"/>
      <c r="E36" s="125" t="s">
        <v>9</v>
      </c>
      <c r="F36" s="125" t="s">
        <v>9</v>
      </c>
      <c r="G36" s="125" t="s">
        <v>9</v>
      </c>
      <c r="H36" s="110">
        <f>SUM(H37:H37)</f>
        <v>0</v>
      </c>
      <c r="I36" s="110">
        <f>SUM(I37:I37)</f>
        <v>0</v>
      </c>
      <c r="J36" s="110">
        <f>SUM(J37:J37)</f>
        <v>0</v>
      </c>
      <c r="K36" s="126" t="s">
        <v>53</v>
      </c>
      <c r="AI36" s="115" t="s">
        <v>1225</v>
      </c>
      <c r="AS36" s="110">
        <f>SUM(AJ37:AJ37)</f>
        <v>0</v>
      </c>
      <c r="AT36" s="110">
        <f>SUM(AK37:AK37)</f>
        <v>0</v>
      </c>
      <c r="AU36" s="110">
        <f>SUM(AL37:AL37)</f>
        <v>0</v>
      </c>
    </row>
    <row r="37" spans="1:76" x14ac:dyDescent="0.25">
      <c r="A37" s="134" t="s">
        <v>116</v>
      </c>
      <c r="B37" s="135" t="s">
        <v>738</v>
      </c>
      <c r="C37" s="270" t="s">
        <v>739</v>
      </c>
      <c r="D37" s="271"/>
      <c r="E37" s="135" t="s">
        <v>122</v>
      </c>
      <c r="F37" s="131">
        <v>11.04</v>
      </c>
      <c r="G37" s="179">
        <v>0</v>
      </c>
      <c r="H37" s="131">
        <f>F37*AO37</f>
        <v>0</v>
      </c>
      <c r="I37" s="131">
        <f>F37*AP37</f>
        <v>0</v>
      </c>
      <c r="J37" s="131">
        <f>F37*G37</f>
        <v>0</v>
      </c>
      <c r="K37" s="136" t="s">
        <v>711</v>
      </c>
      <c r="Z37" s="131">
        <f>IF(AQ37="5",BJ37,0)</f>
        <v>0</v>
      </c>
      <c r="AB37" s="131">
        <f>IF(AQ37="1",BH37,0)</f>
        <v>0</v>
      </c>
      <c r="AC37" s="131">
        <f>IF(AQ37="1",BI37,0)</f>
        <v>0</v>
      </c>
      <c r="AD37" s="131">
        <f>IF(AQ37="7",BH37,0)</f>
        <v>0</v>
      </c>
      <c r="AE37" s="131">
        <f>IF(AQ37="7",BI37,0)</f>
        <v>0</v>
      </c>
      <c r="AF37" s="131">
        <f>IF(AQ37="2",BH37,0)</f>
        <v>0</v>
      </c>
      <c r="AG37" s="131">
        <f>IF(AQ37="2",BI37,0)</f>
        <v>0</v>
      </c>
      <c r="AH37" s="131">
        <f>IF(AQ37="0",BJ37,0)</f>
        <v>0</v>
      </c>
      <c r="AI37" s="115" t="s">
        <v>1225</v>
      </c>
      <c r="AJ37" s="131">
        <f>IF(AN37=0,J37,0)</f>
        <v>0</v>
      </c>
      <c r="AK37" s="131">
        <f>IF(AN37=12,J37,0)</f>
        <v>0</v>
      </c>
      <c r="AL37" s="131">
        <f>IF(AN37=21,J37,0)</f>
        <v>0</v>
      </c>
      <c r="AN37" s="131">
        <v>21</v>
      </c>
      <c r="AO37" s="131">
        <f>G37*0</f>
        <v>0</v>
      </c>
      <c r="AP37" s="131">
        <f>G37*(1-0)</f>
        <v>0</v>
      </c>
      <c r="AQ37" s="132" t="s">
        <v>76</v>
      </c>
      <c r="AV37" s="131">
        <f>AW37+AX37</f>
        <v>0</v>
      </c>
      <c r="AW37" s="131">
        <f>F37*AO37</f>
        <v>0</v>
      </c>
      <c r="AX37" s="131">
        <f>F37*AP37</f>
        <v>0</v>
      </c>
      <c r="AY37" s="132" t="s">
        <v>740</v>
      </c>
      <c r="AZ37" s="132" t="s">
        <v>1241</v>
      </c>
      <c r="BA37" s="115" t="s">
        <v>1227</v>
      </c>
      <c r="BC37" s="131">
        <f>AW37+AX37</f>
        <v>0</v>
      </c>
      <c r="BD37" s="131">
        <f>G37/(100-BE37)*100</f>
        <v>0</v>
      </c>
      <c r="BE37" s="131">
        <v>0</v>
      </c>
      <c r="BF37" s="131">
        <f>37</f>
        <v>37</v>
      </c>
      <c r="BH37" s="131">
        <f>F37*AO37</f>
        <v>0</v>
      </c>
      <c r="BI37" s="131">
        <f>F37*AP37</f>
        <v>0</v>
      </c>
      <c r="BJ37" s="131">
        <f>F37*G37</f>
        <v>0</v>
      </c>
      <c r="BK37" s="131"/>
      <c r="BL37" s="131"/>
      <c r="BW37" s="131">
        <v>21</v>
      </c>
      <c r="BX37" s="133" t="s">
        <v>739</v>
      </c>
    </row>
    <row r="38" spans="1:76" x14ac:dyDescent="0.25">
      <c r="A38" s="123" t="s">
        <v>53</v>
      </c>
      <c r="B38" s="124" t="s">
        <v>338</v>
      </c>
      <c r="C38" s="272" t="s">
        <v>339</v>
      </c>
      <c r="D38" s="273"/>
      <c r="E38" s="125" t="s">
        <v>9</v>
      </c>
      <c r="F38" s="125" t="s">
        <v>9</v>
      </c>
      <c r="G38" s="125" t="s">
        <v>9</v>
      </c>
      <c r="H38" s="110">
        <f>SUM(H39:H43)</f>
        <v>0</v>
      </c>
      <c r="I38" s="110">
        <f>SUM(I39:I43)</f>
        <v>0</v>
      </c>
      <c r="J38" s="110">
        <f>SUM(J39:J43)</f>
        <v>0</v>
      </c>
      <c r="K38" s="126" t="s">
        <v>53</v>
      </c>
      <c r="AI38" s="115" t="s">
        <v>1225</v>
      </c>
      <c r="AS38" s="110">
        <f>SUM(AJ39:AJ43)</f>
        <v>0</v>
      </c>
      <c r="AT38" s="110">
        <f>SUM(AK39:AK43)</f>
        <v>0</v>
      </c>
      <c r="AU38" s="110">
        <f>SUM(AL39:AL43)</f>
        <v>0</v>
      </c>
    </row>
    <row r="39" spans="1:76" x14ac:dyDescent="0.25">
      <c r="A39" s="134" t="s">
        <v>119</v>
      </c>
      <c r="B39" s="135" t="s">
        <v>1242</v>
      </c>
      <c r="C39" s="270" t="s">
        <v>1243</v>
      </c>
      <c r="D39" s="271"/>
      <c r="E39" s="135" t="s">
        <v>164</v>
      </c>
      <c r="F39" s="131">
        <v>10</v>
      </c>
      <c r="G39" s="179">
        <v>0</v>
      </c>
      <c r="H39" s="131">
        <f>F39*AO39</f>
        <v>0</v>
      </c>
      <c r="I39" s="131">
        <f>F39*AP39</f>
        <v>0</v>
      </c>
      <c r="J39" s="131">
        <f>F39*G39</f>
        <v>0</v>
      </c>
      <c r="K39" s="136" t="s">
        <v>60</v>
      </c>
      <c r="Z39" s="131">
        <f>IF(AQ39="5",BJ39,0)</f>
        <v>0</v>
      </c>
      <c r="AB39" s="131">
        <f>IF(AQ39="1",BH39,0)</f>
        <v>0</v>
      </c>
      <c r="AC39" s="131">
        <f>IF(AQ39="1",BI39,0)</f>
        <v>0</v>
      </c>
      <c r="AD39" s="131">
        <f>IF(AQ39="7",BH39,0)</f>
        <v>0</v>
      </c>
      <c r="AE39" s="131">
        <f>IF(AQ39="7",BI39,0)</f>
        <v>0</v>
      </c>
      <c r="AF39" s="131">
        <f>IF(AQ39="2",BH39,0)</f>
        <v>0</v>
      </c>
      <c r="AG39" s="131">
        <f>IF(AQ39="2",BI39,0)</f>
        <v>0</v>
      </c>
      <c r="AH39" s="131">
        <f>IF(AQ39="0",BJ39,0)</f>
        <v>0</v>
      </c>
      <c r="AI39" s="115" t="s">
        <v>1225</v>
      </c>
      <c r="AJ39" s="131">
        <f>IF(AN39=0,J39,0)</f>
        <v>0</v>
      </c>
      <c r="AK39" s="131">
        <f>IF(AN39=12,J39,0)</f>
        <v>0</v>
      </c>
      <c r="AL39" s="131">
        <f>IF(AN39=21,J39,0)</f>
        <v>0</v>
      </c>
      <c r="AN39" s="131">
        <v>21</v>
      </c>
      <c r="AO39" s="131">
        <f>G39*1</f>
        <v>0</v>
      </c>
      <c r="AP39" s="131">
        <f>G39*(1-1)</f>
        <v>0</v>
      </c>
      <c r="AQ39" s="132" t="s">
        <v>343</v>
      </c>
      <c r="AV39" s="131">
        <f>AW39+AX39</f>
        <v>0</v>
      </c>
      <c r="AW39" s="131">
        <f>F39*AO39</f>
        <v>0</v>
      </c>
      <c r="AX39" s="131">
        <f>F39*AP39</f>
        <v>0</v>
      </c>
      <c r="AY39" s="132" t="s">
        <v>344</v>
      </c>
      <c r="AZ39" s="132" t="s">
        <v>1244</v>
      </c>
      <c r="BA39" s="115" t="s">
        <v>1227</v>
      </c>
      <c r="BC39" s="131">
        <f>AW39+AX39</f>
        <v>0</v>
      </c>
      <c r="BD39" s="131">
        <f>G39/(100-BE39)*100</f>
        <v>0</v>
      </c>
      <c r="BE39" s="131">
        <v>0</v>
      </c>
      <c r="BF39" s="131">
        <f>39</f>
        <v>39</v>
      </c>
      <c r="BH39" s="131">
        <f>F39*AO39</f>
        <v>0</v>
      </c>
      <c r="BI39" s="131">
        <f>F39*AP39</f>
        <v>0</v>
      </c>
      <c r="BJ39" s="131">
        <f>F39*G39</f>
        <v>0</v>
      </c>
      <c r="BK39" s="131"/>
      <c r="BL39" s="131"/>
      <c r="BW39" s="131">
        <v>21</v>
      </c>
      <c r="BX39" s="133" t="s">
        <v>1243</v>
      </c>
    </row>
    <row r="40" spans="1:76" x14ac:dyDescent="0.25">
      <c r="A40" s="134" t="s">
        <v>124</v>
      </c>
      <c r="B40" s="135" t="s">
        <v>1245</v>
      </c>
      <c r="C40" s="270" t="s">
        <v>1246</v>
      </c>
      <c r="D40" s="271"/>
      <c r="E40" s="135" t="s">
        <v>164</v>
      </c>
      <c r="F40" s="131">
        <v>6</v>
      </c>
      <c r="G40" s="179">
        <v>0</v>
      </c>
      <c r="H40" s="131">
        <f>F40*AO40</f>
        <v>0</v>
      </c>
      <c r="I40" s="131">
        <f>F40*AP40</f>
        <v>0</v>
      </c>
      <c r="J40" s="131">
        <f>F40*G40</f>
        <v>0</v>
      </c>
      <c r="K40" s="136" t="s">
        <v>60</v>
      </c>
      <c r="Z40" s="131">
        <f>IF(AQ40="5",BJ40,0)</f>
        <v>0</v>
      </c>
      <c r="AB40" s="131">
        <f>IF(AQ40="1",BH40,0)</f>
        <v>0</v>
      </c>
      <c r="AC40" s="131">
        <f>IF(AQ40="1",BI40,0)</f>
        <v>0</v>
      </c>
      <c r="AD40" s="131">
        <f>IF(AQ40="7",BH40,0)</f>
        <v>0</v>
      </c>
      <c r="AE40" s="131">
        <f>IF(AQ40="7",BI40,0)</f>
        <v>0</v>
      </c>
      <c r="AF40" s="131">
        <f>IF(AQ40="2",BH40,0)</f>
        <v>0</v>
      </c>
      <c r="AG40" s="131">
        <f>IF(AQ40="2",BI40,0)</f>
        <v>0</v>
      </c>
      <c r="AH40" s="131">
        <f>IF(AQ40="0",BJ40,0)</f>
        <v>0</v>
      </c>
      <c r="AI40" s="115" t="s">
        <v>1225</v>
      </c>
      <c r="AJ40" s="131">
        <f>IF(AN40=0,J40,0)</f>
        <v>0</v>
      </c>
      <c r="AK40" s="131">
        <f>IF(AN40=12,J40,0)</f>
        <v>0</v>
      </c>
      <c r="AL40" s="131">
        <f>IF(AN40=21,J40,0)</f>
        <v>0</v>
      </c>
      <c r="AN40" s="131">
        <v>21</v>
      </c>
      <c r="AO40" s="131">
        <f>G40*1</f>
        <v>0</v>
      </c>
      <c r="AP40" s="131">
        <f>G40*(1-1)</f>
        <v>0</v>
      </c>
      <c r="AQ40" s="132" t="s">
        <v>343</v>
      </c>
      <c r="AV40" s="131">
        <f>AW40+AX40</f>
        <v>0</v>
      </c>
      <c r="AW40" s="131">
        <f>F40*AO40</f>
        <v>0</v>
      </c>
      <c r="AX40" s="131">
        <f>F40*AP40</f>
        <v>0</v>
      </c>
      <c r="AY40" s="132" t="s">
        <v>344</v>
      </c>
      <c r="AZ40" s="132" t="s">
        <v>1244</v>
      </c>
      <c r="BA40" s="115" t="s">
        <v>1227</v>
      </c>
      <c r="BC40" s="131">
        <f>AW40+AX40</f>
        <v>0</v>
      </c>
      <c r="BD40" s="131">
        <f>G40/(100-BE40)*100</f>
        <v>0</v>
      </c>
      <c r="BE40" s="131">
        <v>0</v>
      </c>
      <c r="BF40" s="131">
        <f>40</f>
        <v>40</v>
      </c>
      <c r="BH40" s="131">
        <f>F40*AO40</f>
        <v>0</v>
      </c>
      <c r="BI40" s="131">
        <f>F40*AP40</f>
        <v>0</v>
      </c>
      <c r="BJ40" s="131">
        <f>F40*G40</f>
        <v>0</v>
      </c>
      <c r="BK40" s="131"/>
      <c r="BL40" s="131"/>
      <c r="BW40" s="131">
        <v>21</v>
      </c>
      <c r="BX40" s="133" t="s">
        <v>1246</v>
      </c>
    </row>
    <row r="41" spans="1:76" x14ac:dyDescent="0.25">
      <c r="A41" s="134" t="s">
        <v>128</v>
      </c>
      <c r="B41" s="135" t="s">
        <v>1247</v>
      </c>
      <c r="C41" s="270" t="s">
        <v>1248</v>
      </c>
      <c r="D41" s="271"/>
      <c r="E41" s="135" t="s">
        <v>164</v>
      </c>
      <c r="F41" s="131">
        <v>9</v>
      </c>
      <c r="G41" s="179">
        <v>0</v>
      </c>
      <c r="H41" s="131">
        <f>F41*AO41</f>
        <v>0</v>
      </c>
      <c r="I41" s="131">
        <f>F41*AP41</f>
        <v>0</v>
      </c>
      <c r="J41" s="131">
        <f>F41*G41</f>
        <v>0</v>
      </c>
      <c r="K41" s="136" t="s">
        <v>60</v>
      </c>
      <c r="Z41" s="131">
        <f>IF(AQ41="5",BJ41,0)</f>
        <v>0</v>
      </c>
      <c r="AB41" s="131">
        <f>IF(AQ41="1",BH41,0)</f>
        <v>0</v>
      </c>
      <c r="AC41" s="131">
        <f>IF(AQ41="1",BI41,0)</f>
        <v>0</v>
      </c>
      <c r="AD41" s="131">
        <f>IF(AQ41="7",BH41,0)</f>
        <v>0</v>
      </c>
      <c r="AE41" s="131">
        <f>IF(AQ41="7",BI41,0)</f>
        <v>0</v>
      </c>
      <c r="AF41" s="131">
        <f>IF(AQ41="2",BH41,0)</f>
        <v>0</v>
      </c>
      <c r="AG41" s="131">
        <f>IF(AQ41="2",BI41,0)</f>
        <v>0</v>
      </c>
      <c r="AH41" s="131">
        <f>IF(AQ41="0",BJ41,0)</f>
        <v>0</v>
      </c>
      <c r="AI41" s="115" t="s">
        <v>1225</v>
      </c>
      <c r="AJ41" s="131">
        <f>IF(AN41=0,J41,0)</f>
        <v>0</v>
      </c>
      <c r="AK41" s="131">
        <f>IF(AN41=12,J41,0)</f>
        <v>0</v>
      </c>
      <c r="AL41" s="131">
        <f>IF(AN41=21,J41,0)</f>
        <v>0</v>
      </c>
      <c r="AN41" s="131">
        <v>21</v>
      </c>
      <c r="AO41" s="131">
        <f>G41*1</f>
        <v>0</v>
      </c>
      <c r="AP41" s="131">
        <f>G41*(1-1)</f>
        <v>0</v>
      </c>
      <c r="AQ41" s="132" t="s">
        <v>343</v>
      </c>
      <c r="AV41" s="131">
        <f>AW41+AX41</f>
        <v>0</v>
      </c>
      <c r="AW41" s="131">
        <f>F41*AO41</f>
        <v>0</v>
      </c>
      <c r="AX41" s="131">
        <f>F41*AP41</f>
        <v>0</v>
      </c>
      <c r="AY41" s="132" t="s">
        <v>344</v>
      </c>
      <c r="AZ41" s="132" t="s">
        <v>1244</v>
      </c>
      <c r="BA41" s="115" t="s">
        <v>1227</v>
      </c>
      <c r="BC41" s="131">
        <f>AW41+AX41</f>
        <v>0</v>
      </c>
      <c r="BD41" s="131">
        <f>G41/(100-BE41)*100</f>
        <v>0</v>
      </c>
      <c r="BE41" s="131">
        <v>0</v>
      </c>
      <c r="BF41" s="131">
        <f>41</f>
        <v>41</v>
      </c>
      <c r="BH41" s="131">
        <f>F41*AO41</f>
        <v>0</v>
      </c>
      <c r="BI41" s="131">
        <f>F41*AP41</f>
        <v>0</v>
      </c>
      <c r="BJ41" s="131">
        <f>F41*G41</f>
        <v>0</v>
      </c>
      <c r="BK41" s="131"/>
      <c r="BL41" s="131"/>
      <c r="BW41" s="131">
        <v>21</v>
      </c>
      <c r="BX41" s="133" t="s">
        <v>1248</v>
      </c>
    </row>
    <row r="42" spans="1:76" x14ac:dyDescent="0.25">
      <c r="A42" s="134" t="s">
        <v>131</v>
      </c>
      <c r="B42" s="135" t="s">
        <v>1249</v>
      </c>
      <c r="C42" s="270" t="s">
        <v>1250</v>
      </c>
      <c r="D42" s="271"/>
      <c r="E42" s="135" t="s">
        <v>164</v>
      </c>
      <c r="F42" s="131">
        <v>9</v>
      </c>
      <c r="G42" s="179">
        <v>0</v>
      </c>
      <c r="H42" s="131">
        <f>F42*AO42</f>
        <v>0</v>
      </c>
      <c r="I42" s="131">
        <f>F42*AP42</f>
        <v>0</v>
      </c>
      <c r="J42" s="131">
        <f>F42*G42</f>
        <v>0</v>
      </c>
      <c r="K42" s="136" t="s">
        <v>60</v>
      </c>
      <c r="Z42" s="131">
        <f>IF(AQ42="5",BJ42,0)</f>
        <v>0</v>
      </c>
      <c r="AB42" s="131">
        <f>IF(AQ42="1",BH42,0)</f>
        <v>0</v>
      </c>
      <c r="AC42" s="131">
        <f>IF(AQ42="1",BI42,0)</f>
        <v>0</v>
      </c>
      <c r="AD42" s="131">
        <f>IF(AQ42="7",BH42,0)</f>
        <v>0</v>
      </c>
      <c r="AE42" s="131">
        <f>IF(AQ42="7",BI42,0)</f>
        <v>0</v>
      </c>
      <c r="AF42" s="131">
        <f>IF(AQ42="2",BH42,0)</f>
        <v>0</v>
      </c>
      <c r="AG42" s="131">
        <f>IF(AQ42="2",BI42,0)</f>
        <v>0</v>
      </c>
      <c r="AH42" s="131">
        <f>IF(AQ42="0",BJ42,0)</f>
        <v>0</v>
      </c>
      <c r="AI42" s="115" t="s">
        <v>1225</v>
      </c>
      <c r="AJ42" s="131">
        <f>IF(AN42=0,J42,0)</f>
        <v>0</v>
      </c>
      <c r="AK42" s="131">
        <f>IF(AN42=12,J42,0)</f>
        <v>0</v>
      </c>
      <c r="AL42" s="131">
        <f>IF(AN42=21,J42,0)</f>
        <v>0</v>
      </c>
      <c r="AN42" s="131">
        <v>21</v>
      </c>
      <c r="AO42" s="131">
        <f>G42*1</f>
        <v>0</v>
      </c>
      <c r="AP42" s="131">
        <f>G42*(1-1)</f>
        <v>0</v>
      </c>
      <c r="AQ42" s="132" t="s">
        <v>343</v>
      </c>
      <c r="AV42" s="131">
        <f>AW42+AX42</f>
        <v>0</v>
      </c>
      <c r="AW42" s="131">
        <f>F42*AO42</f>
        <v>0</v>
      </c>
      <c r="AX42" s="131">
        <f>F42*AP42</f>
        <v>0</v>
      </c>
      <c r="AY42" s="132" t="s">
        <v>344</v>
      </c>
      <c r="AZ42" s="132" t="s">
        <v>1244</v>
      </c>
      <c r="BA42" s="115" t="s">
        <v>1227</v>
      </c>
      <c r="BC42" s="131">
        <f>AW42+AX42</f>
        <v>0</v>
      </c>
      <c r="BD42" s="131">
        <f>G42/(100-BE42)*100</f>
        <v>0</v>
      </c>
      <c r="BE42" s="131">
        <v>0</v>
      </c>
      <c r="BF42" s="131">
        <f>42</f>
        <v>42</v>
      </c>
      <c r="BH42" s="131">
        <f>F42*AO42</f>
        <v>0</v>
      </c>
      <c r="BI42" s="131">
        <f>F42*AP42</f>
        <v>0</v>
      </c>
      <c r="BJ42" s="131">
        <f>F42*G42</f>
        <v>0</v>
      </c>
      <c r="BK42" s="131"/>
      <c r="BL42" s="131"/>
      <c r="BW42" s="131">
        <v>21</v>
      </c>
      <c r="BX42" s="133" t="s">
        <v>1250</v>
      </c>
    </row>
    <row r="43" spans="1:76" x14ac:dyDescent="0.25">
      <c r="A43" s="134" t="s">
        <v>135</v>
      </c>
      <c r="B43" s="135" t="s">
        <v>829</v>
      </c>
      <c r="C43" s="270" t="s">
        <v>830</v>
      </c>
      <c r="D43" s="271"/>
      <c r="E43" s="135" t="s">
        <v>831</v>
      </c>
      <c r="F43" s="131">
        <v>8.32</v>
      </c>
      <c r="G43" s="179">
        <v>0</v>
      </c>
      <c r="H43" s="131">
        <f>F43*AO43</f>
        <v>0</v>
      </c>
      <c r="I43" s="131">
        <f>F43*AP43</f>
        <v>0</v>
      </c>
      <c r="J43" s="131">
        <f>F43*G43</f>
        <v>0</v>
      </c>
      <c r="K43" s="136" t="s">
        <v>60</v>
      </c>
      <c r="Z43" s="131">
        <f>IF(AQ43="5",BJ43,0)</f>
        <v>0</v>
      </c>
      <c r="AB43" s="131">
        <f>IF(AQ43="1",BH43,0)</f>
        <v>0</v>
      </c>
      <c r="AC43" s="131">
        <f>IF(AQ43="1",BI43,0)</f>
        <v>0</v>
      </c>
      <c r="AD43" s="131">
        <f>IF(AQ43="7",BH43,0)</f>
        <v>0</v>
      </c>
      <c r="AE43" s="131">
        <f>IF(AQ43="7",BI43,0)</f>
        <v>0</v>
      </c>
      <c r="AF43" s="131">
        <f>IF(AQ43="2",BH43,0)</f>
        <v>0</v>
      </c>
      <c r="AG43" s="131">
        <f>IF(AQ43="2",BI43,0)</f>
        <v>0</v>
      </c>
      <c r="AH43" s="131">
        <f>IF(AQ43="0",BJ43,0)</f>
        <v>0</v>
      </c>
      <c r="AI43" s="115" t="s">
        <v>1225</v>
      </c>
      <c r="AJ43" s="131">
        <f>IF(AN43=0,J43,0)</f>
        <v>0</v>
      </c>
      <c r="AK43" s="131">
        <f>IF(AN43=12,J43,0)</f>
        <v>0</v>
      </c>
      <c r="AL43" s="131">
        <f>IF(AN43=21,J43,0)</f>
        <v>0</v>
      </c>
      <c r="AN43" s="131">
        <v>21</v>
      </c>
      <c r="AO43" s="131">
        <f>G43*1</f>
        <v>0</v>
      </c>
      <c r="AP43" s="131">
        <f>G43*(1-1)</f>
        <v>0</v>
      </c>
      <c r="AQ43" s="132" t="s">
        <v>343</v>
      </c>
      <c r="AV43" s="131">
        <f>AW43+AX43</f>
        <v>0</v>
      </c>
      <c r="AW43" s="131">
        <f>F43*AO43</f>
        <v>0</v>
      </c>
      <c r="AX43" s="131">
        <f>F43*AP43</f>
        <v>0</v>
      </c>
      <c r="AY43" s="132" t="s">
        <v>344</v>
      </c>
      <c r="AZ43" s="132" t="s">
        <v>1244</v>
      </c>
      <c r="BA43" s="115" t="s">
        <v>1227</v>
      </c>
      <c r="BC43" s="131">
        <f>AW43+AX43</f>
        <v>0</v>
      </c>
      <c r="BD43" s="131">
        <f>G43/(100-BE43)*100</f>
        <v>0</v>
      </c>
      <c r="BE43" s="131">
        <v>0</v>
      </c>
      <c r="BF43" s="131">
        <f>43</f>
        <v>43</v>
      </c>
      <c r="BH43" s="131">
        <f>F43*AO43</f>
        <v>0</v>
      </c>
      <c r="BI43" s="131">
        <f>F43*AP43</f>
        <v>0</v>
      </c>
      <c r="BJ43" s="131">
        <f>F43*G43</f>
        <v>0</v>
      </c>
      <c r="BK43" s="131"/>
      <c r="BL43" s="131"/>
      <c r="BW43" s="131">
        <v>21</v>
      </c>
      <c r="BX43" s="133" t="s">
        <v>830</v>
      </c>
    </row>
    <row r="44" spans="1:76" x14ac:dyDescent="0.25">
      <c r="A44" s="123" t="s">
        <v>53</v>
      </c>
      <c r="B44" s="124" t="s">
        <v>409</v>
      </c>
      <c r="C44" s="272" t="s">
        <v>410</v>
      </c>
      <c r="D44" s="273"/>
      <c r="E44" s="125" t="s">
        <v>9</v>
      </c>
      <c r="F44" s="125" t="s">
        <v>9</v>
      </c>
      <c r="G44" s="125" t="s">
        <v>9</v>
      </c>
      <c r="H44" s="110">
        <f>H45+H47+H49</f>
        <v>0</v>
      </c>
      <c r="I44" s="110">
        <f>I45+I47+I49</f>
        <v>0</v>
      </c>
      <c r="J44" s="110">
        <f>J45+J47+J49</f>
        <v>0</v>
      </c>
      <c r="K44" s="126" t="s">
        <v>53</v>
      </c>
      <c r="AI44" s="115" t="s">
        <v>1225</v>
      </c>
    </row>
    <row r="45" spans="1:76" x14ac:dyDescent="0.25">
      <c r="A45" s="123" t="s">
        <v>53</v>
      </c>
      <c r="B45" s="124" t="s">
        <v>411</v>
      </c>
      <c r="C45" s="272" t="s">
        <v>412</v>
      </c>
      <c r="D45" s="273"/>
      <c r="E45" s="125" t="s">
        <v>9</v>
      </c>
      <c r="F45" s="125" t="s">
        <v>9</v>
      </c>
      <c r="G45" s="125" t="s">
        <v>9</v>
      </c>
      <c r="H45" s="110">
        <f>SUM(H46:H46)</f>
        <v>0</v>
      </c>
      <c r="I45" s="110">
        <f>SUM(I46:I46)</f>
        <v>0</v>
      </c>
      <c r="J45" s="110">
        <f>SUM(J46:J46)</f>
        <v>0</v>
      </c>
      <c r="K45" s="126" t="s">
        <v>53</v>
      </c>
      <c r="AI45" s="115" t="s">
        <v>1225</v>
      </c>
      <c r="AS45" s="110">
        <f>SUM(AJ46:AJ46)</f>
        <v>0</v>
      </c>
      <c r="AT45" s="110">
        <f>SUM(AK46:AK46)</f>
        <v>0</v>
      </c>
      <c r="AU45" s="110">
        <f>SUM(AL46:AL46)</f>
        <v>0</v>
      </c>
    </row>
    <row r="46" spans="1:76" x14ac:dyDescent="0.25">
      <c r="A46" s="134" t="s">
        <v>139</v>
      </c>
      <c r="B46" s="135" t="s">
        <v>414</v>
      </c>
      <c r="C46" s="270" t="s">
        <v>415</v>
      </c>
      <c r="D46" s="271"/>
      <c r="E46" s="135" t="s">
        <v>416</v>
      </c>
      <c r="F46" s="131">
        <v>1</v>
      </c>
      <c r="G46" s="179">
        <v>0</v>
      </c>
      <c r="H46" s="131">
        <f>F46*AO46</f>
        <v>0</v>
      </c>
      <c r="I46" s="131">
        <f>F46*AP46</f>
        <v>0</v>
      </c>
      <c r="J46" s="131">
        <f>F46*G46</f>
        <v>0</v>
      </c>
      <c r="K46" s="136" t="s">
        <v>53</v>
      </c>
      <c r="Z46" s="131">
        <f>IF(AQ46="5",BJ46,0)</f>
        <v>0</v>
      </c>
      <c r="AB46" s="131">
        <f>IF(AQ46="1",BH46,0)</f>
        <v>0</v>
      </c>
      <c r="AC46" s="131">
        <f>IF(AQ46="1",BI46,0)</f>
        <v>0</v>
      </c>
      <c r="AD46" s="131">
        <f>IF(AQ46="7",BH46,0)</f>
        <v>0</v>
      </c>
      <c r="AE46" s="131">
        <f>IF(AQ46="7",BI46,0)</f>
        <v>0</v>
      </c>
      <c r="AF46" s="131">
        <f>IF(AQ46="2",BH46,0)</f>
        <v>0</v>
      </c>
      <c r="AG46" s="131">
        <f>IF(AQ46="2",BI46,0)</f>
        <v>0</v>
      </c>
      <c r="AH46" s="131">
        <f>IF(AQ46="0",BJ46,0)</f>
        <v>0</v>
      </c>
      <c r="AI46" s="115" t="s">
        <v>1225</v>
      </c>
      <c r="AJ46" s="131">
        <f>IF(AN46=0,J46,0)</f>
        <v>0</v>
      </c>
      <c r="AK46" s="131">
        <f>IF(AN46=12,J46,0)</f>
        <v>0</v>
      </c>
      <c r="AL46" s="131">
        <f>IF(AN46=21,J46,0)</f>
        <v>0</v>
      </c>
      <c r="AN46" s="131">
        <v>21</v>
      </c>
      <c r="AO46" s="131">
        <f>G46*0</f>
        <v>0</v>
      </c>
      <c r="AP46" s="131">
        <f>G46*(1-0)</f>
        <v>0</v>
      </c>
      <c r="AQ46" s="132" t="s">
        <v>405</v>
      </c>
      <c r="AV46" s="131">
        <f>AW46+AX46</f>
        <v>0</v>
      </c>
      <c r="AW46" s="131">
        <f>F46*AO46</f>
        <v>0</v>
      </c>
      <c r="AX46" s="131">
        <f>F46*AP46</f>
        <v>0</v>
      </c>
      <c r="AY46" s="132" t="s">
        <v>417</v>
      </c>
      <c r="AZ46" s="132" t="s">
        <v>1251</v>
      </c>
      <c r="BA46" s="115" t="s">
        <v>1227</v>
      </c>
      <c r="BC46" s="131">
        <f>AW46+AX46</f>
        <v>0</v>
      </c>
      <c r="BD46" s="131">
        <f>G46/(100-BE46)*100</f>
        <v>0</v>
      </c>
      <c r="BE46" s="131">
        <v>0</v>
      </c>
      <c r="BF46" s="131">
        <f>46</f>
        <v>46</v>
      </c>
      <c r="BH46" s="131">
        <f>F46*AO46</f>
        <v>0</v>
      </c>
      <c r="BI46" s="131">
        <f>F46*AP46</f>
        <v>0</v>
      </c>
      <c r="BJ46" s="131">
        <f>F46*G46</f>
        <v>0</v>
      </c>
      <c r="BK46" s="131"/>
      <c r="BL46" s="131"/>
      <c r="BM46" s="131">
        <f>F46*G46</f>
        <v>0</v>
      </c>
      <c r="BW46" s="131">
        <v>21</v>
      </c>
      <c r="BX46" s="133" t="s">
        <v>415</v>
      </c>
    </row>
    <row r="47" spans="1:76" x14ac:dyDescent="0.25">
      <c r="A47" s="123" t="s">
        <v>53</v>
      </c>
      <c r="B47" s="124" t="s">
        <v>419</v>
      </c>
      <c r="C47" s="272" t="s">
        <v>420</v>
      </c>
      <c r="D47" s="273"/>
      <c r="E47" s="125" t="s">
        <v>9</v>
      </c>
      <c r="F47" s="125" t="s">
        <v>9</v>
      </c>
      <c r="G47" s="125" t="s">
        <v>9</v>
      </c>
      <c r="H47" s="110">
        <f>SUM(H48:H48)</f>
        <v>0</v>
      </c>
      <c r="I47" s="110">
        <f>SUM(I48:I48)</f>
        <v>0</v>
      </c>
      <c r="J47" s="110">
        <f>SUM(J48:J48)</f>
        <v>0</v>
      </c>
      <c r="K47" s="126" t="s">
        <v>53</v>
      </c>
      <c r="AI47" s="115" t="s">
        <v>1225</v>
      </c>
      <c r="AS47" s="110">
        <f>SUM(AJ48:AJ48)</f>
        <v>0</v>
      </c>
      <c r="AT47" s="110">
        <f>SUM(AK48:AK48)</f>
        <v>0</v>
      </c>
      <c r="AU47" s="110">
        <f>SUM(AL48:AL48)</f>
        <v>0</v>
      </c>
    </row>
    <row r="48" spans="1:76" x14ac:dyDescent="0.25">
      <c r="A48" s="134" t="s">
        <v>142</v>
      </c>
      <c r="B48" s="135" t="s">
        <v>422</v>
      </c>
      <c r="C48" s="270" t="s">
        <v>420</v>
      </c>
      <c r="D48" s="271"/>
      <c r="E48" s="135" t="s">
        <v>416</v>
      </c>
      <c r="F48" s="131">
        <v>1</v>
      </c>
      <c r="G48" s="179">
        <v>0</v>
      </c>
      <c r="H48" s="131">
        <f>F48*AO48</f>
        <v>0</v>
      </c>
      <c r="I48" s="131">
        <f>F48*AP48</f>
        <v>0</v>
      </c>
      <c r="J48" s="131">
        <f>F48*G48</f>
        <v>0</v>
      </c>
      <c r="K48" s="136" t="s">
        <v>53</v>
      </c>
      <c r="Z48" s="131">
        <f>IF(AQ48="5",BJ48,0)</f>
        <v>0</v>
      </c>
      <c r="AB48" s="131">
        <f>IF(AQ48="1",BH48,0)</f>
        <v>0</v>
      </c>
      <c r="AC48" s="131">
        <f>IF(AQ48="1",BI48,0)</f>
        <v>0</v>
      </c>
      <c r="AD48" s="131">
        <f>IF(AQ48="7",BH48,0)</f>
        <v>0</v>
      </c>
      <c r="AE48" s="131">
        <f>IF(AQ48="7",BI48,0)</f>
        <v>0</v>
      </c>
      <c r="AF48" s="131">
        <f>IF(AQ48="2",BH48,0)</f>
        <v>0</v>
      </c>
      <c r="AG48" s="131">
        <f>IF(AQ48="2",BI48,0)</f>
        <v>0</v>
      </c>
      <c r="AH48" s="131">
        <f>IF(AQ48="0",BJ48,0)</f>
        <v>0</v>
      </c>
      <c r="AI48" s="115" t="s">
        <v>1225</v>
      </c>
      <c r="AJ48" s="131">
        <f>IF(AN48=0,J48,0)</f>
        <v>0</v>
      </c>
      <c r="AK48" s="131">
        <f>IF(AN48=12,J48,0)</f>
        <v>0</v>
      </c>
      <c r="AL48" s="131">
        <f>IF(AN48=21,J48,0)</f>
        <v>0</v>
      </c>
      <c r="AN48" s="131">
        <v>21</v>
      </c>
      <c r="AO48" s="131">
        <f>G48*0</f>
        <v>0</v>
      </c>
      <c r="AP48" s="131">
        <f>G48*(1-0)</f>
        <v>0</v>
      </c>
      <c r="AQ48" s="132" t="s">
        <v>405</v>
      </c>
      <c r="AV48" s="131">
        <f>AW48+AX48</f>
        <v>0</v>
      </c>
      <c r="AW48" s="131">
        <f>F48*AO48</f>
        <v>0</v>
      </c>
      <c r="AX48" s="131">
        <f>F48*AP48</f>
        <v>0</v>
      </c>
      <c r="AY48" s="132" t="s">
        <v>423</v>
      </c>
      <c r="AZ48" s="132" t="s">
        <v>1251</v>
      </c>
      <c r="BA48" s="115" t="s">
        <v>1227</v>
      </c>
      <c r="BC48" s="131">
        <f>AW48+AX48</f>
        <v>0</v>
      </c>
      <c r="BD48" s="131">
        <f>G48/(100-BE48)*100</f>
        <v>0</v>
      </c>
      <c r="BE48" s="131">
        <v>0</v>
      </c>
      <c r="BF48" s="131">
        <f>48</f>
        <v>48</v>
      </c>
      <c r="BH48" s="131">
        <f>F48*AO48</f>
        <v>0</v>
      </c>
      <c r="BI48" s="131">
        <f>F48*AP48</f>
        <v>0</v>
      </c>
      <c r="BJ48" s="131">
        <f>F48*G48</f>
        <v>0</v>
      </c>
      <c r="BK48" s="131"/>
      <c r="BL48" s="131"/>
      <c r="BO48" s="131">
        <f>F48*G48</f>
        <v>0</v>
      </c>
      <c r="BW48" s="131">
        <v>21</v>
      </c>
      <c r="BX48" s="133" t="s">
        <v>420</v>
      </c>
    </row>
    <row r="49" spans="1:76" x14ac:dyDescent="0.25">
      <c r="A49" s="123" t="s">
        <v>53</v>
      </c>
      <c r="B49" s="124" t="s">
        <v>424</v>
      </c>
      <c r="C49" s="272" t="s">
        <v>425</v>
      </c>
      <c r="D49" s="273"/>
      <c r="E49" s="125" t="s">
        <v>9</v>
      </c>
      <c r="F49" s="125" t="s">
        <v>9</v>
      </c>
      <c r="G49" s="125" t="s">
        <v>9</v>
      </c>
      <c r="H49" s="110">
        <f>SUM(H50:H50)</f>
        <v>0</v>
      </c>
      <c r="I49" s="110">
        <f>SUM(I50:I50)</f>
        <v>0</v>
      </c>
      <c r="J49" s="110">
        <f>SUM(J50:J50)</f>
        <v>0</v>
      </c>
      <c r="K49" s="126" t="s">
        <v>53</v>
      </c>
      <c r="AI49" s="115" t="s">
        <v>1225</v>
      </c>
      <c r="AS49" s="110">
        <f>SUM(AJ50:AJ50)</f>
        <v>0</v>
      </c>
      <c r="AT49" s="110">
        <f>SUM(AK50:AK50)</f>
        <v>0</v>
      </c>
      <c r="AU49" s="110">
        <f>SUM(AL50:AL50)</f>
        <v>0</v>
      </c>
    </row>
    <row r="50" spans="1:76" x14ac:dyDescent="0.25">
      <c r="A50" s="134" t="s">
        <v>145</v>
      </c>
      <c r="B50" s="135" t="s">
        <v>427</v>
      </c>
      <c r="C50" s="270" t="s">
        <v>428</v>
      </c>
      <c r="D50" s="271"/>
      <c r="E50" s="135" t="s">
        <v>416</v>
      </c>
      <c r="F50" s="131">
        <v>1</v>
      </c>
      <c r="G50" s="179">
        <v>0</v>
      </c>
      <c r="H50" s="131">
        <f>F50*AO50</f>
        <v>0</v>
      </c>
      <c r="I50" s="131">
        <f>F50*AP50</f>
        <v>0</v>
      </c>
      <c r="J50" s="131">
        <f>F50*G50</f>
        <v>0</v>
      </c>
      <c r="K50" s="136" t="s">
        <v>53</v>
      </c>
      <c r="Z50" s="131">
        <f>IF(AQ50="5",BJ50,0)</f>
        <v>0</v>
      </c>
      <c r="AB50" s="131">
        <f>IF(AQ50="1",BH50,0)</f>
        <v>0</v>
      </c>
      <c r="AC50" s="131">
        <f>IF(AQ50="1",BI50,0)</f>
        <v>0</v>
      </c>
      <c r="AD50" s="131">
        <f>IF(AQ50="7",BH50,0)</f>
        <v>0</v>
      </c>
      <c r="AE50" s="131">
        <f>IF(AQ50="7",BI50,0)</f>
        <v>0</v>
      </c>
      <c r="AF50" s="131">
        <f>IF(AQ50="2",BH50,0)</f>
        <v>0</v>
      </c>
      <c r="AG50" s="131">
        <f>IF(AQ50="2",BI50,0)</f>
        <v>0</v>
      </c>
      <c r="AH50" s="131">
        <f>IF(AQ50="0",BJ50,0)</f>
        <v>0</v>
      </c>
      <c r="AI50" s="115" t="s">
        <v>1225</v>
      </c>
      <c r="AJ50" s="131">
        <f>IF(AN50=0,J50,0)</f>
        <v>0</v>
      </c>
      <c r="AK50" s="131">
        <f>IF(AN50=12,J50,0)</f>
        <v>0</v>
      </c>
      <c r="AL50" s="131">
        <f>IF(AN50=21,J50,0)</f>
        <v>0</v>
      </c>
      <c r="AN50" s="131">
        <v>21</v>
      </c>
      <c r="AO50" s="131">
        <f>G50*0</f>
        <v>0</v>
      </c>
      <c r="AP50" s="131">
        <f>G50*(1-0)</f>
        <v>0</v>
      </c>
      <c r="AQ50" s="132" t="s">
        <v>405</v>
      </c>
      <c r="AV50" s="131">
        <f>AW50+AX50</f>
        <v>0</v>
      </c>
      <c r="AW50" s="131">
        <f>F50*AO50</f>
        <v>0</v>
      </c>
      <c r="AX50" s="131">
        <f>F50*AP50</f>
        <v>0</v>
      </c>
      <c r="AY50" s="132" t="s">
        <v>429</v>
      </c>
      <c r="AZ50" s="132" t="s">
        <v>1251</v>
      </c>
      <c r="BA50" s="115" t="s">
        <v>1227</v>
      </c>
      <c r="BC50" s="131">
        <f>AW50+AX50</f>
        <v>0</v>
      </c>
      <c r="BD50" s="131">
        <f>G50/(100-BE50)*100</f>
        <v>0</v>
      </c>
      <c r="BE50" s="131">
        <v>0</v>
      </c>
      <c r="BF50" s="131">
        <f>50</f>
        <v>50</v>
      </c>
      <c r="BH50" s="131">
        <f>F50*AO50</f>
        <v>0</v>
      </c>
      <c r="BI50" s="131">
        <f>F50*AP50</f>
        <v>0</v>
      </c>
      <c r="BJ50" s="131">
        <f>F50*G50</f>
        <v>0</v>
      </c>
      <c r="BK50" s="131"/>
      <c r="BL50" s="131"/>
      <c r="BR50" s="131">
        <f>F50*G50</f>
        <v>0</v>
      </c>
      <c r="BW50" s="131">
        <v>21</v>
      </c>
      <c r="BX50" s="133" t="s">
        <v>428</v>
      </c>
    </row>
    <row r="51" spans="1:76" x14ac:dyDescent="0.25">
      <c r="A51" s="123" t="s">
        <v>53</v>
      </c>
      <c r="B51" s="124" t="s">
        <v>53</v>
      </c>
      <c r="C51" s="272" t="s">
        <v>1252</v>
      </c>
      <c r="D51" s="273"/>
      <c r="E51" s="125" t="s">
        <v>9</v>
      </c>
      <c r="F51" s="125" t="s">
        <v>9</v>
      </c>
      <c r="G51" s="125" t="s">
        <v>9</v>
      </c>
      <c r="H51" s="110">
        <f>H52+H56+H60+H65+H69+H71+H74+H76+H78+H88+H90+H92</f>
        <v>0</v>
      </c>
      <c r="I51" s="110">
        <f>I52+I56+I60+I65+I69+I71+I74+I76+I78+I88+I90+I92</f>
        <v>0</v>
      </c>
      <c r="J51" s="110">
        <f>J52+J56+J60+J65+J69+J71+J74+J76+J78+J88+J90+J92</f>
        <v>0</v>
      </c>
      <c r="K51" s="126" t="s">
        <v>53</v>
      </c>
    </row>
    <row r="52" spans="1:76" x14ac:dyDescent="0.25">
      <c r="A52" s="123" t="s">
        <v>53</v>
      </c>
      <c r="B52" s="124" t="s">
        <v>54</v>
      </c>
      <c r="C52" s="272" t="s">
        <v>55</v>
      </c>
      <c r="D52" s="273"/>
      <c r="E52" s="125" t="s">
        <v>9</v>
      </c>
      <c r="F52" s="125" t="s">
        <v>9</v>
      </c>
      <c r="G52" s="125" t="s">
        <v>9</v>
      </c>
      <c r="H52" s="110">
        <f>SUM(H53:H55)</f>
        <v>0</v>
      </c>
      <c r="I52" s="110">
        <f>SUM(I53:I55)</f>
        <v>0</v>
      </c>
      <c r="J52" s="110">
        <f>SUM(J53:J55)</f>
        <v>0</v>
      </c>
      <c r="K52" s="126" t="s">
        <v>53</v>
      </c>
      <c r="AI52" s="115" t="s">
        <v>1253</v>
      </c>
      <c r="AS52" s="110">
        <f>SUM(AJ53:AJ55)</f>
        <v>0</v>
      </c>
      <c r="AT52" s="110">
        <f>SUM(AK53:AK55)</f>
        <v>0</v>
      </c>
      <c r="AU52" s="110">
        <f>SUM(AL53:AL55)</f>
        <v>0</v>
      </c>
    </row>
    <row r="53" spans="1:76" x14ac:dyDescent="0.25">
      <c r="A53" s="134" t="s">
        <v>150</v>
      </c>
      <c r="B53" s="135" t="s">
        <v>703</v>
      </c>
      <c r="C53" s="270" t="s">
        <v>704</v>
      </c>
      <c r="D53" s="271"/>
      <c r="E53" s="135" t="s">
        <v>705</v>
      </c>
      <c r="F53" s="131">
        <v>8</v>
      </c>
      <c r="G53" s="179">
        <v>0</v>
      </c>
      <c r="H53" s="131">
        <f>F53*AO53</f>
        <v>0</v>
      </c>
      <c r="I53" s="131">
        <f>F53*AP53</f>
        <v>0</v>
      </c>
      <c r="J53" s="131">
        <f>F53*G53</f>
        <v>0</v>
      </c>
      <c r="K53" s="136" t="s">
        <v>60</v>
      </c>
      <c r="Z53" s="131">
        <f>IF(AQ53="5",BJ53,0)</f>
        <v>0</v>
      </c>
      <c r="AB53" s="131">
        <f>IF(AQ53="1",BH53,0)</f>
        <v>0</v>
      </c>
      <c r="AC53" s="131">
        <f>IF(AQ53="1",BI53,0)</f>
        <v>0</v>
      </c>
      <c r="AD53" s="131">
        <f>IF(AQ53="7",BH53,0)</f>
        <v>0</v>
      </c>
      <c r="AE53" s="131">
        <f>IF(AQ53="7",BI53,0)</f>
        <v>0</v>
      </c>
      <c r="AF53" s="131">
        <f>IF(AQ53="2",BH53,0)</f>
        <v>0</v>
      </c>
      <c r="AG53" s="131">
        <f>IF(AQ53="2",BI53,0)</f>
        <v>0</v>
      </c>
      <c r="AH53" s="131">
        <f>IF(AQ53="0",BJ53,0)</f>
        <v>0</v>
      </c>
      <c r="AI53" s="115" t="s">
        <v>1253</v>
      </c>
      <c r="AJ53" s="131">
        <f>IF(AN53=0,J53,0)</f>
        <v>0</v>
      </c>
      <c r="AK53" s="131">
        <f>IF(AN53=12,J53,0)</f>
        <v>0</v>
      </c>
      <c r="AL53" s="131">
        <f>IF(AN53=21,J53,0)</f>
        <v>0</v>
      </c>
      <c r="AN53" s="131">
        <v>21</v>
      </c>
      <c r="AO53" s="131">
        <f>G53*0</f>
        <v>0</v>
      </c>
      <c r="AP53" s="131">
        <f>G53*(1-0)</f>
        <v>0</v>
      </c>
      <c r="AQ53" s="132" t="s">
        <v>56</v>
      </c>
      <c r="AV53" s="131">
        <f>AW53+AX53</f>
        <v>0</v>
      </c>
      <c r="AW53" s="131">
        <f>F53*AO53</f>
        <v>0</v>
      </c>
      <c r="AX53" s="131">
        <f>F53*AP53</f>
        <v>0</v>
      </c>
      <c r="AY53" s="132" t="s">
        <v>61</v>
      </c>
      <c r="AZ53" s="132" t="s">
        <v>1254</v>
      </c>
      <c r="BA53" s="115" t="s">
        <v>1255</v>
      </c>
      <c r="BC53" s="131">
        <f>AW53+AX53</f>
        <v>0</v>
      </c>
      <c r="BD53" s="131">
        <f>G53/(100-BE53)*100</f>
        <v>0</v>
      </c>
      <c r="BE53" s="131">
        <v>0</v>
      </c>
      <c r="BF53" s="131">
        <f>53</f>
        <v>53</v>
      </c>
      <c r="BH53" s="131">
        <f>F53*AO53</f>
        <v>0</v>
      </c>
      <c r="BI53" s="131">
        <f>F53*AP53</f>
        <v>0</v>
      </c>
      <c r="BJ53" s="131">
        <f>F53*G53</f>
        <v>0</v>
      </c>
      <c r="BK53" s="131"/>
      <c r="BL53" s="131">
        <v>11</v>
      </c>
      <c r="BW53" s="131">
        <v>21</v>
      </c>
      <c r="BX53" s="133" t="s">
        <v>704</v>
      </c>
    </row>
    <row r="54" spans="1:76" x14ac:dyDescent="0.25">
      <c r="A54" s="134" t="s">
        <v>155</v>
      </c>
      <c r="B54" s="135" t="s">
        <v>1256</v>
      </c>
      <c r="C54" s="270" t="s">
        <v>1257</v>
      </c>
      <c r="D54" s="271"/>
      <c r="E54" s="135" t="s">
        <v>67</v>
      </c>
      <c r="F54" s="131">
        <v>2</v>
      </c>
      <c r="G54" s="179">
        <v>0</v>
      </c>
      <c r="H54" s="131">
        <f>F54*AO54</f>
        <v>0</v>
      </c>
      <c r="I54" s="131">
        <f>F54*AP54</f>
        <v>0</v>
      </c>
      <c r="J54" s="131">
        <f>F54*G54</f>
        <v>0</v>
      </c>
      <c r="K54" s="136" t="s">
        <v>60</v>
      </c>
      <c r="Z54" s="131">
        <f>IF(AQ54="5",BJ54,0)</f>
        <v>0</v>
      </c>
      <c r="AB54" s="131">
        <f>IF(AQ54="1",BH54,0)</f>
        <v>0</v>
      </c>
      <c r="AC54" s="131">
        <f>IF(AQ54="1",BI54,0)</f>
        <v>0</v>
      </c>
      <c r="AD54" s="131">
        <f>IF(AQ54="7",BH54,0)</f>
        <v>0</v>
      </c>
      <c r="AE54" s="131">
        <f>IF(AQ54="7",BI54,0)</f>
        <v>0</v>
      </c>
      <c r="AF54" s="131">
        <f>IF(AQ54="2",BH54,0)</f>
        <v>0</v>
      </c>
      <c r="AG54" s="131">
        <f>IF(AQ54="2",BI54,0)</f>
        <v>0</v>
      </c>
      <c r="AH54" s="131">
        <f>IF(AQ54="0",BJ54,0)</f>
        <v>0</v>
      </c>
      <c r="AI54" s="115" t="s">
        <v>1253</v>
      </c>
      <c r="AJ54" s="131">
        <f>IF(AN54=0,J54,0)</f>
        <v>0</v>
      </c>
      <c r="AK54" s="131">
        <f>IF(AN54=12,J54,0)</f>
        <v>0</v>
      </c>
      <c r="AL54" s="131">
        <f>IF(AN54=21,J54,0)</f>
        <v>0</v>
      </c>
      <c r="AN54" s="131">
        <v>21</v>
      </c>
      <c r="AO54" s="131">
        <f>G54*0.291967213</f>
        <v>0</v>
      </c>
      <c r="AP54" s="131">
        <f>G54*(1-0.291967213)</f>
        <v>0</v>
      </c>
      <c r="AQ54" s="132" t="s">
        <v>56</v>
      </c>
      <c r="AV54" s="131">
        <f>AW54+AX54</f>
        <v>0</v>
      </c>
      <c r="AW54" s="131">
        <f>F54*AO54</f>
        <v>0</v>
      </c>
      <c r="AX54" s="131">
        <f>F54*AP54</f>
        <v>0</v>
      </c>
      <c r="AY54" s="132" t="s">
        <v>61</v>
      </c>
      <c r="AZ54" s="132" t="s">
        <v>1254</v>
      </c>
      <c r="BA54" s="115" t="s">
        <v>1255</v>
      </c>
      <c r="BC54" s="131">
        <f>AW54+AX54</f>
        <v>0</v>
      </c>
      <c r="BD54" s="131">
        <f>G54/(100-BE54)*100</f>
        <v>0</v>
      </c>
      <c r="BE54" s="131">
        <v>0</v>
      </c>
      <c r="BF54" s="131">
        <f>54</f>
        <v>54</v>
      </c>
      <c r="BH54" s="131">
        <f>F54*AO54</f>
        <v>0</v>
      </c>
      <c r="BI54" s="131">
        <f>F54*AP54</f>
        <v>0</v>
      </c>
      <c r="BJ54" s="131">
        <f>F54*G54</f>
        <v>0</v>
      </c>
      <c r="BK54" s="131"/>
      <c r="BL54" s="131">
        <v>11</v>
      </c>
      <c r="BW54" s="131">
        <v>21</v>
      </c>
      <c r="BX54" s="133" t="s">
        <v>1257</v>
      </c>
    </row>
    <row r="55" spans="1:76" x14ac:dyDescent="0.25">
      <c r="A55" s="134" t="s">
        <v>158</v>
      </c>
      <c r="B55" s="135" t="s">
        <v>1228</v>
      </c>
      <c r="C55" s="270" t="s">
        <v>1229</v>
      </c>
      <c r="D55" s="271"/>
      <c r="E55" s="135" t="s">
        <v>67</v>
      </c>
      <c r="F55" s="131">
        <v>5</v>
      </c>
      <c r="G55" s="179">
        <v>0</v>
      </c>
      <c r="H55" s="131">
        <f>F55*AO55</f>
        <v>0</v>
      </c>
      <c r="I55" s="131">
        <f>F55*AP55</f>
        <v>0</v>
      </c>
      <c r="J55" s="131">
        <f>F55*G55</f>
        <v>0</v>
      </c>
      <c r="K55" s="136" t="s">
        <v>60</v>
      </c>
      <c r="Z55" s="131">
        <f>IF(AQ55="5",BJ55,0)</f>
        <v>0</v>
      </c>
      <c r="AB55" s="131">
        <f>IF(AQ55="1",BH55,0)</f>
        <v>0</v>
      </c>
      <c r="AC55" s="131">
        <f>IF(AQ55="1",BI55,0)</f>
        <v>0</v>
      </c>
      <c r="AD55" s="131">
        <f>IF(AQ55="7",BH55,0)</f>
        <v>0</v>
      </c>
      <c r="AE55" s="131">
        <f>IF(AQ55="7",BI55,0)</f>
        <v>0</v>
      </c>
      <c r="AF55" s="131">
        <f>IF(AQ55="2",BH55,0)</f>
        <v>0</v>
      </c>
      <c r="AG55" s="131">
        <f>IF(AQ55="2",BI55,0)</f>
        <v>0</v>
      </c>
      <c r="AH55" s="131">
        <f>IF(AQ55="0",BJ55,0)</f>
        <v>0</v>
      </c>
      <c r="AI55" s="115" t="s">
        <v>1253</v>
      </c>
      <c r="AJ55" s="131">
        <f>IF(AN55=0,J55,0)</f>
        <v>0</v>
      </c>
      <c r="AK55" s="131">
        <f>IF(AN55=12,J55,0)</f>
        <v>0</v>
      </c>
      <c r="AL55" s="131">
        <f>IF(AN55=21,J55,0)</f>
        <v>0</v>
      </c>
      <c r="AN55" s="131">
        <v>21</v>
      </c>
      <c r="AO55" s="131">
        <f>G55*0.257169811</f>
        <v>0</v>
      </c>
      <c r="AP55" s="131">
        <f>G55*(1-0.257169811)</f>
        <v>0</v>
      </c>
      <c r="AQ55" s="132" t="s">
        <v>56</v>
      </c>
      <c r="AV55" s="131">
        <f>AW55+AX55</f>
        <v>0</v>
      </c>
      <c r="AW55" s="131">
        <f>F55*AO55</f>
        <v>0</v>
      </c>
      <c r="AX55" s="131">
        <f>F55*AP55</f>
        <v>0</v>
      </c>
      <c r="AY55" s="132" t="s">
        <v>61</v>
      </c>
      <c r="AZ55" s="132" t="s">
        <v>1254</v>
      </c>
      <c r="BA55" s="115" t="s">
        <v>1255</v>
      </c>
      <c r="BC55" s="131">
        <f>AW55+AX55</f>
        <v>0</v>
      </c>
      <c r="BD55" s="131">
        <f>G55/(100-BE55)*100</f>
        <v>0</v>
      </c>
      <c r="BE55" s="131">
        <v>0</v>
      </c>
      <c r="BF55" s="131">
        <f>55</f>
        <v>55</v>
      </c>
      <c r="BH55" s="131">
        <f>F55*AO55</f>
        <v>0</v>
      </c>
      <c r="BI55" s="131">
        <f>F55*AP55</f>
        <v>0</v>
      </c>
      <c r="BJ55" s="131">
        <f>F55*G55</f>
        <v>0</v>
      </c>
      <c r="BK55" s="131"/>
      <c r="BL55" s="131">
        <v>11</v>
      </c>
      <c r="BW55" s="131">
        <v>21</v>
      </c>
      <c r="BX55" s="133" t="s">
        <v>1229</v>
      </c>
    </row>
    <row r="56" spans="1:76" x14ac:dyDescent="0.25">
      <c r="A56" s="123" t="s">
        <v>53</v>
      </c>
      <c r="B56" s="124" t="s">
        <v>96</v>
      </c>
      <c r="C56" s="272" t="s">
        <v>97</v>
      </c>
      <c r="D56" s="273"/>
      <c r="E56" s="125" t="s">
        <v>9</v>
      </c>
      <c r="F56" s="125" t="s">
        <v>9</v>
      </c>
      <c r="G56" s="125" t="s">
        <v>9</v>
      </c>
      <c r="H56" s="110">
        <f>SUM(H57:H59)</f>
        <v>0</v>
      </c>
      <c r="I56" s="110">
        <f>SUM(I57:I59)</f>
        <v>0</v>
      </c>
      <c r="J56" s="110">
        <f>SUM(J57:J59)</f>
        <v>0</v>
      </c>
      <c r="K56" s="126" t="s">
        <v>53</v>
      </c>
      <c r="AI56" s="115" t="s">
        <v>1253</v>
      </c>
      <c r="AS56" s="110">
        <f>SUM(AJ57:AJ59)</f>
        <v>0</v>
      </c>
      <c r="AT56" s="110">
        <f>SUM(AK57:AK59)</f>
        <v>0</v>
      </c>
      <c r="AU56" s="110">
        <f>SUM(AL57:AL59)</f>
        <v>0</v>
      </c>
    </row>
    <row r="57" spans="1:76" x14ac:dyDescent="0.25">
      <c r="A57" s="134" t="s">
        <v>161</v>
      </c>
      <c r="B57" s="135" t="s">
        <v>1230</v>
      </c>
      <c r="C57" s="270" t="s">
        <v>1231</v>
      </c>
      <c r="D57" s="271"/>
      <c r="E57" s="135" t="s">
        <v>79</v>
      </c>
      <c r="F57" s="131">
        <v>2.0499999999999998</v>
      </c>
      <c r="G57" s="179">
        <v>0</v>
      </c>
      <c r="H57" s="131">
        <f>F57*AO57</f>
        <v>0</v>
      </c>
      <c r="I57" s="131">
        <f>F57*AP57</f>
        <v>0</v>
      </c>
      <c r="J57" s="131">
        <f>F57*G57</f>
        <v>0</v>
      </c>
      <c r="K57" s="136" t="s">
        <v>60</v>
      </c>
      <c r="Z57" s="131">
        <f>IF(AQ57="5",BJ57,0)</f>
        <v>0</v>
      </c>
      <c r="AB57" s="131">
        <f>IF(AQ57="1",BH57,0)</f>
        <v>0</v>
      </c>
      <c r="AC57" s="131">
        <f>IF(AQ57="1",BI57,0)</f>
        <v>0</v>
      </c>
      <c r="AD57" s="131">
        <f>IF(AQ57="7",BH57,0)</f>
        <v>0</v>
      </c>
      <c r="AE57" s="131">
        <f>IF(AQ57="7",BI57,0)</f>
        <v>0</v>
      </c>
      <c r="AF57" s="131">
        <f>IF(AQ57="2",BH57,0)</f>
        <v>0</v>
      </c>
      <c r="AG57" s="131">
        <f>IF(AQ57="2",BI57,0)</f>
        <v>0</v>
      </c>
      <c r="AH57" s="131">
        <f>IF(AQ57="0",BJ57,0)</f>
        <v>0</v>
      </c>
      <c r="AI57" s="115" t="s">
        <v>1253</v>
      </c>
      <c r="AJ57" s="131">
        <f>IF(AN57=0,J57,0)</f>
        <v>0</v>
      </c>
      <c r="AK57" s="131">
        <f>IF(AN57=12,J57,0)</f>
        <v>0</v>
      </c>
      <c r="AL57" s="131">
        <f>IF(AN57=21,J57,0)</f>
        <v>0</v>
      </c>
      <c r="AN57" s="131">
        <v>21</v>
      </c>
      <c r="AO57" s="131">
        <f>G57*0</f>
        <v>0</v>
      </c>
      <c r="AP57" s="131">
        <f>G57*(1-0)</f>
        <v>0</v>
      </c>
      <c r="AQ57" s="132" t="s">
        <v>56</v>
      </c>
      <c r="AV57" s="131">
        <f>AW57+AX57</f>
        <v>0</v>
      </c>
      <c r="AW57" s="131">
        <f>F57*AO57</f>
        <v>0</v>
      </c>
      <c r="AX57" s="131">
        <f>F57*AP57</f>
        <v>0</v>
      </c>
      <c r="AY57" s="132" t="s">
        <v>100</v>
      </c>
      <c r="AZ57" s="132" t="s">
        <v>1254</v>
      </c>
      <c r="BA57" s="115" t="s">
        <v>1255</v>
      </c>
      <c r="BC57" s="131">
        <f>AW57+AX57</f>
        <v>0</v>
      </c>
      <c r="BD57" s="131">
        <f>G57/(100-BE57)*100</f>
        <v>0</v>
      </c>
      <c r="BE57" s="131">
        <v>0</v>
      </c>
      <c r="BF57" s="131">
        <f>57</f>
        <v>57</v>
      </c>
      <c r="BH57" s="131">
        <f>F57*AO57</f>
        <v>0</v>
      </c>
      <c r="BI57" s="131">
        <f>F57*AP57</f>
        <v>0</v>
      </c>
      <c r="BJ57" s="131">
        <f>F57*G57</f>
        <v>0</v>
      </c>
      <c r="BK57" s="131"/>
      <c r="BL57" s="131">
        <v>13</v>
      </c>
      <c r="BW57" s="131">
        <v>21</v>
      </c>
      <c r="BX57" s="133" t="s">
        <v>1231</v>
      </c>
    </row>
    <row r="58" spans="1:76" x14ac:dyDescent="0.25">
      <c r="A58" s="134" t="s">
        <v>165</v>
      </c>
      <c r="B58" s="135" t="s">
        <v>1232</v>
      </c>
      <c r="C58" s="270" t="s">
        <v>1233</v>
      </c>
      <c r="D58" s="271"/>
      <c r="E58" s="135" t="s">
        <v>79</v>
      </c>
      <c r="F58" s="131">
        <v>3.07</v>
      </c>
      <c r="G58" s="179">
        <v>0</v>
      </c>
      <c r="H58" s="131">
        <f>F58*AO58</f>
        <v>0</v>
      </c>
      <c r="I58" s="131">
        <f>F58*AP58</f>
        <v>0</v>
      </c>
      <c r="J58" s="131">
        <f>F58*G58</f>
        <v>0</v>
      </c>
      <c r="K58" s="136" t="s">
        <v>60</v>
      </c>
      <c r="Z58" s="131">
        <f>IF(AQ58="5",BJ58,0)</f>
        <v>0</v>
      </c>
      <c r="AB58" s="131">
        <f>IF(AQ58="1",BH58,0)</f>
        <v>0</v>
      </c>
      <c r="AC58" s="131">
        <f>IF(AQ58="1",BI58,0)</f>
        <v>0</v>
      </c>
      <c r="AD58" s="131">
        <f>IF(AQ58="7",BH58,0)</f>
        <v>0</v>
      </c>
      <c r="AE58" s="131">
        <f>IF(AQ58="7",BI58,0)</f>
        <v>0</v>
      </c>
      <c r="AF58" s="131">
        <f>IF(AQ58="2",BH58,0)</f>
        <v>0</v>
      </c>
      <c r="AG58" s="131">
        <f>IF(AQ58="2",BI58,0)</f>
        <v>0</v>
      </c>
      <c r="AH58" s="131">
        <f>IF(AQ58="0",BJ58,0)</f>
        <v>0</v>
      </c>
      <c r="AI58" s="115" t="s">
        <v>1253</v>
      </c>
      <c r="AJ58" s="131">
        <f>IF(AN58=0,J58,0)</f>
        <v>0</v>
      </c>
      <c r="AK58" s="131">
        <f>IF(AN58=12,J58,0)</f>
        <v>0</v>
      </c>
      <c r="AL58" s="131">
        <f>IF(AN58=21,J58,0)</f>
        <v>0</v>
      </c>
      <c r="AN58" s="131">
        <v>21</v>
      </c>
      <c r="AO58" s="131">
        <f>G58*0</f>
        <v>0</v>
      </c>
      <c r="AP58" s="131">
        <f>G58*(1-0)</f>
        <v>0</v>
      </c>
      <c r="AQ58" s="132" t="s">
        <v>56</v>
      </c>
      <c r="AV58" s="131">
        <f>AW58+AX58</f>
        <v>0</v>
      </c>
      <c r="AW58" s="131">
        <f>F58*AO58</f>
        <v>0</v>
      </c>
      <c r="AX58" s="131">
        <f>F58*AP58</f>
        <v>0</v>
      </c>
      <c r="AY58" s="132" t="s">
        <v>100</v>
      </c>
      <c r="AZ58" s="132" t="s">
        <v>1254</v>
      </c>
      <c r="BA58" s="115" t="s">
        <v>1255</v>
      </c>
      <c r="BC58" s="131">
        <f>AW58+AX58</f>
        <v>0</v>
      </c>
      <c r="BD58" s="131">
        <f>G58/(100-BE58)*100</f>
        <v>0</v>
      </c>
      <c r="BE58" s="131">
        <v>0</v>
      </c>
      <c r="BF58" s="131">
        <f>58</f>
        <v>58</v>
      </c>
      <c r="BH58" s="131">
        <f>F58*AO58</f>
        <v>0</v>
      </c>
      <c r="BI58" s="131">
        <f>F58*AP58</f>
        <v>0</v>
      </c>
      <c r="BJ58" s="131">
        <f>F58*G58</f>
        <v>0</v>
      </c>
      <c r="BK58" s="131"/>
      <c r="BL58" s="131">
        <v>13</v>
      </c>
      <c r="BW58" s="131">
        <v>21</v>
      </c>
      <c r="BX58" s="133" t="s">
        <v>1233</v>
      </c>
    </row>
    <row r="59" spans="1:76" x14ac:dyDescent="0.25">
      <c r="A59" s="134" t="s">
        <v>169</v>
      </c>
      <c r="B59" s="135" t="s">
        <v>98</v>
      </c>
      <c r="C59" s="270" t="s">
        <v>99</v>
      </c>
      <c r="D59" s="271"/>
      <c r="E59" s="135" t="s">
        <v>79</v>
      </c>
      <c r="F59" s="131">
        <v>4.4800000000000004</v>
      </c>
      <c r="G59" s="179">
        <v>0</v>
      </c>
      <c r="H59" s="131">
        <f>F59*AO59</f>
        <v>0</v>
      </c>
      <c r="I59" s="131">
        <f>F59*AP59</f>
        <v>0</v>
      </c>
      <c r="J59" s="131">
        <f>F59*G59</f>
        <v>0</v>
      </c>
      <c r="K59" s="136" t="s">
        <v>60</v>
      </c>
      <c r="Z59" s="131">
        <f>IF(AQ59="5",BJ59,0)</f>
        <v>0</v>
      </c>
      <c r="AB59" s="131">
        <f>IF(AQ59="1",BH59,0)</f>
        <v>0</v>
      </c>
      <c r="AC59" s="131">
        <f>IF(AQ59="1",BI59,0)</f>
        <v>0</v>
      </c>
      <c r="AD59" s="131">
        <f>IF(AQ59="7",BH59,0)</f>
        <v>0</v>
      </c>
      <c r="AE59" s="131">
        <f>IF(AQ59="7",BI59,0)</f>
        <v>0</v>
      </c>
      <c r="AF59" s="131">
        <f>IF(AQ59="2",BH59,0)</f>
        <v>0</v>
      </c>
      <c r="AG59" s="131">
        <f>IF(AQ59="2",BI59,0)</f>
        <v>0</v>
      </c>
      <c r="AH59" s="131">
        <f>IF(AQ59="0",BJ59,0)</f>
        <v>0</v>
      </c>
      <c r="AI59" s="115" t="s">
        <v>1253</v>
      </c>
      <c r="AJ59" s="131">
        <f>IF(AN59=0,J59,0)</f>
        <v>0</v>
      </c>
      <c r="AK59" s="131">
        <f>IF(AN59=12,J59,0)</f>
        <v>0</v>
      </c>
      <c r="AL59" s="131">
        <f>IF(AN59=21,J59,0)</f>
        <v>0</v>
      </c>
      <c r="AN59" s="131">
        <v>21</v>
      </c>
      <c r="AO59" s="131">
        <f>G59*0</f>
        <v>0</v>
      </c>
      <c r="AP59" s="131">
        <f>G59*(1-0)</f>
        <v>0</v>
      </c>
      <c r="AQ59" s="132" t="s">
        <v>56</v>
      </c>
      <c r="AV59" s="131">
        <f>AW59+AX59</f>
        <v>0</v>
      </c>
      <c r="AW59" s="131">
        <f>F59*AO59</f>
        <v>0</v>
      </c>
      <c r="AX59" s="131">
        <f>F59*AP59</f>
        <v>0</v>
      </c>
      <c r="AY59" s="132" t="s">
        <v>100</v>
      </c>
      <c r="AZ59" s="132" t="s">
        <v>1254</v>
      </c>
      <c r="BA59" s="115" t="s">
        <v>1255</v>
      </c>
      <c r="BC59" s="131">
        <f>AW59+AX59</f>
        <v>0</v>
      </c>
      <c r="BD59" s="131">
        <f>G59/(100-BE59)*100</f>
        <v>0</v>
      </c>
      <c r="BE59" s="131">
        <v>0</v>
      </c>
      <c r="BF59" s="131">
        <f>59</f>
        <v>59</v>
      </c>
      <c r="BH59" s="131">
        <f>F59*AO59</f>
        <v>0</v>
      </c>
      <c r="BI59" s="131">
        <f>F59*AP59</f>
        <v>0</v>
      </c>
      <c r="BJ59" s="131">
        <f>F59*G59</f>
        <v>0</v>
      </c>
      <c r="BK59" s="131"/>
      <c r="BL59" s="131">
        <v>13</v>
      </c>
      <c r="BW59" s="131">
        <v>21</v>
      </c>
      <c r="BX59" s="133" t="s">
        <v>99</v>
      </c>
    </row>
    <row r="60" spans="1:76" x14ac:dyDescent="0.25">
      <c r="A60" s="123" t="s">
        <v>53</v>
      </c>
      <c r="B60" s="124" t="s">
        <v>101</v>
      </c>
      <c r="C60" s="272" t="s">
        <v>102</v>
      </c>
      <c r="D60" s="273"/>
      <c r="E60" s="125" t="s">
        <v>9</v>
      </c>
      <c r="F60" s="125" t="s">
        <v>9</v>
      </c>
      <c r="G60" s="125" t="s">
        <v>9</v>
      </c>
      <c r="H60" s="110">
        <f>SUM(H61:H64)</f>
        <v>0</v>
      </c>
      <c r="I60" s="110">
        <f>SUM(I61:I64)</f>
        <v>0</v>
      </c>
      <c r="J60" s="110">
        <f>SUM(J61:J64)</f>
        <v>0</v>
      </c>
      <c r="K60" s="126" t="s">
        <v>53</v>
      </c>
      <c r="AI60" s="115" t="s">
        <v>1253</v>
      </c>
      <c r="AS60" s="110">
        <f>SUM(AJ61:AJ64)</f>
        <v>0</v>
      </c>
      <c r="AT60" s="110">
        <f>SUM(AK61:AK64)</f>
        <v>0</v>
      </c>
      <c r="AU60" s="110">
        <f>SUM(AL61:AL64)</f>
        <v>0</v>
      </c>
    </row>
    <row r="61" spans="1:76" x14ac:dyDescent="0.25">
      <c r="A61" s="134" t="s">
        <v>174</v>
      </c>
      <c r="B61" s="135" t="s">
        <v>921</v>
      </c>
      <c r="C61" s="270" t="s">
        <v>922</v>
      </c>
      <c r="D61" s="271"/>
      <c r="E61" s="135" t="s">
        <v>79</v>
      </c>
      <c r="F61" s="131">
        <v>4.4800000000000004</v>
      </c>
      <c r="G61" s="179">
        <v>0</v>
      </c>
      <c r="H61" s="131">
        <f>F61*AO61</f>
        <v>0</v>
      </c>
      <c r="I61" s="131">
        <f>F61*AP61</f>
        <v>0</v>
      </c>
      <c r="J61" s="131">
        <f>F61*G61</f>
        <v>0</v>
      </c>
      <c r="K61" s="136" t="s">
        <v>60</v>
      </c>
      <c r="Z61" s="131">
        <f>IF(AQ61="5",BJ61,0)</f>
        <v>0</v>
      </c>
      <c r="AB61" s="131">
        <f>IF(AQ61="1",BH61,0)</f>
        <v>0</v>
      </c>
      <c r="AC61" s="131">
        <f>IF(AQ61="1",BI61,0)</f>
        <v>0</v>
      </c>
      <c r="AD61" s="131">
        <f>IF(AQ61="7",BH61,0)</f>
        <v>0</v>
      </c>
      <c r="AE61" s="131">
        <f>IF(AQ61="7",BI61,0)</f>
        <v>0</v>
      </c>
      <c r="AF61" s="131">
        <f>IF(AQ61="2",BH61,0)</f>
        <v>0</v>
      </c>
      <c r="AG61" s="131">
        <f>IF(AQ61="2",BI61,0)</f>
        <v>0</v>
      </c>
      <c r="AH61" s="131">
        <f>IF(AQ61="0",BJ61,0)</f>
        <v>0</v>
      </c>
      <c r="AI61" s="115" t="s">
        <v>1253</v>
      </c>
      <c r="AJ61" s="131">
        <f>IF(AN61=0,J61,0)</f>
        <v>0</v>
      </c>
      <c r="AK61" s="131">
        <f>IF(AN61=12,J61,0)</f>
        <v>0</v>
      </c>
      <c r="AL61" s="131">
        <f>IF(AN61=21,J61,0)</f>
        <v>0</v>
      </c>
      <c r="AN61" s="131">
        <v>21</v>
      </c>
      <c r="AO61" s="131">
        <f>G61*0</f>
        <v>0</v>
      </c>
      <c r="AP61" s="131">
        <f>G61*(1-0)</f>
        <v>0</v>
      </c>
      <c r="AQ61" s="132" t="s">
        <v>56</v>
      </c>
      <c r="AV61" s="131">
        <f>AW61+AX61</f>
        <v>0</v>
      </c>
      <c r="AW61" s="131">
        <f>F61*AO61</f>
        <v>0</v>
      </c>
      <c r="AX61" s="131">
        <f>F61*AP61</f>
        <v>0</v>
      </c>
      <c r="AY61" s="132" t="s">
        <v>105</v>
      </c>
      <c r="AZ61" s="132" t="s">
        <v>1254</v>
      </c>
      <c r="BA61" s="115" t="s">
        <v>1255</v>
      </c>
      <c r="BC61" s="131">
        <f>AW61+AX61</f>
        <v>0</v>
      </c>
      <c r="BD61" s="131">
        <f>G61/(100-BE61)*100</f>
        <v>0</v>
      </c>
      <c r="BE61" s="131">
        <v>0</v>
      </c>
      <c r="BF61" s="131">
        <f>61</f>
        <v>61</v>
      </c>
      <c r="BH61" s="131">
        <f>F61*AO61</f>
        <v>0</v>
      </c>
      <c r="BI61" s="131">
        <f>F61*AP61</f>
        <v>0</v>
      </c>
      <c r="BJ61" s="131">
        <f>F61*G61</f>
        <v>0</v>
      </c>
      <c r="BK61" s="131"/>
      <c r="BL61" s="131">
        <v>16</v>
      </c>
      <c r="BW61" s="131">
        <v>21</v>
      </c>
      <c r="BX61" s="133" t="s">
        <v>922</v>
      </c>
    </row>
    <row r="62" spans="1:76" x14ac:dyDescent="0.25">
      <c r="A62" s="134" t="s">
        <v>148</v>
      </c>
      <c r="B62" s="135" t="s">
        <v>114</v>
      </c>
      <c r="C62" s="270" t="s">
        <v>785</v>
      </c>
      <c r="D62" s="271"/>
      <c r="E62" s="135" t="s">
        <v>79</v>
      </c>
      <c r="F62" s="131">
        <v>2.4</v>
      </c>
      <c r="G62" s="179">
        <v>0</v>
      </c>
      <c r="H62" s="131">
        <f>F62*AO62</f>
        <v>0</v>
      </c>
      <c r="I62" s="131">
        <f>F62*AP62</f>
        <v>0</v>
      </c>
      <c r="J62" s="131">
        <f>F62*G62</f>
        <v>0</v>
      </c>
      <c r="K62" s="136" t="s">
        <v>60</v>
      </c>
      <c r="Z62" s="131">
        <f>IF(AQ62="5",BJ62,0)</f>
        <v>0</v>
      </c>
      <c r="AB62" s="131">
        <f>IF(AQ62="1",BH62,0)</f>
        <v>0</v>
      </c>
      <c r="AC62" s="131">
        <f>IF(AQ62="1",BI62,0)</f>
        <v>0</v>
      </c>
      <c r="AD62" s="131">
        <f>IF(AQ62="7",BH62,0)</f>
        <v>0</v>
      </c>
      <c r="AE62" s="131">
        <f>IF(AQ62="7",BI62,0)</f>
        <v>0</v>
      </c>
      <c r="AF62" s="131">
        <f>IF(AQ62="2",BH62,0)</f>
        <v>0</v>
      </c>
      <c r="AG62" s="131">
        <f>IF(AQ62="2",BI62,0)</f>
        <v>0</v>
      </c>
      <c r="AH62" s="131">
        <f>IF(AQ62="0",BJ62,0)</f>
        <v>0</v>
      </c>
      <c r="AI62" s="115" t="s">
        <v>1253</v>
      </c>
      <c r="AJ62" s="131">
        <f>IF(AN62=0,J62,0)</f>
        <v>0</v>
      </c>
      <c r="AK62" s="131">
        <f>IF(AN62=12,J62,0)</f>
        <v>0</v>
      </c>
      <c r="AL62" s="131">
        <f>IF(AN62=21,J62,0)</f>
        <v>0</v>
      </c>
      <c r="AN62" s="131">
        <v>21</v>
      </c>
      <c r="AO62" s="131">
        <f>G62*0</f>
        <v>0</v>
      </c>
      <c r="AP62" s="131">
        <f>G62*(1-0)</f>
        <v>0</v>
      </c>
      <c r="AQ62" s="132" t="s">
        <v>56</v>
      </c>
      <c r="AV62" s="131">
        <f>AW62+AX62</f>
        <v>0</v>
      </c>
      <c r="AW62" s="131">
        <f>F62*AO62</f>
        <v>0</v>
      </c>
      <c r="AX62" s="131">
        <f>F62*AP62</f>
        <v>0</v>
      </c>
      <c r="AY62" s="132" t="s">
        <v>105</v>
      </c>
      <c r="AZ62" s="132" t="s">
        <v>1254</v>
      </c>
      <c r="BA62" s="115" t="s">
        <v>1255</v>
      </c>
      <c r="BC62" s="131">
        <f>AW62+AX62</f>
        <v>0</v>
      </c>
      <c r="BD62" s="131">
        <f>G62/(100-BE62)*100</f>
        <v>0</v>
      </c>
      <c r="BE62" s="131">
        <v>0</v>
      </c>
      <c r="BF62" s="131">
        <f>62</f>
        <v>62</v>
      </c>
      <c r="BH62" s="131">
        <f>F62*AO62</f>
        <v>0</v>
      </c>
      <c r="BI62" s="131">
        <f>F62*AP62</f>
        <v>0</v>
      </c>
      <c r="BJ62" s="131">
        <f>F62*G62</f>
        <v>0</v>
      </c>
      <c r="BK62" s="131"/>
      <c r="BL62" s="131">
        <v>16</v>
      </c>
      <c r="BW62" s="131">
        <v>21</v>
      </c>
      <c r="BX62" s="133" t="s">
        <v>785</v>
      </c>
    </row>
    <row r="63" spans="1:76" x14ac:dyDescent="0.25">
      <c r="A63" s="134" t="s">
        <v>183</v>
      </c>
      <c r="B63" s="135" t="s">
        <v>117</v>
      </c>
      <c r="C63" s="270" t="s">
        <v>118</v>
      </c>
      <c r="D63" s="271"/>
      <c r="E63" s="135" t="s">
        <v>79</v>
      </c>
      <c r="F63" s="131">
        <v>24</v>
      </c>
      <c r="G63" s="179">
        <v>0</v>
      </c>
      <c r="H63" s="131">
        <f>F63*AO63</f>
        <v>0</v>
      </c>
      <c r="I63" s="131">
        <f>F63*AP63</f>
        <v>0</v>
      </c>
      <c r="J63" s="131">
        <f>F63*G63</f>
        <v>0</v>
      </c>
      <c r="K63" s="136" t="s">
        <v>60</v>
      </c>
      <c r="Z63" s="131">
        <f>IF(AQ63="5",BJ63,0)</f>
        <v>0</v>
      </c>
      <c r="AB63" s="131">
        <f>IF(AQ63="1",BH63,0)</f>
        <v>0</v>
      </c>
      <c r="AC63" s="131">
        <f>IF(AQ63="1",BI63,0)</f>
        <v>0</v>
      </c>
      <c r="AD63" s="131">
        <f>IF(AQ63="7",BH63,0)</f>
        <v>0</v>
      </c>
      <c r="AE63" s="131">
        <f>IF(AQ63="7",BI63,0)</f>
        <v>0</v>
      </c>
      <c r="AF63" s="131">
        <f>IF(AQ63="2",BH63,0)</f>
        <v>0</v>
      </c>
      <c r="AG63" s="131">
        <f>IF(AQ63="2",BI63,0)</f>
        <v>0</v>
      </c>
      <c r="AH63" s="131">
        <f>IF(AQ63="0",BJ63,0)</f>
        <v>0</v>
      </c>
      <c r="AI63" s="115" t="s">
        <v>1253</v>
      </c>
      <c r="AJ63" s="131">
        <f>IF(AN63=0,J63,0)</f>
        <v>0</v>
      </c>
      <c r="AK63" s="131">
        <f>IF(AN63=12,J63,0)</f>
        <v>0</v>
      </c>
      <c r="AL63" s="131">
        <f>IF(AN63=21,J63,0)</f>
        <v>0</v>
      </c>
      <c r="AN63" s="131">
        <v>21</v>
      </c>
      <c r="AO63" s="131">
        <f>G63*0</f>
        <v>0</v>
      </c>
      <c r="AP63" s="131">
        <f>G63*(1-0)</f>
        <v>0</v>
      </c>
      <c r="AQ63" s="132" t="s">
        <v>56</v>
      </c>
      <c r="AV63" s="131">
        <f>AW63+AX63</f>
        <v>0</v>
      </c>
      <c r="AW63" s="131">
        <f>F63*AO63</f>
        <v>0</v>
      </c>
      <c r="AX63" s="131">
        <f>F63*AP63</f>
        <v>0</v>
      </c>
      <c r="AY63" s="132" t="s">
        <v>105</v>
      </c>
      <c r="AZ63" s="132" t="s">
        <v>1254</v>
      </c>
      <c r="BA63" s="115" t="s">
        <v>1255</v>
      </c>
      <c r="BC63" s="131">
        <f>AW63+AX63</f>
        <v>0</v>
      </c>
      <c r="BD63" s="131">
        <f>G63/(100-BE63)*100</f>
        <v>0</v>
      </c>
      <c r="BE63" s="131">
        <v>0</v>
      </c>
      <c r="BF63" s="131">
        <f>63</f>
        <v>63</v>
      </c>
      <c r="BH63" s="131">
        <f>F63*AO63</f>
        <v>0</v>
      </c>
      <c r="BI63" s="131">
        <f>F63*AP63</f>
        <v>0</v>
      </c>
      <c r="BJ63" s="131">
        <f>F63*G63</f>
        <v>0</v>
      </c>
      <c r="BK63" s="131"/>
      <c r="BL63" s="131">
        <v>16</v>
      </c>
      <c r="BW63" s="131">
        <v>21</v>
      </c>
      <c r="BX63" s="133" t="s">
        <v>118</v>
      </c>
    </row>
    <row r="64" spans="1:76" x14ac:dyDescent="0.25">
      <c r="A64" s="134" t="s">
        <v>186</v>
      </c>
      <c r="B64" s="135" t="s">
        <v>120</v>
      </c>
      <c r="C64" s="270" t="s">
        <v>121</v>
      </c>
      <c r="D64" s="271"/>
      <c r="E64" s="135" t="s">
        <v>122</v>
      </c>
      <c r="F64" s="131">
        <v>4.32</v>
      </c>
      <c r="G64" s="179">
        <v>0</v>
      </c>
      <c r="H64" s="131">
        <f>F64*AO64</f>
        <v>0</v>
      </c>
      <c r="I64" s="131">
        <f>F64*AP64</f>
        <v>0</v>
      </c>
      <c r="J64" s="131">
        <f>F64*G64</f>
        <v>0</v>
      </c>
      <c r="K64" s="136" t="s">
        <v>60</v>
      </c>
      <c r="Z64" s="131">
        <f>IF(AQ64="5",BJ64,0)</f>
        <v>0</v>
      </c>
      <c r="AB64" s="131">
        <f>IF(AQ64="1",BH64,0)</f>
        <v>0</v>
      </c>
      <c r="AC64" s="131">
        <f>IF(AQ64="1",BI64,0)</f>
        <v>0</v>
      </c>
      <c r="AD64" s="131">
        <f>IF(AQ64="7",BH64,0)</f>
        <v>0</v>
      </c>
      <c r="AE64" s="131">
        <f>IF(AQ64="7",BI64,0)</f>
        <v>0</v>
      </c>
      <c r="AF64" s="131">
        <f>IF(AQ64="2",BH64,0)</f>
        <v>0</v>
      </c>
      <c r="AG64" s="131">
        <f>IF(AQ64="2",BI64,0)</f>
        <v>0</v>
      </c>
      <c r="AH64" s="131">
        <f>IF(AQ64="0",BJ64,0)</f>
        <v>0</v>
      </c>
      <c r="AI64" s="115" t="s">
        <v>1253</v>
      </c>
      <c r="AJ64" s="131">
        <f>IF(AN64=0,J64,0)</f>
        <v>0</v>
      </c>
      <c r="AK64" s="131">
        <f>IF(AN64=12,J64,0)</f>
        <v>0</v>
      </c>
      <c r="AL64" s="131">
        <f>IF(AN64=21,J64,0)</f>
        <v>0</v>
      </c>
      <c r="AN64" s="131">
        <v>21</v>
      </c>
      <c r="AO64" s="131">
        <f>G64*0</f>
        <v>0</v>
      </c>
      <c r="AP64" s="131">
        <f>G64*(1-0)</f>
        <v>0</v>
      </c>
      <c r="AQ64" s="132" t="s">
        <v>56</v>
      </c>
      <c r="AV64" s="131">
        <f>AW64+AX64</f>
        <v>0</v>
      </c>
      <c r="AW64" s="131">
        <f>F64*AO64</f>
        <v>0</v>
      </c>
      <c r="AX64" s="131">
        <f>F64*AP64</f>
        <v>0</v>
      </c>
      <c r="AY64" s="132" t="s">
        <v>105</v>
      </c>
      <c r="AZ64" s="132" t="s">
        <v>1254</v>
      </c>
      <c r="BA64" s="115" t="s">
        <v>1255</v>
      </c>
      <c r="BC64" s="131">
        <f>AW64+AX64</f>
        <v>0</v>
      </c>
      <c r="BD64" s="131">
        <f>G64/(100-BE64)*100</f>
        <v>0</v>
      </c>
      <c r="BE64" s="131">
        <v>0</v>
      </c>
      <c r="BF64" s="131">
        <f>64</f>
        <v>64</v>
      </c>
      <c r="BH64" s="131">
        <f>F64*AO64</f>
        <v>0</v>
      </c>
      <c r="BI64" s="131">
        <f>F64*AP64</f>
        <v>0</v>
      </c>
      <c r="BJ64" s="131">
        <f>F64*G64</f>
        <v>0</v>
      </c>
      <c r="BK64" s="131"/>
      <c r="BL64" s="131">
        <v>16</v>
      </c>
      <c r="BW64" s="131">
        <v>21</v>
      </c>
      <c r="BX64" s="133" t="s">
        <v>121</v>
      </c>
    </row>
    <row r="65" spans="1:76" x14ac:dyDescent="0.25">
      <c r="A65" s="123" t="s">
        <v>53</v>
      </c>
      <c r="B65" s="124" t="s">
        <v>116</v>
      </c>
      <c r="C65" s="272" t="s">
        <v>123</v>
      </c>
      <c r="D65" s="273"/>
      <c r="E65" s="125" t="s">
        <v>9</v>
      </c>
      <c r="F65" s="125" t="s">
        <v>9</v>
      </c>
      <c r="G65" s="125" t="s">
        <v>9</v>
      </c>
      <c r="H65" s="110">
        <f>SUM(H66:H68)</f>
        <v>0</v>
      </c>
      <c r="I65" s="110">
        <f>SUM(I66:I68)</f>
        <v>0</v>
      </c>
      <c r="J65" s="110">
        <f>SUM(J66:J68)</f>
        <v>0</v>
      </c>
      <c r="K65" s="126" t="s">
        <v>53</v>
      </c>
      <c r="AI65" s="115" t="s">
        <v>1253</v>
      </c>
      <c r="AS65" s="110">
        <f>SUM(AJ66:AJ68)</f>
        <v>0</v>
      </c>
      <c r="AT65" s="110">
        <f>SUM(AK66:AK68)</f>
        <v>0</v>
      </c>
      <c r="AU65" s="110">
        <f>SUM(AL66:AL68)</f>
        <v>0</v>
      </c>
    </row>
    <row r="66" spans="1:76" x14ac:dyDescent="0.25">
      <c r="A66" s="134" t="s">
        <v>189</v>
      </c>
      <c r="B66" s="135" t="s">
        <v>129</v>
      </c>
      <c r="C66" s="270" t="s">
        <v>130</v>
      </c>
      <c r="D66" s="271"/>
      <c r="E66" s="135" t="s">
        <v>79</v>
      </c>
      <c r="F66" s="131">
        <v>2.72</v>
      </c>
      <c r="G66" s="179">
        <v>0</v>
      </c>
      <c r="H66" s="131">
        <f>F66*AO66</f>
        <v>0</v>
      </c>
      <c r="I66" s="131">
        <f>F66*AP66</f>
        <v>0</v>
      </c>
      <c r="J66" s="131">
        <f>F66*G66</f>
        <v>0</v>
      </c>
      <c r="K66" s="136" t="s">
        <v>60</v>
      </c>
      <c r="Z66" s="131">
        <f>IF(AQ66="5",BJ66,0)</f>
        <v>0</v>
      </c>
      <c r="AB66" s="131">
        <f>IF(AQ66="1",BH66,0)</f>
        <v>0</v>
      </c>
      <c r="AC66" s="131">
        <f>IF(AQ66="1",BI66,0)</f>
        <v>0</v>
      </c>
      <c r="AD66" s="131">
        <f>IF(AQ66="7",BH66,0)</f>
        <v>0</v>
      </c>
      <c r="AE66" s="131">
        <f>IF(AQ66="7",BI66,0)</f>
        <v>0</v>
      </c>
      <c r="AF66" s="131">
        <f>IF(AQ66="2",BH66,0)</f>
        <v>0</v>
      </c>
      <c r="AG66" s="131">
        <f>IF(AQ66="2",BI66,0)</f>
        <v>0</v>
      </c>
      <c r="AH66" s="131">
        <f>IF(AQ66="0",BJ66,0)</f>
        <v>0</v>
      </c>
      <c r="AI66" s="115" t="s">
        <v>1253</v>
      </c>
      <c r="AJ66" s="131">
        <f>IF(AN66=0,J66,0)</f>
        <v>0</v>
      </c>
      <c r="AK66" s="131">
        <f>IF(AN66=12,J66,0)</f>
        <v>0</v>
      </c>
      <c r="AL66" s="131">
        <f>IF(AN66=21,J66,0)</f>
        <v>0</v>
      </c>
      <c r="AN66" s="131">
        <v>21</v>
      </c>
      <c r="AO66" s="131">
        <f>G66*0</f>
        <v>0</v>
      </c>
      <c r="AP66" s="131">
        <f>G66*(1-0)</f>
        <v>0</v>
      </c>
      <c r="AQ66" s="132" t="s">
        <v>56</v>
      </c>
      <c r="AV66" s="131">
        <f>AW66+AX66</f>
        <v>0</v>
      </c>
      <c r="AW66" s="131">
        <f>F66*AO66</f>
        <v>0</v>
      </c>
      <c r="AX66" s="131">
        <f>F66*AP66</f>
        <v>0</v>
      </c>
      <c r="AY66" s="132" t="s">
        <v>127</v>
      </c>
      <c r="AZ66" s="132" t="s">
        <v>1254</v>
      </c>
      <c r="BA66" s="115" t="s">
        <v>1255</v>
      </c>
      <c r="BC66" s="131">
        <f>AW66+AX66</f>
        <v>0</v>
      </c>
      <c r="BD66" s="131">
        <f>G66/(100-BE66)*100</f>
        <v>0</v>
      </c>
      <c r="BE66" s="131">
        <v>0</v>
      </c>
      <c r="BF66" s="131">
        <f>66</f>
        <v>66</v>
      </c>
      <c r="BH66" s="131">
        <f>F66*AO66</f>
        <v>0</v>
      </c>
      <c r="BI66" s="131">
        <f>F66*AP66</f>
        <v>0</v>
      </c>
      <c r="BJ66" s="131">
        <f>F66*G66</f>
        <v>0</v>
      </c>
      <c r="BK66" s="131"/>
      <c r="BL66" s="131">
        <v>17</v>
      </c>
      <c r="BW66" s="131">
        <v>21</v>
      </c>
      <c r="BX66" s="133" t="s">
        <v>130</v>
      </c>
    </row>
    <row r="67" spans="1:76" x14ac:dyDescent="0.25">
      <c r="A67" s="134" t="s">
        <v>191</v>
      </c>
      <c r="B67" s="135" t="s">
        <v>786</v>
      </c>
      <c r="C67" s="270" t="s">
        <v>787</v>
      </c>
      <c r="D67" s="271"/>
      <c r="E67" s="135" t="s">
        <v>79</v>
      </c>
      <c r="F67" s="131">
        <v>1.76</v>
      </c>
      <c r="G67" s="179">
        <v>0</v>
      </c>
      <c r="H67" s="131">
        <f>F67*AO67</f>
        <v>0</v>
      </c>
      <c r="I67" s="131">
        <f>F67*AP67</f>
        <v>0</v>
      </c>
      <c r="J67" s="131">
        <f>F67*G67</f>
        <v>0</v>
      </c>
      <c r="K67" s="136" t="s">
        <v>60</v>
      </c>
      <c r="Z67" s="131">
        <f>IF(AQ67="5",BJ67,0)</f>
        <v>0</v>
      </c>
      <c r="AB67" s="131">
        <f>IF(AQ67="1",BH67,0)</f>
        <v>0</v>
      </c>
      <c r="AC67" s="131">
        <f>IF(AQ67="1",BI67,0)</f>
        <v>0</v>
      </c>
      <c r="AD67" s="131">
        <f>IF(AQ67="7",BH67,0)</f>
        <v>0</v>
      </c>
      <c r="AE67" s="131">
        <f>IF(AQ67="7",BI67,0)</f>
        <v>0</v>
      </c>
      <c r="AF67" s="131">
        <f>IF(AQ67="2",BH67,0)</f>
        <v>0</v>
      </c>
      <c r="AG67" s="131">
        <f>IF(AQ67="2",BI67,0)</f>
        <v>0</v>
      </c>
      <c r="AH67" s="131">
        <f>IF(AQ67="0",BJ67,0)</f>
        <v>0</v>
      </c>
      <c r="AI67" s="115" t="s">
        <v>1253</v>
      </c>
      <c r="AJ67" s="131">
        <f>IF(AN67=0,J67,0)</f>
        <v>0</v>
      </c>
      <c r="AK67" s="131">
        <f>IF(AN67=12,J67,0)</f>
        <v>0</v>
      </c>
      <c r="AL67" s="131">
        <f>IF(AN67=21,J67,0)</f>
        <v>0</v>
      </c>
      <c r="AN67" s="131">
        <v>21</v>
      </c>
      <c r="AO67" s="131">
        <f>G67*0</f>
        <v>0</v>
      </c>
      <c r="AP67" s="131">
        <f>G67*(1-0)</f>
        <v>0</v>
      </c>
      <c r="AQ67" s="132" t="s">
        <v>56</v>
      </c>
      <c r="AV67" s="131">
        <f>AW67+AX67</f>
        <v>0</v>
      </c>
      <c r="AW67" s="131">
        <f>F67*AO67</f>
        <v>0</v>
      </c>
      <c r="AX67" s="131">
        <f>F67*AP67</f>
        <v>0</v>
      </c>
      <c r="AY67" s="132" t="s">
        <v>127</v>
      </c>
      <c r="AZ67" s="132" t="s">
        <v>1254</v>
      </c>
      <c r="BA67" s="115" t="s">
        <v>1255</v>
      </c>
      <c r="BC67" s="131">
        <f>AW67+AX67</f>
        <v>0</v>
      </c>
      <c r="BD67" s="131">
        <f>G67/(100-BE67)*100</f>
        <v>0</v>
      </c>
      <c r="BE67" s="131">
        <v>0</v>
      </c>
      <c r="BF67" s="131">
        <f>67</f>
        <v>67</v>
      </c>
      <c r="BH67" s="131">
        <f>F67*AO67</f>
        <v>0</v>
      </c>
      <c r="BI67" s="131">
        <f>F67*AP67</f>
        <v>0</v>
      </c>
      <c r="BJ67" s="131">
        <f>F67*G67</f>
        <v>0</v>
      </c>
      <c r="BK67" s="131"/>
      <c r="BL67" s="131">
        <v>17</v>
      </c>
      <c r="BW67" s="131">
        <v>21</v>
      </c>
      <c r="BX67" s="133" t="s">
        <v>787</v>
      </c>
    </row>
    <row r="68" spans="1:76" x14ac:dyDescent="0.25">
      <c r="A68" s="134" t="s">
        <v>194</v>
      </c>
      <c r="B68" s="135" t="s">
        <v>788</v>
      </c>
      <c r="C68" s="270" t="s">
        <v>789</v>
      </c>
      <c r="D68" s="271"/>
      <c r="E68" s="135" t="s">
        <v>79</v>
      </c>
      <c r="F68" s="131">
        <v>2.4</v>
      </c>
      <c r="G68" s="179">
        <v>0</v>
      </c>
      <c r="H68" s="131">
        <f>F68*AO68</f>
        <v>0</v>
      </c>
      <c r="I68" s="131">
        <f>F68*AP68</f>
        <v>0</v>
      </c>
      <c r="J68" s="131">
        <f>F68*G68</f>
        <v>0</v>
      </c>
      <c r="K68" s="136" t="s">
        <v>60</v>
      </c>
      <c r="Z68" s="131">
        <f>IF(AQ68="5",BJ68,0)</f>
        <v>0</v>
      </c>
      <c r="AB68" s="131">
        <f>IF(AQ68="1",BH68,0)</f>
        <v>0</v>
      </c>
      <c r="AC68" s="131">
        <f>IF(AQ68="1",BI68,0)</f>
        <v>0</v>
      </c>
      <c r="AD68" s="131">
        <f>IF(AQ68="7",BH68,0)</f>
        <v>0</v>
      </c>
      <c r="AE68" s="131">
        <f>IF(AQ68="7",BI68,0)</f>
        <v>0</v>
      </c>
      <c r="AF68" s="131">
        <f>IF(AQ68="2",BH68,0)</f>
        <v>0</v>
      </c>
      <c r="AG68" s="131">
        <f>IF(AQ68="2",BI68,0)</f>
        <v>0</v>
      </c>
      <c r="AH68" s="131">
        <f>IF(AQ68="0",BJ68,0)</f>
        <v>0</v>
      </c>
      <c r="AI68" s="115" t="s">
        <v>1253</v>
      </c>
      <c r="AJ68" s="131">
        <f>IF(AN68=0,J68,0)</f>
        <v>0</v>
      </c>
      <c r="AK68" s="131">
        <f>IF(AN68=12,J68,0)</f>
        <v>0</v>
      </c>
      <c r="AL68" s="131">
        <f>IF(AN68=21,J68,0)</f>
        <v>0</v>
      </c>
      <c r="AN68" s="131">
        <v>21</v>
      </c>
      <c r="AO68" s="131">
        <f>G68*0</f>
        <v>0</v>
      </c>
      <c r="AP68" s="131">
        <f>G68*(1-0)</f>
        <v>0</v>
      </c>
      <c r="AQ68" s="132" t="s">
        <v>56</v>
      </c>
      <c r="AV68" s="131">
        <f>AW68+AX68</f>
        <v>0</v>
      </c>
      <c r="AW68" s="131">
        <f>F68*AO68</f>
        <v>0</v>
      </c>
      <c r="AX68" s="131">
        <f>F68*AP68</f>
        <v>0</v>
      </c>
      <c r="AY68" s="132" t="s">
        <v>127</v>
      </c>
      <c r="AZ68" s="132" t="s">
        <v>1254</v>
      </c>
      <c r="BA68" s="115" t="s">
        <v>1255</v>
      </c>
      <c r="BC68" s="131">
        <f>AW68+AX68</f>
        <v>0</v>
      </c>
      <c r="BD68" s="131">
        <f>G68/(100-BE68)*100</f>
        <v>0</v>
      </c>
      <c r="BE68" s="131">
        <v>0</v>
      </c>
      <c r="BF68" s="131">
        <f>68</f>
        <v>68</v>
      </c>
      <c r="BH68" s="131">
        <f>F68*AO68</f>
        <v>0</v>
      </c>
      <c r="BI68" s="131">
        <f>F68*AP68</f>
        <v>0</v>
      </c>
      <c r="BJ68" s="131">
        <f>F68*G68</f>
        <v>0</v>
      </c>
      <c r="BK68" s="131"/>
      <c r="BL68" s="131">
        <v>17</v>
      </c>
      <c r="BW68" s="131">
        <v>21</v>
      </c>
      <c r="BX68" s="133" t="s">
        <v>789</v>
      </c>
    </row>
    <row r="69" spans="1:76" x14ac:dyDescent="0.25">
      <c r="A69" s="123" t="s">
        <v>53</v>
      </c>
      <c r="B69" s="124" t="s">
        <v>167</v>
      </c>
      <c r="C69" s="272" t="s">
        <v>794</v>
      </c>
      <c r="D69" s="273"/>
      <c r="E69" s="125" t="s">
        <v>9</v>
      </c>
      <c r="F69" s="125" t="s">
        <v>9</v>
      </c>
      <c r="G69" s="125" t="s">
        <v>9</v>
      </c>
      <c r="H69" s="110">
        <f>SUM(H70:H70)</f>
        <v>0</v>
      </c>
      <c r="I69" s="110">
        <f>SUM(I70:I70)</f>
        <v>0</v>
      </c>
      <c r="J69" s="110">
        <f>SUM(J70:J70)</f>
        <v>0</v>
      </c>
      <c r="K69" s="126" t="s">
        <v>53</v>
      </c>
      <c r="AI69" s="115" t="s">
        <v>1253</v>
      </c>
      <c r="AS69" s="110">
        <f>SUM(AJ70:AJ70)</f>
        <v>0</v>
      </c>
      <c r="AT69" s="110">
        <f>SUM(AK70:AK70)</f>
        <v>0</v>
      </c>
      <c r="AU69" s="110">
        <f>SUM(AL70:AL70)</f>
        <v>0</v>
      </c>
    </row>
    <row r="70" spans="1:76" x14ac:dyDescent="0.25">
      <c r="A70" s="134" t="s">
        <v>197</v>
      </c>
      <c r="B70" s="135" t="s">
        <v>795</v>
      </c>
      <c r="C70" s="270" t="s">
        <v>796</v>
      </c>
      <c r="D70" s="271"/>
      <c r="E70" s="135" t="s">
        <v>79</v>
      </c>
      <c r="F70" s="131">
        <v>0.64</v>
      </c>
      <c r="G70" s="179">
        <v>0</v>
      </c>
      <c r="H70" s="131">
        <f>F70*AO70</f>
        <v>0</v>
      </c>
      <c r="I70" s="131">
        <f>F70*AP70</f>
        <v>0</v>
      </c>
      <c r="J70" s="131">
        <f>F70*G70</f>
        <v>0</v>
      </c>
      <c r="K70" s="136" t="s">
        <v>60</v>
      </c>
      <c r="Z70" s="131">
        <f>IF(AQ70="5",BJ70,0)</f>
        <v>0</v>
      </c>
      <c r="AB70" s="131">
        <f>IF(AQ70="1",BH70,0)</f>
        <v>0</v>
      </c>
      <c r="AC70" s="131">
        <f>IF(AQ70="1",BI70,0)</f>
        <v>0</v>
      </c>
      <c r="AD70" s="131">
        <f>IF(AQ70="7",BH70,0)</f>
        <v>0</v>
      </c>
      <c r="AE70" s="131">
        <f>IF(AQ70="7",BI70,0)</f>
        <v>0</v>
      </c>
      <c r="AF70" s="131">
        <f>IF(AQ70="2",BH70,0)</f>
        <v>0</v>
      </c>
      <c r="AG70" s="131">
        <f>IF(AQ70="2",BI70,0)</f>
        <v>0</v>
      </c>
      <c r="AH70" s="131">
        <f>IF(AQ70="0",BJ70,0)</f>
        <v>0</v>
      </c>
      <c r="AI70" s="115" t="s">
        <v>1253</v>
      </c>
      <c r="AJ70" s="131">
        <f>IF(AN70=0,J70,0)</f>
        <v>0</v>
      </c>
      <c r="AK70" s="131">
        <f>IF(AN70=12,J70,0)</f>
        <v>0</v>
      </c>
      <c r="AL70" s="131">
        <f>IF(AN70=21,J70,0)</f>
        <v>0</v>
      </c>
      <c r="AN70" s="131">
        <v>21</v>
      </c>
      <c r="AO70" s="131">
        <f>G70*0.483681154</f>
        <v>0</v>
      </c>
      <c r="AP70" s="131">
        <f>G70*(1-0.483681154)</f>
        <v>0</v>
      </c>
      <c r="AQ70" s="132" t="s">
        <v>56</v>
      </c>
      <c r="AV70" s="131">
        <f>AW70+AX70</f>
        <v>0</v>
      </c>
      <c r="AW70" s="131">
        <f>F70*AO70</f>
        <v>0</v>
      </c>
      <c r="AX70" s="131">
        <f>F70*AP70</f>
        <v>0</v>
      </c>
      <c r="AY70" s="132" t="s">
        <v>172</v>
      </c>
      <c r="AZ70" s="132" t="s">
        <v>1258</v>
      </c>
      <c r="BA70" s="115" t="s">
        <v>1255</v>
      </c>
      <c r="BC70" s="131">
        <f>AW70+AX70</f>
        <v>0</v>
      </c>
      <c r="BD70" s="131">
        <f>G70/(100-BE70)*100</f>
        <v>0</v>
      </c>
      <c r="BE70" s="131">
        <v>0</v>
      </c>
      <c r="BF70" s="131">
        <f>70</f>
        <v>70</v>
      </c>
      <c r="BH70" s="131">
        <f>F70*AO70</f>
        <v>0</v>
      </c>
      <c r="BI70" s="131">
        <f>F70*AP70</f>
        <v>0</v>
      </c>
      <c r="BJ70" s="131">
        <f>F70*G70</f>
        <v>0</v>
      </c>
      <c r="BK70" s="131"/>
      <c r="BL70" s="131">
        <v>45</v>
      </c>
      <c r="BW70" s="131">
        <v>21</v>
      </c>
      <c r="BX70" s="133" t="s">
        <v>796</v>
      </c>
    </row>
    <row r="71" spans="1:76" x14ac:dyDescent="0.25">
      <c r="A71" s="123" t="s">
        <v>53</v>
      </c>
      <c r="B71" s="124" t="s">
        <v>373</v>
      </c>
      <c r="C71" s="272" t="s">
        <v>798</v>
      </c>
      <c r="D71" s="273"/>
      <c r="E71" s="125" t="s">
        <v>9</v>
      </c>
      <c r="F71" s="125" t="s">
        <v>9</v>
      </c>
      <c r="G71" s="125" t="s">
        <v>9</v>
      </c>
      <c r="H71" s="110">
        <f>SUM(H72:H73)</f>
        <v>0</v>
      </c>
      <c r="I71" s="110">
        <f>SUM(I72:I73)</f>
        <v>0</v>
      </c>
      <c r="J71" s="110">
        <f>SUM(J72:J73)</f>
        <v>0</v>
      </c>
      <c r="K71" s="126" t="s">
        <v>53</v>
      </c>
      <c r="AI71" s="115" t="s">
        <v>1253</v>
      </c>
      <c r="AS71" s="110">
        <f>SUM(AJ72:AJ73)</f>
        <v>0</v>
      </c>
      <c r="AT71" s="110">
        <f>SUM(AK72:AK73)</f>
        <v>0</v>
      </c>
      <c r="AU71" s="110">
        <f>SUM(AL72:AL73)</f>
        <v>0</v>
      </c>
    </row>
    <row r="72" spans="1:76" x14ac:dyDescent="0.25">
      <c r="A72" s="134" t="s">
        <v>199</v>
      </c>
      <c r="B72" s="135" t="s">
        <v>1235</v>
      </c>
      <c r="C72" s="270" t="s">
        <v>1259</v>
      </c>
      <c r="D72" s="271"/>
      <c r="E72" s="135" t="s">
        <v>67</v>
      </c>
      <c r="F72" s="131">
        <v>8</v>
      </c>
      <c r="G72" s="179">
        <v>0</v>
      </c>
      <c r="H72" s="131">
        <f>F72*AO72</f>
        <v>0</v>
      </c>
      <c r="I72" s="131">
        <f>F72*AP72</f>
        <v>0</v>
      </c>
      <c r="J72" s="131">
        <f>F72*G72</f>
        <v>0</v>
      </c>
      <c r="K72" s="136" t="s">
        <v>60</v>
      </c>
      <c r="Z72" s="131">
        <f>IF(AQ72="5",BJ72,0)</f>
        <v>0</v>
      </c>
      <c r="AB72" s="131">
        <f>IF(AQ72="1",BH72,0)</f>
        <v>0</v>
      </c>
      <c r="AC72" s="131">
        <f>IF(AQ72="1",BI72,0)</f>
        <v>0</v>
      </c>
      <c r="AD72" s="131">
        <f>IF(AQ72="7",BH72,0)</f>
        <v>0</v>
      </c>
      <c r="AE72" s="131">
        <f>IF(AQ72="7",BI72,0)</f>
        <v>0</v>
      </c>
      <c r="AF72" s="131">
        <f>IF(AQ72="2",BH72,0)</f>
        <v>0</v>
      </c>
      <c r="AG72" s="131">
        <f>IF(AQ72="2",BI72,0)</f>
        <v>0</v>
      </c>
      <c r="AH72" s="131">
        <f>IF(AQ72="0",BJ72,0)</f>
        <v>0</v>
      </c>
      <c r="AI72" s="115" t="s">
        <v>1253</v>
      </c>
      <c r="AJ72" s="131">
        <f>IF(AN72=0,J72,0)</f>
        <v>0</v>
      </c>
      <c r="AK72" s="131">
        <f>IF(AN72=12,J72,0)</f>
        <v>0</v>
      </c>
      <c r="AL72" s="131">
        <f>IF(AN72=21,J72,0)</f>
        <v>0</v>
      </c>
      <c r="AN72" s="131">
        <v>21</v>
      </c>
      <c r="AO72" s="131">
        <f>G72*0.005704971</f>
        <v>0</v>
      </c>
      <c r="AP72" s="131">
        <f>G72*(1-0.005704971)</f>
        <v>0</v>
      </c>
      <c r="AQ72" s="132" t="s">
        <v>56</v>
      </c>
      <c r="AV72" s="131">
        <f>AW72+AX72</f>
        <v>0</v>
      </c>
      <c r="AW72" s="131">
        <f>F72*AO72</f>
        <v>0</v>
      </c>
      <c r="AX72" s="131">
        <f>F72*AP72</f>
        <v>0</v>
      </c>
      <c r="AY72" s="132" t="s">
        <v>801</v>
      </c>
      <c r="AZ72" s="132" t="s">
        <v>1260</v>
      </c>
      <c r="BA72" s="115" t="s">
        <v>1255</v>
      </c>
      <c r="BC72" s="131">
        <f>AW72+AX72</f>
        <v>0</v>
      </c>
      <c r="BD72" s="131">
        <f>G72/(100-BE72)*100</f>
        <v>0</v>
      </c>
      <c r="BE72" s="131">
        <v>0</v>
      </c>
      <c r="BF72" s="131">
        <f>72</f>
        <v>72</v>
      </c>
      <c r="BH72" s="131">
        <f>F72*AO72</f>
        <v>0</v>
      </c>
      <c r="BI72" s="131">
        <f>F72*AP72</f>
        <v>0</v>
      </c>
      <c r="BJ72" s="131">
        <f>F72*G72</f>
        <v>0</v>
      </c>
      <c r="BK72" s="131"/>
      <c r="BL72" s="131">
        <v>87</v>
      </c>
      <c r="BW72" s="131">
        <v>21</v>
      </c>
      <c r="BX72" s="133" t="s">
        <v>1259</v>
      </c>
    </row>
    <row r="73" spans="1:76" ht="25.5" x14ac:dyDescent="0.25">
      <c r="A73" s="134" t="s">
        <v>201</v>
      </c>
      <c r="B73" s="135" t="s">
        <v>1238</v>
      </c>
      <c r="C73" s="270" t="s">
        <v>1239</v>
      </c>
      <c r="D73" s="271"/>
      <c r="E73" s="135" t="s">
        <v>164</v>
      </c>
      <c r="F73" s="131">
        <v>5</v>
      </c>
      <c r="G73" s="179">
        <v>0</v>
      </c>
      <c r="H73" s="131">
        <f>F73*AO73</f>
        <v>0</v>
      </c>
      <c r="I73" s="131">
        <f>F73*AP73</f>
        <v>0</v>
      </c>
      <c r="J73" s="131">
        <f>F73*G73</f>
        <v>0</v>
      </c>
      <c r="K73" s="136" t="s">
        <v>60</v>
      </c>
      <c r="Z73" s="131">
        <f>IF(AQ73="5",BJ73,0)</f>
        <v>0</v>
      </c>
      <c r="AB73" s="131">
        <f>IF(AQ73="1",BH73,0)</f>
        <v>0</v>
      </c>
      <c r="AC73" s="131">
        <f>IF(AQ73="1",BI73,0)</f>
        <v>0</v>
      </c>
      <c r="AD73" s="131">
        <f>IF(AQ73="7",BH73,0)</f>
        <v>0</v>
      </c>
      <c r="AE73" s="131">
        <f>IF(AQ73="7",BI73,0)</f>
        <v>0</v>
      </c>
      <c r="AF73" s="131">
        <f>IF(AQ73="2",BH73,0)</f>
        <v>0</v>
      </c>
      <c r="AG73" s="131">
        <f>IF(AQ73="2",BI73,0)</f>
        <v>0</v>
      </c>
      <c r="AH73" s="131">
        <f>IF(AQ73="0",BJ73,0)</f>
        <v>0</v>
      </c>
      <c r="AI73" s="115" t="s">
        <v>1253</v>
      </c>
      <c r="AJ73" s="131">
        <f>IF(AN73=0,J73,0)</f>
        <v>0</v>
      </c>
      <c r="AK73" s="131">
        <f>IF(AN73=12,J73,0)</f>
        <v>0</v>
      </c>
      <c r="AL73" s="131">
        <f>IF(AN73=21,J73,0)</f>
        <v>0</v>
      </c>
      <c r="AN73" s="131">
        <v>21</v>
      </c>
      <c r="AO73" s="131">
        <f>G73*0.008412609</f>
        <v>0</v>
      </c>
      <c r="AP73" s="131">
        <f>G73*(1-0.008412609)</f>
        <v>0</v>
      </c>
      <c r="AQ73" s="132" t="s">
        <v>56</v>
      </c>
      <c r="AV73" s="131">
        <f>AW73+AX73</f>
        <v>0</v>
      </c>
      <c r="AW73" s="131">
        <f>F73*AO73</f>
        <v>0</v>
      </c>
      <c r="AX73" s="131">
        <f>F73*AP73</f>
        <v>0</v>
      </c>
      <c r="AY73" s="132" t="s">
        <v>801</v>
      </c>
      <c r="AZ73" s="132" t="s">
        <v>1260</v>
      </c>
      <c r="BA73" s="115" t="s">
        <v>1255</v>
      </c>
      <c r="BC73" s="131">
        <f>AW73+AX73</f>
        <v>0</v>
      </c>
      <c r="BD73" s="131">
        <f>G73/(100-BE73)*100</f>
        <v>0</v>
      </c>
      <c r="BE73" s="131">
        <v>0</v>
      </c>
      <c r="BF73" s="131">
        <f>73</f>
        <v>73</v>
      </c>
      <c r="BH73" s="131">
        <f>F73*AO73</f>
        <v>0</v>
      </c>
      <c r="BI73" s="131">
        <f>F73*AP73</f>
        <v>0</v>
      </c>
      <c r="BJ73" s="131">
        <f>F73*G73</f>
        <v>0</v>
      </c>
      <c r="BK73" s="131"/>
      <c r="BL73" s="131">
        <v>87</v>
      </c>
      <c r="BW73" s="131">
        <v>21</v>
      </c>
      <c r="BX73" s="133" t="s">
        <v>1239</v>
      </c>
    </row>
    <row r="74" spans="1:76" x14ac:dyDescent="0.25">
      <c r="A74" s="123" t="s">
        <v>53</v>
      </c>
      <c r="B74" s="124" t="s">
        <v>255</v>
      </c>
      <c r="C74" s="272" t="s">
        <v>256</v>
      </c>
      <c r="D74" s="273"/>
      <c r="E74" s="125" t="s">
        <v>9</v>
      </c>
      <c r="F74" s="125" t="s">
        <v>9</v>
      </c>
      <c r="G74" s="125" t="s">
        <v>9</v>
      </c>
      <c r="H74" s="110">
        <f>SUM(H75:H75)</f>
        <v>0</v>
      </c>
      <c r="I74" s="110">
        <f>SUM(I75:I75)</f>
        <v>0</v>
      </c>
      <c r="J74" s="110">
        <f>SUM(J75:J75)</f>
        <v>0</v>
      </c>
      <c r="K74" s="126" t="s">
        <v>53</v>
      </c>
      <c r="AI74" s="115" t="s">
        <v>1253</v>
      </c>
      <c r="AS74" s="110">
        <f>SUM(AJ75:AJ75)</f>
        <v>0</v>
      </c>
      <c r="AT74" s="110">
        <f>SUM(AK75:AK75)</f>
        <v>0</v>
      </c>
      <c r="AU74" s="110">
        <f>SUM(AL75:AL75)</f>
        <v>0</v>
      </c>
    </row>
    <row r="75" spans="1:76" ht="25.5" x14ac:dyDescent="0.25">
      <c r="A75" s="134" t="s">
        <v>203</v>
      </c>
      <c r="B75" s="135" t="s">
        <v>808</v>
      </c>
      <c r="C75" s="270" t="s">
        <v>1240</v>
      </c>
      <c r="D75" s="271"/>
      <c r="E75" s="135" t="s">
        <v>79</v>
      </c>
      <c r="F75" s="131">
        <v>0.75</v>
      </c>
      <c r="G75" s="179">
        <v>0</v>
      </c>
      <c r="H75" s="131">
        <f>F75*AO75</f>
        <v>0</v>
      </c>
      <c r="I75" s="131">
        <f>F75*AP75</f>
        <v>0</v>
      </c>
      <c r="J75" s="131">
        <f>F75*G75</f>
        <v>0</v>
      </c>
      <c r="K75" s="136" t="s">
        <v>60</v>
      </c>
      <c r="Z75" s="131">
        <f>IF(AQ75="5",BJ75,0)</f>
        <v>0</v>
      </c>
      <c r="AB75" s="131">
        <f>IF(AQ75="1",BH75,0)</f>
        <v>0</v>
      </c>
      <c r="AC75" s="131">
        <f>IF(AQ75="1",BI75,0)</f>
        <v>0</v>
      </c>
      <c r="AD75" s="131">
        <f>IF(AQ75="7",BH75,0)</f>
        <v>0</v>
      </c>
      <c r="AE75" s="131">
        <f>IF(AQ75="7",BI75,0)</f>
        <v>0</v>
      </c>
      <c r="AF75" s="131">
        <f>IF(AQ75="2",BH75,0)</f>
        <v>0</v>
      </c>
      <c r="AG75" s="131">
        <f>IF(AQ75="2",BI75,0)</f>
        <v>0</v>
      </c>
      <c r="AH75" s="131">
        <f>IF(AQ75="0",BJ75,0)</f>
        <v>0</v>
      </c>
      <c r="AI75" s="115" t="s">
        <v>1253</v>
      </c>
      <c r="AJ75" s="131">
        <f>IF(AN75=0,J75,0)</f>
        <v>0</v>
      </c>
      <c r="AK75" s="131">
        <f>IF(AN75=12,J75,0)</f>
        <v>0</v>
      </c>
      <c r="AL75" s="131">
        <f>IF(AN75=21,J75,0)</f>
        <v>0</v>
      </c>
      <c r="AN75" s="131">
        <v>21</v>
      </c>
      <c r="AO75" s="131">
        <f>G75*0.84313413</f>
        <v>0</v>
      </c>
      <c r="AP75" s="131">
        <f>G75*(1-0.84313413)</f>
        <v>0</v>
      </c>
      <c r="AQ75" s="132" t="s">
        <v>56</v>
      </c>
      <c r="AV75" s="131">
        <f>AW75+AX75</f>
        <v>0</v>
      </c>
      <c r="AW75" s="131">
        <f>F75*AO75</f>
        <v>0</v>
      </c>
      <c r="AX75" s="131">
        <f>F75*AP75</f>
        <v>0</v>
      </c>
      <c r="AY75" s="132" t="s">
        <v>260</v>
      </c>
      <c r="AZ75" s="132" t="s">
        <v>1260</v>
      </c>
      <c r="BA75" s="115" t="s">
        <v>1255</v>
      </c>
      <c r="BC75" s="131">
        <f>AW75+AX75</f>
        <v>0</v>
      </c>
      <c r="BD75" s="131">
        <f>G75/(100-BE75)*100</f>
        <v>0</v>
      </c>
      <c r="BE75" s="131">
        <v>0</v>
      </c>
      <c r="BF75" s="131">
        <f>75</f>
        <v>75</v>
      </c>
      <c r="BH75" s="131">
        <f>F75*AO75</f>
        <v>0</v>
      </c>
      <c r="BI75" s="131">
        <f>F75*AP75</f>
        <v>0</v>
      </c>
      <c r="BJ75" s="131">
        <f>F75*G75</f>
        <v>0</v>
      </c>
      <c r="BK75" s="131"/>
      <c r="BL75" s="131">
        <v>89</v>
      </c>
      <c r="BW75" s="131">
        <v>21</v>
      </c>
      <c r="BX75" s="133" t="s">
        <v>1240</v>
      </c>
    </row>
    <row r="76" spans="1:76" x14ac:dyDescent="0.25">
      <c r="A76" s="123" t="s">
        <v>53</v>
      </c>
      <c r="B76" s="124" t="s">
        <v>736</v>
      </c>
      <c r="C76" s="272" t="s">
        <v>737</v>
      </c>
      <c r="D76" s="273"/>
      <c r="E76" s="125" t="s">
        <v>9</v>
      </c>
      <c r="F76" s="125" t="s">
        <v>9</v>
      </c>
      <c r="G76" s="125" t="s">
        <v>9</v>
      </c>
      <c r="H76" s="110">
        <f>SUM(H77:H77)</f>
        <v>0</v>
      </c>
      <c r="I76" s="110">
        <f>SUM(I77:I77)</f>
        <v>0</v>
      </c>
      <c r="J76" s="110">
        <f>SUM(J77:J77)</f>
        <v>0</v>
      </c>
      <c r="K76" s="126" t="s">
        <v>53</v>
      </c>
      <c r="AI76" s="115" t="s">
        <v>1253</v>
      </c>
      <c r="AS76" s="110">
        <f>SUM(AJ77:AJ77)</f>
        <v>0</v>
      </c>
      <c r="AT76" s="110">
        <f>SUM(AK77:AK77)</f>
        <v>0</v>
      </c>
      <c r="AU76" s="110">
        <f>SUM(AL77:AL77)</f>
        <v>0</v>
      </c>
    </row>
    <row r="77" spans="1:76" x14ac:dyDescent="0.25">
      <c r="A77" s="134" t="s">
        <v>208</v>
      </c>
      <c r="B77" s="135" t="s">
        <v>738</v>
      </c>
      <c r="C77" s="270" t="s">
        <v>739</v>
      </c>
      <c r="D77" s="271"/>
      <c r="E77" s="135" t="s">
        <v>122</v>
      </c>
      <c r="F77" s="131">
        <v>5.93</v>
      </c>
      <c r="G77" s="179">
        <v>0</v>
      </c>
      <c r="H77" s="131">
        <f>F77*AO77</f>
        <v>0</v>
      </c>
      <c r="I77" s="131">
        <f>F77*AP77</f>
        <v>0</v>
      </c>
      <c r="J77" s="131">
        <f>F77*G77</f>
        <v>0</v>
      </c>
      <c r="K77" s="136" t="s">
        <v>711</v>
      </c>
      <c r="Z77" s="131">
        <f>IF(AQ77="5",BJ77,0)</f>
        <v>0</v>
      </c>
      <c r="AB77" s="131">
        <f>IF(AQ77="1",BH77,0)</f>
        <v>0</v>
      </c>
      <c r="AC77" s="131">
        <f>IF(AQ77="1",BI77,0)</f>
        <v>0</v>
      </c>
      <c r="AD77" s="131">
        <f>IF(AQ77="7",BH77,0)</f>
        <v>0</v>
      </c>
      <c r="AE77" s="131">
        <f>IF(AQ77="7",BI77,0)</f>
        <v>0</v>
      </c>
      <c r="AF77" s="131">
        <f>IF(AQ77="2",BH77,0)</f>
        <v>0</v>
      </c>
      <c r="AG77" s="131">
        <f>IF(AQ77="2",BI77,0)</f>
        <v>0</v>
      </c>
      <c r="AH77" s="131">
        <f>IF(AQ77="0",BJ77,0)</f>
        <v>0</v>
      </c>
      <c r="AI77" s="115" t="s">
        <v>1253</v>
      </c>
      <c r="AJ77" s="131">
        <f>IF(AN77=0,J77,0)</f>
        <v>0</v>
      </c>
      <c r="AK77" s="131">
        <f>IF(AN77=12,J77,0)</f>
        <v>0</v>
      </c>
      <c r="AL77" s="131">
        <f>IF(AN77=21,J77,0)</f>
        <v>0</v>
      </c>
      <c r="AN77" s="131">
        <v>21</v>
      </c>
      <c r="AO77" s="131">
        <f>G77*0</f>
        <v>0</v>
      </c>
      <c r="AP77" s="131">
        <f>G77*(1-0)</f>
        <v>0</v>
      </c>
      <c r="AQ77" s="132" t="s">
        <v>76</v>
      </c>
      <c r="AV77" s="131">
        <f>AW77+AX77</f>
        <v>0</v>
      </c>
      <c r="AW77" s="131">
        <f>F77*AO77</f>
        <v>0</v>
      </c>
      <c r="AX77" s="131">
        <f>F77*AP77</f>
        <v>0</v>
      </c>
      <c r="AY77" s="132" t="s">
        <v>740</v>
      </c>
      <c r="AZ77" s="132" t="s">
        <v>1261</v>
      </c>
      <c r="BA77" s="115" t="s">
        <v>1255</v>
      </c>
      <c r="BC77" s="131">
        <f>AW77+AX77</f>
        <v>0</v>
      </c>
      <c r="BD77" s="131">
        <f>G77/(100-BE77)*100</f>
        <v>0</v>
      </c>
      <c r="BE77" s="131">
        <v>0</v>
      </c>
      <c r="BF77" s="131">
        <f>77</f>
        <v>77</v>
      </c>
      <c r="BH77" s="131">
        <f>F77*AO77</f>
        <v>0</v>
      </c>
      <c r="BI77" s="131">
        <f>F77*AP77</f>
        <v>0</v>
      </c>
      <c r="BJ77" s="131">
        <f>F77*G77</f>
        <v>0</v>
      </c>
      <c r="BK77" s="131"/>
      <c r="BL77" s="131"/>
      <c r="BW77" s="131">
        <v>21</v>
      </c>
      <c r="BX77" s="133" t="s">
        <v>739</v>
      </c>
    </row>
    <row r="78" spans="1:76" x14ac:dyDescent="0.25">
      <c r="A78" s="123" t="s">
        <v>53</v>
      </c>
      <c r="B78" s="124" t="s">
        <v>338</v>
      </c>
      <c r="C78" s="272" t="s">
        <v>339</v>
      </c>
      <c r="D78" s="273"/>
      <c r="E78" s="125" t="s">
        <v>9</v>
      </c>
      <c r="F78" s="125" t="s">
        <v>9</v>
      </c>
      <c r="G78" s="125" t="s">
        <v>9</v>
      </c>
      <c r="H78" s="110">
        <f>SUM(H79:H86)</f>
        <v>0</v>
      </c>
      <c r="I78" s="110">
        <f>SUM(I79:I86)</f>
        <v>0</v>
      </c>
      <c r="J78" s="110">
        <f>SUM(J79:J86)</f>
        <v>0</v>
      </c>
      <c r="K78" s="126" t="s">
        <v>53</v>
      </c>
      <c r="AI78" s="115" t="s">
        <v>1253</v>
      </c>
      <c r="AS78" s="110">
        <f>SUM(AJ79:AJ86)</f>
        <v>0</v>
      </c>
      <c r="AT78" s="110">
        <f>SUM(AK79:AK86)</f>
        <v>0</v>
      </c>
      <c r="AU78" s="110">
        <f>SUM(AL79:AL86)</f>
        <v>0</v>
      </c>
    </row>
    <row r="79" spans="1:76" x14ac:dyDescent="0.25">
      <c r="A79" s="134" t="s">
        <v>212</v>
      </c>
      <c r="B79" s="135" t="s">
        <v>1262</v>
      </c>
      <c r="C79" s="270" t="s">
        <v>1263</v>
      </c>
      <c r="D79" s="271"/>
      <c r="E79" s="135" t="s">
        <v>164</v>
      </c>
      <c r="F79" s="131">
        <v>4</v>
      </c>
      <c r="G79" s="179">
        <v>0</v>
      </c>
      <c r="H79" s="131">
        <f t="shared" ref="H79:H86" si="0">F79*AO79</f>
        <v>0</v>
      </c>
      <c r="I79" s="131">
        <f t="shared" ref="I79:I86" si="1">F79*AP79</f>
        <v>0</v>
      </c>
      <c r="J79" s="131">
        <f t="shared" ref="J79:J86" si="2">F79*G79</f>
        <v>0</v>
      </c>
      <c r="K79" s="136" t="s">
        <v>60</v>
      </c>
      <c r="Z79" s="131">
        <f t="shared" ref="Z79:Z86" si="3">IF(AQ79="5",BJ79,0)</f>
        <v>0</v>
      </c>
      <c r="AB79" s="131">
        <f t="shared" ref="AB79:AB86" si="4">IF(AQ79="1",BH79,0)</f>
        <v>0</v>
      </c>
      <c r="AC79" s="131">
        <f t="shared" ref="AC79:AC86" si="5">IF(AQ79="1",BI79,0)</f>
        <v>0</v>
      </c>
      <c r="AD79" s="131">
        <f t="shared" ref="AD79:AD86" si="6">IF(AQ79="7",BH79,0)</f>
        <v>0</v>
      </c>
      <c r="AE79" s="131">
        <f t="shared" ref="AE79:AE86" si="7">IF(AQ79="7",BI79,0)</f>
        <v>0</v>
      </c>
      <c r="AF79" s="131">
        <f t="shared" ref="AF79:AF86" si="8">IF(AQ79="2",BH79,0)</f>
        <v>0</v>
      </c>
      <c r="AG79" s="131">
        <f t="shared" ref="AG79:AG86" si="9">IF(AQ79="2",BI79,0)</f>
        <v>0</v>
      </c>
      <c r="AH79" s="131">
        <f t="shared" ref="AH79:AH86" si="10">IF(AQ79="0",BJ79,0)</f>
        <v>0</v>
      </c>
      <c r="AI79" s="115" t="s">
        <v>1253</v>
      </c>
      <c r="AJ79" s="131">
        <f t="shared" ref="AJ79:AJ86" si="11">IF(AN79=0,J79,0)</f>
        <v>0</v>
      </c>
      <c r="AK79" s="131">
        <f t="shared" ref="AK79:AK86" si="12">IF(AN79=12,J79,0)</f>
        <v>0</v>
      </c>
      <c r="AL79" s="131">
        <f t="shared" ref="AL79:AL86" si="13">IF(AN79=21,J79,0)</f>
        <v>0</v>
      </c>
      <c r="AN79" s="131">
        <v>21</v>
      </c>
      <c r="AO79" s="131">
        <f t="shared" ref="AO79:AO86" si="14">G79*1</f>
        <v>0</v>
      </c>
      <c r="AP79" s="131">
        <f t="shared" ref="AP79:AP86" si="15">G79*(1-1)</f>
        <v>0</v>
      </c>
      <c r="AQ79" s="132" t="s">
        <v>343</v>
      </c>
      <c r="AV79" s="131">
        <f t="shared" ref="AV79:AV86" si="16">AW79+AX79</f>
        <v>0</v>
      </c>
      <c r="AW79" s="131">
        <f t="shared" ref="AW79:AW86" si="17">F79*AO79</f>
        <v>0</v>
      </c>
      <c r="AX79" s="131">
        <f t="shared" ref="AX79:AX86" si="18">F79*AP79</f>
        <v>0</v>
      </c>
      <c r="AY79" s="132" t="s">
        <v>344</v>
      </c>
      <c r="AZ79" s="132" t="s">
        <v>1264</v>
      </c>
      <c r="BA79" s="115" t="s">
        <v>1255</v>
      </c>
      <c r="BC79" s="131">
        <f t="shared" ref="BC79:BC86" si="19">AW79+AX79</f>
        <v>0</v>
      </c>
      <c r="BD79" s="131">
        <f t="shared" ref="BD79:BD86" si="20">G79/(100-BE79)*100</f>
        <v>0</v>
      </c>
      <c r="BE79" s="131">
        <v>0</v>
      </c>
      <c r="BF79" s="131">
        <f>79</f>
        <v>79</v>
      </c>
      <c r="BH79" s="131">
        <f t="shared" ref="BH79:BH86" si="21">F79*AO79</f>
        <v>0</v>
      </c>
      <c r="BI79" s="131">
        <f t="shared" ref="BI79:BI86" si="22">F79*AP79</f>
        <v>0</v>
      </c>
      <c r="BJ79" s="131">
        <f t="shared" ref="BJ79:BJ86" si="23">F79*G79</f>
        <v>0</v>
      </c>
      <c r="BK79" s="131"/>
      <c r="BL79" s="131"/>
      <c r="BW79" s="131">
        <v>21</v>
      </c>
      <c r="BX79" s="133" t="s">
        <v>1263</v>
      </c>
    </row>
    <row r="80" spans="1:76" x14ac:dyDescent="0.25">
      <c r="A80" s="134" t="s">
        <v>167</v>
      </c>
      <c r="B80" s="135" t="s">
        <v>1265</v>
      </c>
      <c r="C80" s="270" t="s">
        <v>1266</v>
      </c>
      <c r="D80" s="271"/>
      <c r="E80" s="135" t="s">
        <v>164</v>
      </c>
      <c r="F80" s="131">
        <v>4</v>
      </c>
      <c r="G80" s="179">
        <v>0</v>
      </c>
      <c r="H80" s="131">
        <f t="shared" si="0"/>
        <v>0</v>
      </c>
      <c r="I80" s="131">
        <f t="shared" si="1"/>
        <v>0</v>
      </c>
      <c r="J80" s="131">
        <f t="shared" si="2"/>
        <v>0</v>
      </c>
      <c r="K80" s="136" t="s">
        <v>60</v>
      </c>
      <c r="Z80" s="131">
        <f t="shared" si="3"/>
        <v>0</v>
      </c>
      <c r="AB80" s="131">
        <f t="shared" si="4"/>
        <v>0</v>
      </c>
      <c r="AC80" s="131">
        <f t="shared" si="5"/>
        <v>0</v>
      </c>
      <c r="AD80" s="131">
        <f t="shared" si="6"/>
        <v>0</v>
      </c>
      <c r="AE80" s="131">
        <f t="shared" si="7"/>
        <v>0</v>
      </c>
      <c r="AF80" s="131">
        <f t="shared" si="8"/>
        <v>0</v>
      </c>
      <c r="AG80" s="131">
        <f t="shared" si="9"/>
        <v>0</v>
      </c>
      <c r="AH80" s="131">
        <f t="shared" si="10"/>
        <v>0</v>
      </c>
      <c r="AI80" s="115" t="s">
        <v>1253</v>
      </c>
      <c r="AJ80" s="131">
        <f t="shared" si="11"/>
        <v>0</v>
      </c>
      <c r="AK80" s="131">
        <f t="shared" si="12"/>
        <v>0</v>
      </c>
      <c r="AL80" s="131">
        <f t="shared" si="13"/>
        <v>0</v>
      </c>
      <c r="AN80" s="131">
        <v>21</v>
      </c>
      <c r="AO80" s="131">
        <f t="shared" si="14"/>
        <v>0</v>
      </c>
      <c r="AP80" s="131">
        <f t="shared" si="15"/>
        <v>0</v>
      </c>
      <c r="AQ80" s="132" t="s">
        <v>343</v>
      </c>
      <c r="AV80" s="131">
        <f t="shared" si="16"/>
        <v>0</v>
      </c>
      <c r="AW80" s="131">
        <f t="shared" si="17"/>
        <v>0</v>
      </c>
      <c r="AX80" s="131">
        <f t="shared" si="18"/>
        <v>0</v>
      </c>
      <c r="AY80" s="132" t="s">
        <v>344</v>
      </c>
      <c r="AZ80" s="132" t="s">
        <v>1264</v>
      </c>
      <c r="BA80" s="115" t="s">
        <v>1255</v>
      </c>
      <c r="BC80" s="131">
        <f t="shared" si="19"/>
        <v>0</v>
      </c>
      <c r="BD80" s="131">
        <f t="shared" si="20"/>
        <v>0</v>
      </c>
      <c r="BE80" s="131">
        <v>0</v>
      </c>
      <c r="BF80" s="131">
        <f>80</f>
        <v>80</v>
      </c>
      <c r="BH80" s="131">
        <f t="shared" si="21"/>
        <v>0</v>
      </c>
      <c r="BI80" s="131">
        <f t="shared" si="22"/>
        <v>0</v>
      </c>
      <c r="BJ80" s="131">
        <f t="shared" si="23"/>
        <v>0</v>
      </c>
      <c r="BK80" s="131"/>
      <c r="BL80" s="131"/>
      <c r="BW80" s="131">
        <v>21</v>
      </c>
      <c r="BX80" s="133" t="s">
        <v>1266</v>
      </c>
    </row>
    <row r="81" spans="1:76" x14ac:dyDescent="0.25">
      <c r="A81" s="134" t="s">
        <v>220</v>
      </c>
      <c r="B81" s="135" t="s">
        <v>1267</v>
      </c>
      <c r="C81" s="270" t="s">
        <v>1268</v>
      </c>
      <c r="D81" s="271"/>
      <c r="E81" s="135" t="s">
        <v>164</v>
      </c>
      <c r="F81" s="131">
        <v>1</v>
      </c>
      <c r="G81" s="179">
        <v>0</v>
      </c>
      <c r="H81" s="131">
        <f t="shared" si="0"/>
        <v>0</v>
      </c>
      <c r="I81" s="131">
        <f t="shared" si="1"/>
        <v>0</v>
      </c>
      <c r="J81" s="131">
        <f t="shared" si="2"/>
        <v>0</v>
      </c>
      <c r="K81" s="136" t="s">
        <v>60</v>
      </c>
      <c r="Z81" s="131">
        <f t="shared" si="3"/>
        <v>0</v>
      </c>
      <c r="AB81" s="131">
        <f t="shared" si="4"/>
        <v>0</v>
      </c>
      <c r="AC81" s="131">
        <f t="shared" si="5"/>
        <v>0</v>
      </c>
      <c r="AD81" s="131">
        <f t="shared" si="6"/>
        <v>0</v>
      </c>
      <c r="AE81" s="131">
        <f t="shared" si="7"/>
        <v>0</v>
      </c>
      <c r="AF81" s="131">
        <f t="shared" si="8"/>
        <v>0</v>
      </c>
      <c r="AG81" s="131">
        <f t="shared" si="9"/>
        <v>0</v>
      </c>
      <c r="AH81" s="131">
        <f t="shared" si="10"/>
        <v>0</v>
      </c>
      <c r="AI81" s="115" t="s">
        <v>1253</v>
      </c>
      <c r="AJ81" s="131">
        <f t="shared" si="11"/>
        <v>0</v>
      </c>
      <c r="AK81" s="131">
        <f t="shared" si="12"/>
        <v>0</v>
      </c>
      <c r="AL81" s="131">
        <f t="shared" si="13"/>
        <v>0</v>
      </c>
      <c r="AN81" s="131">
        <v>21</v>
      </c>
      <c r="AO81" s="131">
        <f t="shared" si="14"/>
        <v>0</v>
      </c>
      <c r="AP81" s="131">
        <f t="shared" si="15"/>
        <v>0</v>
      </c>
      <c r="AQ81" s="132" t="s">
        <v>343</v>
      </c>
      <c r="AV81" s="131">
        <f t="shared" si="16"/>
        <v>0</v>
      </c>
      <c r="AW81" s="131">
        <f t="shared" si="17"/>
        <v>0</v>
      </c>
      <c r="AX81" s="131">
        <f t="shared" si="18"/>
        <v>0</v>
      </c>
      <c r="AY81" s="132" t="s">
        <v>344</v>
      </c>
      <c r="AZ81" s="132" t="s">
        <v>1264</v>
      </c>
      <c r="BA81" s="115" t="s">
        <v>1255</v>
      </c>
      <c r="BC81" s="131">
        <f t="shared" si="19"/>
        <v>0</v>
      </c>
      <c r="BD81" s="131">
        <f t="shared" si="20"/>
        <v>0</v>
      </c>
      <c r="BE81" s="131">
        <v>0</v>
      </c>
      <c r="BF81" s="131">
        <f>81</f>
        <v>81</v>
      </c>
      <c r="BH81" s="131">
        <f t="shared" si="21"/>
        <v>0</v>
      </c>
      <c r="BI81" s="131">
        <f t="shared" si="22"/>
        <v>0</v>
      </c>
      <c r="BJ81" s="131">
        <f t="shared" si="23"/>
        <v>0</v>
      </c>
      <c r="BK81" s="131"/>
      <c r="BL81" s="131"/>
      <c r="BW81" s="131">
        <v>21</v>
      </c>
      <c r="BX81" s="133" t="s">
        <v>1268</v>
      </c>
    </row>
    <row r="82" spans="1:76" x14ac:dyDescent="0.25">
      <c r="A82" s="134" t="s">
        <v>223</v>
      </c>
      <c r="B82" s="135" t="s">
        <v>1269</v>
      </c>
      <c r="C82" s="270" t="s">
        <v>1270</v>
      </c>
      <c r="D82" s="271"/>
      <c r="E82" s="135" t="s">
        <v>164</v>
      </c>
      <c r="F82" s="131">
        <v>6</v>
      </c>
      <c r="G82" s="179">
        <v>0</v>
      </c>
      <c r="H82" s="131">
        <f t="shared" si="0"/>
        <v>0</v>
      </c>
      <c r="I82" s="131">
        <f t="shared" si="1"/>
        <v>0</v>
      </c>
      <c r="J82" s="131">
        <f t="shared" si="2"/>
        <v>0</v>
      </c>
      <c r="K82" s="136" t="s">
        <v>60</v>
      </c>
      <c r="Z82" s="131">
        <f t="shared" si="3"/>
        <v>0</v>
      </c>
      <c r="AB82" s="131">
        <f t="shared" si="4"/>
        <v>0</v>
      </c>
      <c r="AC82" s="131">
        <f t="shared" si="5"/>
        <v>0</v>
      </c>
      <c r="AD82" s="131">
        <f t="shared" si="6"/>
        <v>0</v>
      </c>
      <c r="AE82" s="131">
        <f t="shared" si="7"/>
        <v>0</v>
      </c>
      <c r="AF82" s="131">
        <f t="shared" si="8"/>
        <v>0</v>
      </c>
      <c r="AG82" s="131">
        <f t="shared" si="9"/>
        <v>0</v>
      </c>
      <c r="AH82" s="131">
        <f t="shared" si="10"/>
        <v>0</v>
      </c>
      <c r="AI82" s="115" t="s">
        <v>1253</v>
      </c>
      <c r="AJ82" s="131">
        <f t="shared" si="11"/>
        <v>0</v>
      </c>
      <c r="AK82" s="131">
        <f t="shared" si="12"/>
        <v>0</v>
      </c>
      <c r="AL82" s="131">
        <f t="shared" si="13"/>
        <v>0</v>
      </c>
      <c r="AN82" s="131">
        <v>21</v>
      </c>
      <c r="AO82" s="131">
        <f t="shared" si="14"/>
        <v>0</v>
      </c>
      <c r="AP82" s="131">
        <f t="shared" si="15"/>
        <v>0</v>
      </c>
      <c r="AQ82" s="132" t="s">
        <v>343</v>
      </c>
      <c r="AV82" s="131">
        <f t="shared" si="16"/>
        <v>0</v>
      </c>
      <c r="AW82" s="131">
        <f t="shared" si="17"/>
        <v>0</v>
      </c>
      <c r="AX82" s="131">
        <f t="shared" si="18"/>
        <v>0</v>
      </c>
      <c r="AY82" s="132" t="s">
        <v>344</v>
      </c>
      <c r="AZ82" s="132" t="s">
        <v>1264</v>
      </c>
      <c r="BA82" s="115" t="s">
        <v>1255</v>
      </c>
      <c r="BC82" s="131">
        <f t="shared" si="19"/>
        <v>0</v>
      </c>
      <c r="BD82" s="131">
        <f t="shared" si="20"/>
        <v>0</v>
      </c>
      <c r="BE82" s="131">
        <v>0</v>
      </c>
      <c r="BF82" s="131">
        <f>82</f>
        <v>82</v>
      </c>
      <c r="BH82" s="131">
        <f t="shared" si="21"/>
        <v>0</v>
      </c>
      <c r="BI82" s="131">
        <f t="shared" si="22"/>
        <v>0</v>
      </c>
      <c r="BJ82" s="131">
        <f t="shared" si="23"/>
        <v>0</v>
      </c>
      <c r="BK82" s="131"/>
      <c r="BL82" s="131"/>
      <c r="BW82" s="131">
        <v>21</v>
      </c>
      <c r="BX82" s="133" t="s">
        <v>1270</v>
      </c>
    </row>
    <row r="83" spans="1:76" x14ac:dyDescent="0.25">
      <c r="A83" s="134" t="s">
        <v>226</v>
      </c>
      <c r="B83" s="135" t="s">
        <v>1271</v>
      </c>
      <c r="C83" s="270" t="s">
        <v>1272</v>
      </c>
      <c r="D83" s="271"/>
      <c r="E83" s="135" t="s">
        <v>164</v>
      </c>
      <c r="F83" s="131">
        <v>6</v>
      </c>
      <c r="G83" s="179">
        <v>0</v>
      </c>
      <c r="H83" s="131">
        <f t="shared" si="0"/>
        <v>0</v>
      </c>
      <c r="I83" s="131">
        <f t="shared" si="1"/>
        <v>0</v>
      </c>
      <c r="J83" s="131">
        <f t="shared" si="2"/>
        <v>0</v>
      </c>
      <c r="K83" s="136" t="s">
        <v>60</v>
      </c>
      <c r="Z83" s="131">
        <f t="shared" si="3"/>
        <v>0</v>
      </c>
      <c r="AB83" s="131">
        <f t="shared" si="4"/>
        <v>0</v>
      </c>
      <c r="AC83" s="131">
        <f t="shared" si="5"/>
        <v>0</v>
      </c>
      <c r="AD83" s="131">
        <f t="shared" si="6"/>
        <v>0</v>
      </c>
      <c r="AE83" s="131">
        <f t="shared" si="7"/>
        <v>0</v>
      </c>
      <c r="AF83" s="131">
        <f t="shared" si="8"/>
        <v>0</v>
      </c>
      <c r="AG83" s="131">
        <f t="shared" si="9"/>
        <v>0</v>
      </c>
      <c r="AH83" s="131">
        <f t="shared" si="10"/>
        <v>0</v>
      </c>
      <c r="AI83" s="115" t="s">
        <v>1253</v>
      </c>
      <c r="AJ83" s="131">
        <f t="shared" si="11"/>
        <v>0</v>
      </c>
      <c r="AK83" s="131">
        <f t="shared" si="12"/>
        <v>0</v>
      </c>
      <c r="AL83" s="131">
        <f t="shared" si="13"/>
        <v>0</v>
      </c>
      <c r="AN83" s="131">
        <v>21</v>
      </c>
      <c r="AO83" s="131">
        <f t="shared" si="14"/>
        <v>0</v>
      </c>
      <c r="AP83" s="131">
        <f t="shared" si="15"/>
        <v>0</v>
      </c>
      <c r="AQ83" s="132" t="s">
        <v>343</v>
      </c>
      <c r="AV83" s="131">
        <f t="shared" si="16"/>
        <v>0</v>
      </c>
      <c r="AW83" s="131">
        <f t="shared" si="17"/>
        <v>0</v>
      </c>
      <c r="AX83" s="131">
        <f t="shared" si="18"/>
        <v>0</v>
      </c>
      <c r="AY83" s="132" t="s">
        <v>344</v>
      </c>
      <c r="AZ83" s="132" t="s">
        <v>1264</v>
      </c>
      <c r="BA83" s="115" t="s">
        <v>1255</v>
      </c>
      <c r="BC83" s="131">
        <f t="shared" si="19"/>
        <v>0</v>
      </c>
      <c r="BD83" s="131">
        <f t="shared" si="20"/>
        <v>0</v>
      </c>
      <c r="BE83" s="131">
        <v>0</v>
      </c>
      <c r="BF83" s="131">
        <f>83</f>
        <v>83</v>
      </c>
      <c r="BH83" s="131">
        <f t="shared" si="21"/>
        <v>0</v>
      </c>
      <c r="BI83" s="131">
        <f t="shared" si="22"/>
        <v>0</v>
      </c>
      <c r="BJ83" s="131">
        <f t="shared" si="23"/>
        <v>0</v>
      </c>
      <c r="BK83" s="131"/>
      <c r="BL83" s="131"/>
      <c r="BW83" s="131">
        <v>21</v>
      </c>
      <c r="BX83" s="133" t="s">
        <v>1272</v>
      </c>
    </row>
    <row r="84" spans="1:76" x14ac:dyDescent="0.25">
      <c r="A84" s="134" t="s">
        <v>229</v>
      </c>
      <c r="B84" s="135" t="s">
        <v>1273</v>
      </c>
      <c r="C84" s="270" t="s">
        <v>1274</v>
      </c>
      <c r="D84" s="271"/>
      <c r="E84" s="135" t="s">
        <v>164</v>
      </c>
      <c r="F84" s="131">
        <v>1</v>
      </c>
      <c r="G84" s="179">
        <v>0</v>
      </c>
      <c r="H84" s="131">
        <f t="shared" si="0"/>
        <v>0</v>
      </c>
      <c r="I84" s="131">
        <f t="shared" si="1"/>
        <v>0</v>
      </c>
      <c r="J84" s="131">
        <f t="shared" si="2"/>
        <v>0</v>
      </c>
      <c r="K84" s="136" t="s">
        <v>60</v>
      </c>
      <c r="Z84" s="131">
        <f t="shared" si="3"/>
        <v>0</v>
      </c>
      <c r="AB84" s="131">
        <f t="shared" si="4"/>
        <v>0</v>
      </c>
      <c r="AC84" s="131">
        <f t="shared" si="5"/>
        <v>0</v>
      </c>
      <c r="AD84" s="131">
        <f t="shared" si="6"/>
        <v>0</v>
      </c>
      <c r="AE84" s="131">
        <f t="shared" si="7"/>
        <v>0</v>
      </c>
      <c r="AF84" s="131">
        <f t="shared" si="8"/>
        <v>0</v>
      </c>
      <c r="AG84" s="131">
        <f t="shared" si="9"/>
        <v>0</v>
      </c>
      <c r="AH84" s="131">
        <f t="shared" si="10"/>
        <v>0</v>
      </c>
      <c r="AI84" s="115" t="s">
        <v>1253</v>
      </c>
      <c r="AJ84" s="131">
        <f t="shared" si="11"/>
        <v>0</v>
      </c>
      <c r="AK84" s="131">
        <f t="shared" si="12"/>
        <v>0</v>
      </c>
      <c r="AL84" s="131">
        <f t="shared" si="13"/>
        <v>0</v>
      </c>
      <c r="AN84" s="131">
        <v>21</v>
      </c>
      <c r="AO84" s="131">
        <f t="shared" si="14"/>
        <v>0</v>
      </c>
      <c r="AP84" s="131">
        <f t="shared" si="15"/>
        <v>0</v>
      </c>
      <c r="AQ84" s="132" t="s">
        <v>343</v>
      </c>
      <c r="AV84" s="131">
        <f t="shared" si="16"/>
        <v>0</v>
      </c>
      <c r="AW84" s="131">
        <f t="shared" si="17"/>
        <v>0</v>
      </c>
      <c r="AX84" s="131">
        <f t="shared" si="18"/>
        <v>0</v>
      </c>
      <c r="AY84" s="132" t="s">
        <v>344</v>
      </c>
      <c r="AZ84" s="132" t="s">
        <v>1264</v>
      </c>
      <c r="BA84" s="115" t="s">
        <v>1255</v>
      </c>
      <c r="BC84" s="131">
        <f t="shared" si="19"/>
        <v>0</v>
      </c>
      <c r="BD84" s="131">
        <f t="shared" si="20"/>
        <v>0</v>
      </c>
      <c r="BE84" s="131">
        <v>0</v>
      </c>
      <c r="BF84" s="131">
        <f>84</f>
        <v>84</v>
      </c>
      <c r="BH84" s="131">
        <f t="shared" si="21"/>
        <v>0</v>
      </c>
      <c r="BI84" s="131">
        <f t="shared" si="22"/>
        <v>0</v>
      </c>
      <c r="BJ84" s="131">
        <f t="shared" si="23"/>
        <v>0</v>
      </c>
      <c r="BK84" s="131"/>
      <c r="BL84" s="131"/>
      <c r="BW84" s="131">
        <v>21</v>
      </c>
      <c r="BX84" s="133" t="s">
        <v>1274</v>
      </c>
    </row>
    <row r="85" spans="1:76" x14ac:dyDescent="0.25">
      <c r="A85" s="134" t="s">
        <v>234</v>
      </c>
      <c r="B85" s="135" t="s">
        <v>1275</v>
      </c>
      <c r="C85" s="270" t="s">
        <v>1276</v>
      </c>
      <c r="D85" s="271"/>
      <c r="E85" s="135" t="s">
        <v>164</v>
      </c>
      <c r="F85" s="131">
        <v>6</v>
      </c>
      <c r="G85" s="179">
        <v>0</v>
      </c>
      <c r="H85" s="131">
        <f t="shared" si="0"/>
        <v>0</v>
      </c>
      <c r="I85" s="131">
        <f t="shared" si="1"/>
        <v>0</v>
      </c>
      <c r="J85" s="131">
        <f t="shared" si="2"/>
        <v>0</v>
      </c>
      <c r="K85" s="136" t="s">
        <v>60</v>
      </c>
      <c r="Z85" s="131">
        <f t="shared" si="3"/>
        <v>0</v>
      </c>
      <c r="AB85" s="131">
        <f t="shared" si="4"/>
        <v>0</v>
      </c>
      <c r="AC85" s="131">
        <f t="shared" si="5"/>
        <v>0</v>
      </c>
      <c r="AD85" s="131">
        <f t="shared" si="6"/>
        <v>0</v>
      </c>
      <c r="AE85" s="131">
        <f t="shared" si="7"/>
        <v>0</v>
      </c>
      <c r="AF85" s="131">
        <f t="shared" si="8"/>
        <v>0</v>
      </c>
      <c r="AG85" s="131">
        <f t="shared" si="9"/>
        <v>0</v>
      </c>
      <c r="AH85" s="131">
        <f t="shared" si="10"/>
        <v>0</v>
      </c>
      <c r="AI85" s="115" t="s">
        <v>1253</v>
      </c>
      <c r="AJ85" s="131">
        <f t="shared" si="11"/>
        <v>0</v>
      </c>
      <c r="AK85" s="131">
        <f t="shared" si="12"/>
        <v>0</v>
      </c>
      <c r="AL85" s="131">
        <f t="shared" si="13"/>
        <v>0</v>
      </c>
      <c r="AN85" s="131">
        <v>21</v>
      </c>
      <c r="AO85" s="131">
        <f t="shared" si="14"/>
        <v>0</v>
      </c>
      <c r="AP85" s="131">
        <f t="shared" si="15"/>
        <v>0</v>
      </c>
      <c r="AQ85" s="132" t="s">
        <v>343</v>
      </c>
      <c r="AV85" s="131">
        <f t="shared" si="16"/>
        <v>0</v>
      </c>
      <c r="AW85" s="131">
        <f t="shared" si="17"/>
        <v>0</v>
      </c>
      <c r="AX85" s="131">
        <f t="shared" si="18"/>
        <v>0</v>
      </c>
      <c r="AY85" s="132" t="s">
        <v>344</v>
      </c>
      <c r="AZ85" s="132" t="s">
        <v>1264</v>
      </c>
      <c r="BA85" s="115" t="s">
        <v>1255</v>
      </c>
      <c r="BC85" s="131">
        <f t="shared" si="19"/>
        <v>0</v>
      </c>
      <c r="BD85" s="131">
        <f t="shared" si="20"/>
        <v>0</v>
      </c>
      <c r="BE85" s="131">
        <v>0</v>
      </c>
      <c r="BF85" s="131">
        <f>85</f>
        <v>85</v>
      </c>
      <c r="BH85" s="131">
        <f t="shared" si="21"/>
        <v>0</v>
      </c>
      <c r="BI85" s="131">
        <f t="shared" si="22"/>
        <v>0</v>
      </c>
      <c r="BJ85" s="131">
        <f t="shared" si="23"/>
        <v>0</v>
      </c>
      <c r="BK85" s="131"/>
      <c r="BL85" s="131"/>
      <c r="BW85" s="131">
        <v>21</v>
      </c>
      <c r="BX85" s="133" t="s">
        <v>1276</v>
      </c>
    </row>
    <row r="86" spans="1:76" x14ac:dyDescent="0.25">
      <c r="A86" s="134" t="s">
        <v>239</v>
      </c>
      <c r="B86" s="135" t="s">
        <v>829</v>
      </c>
      <c r="C86" s="270" t="s">
        <v>830</v>
      </c>
      <c r="D86" s="271"/>
      <c r="E86" s="135" t="s">
        <v>831</v>
      </c>
      <c r="F86" s="131">
        <v>3.17</v>
      </c>
      <c r="G86" s="179">
        <v>0</v>
      </c>
      <c r="H86" s="131">
        <f t="shared" si="0"/>
        <v>0</v>
      </c>
      <c r="I86" s="131">
        <f t="shared" si="1"/>
        <v>0</v>
      </c>
      <c r="J86" s="131">
        <f t="shared" si="2"/>
        <v>0</v>
      </c>
      <c r="K86" s="136" t="s">
        <v>60</v>
      </c>
      <c r="Z86" s="131">
        <f t="shared" si="3"/>
        <v>0</v>
      </c>
      <c r="AB86" s="131">
        <f t="shared" si="4"/>
        <v>0</v>
      </c>
      <c r="AC86" s="131">
        <f t="shared" si="5"/>
        <v>0</v>
      </c>
      <c r="AD86" s="131">
        <f t="shared" si="6"/>
        <v>0</v>
      </c>
      <c r="AE86" s="131">
        <f t="shared" si="7"/>
        <v>0</v>
      </c>
      <c r="AF86" s="131">
        <f t="shared" si="8"/>
        <v>0</v>
      </c>
      <c r="AG86" s="131">
        <f t="shared" si="9"/>
        <v>0</v>
      </c>
      <c r="AH86" s="131">
        <f t="shared" si="10"/>
        <v>0</v>
      </c>
      <c r="AI86" s="115" t="s">
        <v>1253</v>
      </c>
      <c r="AJ86" s="131">
        <f t="shared" si="11"/>
        <v>0</v>
      </c>
      <c r="AK86" s="131">
        <f t="shared" si="12"/>
        <v>0</v>
      </c>
      <c r="AL86" s="131">
        <f t="shared" si="13"/>
        <v>0</v>
      </c>
      <c r="AN86" s="131">
        <v>21</v>
      </c>
      <c r="AO86" s="131">
        <f t="shared" si="14"/>
        <v>0</v>
      </c>
      <c r="AP86" s="131">
        <f t="shared" si="15"/>
        <v>0</v>
      </c>
      <c r="AQ86" s="132" t="s">
        <v>343</v>
      </c>
      <c r="AV86" s="131">
        <f t="shared" si="16"/>
        <v>0</v>
      </c>
      <c r="AW86" s="131">
        <f t="shared" si="17"/>
        <v>0</v>
      </c>
      <c r="AX86" s="131">
        <f t="shared" si="18"/>
        <v>0</v>
      </c>
      <c r="AY86" s="132" t="s">
        <v>344</v>
      </c>
      <c r="AZ86" s="132" t="s">
        <v>1264</v>
      </c>
      <c r="BA86" s="115" t="s">
        <v>1255</v>
      </c>
      <c r="BC86" s="131">
        <f t="shared" si="19"/>
        <v>0</v>
      </c>
      <c r="BD86" s="131">
        <f t="shared" si="20"/>
        <v>0</v>
      </c>
      <c r="BE86" s="131">
        <v>0</v>
      </c>
      <c r="BF86" s="131">
        <f>86</f>
        <v>86</v>
      </c>
      <c r="BH86" s="131">
        <f t="shared" si="21"/>
        <v>0</v>
      </c>
      <c r="BI86" s="131">
        <f t="shared" si="22"/>
        <v>0</v>
      </c>
      <c r="BJ86" s="131">
        <f t="shared" si="23"/>
        <v>0</v>
      </c>
      <c r="BK86" s="131"/>
      <c r="BL86" s="131"/>
      <c r="BW86" s="131">
        <v>21</v>
      </c>
      <c r="BX86" s="133" t="s">
        <v>830</v>
      </c>
    </row>
    <row r="87" spans="1:76" x14ac:dyDescent="0.25">
      <c r="A87" s="123" t="s">
        <v>53</v>
      </c>
      <c r="B87" s="124" t="s">
        <v>409</v>
      </c>
      <c r="C87" s="272" t="s">
        <v>410</v>
      </c>
      <c r="D87" s="273"/>
      <c r="E87" s="125" t="s">
        <v>9</v>
      </c>
      <c r="F87" s="125" t="s">
        <v>9</v>
      </c>
      <c r="G87" s="125" t="s">
        <v>9</v>
      </c>
      <c r="H87" s="110">
        <f>H88+H90+H92</f>
        <v>0</v>
      </c>
      <c r="I87" s="110">
        <f>I88+I90+I92</f>
        <v>0</v>
      </c>
      <c r="J87" s="110">
        <f>J88+J90+J92</f>
        <v>0</v>
      </c>
      <c r="K87" s="126" t="s">
        <v>53</v>
      </c>
      <c r="AI87" s="115" t="s">
        <v>1253</v>
      </c>
    </row>
    <row r="88" spans="1:76" x14ac:dyDescent="0.25">
      <c r="A88" s="123" t="s">
        <v>53</v>
      </c>
      <c r="B88" s="124" t="s">
        <v>411</v>
      </c>
      <c r="C88" s="272" t="s">
        <v>412</v>
      </c>
      <c r="D88" s="273"/>
      <c r="E88" s="125" t="s">
        <v>9</v>
      </c>
      <c r="F88" s="125" t="s">
        <v>9</v>
      </c>
      <c r="G88" s="125" t="s">
        <v>9</v>
      </c>
      <c r="H88" s="110">
        <f>SUM(H89:H89)</f>
        <v>0</v>
      </c>
      <c r="I88" s="110">
        <f>SUM(I89:I89)</f>
        <v>0</v>
      </c>
      <c r="J88" s="110">
        <f>SUM(J89:J89)</f>
        <v>0</v>
      </c>
      <c r="K88" s="126" t="s">
        <v>53</v>
      </c>
      <c r="AI88" s="115" t="s">
        <v>1253</v>
      </c>
      <c r="AS88" s="110">
        <f>SUM(AJ89:AJ89)</f>
        <v>0</v>
      </c>
      <c r="AT88" s="110">
        <f>SUM(AK89:AK89)</f>
        <v>0</v>
      </c>
      <c r="AU88" s="110">
        <f>SUM(AL89:AL89)</f>
        <v>0</v>
      </c>
    </row>
    <row r="89" spans="1:76" x14ac:dyDescent="0.25">
      <c r="A89" s="134" t="s">
        <v>244</v>
      </c>
      <c r="B89" s="135" t="s">
        <v>414</v>
      </c>
      <c r="C89" s="270" t="s">
        <v>415</v>
      </c>
      <c r="D89" s="271"/>
      <c r="E89" s="135" t="s">
        <v>416</v>
      </c>
      <c r="F89" s="131">
        <v>1</v>
      </c>
      <c r="G89" s="179">
        <v>0</v>
      </c>
      <c r="H89" s="131">
        <f>F89*AO89</f>
        <v>0</v>
      </c>
      <c r="I89" s="131">
        <f>F89*AP89</f>
        <v>0</v>
      </c>
      <c r="J89" s="131">
        <f>F89*G89</f>
        <v>0</v>
      </c>
      <c r="K89" s="136" t="s">
        <v>53</v>
      </c>
      <c r="Z89" s="131">
        <f>IF(AQ89="5",BJ89,0)</f>
        <v>0</v>
      </c>
      <c r="AB89" s="131">
        <f>IF(AQ89="1",BH89,0)</f>
        <v>0</v>
      </c>
      <c r="AC89" s="131">
        <f>IF(AQ89="1",BI89,0)</f>
        <v>0</v>
      </c>
      <c r="AD89" s="131">
        <f>IF(AQ89="7",BH89,0)</f>
        <v>0</v>
      </c>
      <c r="AE89" s="131">
        <f>IF(AQ89="7",BI89,0)</f>
        <v>0</v>
      </c>
      <c r="AF89" s="131">
        <f>IF(AQ89="2",BH89,0)</f>
        <v>0</v>
      </c>
      <c r="AG89" s="131">
        <f>IF(AQ89="2",BI89,0)</f>
        <v>0</v>
      </c>
      <c r="AH89" s="131">
        <f>IF(AQ89="0",BJ89,0)</f>
        <v>0</v>
      </c>
      <c r="AI89" s="115" t="s">
        <v>1253</v>
      </c>
      <c r="AJ89" s="131">
        <f>IF(AN89=0,J89,0)</f>
        <v>0</v>
      </c>
      <c r="AK89" s="131">
        <f>IF(AN89=12,J89,0)</f>
        <v>0</v>
      </c>
      <c r="AL89" s="131">
        <f>IF(AN89=21,J89,0)</f>
        <v>0</v>
      </c>
      <c r="AN89" s="131">
        <v>21</v>
      </c>
      <c r="AO89" s="131">
        <f>G89*0</f>
        <v>0</v>
      </c>
      <c r="AP89" s="131">
        <f>G89*(1-0)</f>
        <v>0</v>
      </c>
      <c r="AQ89" s="132" t="s">
        <v>405</v>
      </c>
      <c r="AV89" s="131">
        <f>AW89+AX89</f>
        <v>0</v>
      </c>
      <c r="AW89" s="131">
        <f>F89*AO89</f>
        <v>0</v>
      </c>
      <c r="AX89" s="131">
        <f>F89*AP89</f>
        <v>0</v>
      </c>
      <c r="AY89" s="132" t="s">
        <v>417</v>
      </c>
      <c r="AZ89" s="132" t="s">
        <v>1277</v>
      </c>
      <c r="BA89" s="115" t="s">
        <v>1255</v>
      </c>
      <c r="BC89" s="131">
        <f>AW89+AX89</f>
        <v>0</v>
      </c>
      <c r="BD89" s="131">
        <f>G89/(100-BE89)*100</f>
        <v>0</v>
      </c>
      <c r="BE89" s="131">
        <v>0</v>
      </c>
      <c r="BF89" s="131">
        <f>89</f>
        <v>89</v>
      </c>
      <c r="BH89" s="131">
        <f>F89*AO89</f>
        <v>0</v>
      </c>
      <c r="BI89" s="131">
        <f>F89*AP89</f>
        <v>0</v>
      </c>
      <c r="BJ89" s="131">
        <f>F89*G89</f>
        <v>0</v>
      </c>
      <c r="BK89" s="131"/>
      <c r="BL89" s="131"/>
      <c r="BM89" s="131">
        <f>F89*G89</f>
        <v>0</v>
      </c>
      <c r="BW89" s="131">
        <v>21</v>
      </c>
      <c r="BX89" s="133" t="s">
        <v>415</v>
      </c>
    </row>
    <row r="90" spans="1:76" x14ac:dyDescent="0.25">
      <c r="A90" s="123" t="s">
        <v>53</v>
      </c>
      <c r="B90" s="124" t="s">
        <v>419</v>
      </c>
      <c r="C90" s="272" t="s">
        <v>420</v>
      </c>
      <c r="D90" s="273"/>
      <c r="E90" s="125" t="s">
        <v>9</v>
      </c>
      <c r="F90" s="125" t="s">
        <v>9</v>
      </c>
      <c r="G90" s="125" t="s">
        <v>9</v>
      </c>
      <c r="H90" s="110">
        <f>SUM(H91:H91)</f>
        <v>0</v>
      </c>
      <c r="I90" s="110">
        <f>SUM(I91:I91)</f>
        <v>0</v>
      </c>
      <c r="J90" s="110">
        <f>SUM(J91:J91)</f>
        <v>0</v>
      </c>
      <c r="K90" s="126" t="s">
        <v>53</v>
      </c>
      <c r="AI90" s="115" t="s">
        <v>1253</v>
      </c>
      <c r="AS90" s="110">
        <f>SUM(AJ91:AJ91)</f>
        <v>0</v>
      </c>
      <c r="AT90" s="110">
        <f>SUM(AK91:AK91)</f>
        <v>0</v>
      </c>
      <c r="AU90" s="110">
        <f>SUM(AL91:AL91)</f>
        <v>0</v>
      </c>
    </row>
    <row r="91" spans="1:76" x14ac:dyDescent="0.25">
      <c r="A91" s="134" t="s">
        <v>251</v>
      </c>
      <c r="B91" s="135" t="s">
        <v>422</v>
      </c>
      <c r="C91" s="270" t="s">
        <v>420</v>
      </c>
      <c r="D91" s="271"/>
      <c r="E91" s="135" t="s">
        <v>416</v>
      </c>
      <c r="F91" s="131">
        <v>1</v>
      </c>
      <c r="G91" s="179">
        <v>0</v>
      </c>
      <c r="H91" s="131">
        <f>F91*AO91</f>
        <v>0</v>
      </c>
      <c r="I91" s="131">
        <f>F91*AP91</f>
        <v>0</v>
      </c>
      <c r="J91" s="131">
        <f>F91*G91</f>
        <v>0</v>
      </c>
      <c r="K91" s="136" t="s">
        <v>53</v>
      </c>
      <c r="Z91" s="131">
        <f>IF(AQ91="5",BJ91,0)</f>
        <v>0</v>
      </c>
      <c r="AB91" s="131">
        <f>IF(AQ91="1",BH91,0)</f>
        <v>0</v>
      </c>
      <c r="AC91" s="131">
        <f>IF(AQ91="1",BI91,0)</f>
        <v>0</v>
      </c>
      <c r="AD91" s="131">
        <f>IF(AQ91="7",BH91,0)</f>
        <v>0</v>
      </c>
      <c r="AE91" s="131">
        <f>IF(AQ91="7",BI91,0)</f>
        <v>0</v>
      </c>
      <c r="AF91" s="131">
        <f>IF(AQ91="2",BH91,0)</f>
        <v>0</v>
      </c>
      <c r="AG91" s="131">
        <f>IF(AQ91="2",BI91,0)</f>
        <v>0</v>
      </c>
      <c r="AH91" s="131">
        <f>IF(AQ91="0",BJ91,0)</f>
        <v>0</v>
      </c>
      <c r="AI91" s="115" t="s">
        <v>1253</v>
      </c>
      <c r="AJ91" s="131">
        <f>IF(AN91=0,J91,0)</f>
        <v>0</v>
      </c>
      <c r="AK91" s="131">
        <f>IF(AN91=12,J91,0)</f>
        <v>0</v>
      </c>
      <c r="AL91" s="131">
        <f>IF(AN91=21,J91,0)</f>
        <v>0</v>
      </c>
      <c r="AN91" s="131">
        <v>21</v>
      </c>
      <c r="AO91" s="131">
        <f>G91*0</f>
        <v>0</v>
      </c>
      <c r="AP91" s="131">
        <f>G91*(1-0)</f>
        <v>0</v>
      </c>
      <c r="AQ91" s="132" t="s">
        <v>405</v>
      </c>
      <c r="AV91" s="131">
        <f>AW91+AX91</f>
        <v>0</v>
      </c>
      <c r="AW91" s="131">
        <f>F91*AO91</f>
        <v>0</v>
      </c>
      <c r="AX91" s="131">
        <f>F91*AP91</f>
        <v>0</v>
      </c>
      <c r="AY91" s="132" t="s">
        <v>423</v>
      </c>
      <c r="AZ91" s="132" t="s">
        <v>1277</v>
      </c>
      <c r="BA91" s="115" t="s">
        <v>1255</v>
      </c>
      <c r="BC91" s="131">
        <f>AW91+AX91</f>
        <v>0</v>
      </c>
      <c r="BD91" s="131">
        <f>G91/(100-BE91)*100</f>
        <v>0</v>
      </c>
      <c r="BE91" s="131">
        <v>0</v>
      </c>
      <c r="BF91" s="131">
        <f>91</f>
        <v>91</v>
      </c>
      <c r="BH91" s="131">
        <f>F91*AO91</f>
        <v>0</v>
      </c>
      <c r="BI91" s="131">
        <f>F91*AP91</f>
        <v>0</v>
      </c>
      <c r="BJ91" s="131">
        <f>F91*G91</f>
        <v>0</v>
      </c>
      <c r="BK91" s="131"/>
      <c r="BL91" s="131"/>
      <c r="BO91" s="131">
        <f>F91*G91</f>
        <v>0</v>
      </c>
      <c r="BW91" s="131">
        <v>21</v>
      </c>
      <c r="BX91" s="133" t="s">
        <v>420</v>
      </c>
    </row>
    <row r="92" spans="1:76" x14ac:dyDescent="0.25">
      <c r="A92" s="123" t="s">
        <v>53</v>
      </c>
      <c r="B92" s="124" t="s">
        <v>424</v>
      </c>
      <c r="C92" s="272" t="s">
        <v>425</v>
      </c>
      <c r="D92" s="273"/>
      <c r="E92" s="125" t="s">
        <v>9</v>
      </c>
      <c r="F92" s="125" t="s">
        <v>9</v>
      </c>
      <c r="G92" s="125" t="s">
        <v>9</v>
      </c>
      <c r="H92" s="110">
        <f>SUM(H93:H93)</f>
        <v>0</v>
      </c>
      <c r="I92" s="110">
        <f>SUM(I93:I93)</f>
        <v>0</v>
      </c>
      <c r="J92" s="110">
        <f>SUM(J93:J93)</f>
        <v>0</v>
      </c>
      <c r="K92" s="126" t="s">
        <v>53</v>
      </c>
      <c r="AI92" s="115" t="s">
        <v>1253</v>
      </c>
      <c r="AS92" s="110">
        <f>SUM(AJ93:AJ93)</f>
        <v>0</v>
      </c>
      <c r="AT92" s="110">
        <f>SUM(AK93:AK93)</f>
        <v>0</v>
      </c>
      <c r="AU92" s="110">
        <f>SUM(AL93:AL93)</f>
        <v>0</v>
      </c>
    </row>
    <row r="93" spans="1:76" x14ac:dyDescent="0.25">
      <c r="A93" s="137" t="s">
        <v>257</v>
      </c>
      <c r="B93" s="138" t="s">
        <v>427</v>
      </c>
      <c r="C93" s="274" t="s">
        <v>428</v>
      </c>
      <c r="D93" s="275"/>
      <c r="E93" s="138" t="s">
        <v>416</v>
      </c>
      <c r="F93" s="139">
        <v>1</v>
      </c>
      <c r="G93" s="180">
        <v>0</v>
      </c>
      <c r="H93" s="139">
        <f>F93*AO93</f>
        <v>0</v>
      </c>
      <c r="I93" s="139">
        <f>F93*AP93</f>
        <v>0</v>
      </c>
      <c r="J93" s="139">
        <f>F93*G93</f>
        <v>0</v>
      </c>
      <c r="K93" s="140" t="s">
        <v>53</v>
      </c>
      <c r="Z93" s="131">
        <f>IF(AQ93="5",BJ93,0)</f>
        <v>0</v>
      </c>
      <c r="AB93" s="131">
        <f>IF(AQ93="1",BH93,0)</f>
        <v>0</v>
      </c>
      <c r="AC93" s="131">
        <f>IF(AQ93="1",BI93,0)</f>
        <v>0</v>
      </c>
      <c r="AD93" s="131">
        <f>IF(AQ93="7",BH93,0)</f>
        <v>0</v>
      </c>
      <c r="AE93" s="131">
        <f>IF(AQ93="7",BI93,0)</f>
        <v>0</v>
      </c>
      <c r="AF93" s="131">
        <f>IF(AQ93="2",BH93,0)</f>
        <v>0</v>
      </c>
      <c r="AG93" s="131">
        <f>IF(AQ93="2",BI93,0)</f>
        <v>0</v>
      </c>
      <c r="AH93" s="131">
        <f>IF(AQ93="0",BJ93,0)</f>
        <v>0</v>
      </c>
      <c r="AI93" s="115" t="s">
        <v>1253</v>
      </c>
      <c r="AJ93" s="131">
        <f>IF(AN93=0,J93,0)</f>
        <v>0</v>
      </c>
      <c r="AK93" s="131">
        <f>IF(AN93=12,J93,0)</f>
        <v>0</v>
      </c>
      <c r="AL93" s="131">
        <f>IF(AN93=21,J93,0)</f>
        <v>0</v>
      </c>
      <c r="AN93" s="131">
        <v>21</v>
      </c>
      <c r="AO93" s="131">
        <f>G93*0</f>
        <v>0</v>
      </c>
      <c r="AP93" s="131">
        <f>G93*(1-0)</f>
        <v>0</v>
      </c>
      <c r="AQ93" s="132" t="s">
        <v>405</v>
      </c>
      <c r="AV93" s="131">
        <f>AW93+AX93</f>
        <v>0</v>
      </c>
      <c r="AW93" s="131">
        <f>F93*AO93</f>
        <v>0</v>
      </c>
      <c r="AX93" s="131">
        <f>F93*AP93</f>
        <v>0</v>
      </c>
      <c r="AY93" s="132" t="s">
        <v>429</v>
      </c>
      <c r="AZ93" s="132" t="s">
        <v>1277</v>
      </c>
      <c r="BA93" s="115" t="s">
        <v>1255</v>
      </c>
      <c r="BC93" s="131">
        <f>AW93+AX93</f>
        <v>0</v>
      </c>
      <c r="BD93" s="131">
        <f>G93/(100-BE93)*100</f>
        <v>0</v>
      </c>
      <c r="BE93" s="131">
        <v>0</v>
      </c>
      <c r="BF93" s="131">
        <f>93</f>
        <v>93</v>
      </c>
      <c r="BH93" s="131">
        <f>F93*AO93</f>
        <v>0</v>
      </c>
      <c r="BI93" s="131">
        <f>F93*AP93</f>
        <v>0</v>
      </c>
      <c r="BJ93" s="131">
        <f>F93*G93</f>
        <v>0</v>
      </c>
      <c r="BK93" s="131"/>
      <c r="BL93" s="131"/>
      <c r="BR93" s="131">
        <f>F93*G93</f>
        <v>0</v>
      </c>
      <c r="BW93" s="131">
        <v>21</v>
      </c>
      <c r="BX93" s="133" t="s">
        <v>428</v>
      </c>
    </row>
    <row r="94" spans="1:76" x14ac:dyDescent="0.25">
      <c r="H94" s="276" t="s">
        <v>430</v>
      </c>
      <c r="I94" s="276"/>
      <c r="J94" s="141">
        <f>ROUND(J13+J16+J20+J25+J29+J31+J34+J36+J38+J45+J47+J49+J52+J56+J60+J65+J69+J71+J74+J76+J78+J88+J90+J92,0)</f>
        <v>0</v>
      </c>
    </row>
    <row r="95" spans="1:76" x14ac:dyDescent="0.25">
      <c r="A95" s="142" t="s">
        <v>431</v>
      </c>
    </row>
    <row r="96" spans="1:76" ht="12.75" customHeight="1" x14ac:dyDescent="0.25">
      <c r="A96" s="270" t="s">
        <v>53</v>
      </c>
      <c r="B96" s="271"/>
      <c r="C96" s="271"/>
      <c r="D96" s="271"/>
      <c r="E96" s="271"/>
      <c r="F96" s="271"/>
      <c r="G96" s="271"/>
      <c r="H96" s="271"/>
      <c r="I96" s="271"/>
      <c r="J96" s="271"/>
      <c r="K96" s="271"/>
    </row>
  </sheetData>
  <mergeCells count="112">
    <mergeCell ref="A1:K1"/>
    <mergeCell ref="A2:B3"/>
    <mergeCell ref="C2:D3"/>
    <mergeCell ref="E2:F3"/>
    <mergeCell ref="G2:G3"/>
    <mergeCell ref="H2:H3"/>
    <mergeCell ref="I2:K3"/>
    <mergeCell ref="A6:B7"/>
    <mergeCell ref="C6:D7"/>
    <mergeCell ref="E6:F7"/>
    <mergeCell ref="G6:G7"/>
    <mergeCell ref="H6:H7"/>
    <mergeCell ref="I6:K7"/>
    <mergeCell ref="A4:B5"/>
    <mergeCell ref="C4:D5"/>
    <mergeCell ref="E4:F5"/>
    <mergeCell ref="G4:G5"/>
    <mergeCell ref="H4:H5"/>
    <mergeCell ref="I4:K5"/>
    <mergeCell ref="C10:D10"/>
    <mergeCell ref="H10:J10"/>
    <mergeCell ref="C11:D11"/>
    <mergeCell ref="C12:D12"/>
    <mergeCell ref="C13:D13"/>
    <mergeCell ref="C14:D14"/>
    <mergeCell ref="A8:B9"/>
    <mergeCell ref="C8:D9"/>
    <mergeCell ref="E8:F9"/>
    <mergeCell ref="G8:G9"/>
    <mergeCell ref="H8:H9"/>
    <mergeCell ref="I8:K9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93:D93"/>
    <mergeCell ref="H94:I94"/>
    <mergeCell ref="A96:K96"/>
    <mergeCell ref="C87:D87"/>
    <mergeCell ref="C88:D88"/>
    <mergeCell ref="C89:D89"/>
    <mergeCell ref="C90:D90"/>
    <mergeCell ref="C91:D91"/>
    <mergeCell ref="C92:D92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L34" sqref="L34"/>
    </sheetView>
  </sheetViews>
  <sheetFormatPr defaultColWidth="12.140625" defaultRowHeight="15" customHeight="1" x14ac:dyDescent="0.25"/>
  <cols>
    <col min="1" max="1" width="9.140625" style="109" customWidth="1"/>
    <col min="2" max="2" width="12.85546875" style="109" customWidth="1"/>
    <col min="3" max="3" width="27.140625" style="109" customWidth="1"/>
    <col min="4" max="4" width="10" style="109" customWidth="1"/>
    <col min="5" max="5" width="14" style="109" customWidth="1"/>
    <col min="6" max="6" width="27.140625" style="109" customWidth="1"/>
    <col min="7" max="7" width="9.140625" style="109" customWidth="1"/>
    <col min="8" max="8" width="12.85546875" style="109" customWidth="1"/>
    <col min="9" max="9" width="27.140625" style="109" customWidth="1"/>
    <col min="10" max="16384" width="12.140625" style="109"/>
  </cols>
  <sheetData>
    <row r="1" spans="1:9" ht="54.75" customHeight="1" x14ac:dyDescent="0.25">
      <c r="A1" s="327" t="s">
        <v>478</v>
      </c>
      <c r="B1" s="289"/>
      <c r="C1" s="289"/>
      <c r="D1" s="289"/>
      <c r="E1" s="289"/>
      <c r="F1" s="289"/>
      <c r="G1" s="289"/>
      <c r="H1" s="289"/>
      <c r="I1" s="289"/>
    </row>
    <row r="2" spans="1:9" x14ac:dyDescent="0.25">
      <c r="A2" s="290" t="s">
        <v>1</v>
      </c>
      <c r="B2" s="291"/>
      <c r="C2" s="292" t="str">
        <f>'SO-202'!C2</f>
        <v>NEDRAŽICE - CHODNÍKY A ÚPRAVY VNITŘNÍCH PROSTOR OBCE</v>
      </c>
      <c r="D2" s="293"/>
      <c r="E2" s="294" t="s">
        <v>5</v>
      </c>
      <c r="F2" s="294" t="str">
        <f>'SO-202'!I2</f>
        <v>Obec Kostelec, Kostelec 34, 349 01 Stříbro</v>
      </c>
      <c r="G2" s="291"/>
      <c r="H2" s="294" t="s">
        <v>479</v>
      </c>
      <c r="I2" s="295" t="s">
        <v>480</v>
      </c>
    </row>
    <row r="3" spans="1:9" ht="15" customHeight="1" x14ac:dyDescent="0.25">
      <c r="A3" s="287"/>
      <c r="B3" s="271"/>
      <c r="C3" s="276"/>
      <c r="D3" s="276"/>
      <c r="E3" s="271"/>
      <c r="F3" s="271"/>
      <c r="G3" s="271"/>
      <c r="H3" s="271"/>
      <c r="I3" s="288"/>
    </row>
    <row r="4" spans="1:9" x14ac:dyDescent="0.25">
      <c r="A4" s="286" t="s">
        <v>7</v>
      </c>
      <c r="B4" s="271"/>
      <c r="C4" s="270" t="str">
        <f>'SO-202'!C4</f>
        <v>SO-202 Přípojky uličních vpustí + přípojky okapních svodů</v>
      </c>
      <c r="D4" s="271"/>
      <c r="E4" s="270" t="s">
        <v>10</v>
      </c>
      <c r="F4" s="270" t="str">
        <f>'SO-202'!I4</f>
        <v>Václav Říha, Tuněchody 9, 349 01 Stříbro</v>
      </c>
      <c r="G4" s="271"/>
      <c r="H4" s="270" t="s">
        <v>479</v>
      </c>
      <c r="I4" s="288" t="s">
        <v>1222</v>
      </c>
    </row>
    <row r="5" spans="1:9" ht="15" customHeight="1" x14ac:dyDescent="0.25">
      <c r="A5" s="287"/>
      <c r="B5" s="271"/>
      <c r="C5" s="271"/>
      <c r="D5" s="271"/>
      <c r="E5" s="271"/>
      <c r="F5" s="271"/>
      <c r="G5" s="271"/>
      <c r="H5" s="271"/>
      <c r="I5" s="288"/>
    </row>
    <row r="6" spans="1:9" x14ac:dyDescent="0.25">
      <c r="A6" s="286" t="s">
        <v>12</v>
      </c>
      <c r="B6" s="271"/>
      <c r="C6" s="270" t="str">
        <f>'SO-202'!C6</f>
        <v>Nedražice</v>
      </c>
      <c r="D6" s="271"/>
      <c r="E6" s="270" t="s">
        <v>16</v>
      </c>
      <c r="F6" s="270" t="str">
        <f>'SO-202'!I6</f>
        <v> </v>
      </c>
      <c r="G6" s="271"/>
      <c r="H6" s="270" t="s">
        <v>479</v>
      </c>
      <c r="I6" s="288" t="s">
        <v>53</v>
      </c>
    </row>
    <row r="7" spans="1:9" ht="15" customHeight="1" x14ac:dyDescent="0.25">
      <c r="A7" s="287"/>
      <c r="B7" s="271"/>
      <c r="C7" s="271"/>
      <c r="D7" s="271"/>
      <c r="E7" s="271"/>
      <c r="F7" s="271"/>
      <c r="G7" s="271"/>
      <c r="H7" s="271"/>
      <c r="I7" s="288"/>
    </row>
    <row r="8" spans="1:9" x14ac:dyDescent="0.25">
      <c r="A8" s="286" t="s">
        <v>8</v>
      </c>
      <c r="B8" s="271"/>
      <c r="C8" s="270" t="str">
        <f>'SO-202'!G4</f>
        <v>01.04.2025</v>
      </c>
      <c r="D8" s="271"/>
      <c r="E8" s="270" t="s">
        <v>14</v>
      </c>
      <c r="F8" s="270" t="str">
        <f>'SO-202'!G6</f>
        <v>31.10.2025</v>
      </c>
      <c r="G8" s="271"/>
      <c r="H8" s="271" t="s">
        <v>483</v>
      </c>
      <c r="I8" s="326">
        <v>54</v>
      </c>
    </row>
    <row r="9" spans="1:9" x14ac:dyDescent="0.25">
      <c r="A9" s="287"/>
      <c r="B9" s="271"/>
      <c r="C9" s="271"/>
      <c r="D9" s="271"/>
      <c r="E9" s="271"/>
      <c r="F9" s="271"/>
      <c r="G9" s="271"/>
      <c r="H9" s="271"/>
      <c r="I9" s="288"/>
    </row>
    <row r="10" spans="1:9" x14ac:dyDescent="0.25">
      <c r="A10" s="286" t="s">
        <v>18</v>
      </c>
      <c r="B10" s="271"/>
      <c r="C10" s="270" t="str">
        <f>'SO-202'!C8</f>
        <v>8272111</v>
      </c>
      <c r="D10" s="271"/>
      <c r="E10" s="270" t="s">
        <v>22</v>
      </c>
      <c r="F10" s="270" t="str">
        <f>'SO-202'!I8</f>
        <v>Václav Říha</v>
      </c>
      <c r="G10" s="271"/>
      <c r="H10" s="271" t="s">
        <v>484</v>
      </c>
      <c r="I10" s="324" t="str">
        <f>'SO-202'!G8</f>
        <v>08.10.2024</v>
      </c>
    </row>
    <row r="11" spans="1:9" x14ac:dyDescent="0.25">
      <c r="A11" s="323"/>
      <c r="B11" s="275"/>
      <c r="C11" s="275"/>
      <c r="D11" s="275"/>
      <c r="E11" s="275"/>
      <c r="F11" s="275"/>
      <c r="G11" s="275"/>
      <c r="H11" s="275"/>
      <c r="I11" s="325"/>
    </row>
    <row r="12" spans="1:9" ht="23.25" x14ac:dyDescent="0.25">
      <c r="A12" s="320" t="s">
        <v>485</v>
      </c>
      <c r="B12" s="320"/>
      <c r="C12" s="320"/>
      <c r="D12" s="320"/>
      <c r="E12" s="320"/>
      <c r="F12" s="320"/>
      <c r="G12" s="320"/>
      <c r="H12" s="320"/>
      <c r="I12" s="320"/>
    </row>
    <row r="13" spans="1:9" ht="26.25" customHeight="1" x14ac:dyDescent="0.25">
      <c r="A13" s="157" t="s">
        <v>486</v>
      </c>
      <c r="B13" s="321" t="s">
        <v>487</v>
      </c>
      <c r="C13" s="322"/>
      <c r="D13" s="158" t="s">
        <v>488</v>
      </c>
      <c r="E13" s="321" t="s">
        <v>489</v>
      </c>
      <c r="F13" s="322"/>
      <c r="G13" s="158" t="s">
        <v>490</v>
      </c>
      <c r="H13" s="321" t="s">
        <v>491</v>
      </c>
      <c r="I13" s="322"/>
    </row>
    <row r="14" spans="1:9" ht="15.75" x14ac:dyDescent="0.25">
      <c r="A14" s="159" t="s">
        <v>492</v>
      </c>
      <c r="B14" s="160" t="s">
        <v>493</v>
      </c>
      <c r="C14" s="161">
        <f>SUM('SO-202'!AB12:AB93)</f>
        <v>0</v>
      </c>
      <c r="D14" s="318" t="s">
        <v>494</v>
      </c>
      <c r="E14" s="319"/>
      <c r="F14" s="161">
        <f>[4]VORN!I15</f>
        <v>0</v>
      </c>
      <c r="G14" s="318" t="s">
        <v>420</v>
      </c>
      <c r="H14" s="319"/>
      <c r="I14" s="162">
        <f>[4]VORN!I21</f>
        <v>0</v>
      </c>
    </row>
    <row r="15" spans="1:9" ht="15.75" x14ac:dyDescent="0.25">
      <c r="A15" s="163" t="s">
        <v>53</v>
      </c>
      <c r="B15" s="160" t="s">
        <v>38</v>
      </c>
      <c r="C15" s="161">
        <f>SUM('SO-202'!AC12:AC93)</f>
        <v>0</v>
      </c>
      <c r="D15" s="318" t="s">
        <v>495</v>
      </c>
      <c r="E15" s="319"/>
      <c r="F15" s="161">
        <f>[4]VORN!I16</f>
        <v>0</v>
      </c>
      <c r="G15" s="318" t="s">
        <v>496</v>
      </c>
      <c r="H15" s="319"/>
      <c r="I15" s="162">
        <f>[4]VORN!I22</f>
        <v>0</v>
      </c>
    </row>
    <row r="16" spans="1:9" ht="15.75" x14ac:dyDescent="0.25">
      <c r="A16" s="159" t="s">
        <v>497</v>
      </c>
      <c r="B16" s="160" t="s">
        <v>493</v>
      </c>
      <c r="C16" s="161">
        <f>SUM('SO-202'!AD12:AD93)</f>
        <v>0</v>
      </c>
      <c r="D16" s="318" t="s">
        <v>498</v>
      </c>
      <c r="E16" s="319"/>
      <c r="F16" s="161">
        <f>[4]VORN!I17</f>
        <v>0</v>
      </c>
      <c r="G16" s="318" t="s">
        <v>425</v>
      </c>
      <c r="H16" s="319"/>
      <c r="I16" s="162">
        <f>[4]VORN!I23</f>
        <v>0</v>
      </c>
    </row>
    <row r="17" spans="1:9" ht="15.75" x14ac:dyDescent="0.25">
      <c r="A17" s="163" t="s">
        <v>53</v>
      </c>
      <c r="B17" s="160" t="s">
        <v>38</v>
      </c>
      <c r="C17" s="161">
        <f>SUM('SO-202'!AE12:AE93)</f>
        <v>0</v>
      </c>
      <c r="D17" s="318" t="s">
        <v>53</v>
      </c>
      <c r="E17" s="319"/>
      <c r="F17" s="162" t="s">
        <v>53</v>
      </c>
      <c r="G17" s="318" t="s">
        <v>499</v>
      </c>
      <c r="H17" s="319"/>
      <c r="I17" s="162">
        <f>[4]VORN!I24</f>
        <v>0</v>
      </c>
    </row>
    <row r="18" spans="1:9" ht="15.75" x14ac:dyDescent="0.25">
      <c r="A18" s="159" t="s">
        <v>500</v>
      </c>
      <c r="B18" s="160" t="s">
        <v>493</v>
      </c>
      <c r="C18" s="161">
        <f>SUM('SO-202'!AF12:AF93)</f>
        <v>0</v>
      </c>
      <c r="D18" s="318" t="s">
        <v>53</v>
      </c>
      <c r="E18" s="319"/>
      <c r="F18" s="162" t="s">
        <v>53</v>
      </c>
      <c r="G18" s="318" t="s">
        <v>501</v>
      </c>
      <c r="H18" s="319"/>
      <c r="I18" s="162">
        <f>[4]VORN!I25</f>
        <v>0</v>
      </c>
    </row>
    <row r="19" spans="1:9" ht="15.75" x14ac:dyDescent="0.25">
      <c r="A19" s="163" t="s">
        <v>53</v>
      </c>
      <c r="B19" s="160" t="s">
        <v>38</v>
      </c>
      <c r="C19" s="161">
        <f>SUM('SO-202'!AG12:AG93)</f>
        <v>0</v>
      </c>
      <c r="D19" s="318" t="s">
        <v>53</v>
      </c>
      <c r="E19" s="319"/>
      <c r="F19" s="162" t="s">
        <v>53</v>
      </c>
      <c r="G19" s="318" t="s">
        <v>502</v>
      </c>
      <c r="H19" s="319"/>
      <c r="I19" s="162">
        <f>[4]VORN!I26</f>
        <v>0</v>
      </c>
    </row>
    <row r="20" spans="1:9" ht="15.75" x14ac:dyDescent="0.25">
      <c r="A20" s="307" t="s">
        <v>339</v>
      </c>
      <c r="B20" s="308"/>
      <c r="C20" s="161">
        <f>SUM('SO-202'!AH12:AH93)</f>
        <v>0</v>
      </c>
      <c r="D20" s="318" t="s">
        <v>53</v>
      </c>
      <c r="E20" s="319"/>
      <c r="F20" s="162" t="s">
        <v>53</v>
      </c>
      <c r="G20" s="318" t="s">
        <v>53</v>
      </c>
      <c r="H20" s="319"/>
      <c r="I20" s="162" t="s">
        <v>53</v>
      </c>
    </row>
    <row r="21" spans="1:9" ht="15.75" x14ac:dyDescent="0.25">
      <c r="A21" s="312" t="s">
        <v>503</v>
      </c>
      <c r="B21" s="313"/>
      <c r="C21" s="164">
        <f>SUM('SO-202'!Z12:Z93)</f>
        <v>0</v>
      </c>
      <c r="D21" s="297" t="s">
        <v>53</v>
      </c>
      <c r="E21" s="314"/>
      <c r="F21" s="165" t="s">
        <v>53</v>
      </c>
      <c r="G21" s="297" t="s">
        <v>53</v>
      </c>
      <c r="H21" s="314"/>
      <c r="I21" s="165" t="s">
        <v>53</v>
      </c>
    </row>
    <row r="22" spans="1:9" ht="16.5" customHeight="1" x14ac:dyDescent="0.25">
      <c r="A22" s="315" t="s">
        <v>504</v>
      </c>
      <c r="B22" s="316"/>
      <c r="C22" s="166">
        <f>ROUND(SUM(C14:C21),0)</f>
        <v>0</v>
      </c>
      <c r="D22" s="317" t="s">
        <v>505</v>
      </c>
      <c r="E22" s="316"/>
      <c r="F22" s="166">
        <f>SUM(F14:F21)</f>
        <v>0</v>
      </c>
      <c r="G22" s="317" t="s">
        <v>506</v>
      </c>
      <c r="H22" s="316"/>
      <c r="I22" s="166">
        <f>SUM(I14:I21)</f>
        <v>0</v>
      </c>
    </row>
    <row r="23" spans="1:9" ht="16.5" thickBot="1" x14ac:dyDescent="0.3">
      <c r="D23" s="307" t="s">
        <v>507</v>
      </c>
      <c r="E23" s="308"/>
      <c r="F23" s="167">
        <v>0</v>
      </c>
      <c r="G23" s="309" t="s">
        <v>508</v>
      </c>
      <c r="H23" s="308"/>
      <c r="I23" s="161">
        <v>0</v>
      </c>
    </row>
    <row r="24" spans="1:9" ht="15.75" x14ac:dyDescent="0.25">
      <c r="G24" s="307" t="s">
        <v>509</v>
      </c>
      <c r="H24" s="308"/>
      <c r="I24" s="164">
        <f>vorn_sum</f>
        <v>0</v>
      </c>
    </row>
    <row r="25" spans="1:9" ht="15.75" x14ac:dyDescent="0.25">
      <c r="G25" s="307" t="s">
        <v>510</v>
      </c>
      <c r="H25" s="308"/>
      <c r="I25" s="166">
        <v>0</v>
      </c>
    </row>
    <row r="27" spans="1:9" ht="15.75" x14ac:dyDescent="0.25">
      <c r="A27" s="310" t="s">
        <v>511</v>
      </c>
      <c r="B27" s="311"/>
      <c r="C27" s="168">
        <f>ROUND(SUM('SO-202'!AJ12:AJ93),0)</f>
        <v>0</v>
      </c>
    </row>
    <row r="28" spans="1:9" ht="15.75" x14ac:dyDescent="0.25">
      <c r="A28" s="302" t="s">
        <v>512</v>
      </c>
      <c r="B28" s="303"/>
      <c r="C28" s="169">
        <f>ROUND(SUM('SO-202'!AK12:AK93),0)</f>
        <v>0</v>
      </c>
      <c r="D28" s="311" t="s">
        <v>513</v>
      </c>
      <c r="E28" s="311"/>
      <c r="F28" s="168">
        <f>ROUND(C28*(12/100),2)</f>
        <v>0</v>
      </c>
      <c r="G28" s="311" t="s">
        <v>514</v>
      </c>
      <c r="H28" s="311"/>
      <c r="I28" s="168">
        <f>ROUND(SUM(C27:C29),0)</f>
        <v>0</v>
      </c>
    </row>
    <row r="29" spans="1:9" ht="15.75" x14ac:dyDescent="0.25">
      <c r="A29" s="302" t="s">
        <v>515</v>
      </c>
      <c r="B29" s="303"/>
      <c r="C29" s="169">
        <f>ROUND(SUM('SO-202'!AL12:AL93),0)</f>
        <v>0</v>
      </c>
      <c r="D29" s="303" t="s">
        <v>516</v>
      </c>
      <c r="E29" s="303"/>
      <c r="F29" s="169">
        <f>ROUND(C29*(21/100),2)</f>
        <v>0</v>
      </c>
      <c r="G29" s="303" t="s">
        <v>517</v>
      </c>
      <c r="H29" s="303"/>
      <c r="I29" s="169">
        <f>ROUND(SUM(F28:F29)+I28,0)</f>
        <v>0</v>
      </c>
    </row>
    <row r="31" spans="1:9" x14ac:dyDescent="0.25">
      <c r="A31" s="304" t="s">
        <v>518</v>
      </c>
      <c r="B31" s="305"/>
      <c r="C31" s="306"/>
      <c r="D31" s="305" t="s">
        <v>519</v>
      </c>
      <c r="E31" s="305"/>
      <c r="F31" s="306"/>
      <c r="G31" s="305" t="s">
        <v>520</v>
      </c>
      <c r="H31" s="305"/>
      <c r="I31" s="306"/>
    </row>
    <row r="32" spans="1:9" x14ac:dyDescent="0.25">
      <c r="A32" s="296" t="s">
        <v>53</v>
      </c>
      <c r="B32" s="297"/>
      <c r="C32" s="298"/>
      <c r="D32" s="297" t="s">
        <v>53</v>
      </c>
      <c r="E32" s="297"/>
      <c r="F32" s="298"/>
      <c r="G32" s="297" t="s">
        <v>53</v>
      </c>
      <c r="H32" s="297"/>
      <c r="I32" s="298"/>
    </row>
    <row r="33" spans="1:9" x14ac:dyDescent="0.25">
      <c r="A33" s="296" t="s">
        <v>53</v>
      </c>
      <c r="B33" s="297"/>
      <c r="C33" s="298"/>
      <c r="D33" s="297" t="s">
        <v>53</v>
      </c>
      <c r="E33" s="297"/>
      <c r="F33" s="298"/>
      <c r="G33" s="297" t="s">
        <v>53</v>
      </c>
      <c r="H33" s="297"/>
      <c r="I33" s="298"/>
    </row>
    <row r="34" spans="1:9" x14ac:dyDescent="0.25">
      <c r="A34" s="296" t="s">
        <v>53</v>
      </c>
      <c r="B34" s="297"/>
      <c r="C34" s="298"/>
      <c r="D34" s="297" t="s">
        <v>53</v>
      </c>
      <c r="E34" s="297"/>
      <c r="F34" s="298"/>
      <c r="G34" s="297" t="s">
        <v>53</v>
      </c>
      <c r="H34" s="297"/>
      <c r="I34" s="298"/>
    </row>
    <row r="35" spans="1:9" ht="15.75" thickBot="1" x14ac:dyDescent="0.3">
      <c r="A35" s="299" t="s">
        <v>521</v>
      </c>
      <c r="B35" s="300"/>
      <c r="C35" s="301"/>
      <c r="D35" s="300" t="s">
        <v>521</v>
      </c>
      <c r="E35" s="300"/>
      <c r="F35" s="301"/>
      <c r="G35" s="300" t="s">
        <v>521</v>
      </c>
      <c r="H35" s="300"/>
      <c r="I35" s="301"/>
    </row>
    <row r="36" spans="1:9" x14ac:dyDescent="0.25">
      <c r="A36" s="142" t="s">
        <v>431</v>
      </c>
    </row>
    <row r="37" spans="1:9" ht="12.75" customHeight="1" x14ac:dyDescent="0.25">
      <c r="A37" s="270" t="s">
        <v>53</v>
      </c>
      <c r="B37" s="271"/>
      <c r="C37" s="271"/>
      <c r="D37" s="271"/>
      <c r="E37" s="271"/>
      <c r="F37" s="271"/>
      <c r="G37" s="271"/>
      <c r="H37" s="271"/>
      <c r="I37" s="271"/>
    </row>
  </sheetData>
  <mergeCells count="83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selection activeCell="L34" sqref="L34"/>
    </sheetView>
  </sheetViews>
  <sheetFormatPr defaultColWidth="12.140625" defaultRowHeight="15" customHeight="1" x14ac:dyDescent="0.25"/>
  <cols>
    <col min="1" max="2" width="9.140625" style="109" customWidth="1"/>
    <col min="3" max="3" width="14.28515625" style="109" customWidth="1"/>
    <col min="4" max="4" width="42.85546875" style="109" customWidth="1"/>
    <col min="5" max="5" width="41.5703125" style="109" customWidth="1"/>
    <col min="6" max="6" width="24.140625" style="109" customWidth="1"/>
    <col min="7" max="7" width="15.7109375" style="109" customWidth="1"/>
    <col min="8" max="8" width="20" style="109" customWidth="1"/>
    <col min="9" max="16384" width="12.140625" style="109"/>
  </cols>
  <sheetData>
    <row r="1" spans="1:8" ht="54.75" customHeight="1" x14ac:dyDescent="0.25">
      <c r="A1" s="289" t="s">
        <v>432</v>
      </c>
      <c r="B1" s="289"/>
      <c r="C1" s="289"/>
      <c r="D1" s="289"/>
      <c r="E1" s="289"/>
      <c r="F1" s="289"/>
      <c r="G1" s="289"/>
      <c r="H1" s="289"/>
    </row>
    <row r="2" spans="1:8" x14ac:dyDescent="0.25">
      <c r="A2" s="290" t="s">
        <v>1</v>
      </c>
      <c r="B2" s="291"/>
      <c r="C2" s="292" t="str">
        <f>'SO-202'!C2</f>
        <v>NEDRAŽICE - CHODNÍKY A ÚPRAVY VNITŘNÍCH PROSTOR OBCE</v>
      </c>
      <c r="D2" s="293"/>
      <c r="E2" s="294" t="s">
        <v>5</v>
      </c>
      <c r="F2" s="294" t="str">
        <f>'SO-202'!I2</f>
        <v>Obec Kostelec, Kostelec 34, 349 01 Stříbro</v>
      </c>
      <c r="G2" s="291"/>
      <c r="H2" s="295"/>
    </row>
    <row r="3" spans="1:8" ht="15" customHeight="1" x14ac:dyDescent="0.25">
      <c r="A3" s="287"/>
      <c r="B3" s="271"/>
      <c r="C3" s="276"/>
      <c r="D3" s="276"/>
      <c r="E3" s="271"/>
      <c r="F3" s="271"/>
      <c r="G3" s="271"/>
      <c r="H3" s="288"/>
    </row>
    <row r="4" spans="1:8" x14ac:dyDescent="0.25">
      <c r="A4" s="286" t="s">
        <v>7</v>
      </c>
      <c r="B4" s="271"/>
      <c r="C4" s="270" t="str">
        <f>'SO-202'!C4</f>
        <v>SO-202 Přípojky uličních vpustí + přípojky okapních svodů</v>
      </c>
      <c r="D4" s="271"/>
      <c r="E4" s="270" t="s">
        <v>10</v>
      </c>
      <c r="F4" s="270" t="str">
        <f>'SO-202'!I4</f>
        <v>Václav Říha, Tuněchody 9, 349 01 Stříbro</v>
      </c>
      <c r="G4" s="271"/>
      <c r="H4" s="288"/>
    </row>
    <row r="5" spans="1:8" ht="15" customHeight="1" x14ac:dyDescent="0.25">
      <c r="A5" s="287"/>
      <c r="B5" s="271"/>
      <c r="C5" s="271"/>
      <c r="D5" s="271"/>
      <c r="E5" s="271"/>
      <c r="F5" s="271"/>
      <c r="G5" s="271"/>
      <c r="H5" s="288"/>
    </row>
    <row r="6" spans="1:8" x14ac:dyDescent="0.25">
      <c r="A6" s="286" t="s">
        <v>12</v>
      </c>
      <c r="B6" s="271"/>
      <c r="C6" s="270" t="str">
        <f>'SO-202'!C6</f>
        <v>Nedražice</v>
      </c>
      <c r="D6" s="271"/>
      <c r="E6" s="270" t="s">
        <v>16</v>
      </c>
      <c r="F6" s="270" t="str">
        <f>'SO-202'!I6</f>
        <v> </v>
      </c>
      <c r="G6" s="271"/>
      <c r="H6" s="288"/>
    </row>
    <row r="7" spans="1:8" ht="15" customHeight="1" x14ac:dyDescent="0.25">
      <c r="A7" s="287"/>
      <c r="B7" s="271"/>
      <c r="C7" s="271"/>
      <c r="D7" s="271"/>
      <c r="E7" s="271"/>
      <c r="F7" s="271"/>
      <c r="G7" s="271"/>
      <c r="H7" s="288"/>
    </row>
    <row r="8" spans="1:8" x14ac:dyDescent="0.25">
      <c r="A8" s="286" t="s">
        <v>22</v>
      </c>
      <c r="B8" s="271"/>
      <c r="C8" s="270" t="str">
        <f>'SO-202'!I8</f>
        <v>Václav Říha</v>
      </c>
      <c r="D8" s="271"/>
      <c r="E8" s="270" t="s">
        <v>20</v>
      </c>
      <c r="F8" s="270" t="str">
        <f>'SO-202'!G8</f>
        <v>08.10.2024</v>
      </c>
      <c r="G8" s="271"/>
      <c r="H8" s="288"/>
    </row>
    <row r="9" spans="1:8" ht="15.75" thickBot="1" x14ac:dyDescent="0.3">
      <c r="A9" s="287"/>
      <c r="B9" s="271"/>
      <c r="C9" s="271"/>
      <c r="D9" s="271"/>
      <c r="E9" s="271"/>
      <c r="F9" s="271"/>
      <c r="G9" s="271"/>
      <c r="H9" s="288"/>
    </row>
    <row r="10" spans="1:8" ht="15.75" thickBot="1" x14ac:dyDescent="0.3">
      <c r="A10" s="143" t="s">
        <v>24</v>
      </c>
      <c r="B10" s="144" t="s">
        <v>433</v>
      </c>
      <c r="C10" s="144" t="s">
        <v>25</v>
      </c>
      <c r="D10" s="330" t="s">
        <v>26</v>
      </c>
      <c r="E10" s="331"/>
      <c r="F10" s="144" t="s">
        <v>27</v>
      </c>
      <c r="G10" s="145" t="s">
        <v>28</v>
      </c>
      <c r="H10" s="146" t="s">
        <v>434</v>
      </c>
    </row>
    <row r="11" spans="1:8" x14ac:dyDescent="0.25">
      <c r="A11" s="170" t="s">
        <v>53</v>
      </c>
      <c r="B11" s="124" t="s">
        <v>1225</v>
      </c>
      <c r="C11" s="124" t="s">
        <v>53</v>
      </c>
      <c r="D11" s="273" t="s">
        <v>1224</v>
      </c>
      <c r="E11" s="273"/>
      <c r="F11" s="124" t="s">
        <v>53</v>
      </c>
      <c r="G11" s="115" t="s">
        <v>53</v>
      </c>
      <c r="H11" s="126" t="s">
        <v>53</v>
      </c>
    </row>
    <row r="12" spans="1:8" x14ac:dyDescent="0.25">
      <c r="A12" s="134" t="s">
        <v>56</v>
      </c>
      <c r="B12" s="135" t="s">
        <v>1225</v>
      </c>
      <c r="C12" s="135" t="s">
        <v>703</v>
      </c>
      <c r="D12" s="271" t="s">
        <v>704</v>
      </c>
      <c r="E12" s="271"/>
      <c r="F12" s="135" t="s">
        <v>705</v>
      </c>
      <c r="G12" s="131">
        <v>8</v>
      </c>
      <c r="H12" s="147">
        <v>0</v>
      </c>
    </row>
    <row r="13" spans="1:8" x14ac:dyDescent="0.25">
      <c r="A13" s="148"/>
      <c r="D13" s="149" t="s">
        <v>87</v>
      </c>
      <c r="E13" s="328" t="s">
        <v>53</v>
      </c>
      <c r="F13" s="328"/>
      <c r="G13" s="150">
        <v>8</v>
      </c>
      <c r="H13" s="151"/>
    </row>
    <row r="14" spans="1:8" x14ac:dyDescent="0.25">
      <c r="A14" s="134" t="s">
        <v>64</v>
      </c>
      <c r="B14" s="135" t="s">
        <v>1225</v>
      </c>
      <c r="C14" s="135" t="s">
        <v>129</v>
      </c>
      <c r="D14" s="271" t="s">
        <v>130</v>
      </c>
      <c r="E14" s="271"/>
      <c r="F14" s="135" t="s">
        <v>79</v>
      </c>
      <c r="G14" s="131">
        <v>12.72</v>
      </c>
      <c r="H14" s="147">
        <v>0</v>
      </c>
    </row>
    <row r="15" spans="1:8" x14ac:dyDescent="0.25">
      <c r="A15" s="148"/>
      <c r="D15" s="149" t="s">
        <v>1278</v>
      </c>
      <c r="E15" s="328" t="s">
        <v>53</v>
      </c>
      <c r="F15" s="328"/>
      <c r="G15" s="150">
        <v>12.72</v>
      </c>
      <c r="H15" s="151"/>
    </row>
    <row r="16" spans="1:8" x14ac:dyDescent="0.25">
      <c r="A16" s="134" t="s">
        <v>68</v>
      </c>
      <c r="B16" s="135" t="s">
        <v>1225</v>
      </c>
      <c r="C16" s="135" t="s">
        <v>786</v>
      </c>
      <c r="D16" s="271" t="s">
        <v>787</v>
      </c>
      <c r="E16" s="271"/>
      <c r="F16" s="135" t="s">
        <v>79</v>
      </c>
      <c r="G16" s="131">
        <v>4.62</v>
      </c>
      <c r="H16" s="147">
        <v>0</v>
      </c>
    </row>
    <row r="17" spans="1:8" x14ac:dyDescent="0.25">
      <c r="A17" s="148"/>
      <c r="D17" s="149" t="s">
        <v>1279</v>
      </c>
      <c r="E17" s="328" t="s">
        <v>53</v>
      </c>
      <c r="F17" s="328"/>
      <c r="G17" s="150">
        <v>4.62</v>
      </c>
      <c r="H17" s="151"/>
    </row>
    <row r="18" spans="1:8" x14ac:dyDescent="0.25">
      <c r="A18" s="134" t="s">
        <v>71</v>
      </c>
      <c r="B18" s="135" t="s">
        <v>1225</v>
      </c>
      <c r="C18" s="135" t="s">
        <v>788</v>
      </c>
      <c r="D18" s="271" t="s">
        <v>789</v>
      </c>
      <c r="E18" s="271"/>
      <c r="F18" s="135" t="s">
        <v>79</v>
      </c>
      <c r="G18" s="131">
        <v>4.08</v>
      </c>
      <c r="H18" s="147">
        <v>0</v>
      </c>
    </row>
    <row r="19" spans="1:8" x14ac:dyDescent="0.25">
      <c r="A19" s="148"/>
      <c r="D19" s="149" t="s">
        <v>1280</v>
      </c>
      <c r="E19" s="328" t="s">
        <v>53</v>
      </c>
      <c r="F19" s="328"/>
      <c r="G19" s="150">
        <v>4.08</v>
      </c>
      <c r="H19" s="151"/>
    </row>
    <row r="20" spans="1:8" x14ac:dyDescent="0.25">
      <c r="A20" s="134" t="s">
        <v>76</v>
      </c>
      <c r="B20" s="135" t="s">
        <v>1225</v>
      </c>
      <c r="C20" s="135" t="s">
        <v>795</v>
      </c>
      <c r="D20" s="271" t="s">
        <v>796</v>
      </c>
      <c r="E20" s="271"/>
      <c r="F20" s="135" t="s">
        <v>79</v>
      </c>
      <c r="G20" s="131">
        <v>1.68</v>
      </c>
      <c r="H20" s="147">
        <v>0</v>
      </c>
    </row>
    <row r="21" spans="1:8" x14ac:dyDescent="0.25">
      <c r="A21" s="148"/>
      <c r="D21" s="149" t="s">
        <v>1281</v>
      </c>
      <c r="E21" s="328" t="s">
        <v>53</v>
      </c>
      <c r="F21" s="328"/>
      <c r="G21" s="150">
        <v>1.68</v>
      </c>
      <c r="H21" s="151"/>
    </row>
    <row r="22" spans="1:8" x14ac:dyDescent="0.25">
      <c r="A22" s="134" t="s">
        <v>81</v>
      </c>
      <c r="B22" s="135" t="s">
        <v>1225</v>
      </c>
      <c r="C22" s="135" t="s">
        <v>829</v>
      </c>
      <c r="D22" s="271" t="s">
        <v>830</v>
      </c>
      <c r="E22" s="271"/>
      <c r="F22" s="135" t="s">
        <v>831</v>
      </c>
      <c r="G22" s="131">
        <v>8.32</v>
      </c>
      <c r="H22" s="147">
        <v>0</v>
      </c>
    </row>
    <row r="23" spans="1:8" x14ac:dyDescent="0.25">
      <c r="A23" s="148"/>
      <c r="D23" s="149" t="s">
        <v>1282</v>
      </c>
      <c r="E23" s="328" t="s">
        <v>53</v>
      </c>
      <c r="F23" s="328"/>
      <c r="G23" s="150">
        <v>8.32</v>
      </c>
      <c r="H23" s="151"/>
    </row>
    <row r="24" spans="1:8" x14ac:dyDescent="0.25">
      <c r="A24" s="134" t="s">
        <v>84</v>
      </c>
      <c r="B24" s="135" t="s">
        <v>1225</v>
      </c>
      <c r="C24" s="135" t="s">
        <v>414</v>
      </c>
      <c r="D24" s="271" t="s">
        <v>415</v>
      </c>
      <c r="E24" s="271"/>
      <c r="F24" s="135" t="s">
        <v>416</v>
      </c>
      <c r="G24" s="131">
        <v>1</v>
      </c>
      <c r="H24" s="147">
        <v>0</v>
      </c>
    </row>
    <row r="25" spans="1:8" x14ac:dyDescent="0.25">
      <c r="A25" s="148"/>
      <c r="D25" s="149" t="s">
        <v>56</v>
      </c>
      <c r="E25" s="328" t="s">
        <v>53</v>
      </c>
      <c r="F25" s="328"/>
      <c r="G25" s="150">
        <v>1</v>
      </c>
      <c r="H25" s="151"/>
    </row>
    <row r="26" spans="1:8" x14ac:dyDescent="0.25">
      <c r="A26" s="134" t="s">
        <v>87</v>
      </c>
      <c r="B26" s="135" t="s">
        <v>1225</v>
      </c>
      <c r="C26" s="135" t="s">
        <v>422</v>
      </c>
      <c r="D26" s="271" t="s">
        <v>420</v>
      </c>
      <c r="E26" s="271"/>
      <c r="F26" s="135" t="s">
        <v>416</v>
      </c>
      <c r="G26" s="131">
        <v>1</v>
      </c>
      <c r="H26" s="147">
        <v>0</v>
      </c>
    </row>
    <row r="27" spans="1:8" x14ac:dyDescent="0.25">
      <c r="A27" s="148"/>
      <c r="D27" s="149" t="s">
        <v>56</v>
      </c>
      <c r="E27" s="328" t="s">
        <v>53</v>
      </c>
      <c r="F27" s="328"/>
      <c r="G27" s="150">
        <v>1</v>
      </c>
      <c r="H27" s="151"/>
    </row>
    <row r="28" spans="1:8" x14ac:dyDescent="0.25">
      <c r="A28" s="134" t="s">
        <v>90</v>
      </c>
      <c r="B28" s="135" t="s">
        <v>1225</v>
      </c>
      <c r="C28" s="135" t="s">
        <v>427</v>
      </c>
      <c r="D28" s="271" t="s">
        <v>428</v>
      </c>
      <c r="E28" s="271"/>
      <c r="F28" s="135" t="s">
        <v>416</v>
      </c>
      <c r="G28" s="131">
        <v>1</v>
      </c>
      <c r="H28" s="147">
        <v>0</v>
      </c>
    </row>
    <row r="29" spans="1:8" x14ac:dyDescent="0.25">
      <c r="A29" s="148"/>
      <c r="D29" s="149" t="s">
        <v>619</v>
      </c>
      <c r="E29" s="328" t="s">
        <v>53</v>
      </c>
      <c r="F29" s="328"/>
      <c r="G29" s="150">
        <v>1</v>
      </c>
      <c r="H29" s="151"/>
    </row>
    <row r="30" spans="1:8" x14ac:dyDescent="0.25">
      <c r="A30" s="170" t="s">
        <v>53</v>
      </c>
      <c r="B30" s="124" t="s">
        <v>1253</v>
      </c>
      <c r="C30" s="124" t="s">
        <v>53</v>
      </c>
      <c r="D30" s="273" t="s">
        <v>1252</v>
      </c>
      <c r="E30" s="273"/>
      <c r="F30" s="124" t="s">
        <v>53</v>
      </c>
      <c r="G30" s="115" t="s">
        <v>53</v>
      </c>
      <c r="H30" s="126" t="s">
        <v>53</v>
      </c>
    </row>
    <row r="31" spans="1:8" x14ac:dyDescent="0.25">
      <c r="A31" s="134" t="s">
        <v>93</v>
      </c>
      <c r="B31" s="135" t="s">
        <v>1253</v>
      </c>
      <c r="C31" s="135" t="s">
        <v>829</v>
      </c>
      <c r="D31" s="271" t="s">
        <v>830</v>
      </c>
      <c r="E31" s="271"/>
      <c r="F31" s="135" t="s">
        <v>831</v>
      </c>
      <c r="G31" s="131">
        <v>3.17</v>
      </c>
      <c r="H31" s="147">
        <v>0</v>
      </c>
    </row>
    <row r="32" spans="1:8" x14ac:dyDescent="0.25">
      <c r="A32" s="152"/>
      <c r="B32" s="153"/>
      <c r="C32" s="153"/>
      <c r="D32" s="154" t="s">
        <v>1283</v>
      </c>
      <c r="E32" s="329" t="s">
        <v>53</v>
      </c>
      <c r="F32" s="329"/>
      <c r="G32" s="155">
        <v>3.17</v>
      </c>
      <c r="H32" s="156"/>
    </row>
    <row r="34" spans="1:7" x14ac:dyDescent="0.25">
      <c r="A34" s="142" t="s">
        <v>431</v>
      </c>
    </row>
    <row r="35" spans="1:7" ht="12.75" customHeight="1" x14ac:dyDescent="0.25">
      <c r="A35" s="270" t="s">
        <v>53</v>
      </c>
      <c r="B35" s="271"/>
      <c r="C35" s="271"/>
      <c r="D35" s="271"/>
      <c r="E35" s="271"/>
      <c r="F35" s="271"/>
      <c r="G35" s="271"/>
    </row>
  </sheetData>
  <mergeCells count="41">
    <mergeCell ref="A4:B5"/>
    <mergeCell ref="C4:D5"/>
    <mergeCell ref="E4:E5"/>
    <mergeCell ref="F4:H5"/>
    <mergeCell ref="A1:H1"/>
    <mergeCell ref="A2:B3"/>
    <mergeCell ref="C2:D3"/>
    <mergeCell ref="E2:E3"/>
    <mergeCell ref="F2:H3"/>
    <mergeCell ref="A6:B7"/>
    <mergeCell ref="C6:D7"/>
    <mergeCell ref="E6:E7"/>
    <mergeCell ref="F6:H7"/>
    <mergeCell ref="A8:B9"/>
    <mergeCell ref="C8:D9"/>
    <mergeCell ref="E8:E9"/>
    <mergeCell ref="F8:H9"/>
    <mergeCell ref="E21:F21"/>
    <mergeCell ref="D10:E10"/>
    <mergeCell ref="D11:E11"/>
    <mergeCell ref="D12:E12"/>
    <mergeCell ref="E13:F13"/>
    <mergeCell ref="D14:E14"/>
    <mergeCell ref="E15:F15"/>
    <mergeCell ref="D16:E16"/>
    <mergeCell ref="E17:F17"/>
    <mergeCell ref="D18:E18"/>
    <mergeCell ref="E19:F19"/>
    <mergeCell ref="D20:E20"/>
    <mergeCell ref="A35:G35"/>
    <mergeCell ref="D22:E22"/>
    <mergeCell ref="E23:F23"/>
    <mergeCell ref="D24:E24"/>
    <mergeCell ref="E25:F25"/>
    <mergeCell ref="D26:E26"/>
    <mergeCell ref="E27:F27"/>
    <mergeCell ref="D28:E28"/>
    <mergeCell ref="E29:F29"/>
    <mergeCell ref="D30:E30"/>
    <mergeCell ref="D31:E31"/>
    <mergeCell ref="E32:F32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78"/>
  <sheetViews>
    <sheetView workbookViewId="0">
      <pane ySplit="11" topLeftCell="A52" activePane="bottomLeft" state="frozen"/>
      <selection activeCell="A78" sqref="A78:K78"/>
      <selection pane="bottomLeft" activeCell="M69" sqref="M69"/>
    </sheetView>
  </sheetViews>
  <sheetFormatPr defaultColWidth="12.140625" defaultRowHeight="15" customHeight="1" x14ac:dyDescent="0.25"/>
  <cols>
    <col min="1" max="1" width="4" style="109" customWidth="1"/>
    <col min="2" max="2" width="17.85546875" style="109" customWidth="1"/>
    <col min="3" max="3" width="28.5703125" style="109" customWidth="1"/>
    <col min="4" max="4" width="35.7109375" style="109" customWidth="1"/>
    <col min="5" max="5" width="6.7109375" style="109" customWidth="1"/>
    <col min="6" max="6" width="12.85546875" style="109" customWidth="1"/>
    <col min="7" max="7" width="12" style="109" customWidth="1"/>
    <col min="8" max="10" width="15.7109375" style="109" customWidth="1"/>
    <col min="11" max="11" width="13.42578125" style="109" customWidth="1"/>
    <col min="12" max="75" width="12.140625" style="109"/>
    <col min="76" max="76" width="64.28515625" style="109" hidden="1" customWidth="1"/>
    <col min="77" max="16384" width="12.140625" style="109"/>
  </cols>
  <sheetData>
    <row r="1" spans="1:76" ht="54.75" customHeight="1" x14ac:dyDescent="0.25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AS1" s="110">
        <f>SUM(AJ1:AJ2)</f>
        <v>0</v>
      </c>
      <c r="AT1" s="110">
        <f>SUM(AK1:AK2)</f>
        <v>0</v>
      </c>
      <c r="AU1" s="110">
        <f>SUM(AL1:AL2)</f>
        <v>0</v>
      </c>
    </row>
    <row r="2" spans="1:76" x14ac:dyDescent="0.25">
      <c r="A2" s="290" t="s">
        <v>1</v>
      </c>
      <c r="B2" s="291"/>
      <c r="C2" s="292" t="s">
        <v>2</v>
      </c>
      <c r="D2" s="293"/>
      <c r="E2" s="291" t="s">
        <v>3</v>
      </c>
      <c r="F2" s="291"/>
      <c r="G2" s="291" t="s">
        <v>4</v>
      </c>
      <c r="H2" s="294" t="s">
        <v>5</v>
      </c>
      <c r="I2" s="294" t="s">
        <v>6</v>
      </c>
      <c r="J2" s="291"/>
      <c r="K2" s="295"/>
    </row>
    <row r="3" spans="1:76" x14ac:dyDescent="0.25">
      <c r="A3" s="287"/>
      <c r="B3" s="271"/>
      <c r="C3" s="276"/>
      <c r="D3" s="276"/>
      <c r="E3" s="271"/>
      <c r="F3" s="271"/>
      <c r="G3" s="271"/>
      <c r="H3" s="271"/>
      <c r="I3" s="271"/>
      <c r="J3" s="271"/>
      <c r="K3" s="288"/>
    </row>
    <row r="4" spans="1:76" x14ac:dyDescent="0.25">
      <c r="A4" s="286" t="s">
        <v>7</v>
      </c>
      <c r="B4" s="271"/>
      <c r="C4" s="270" t="s">
        <v>1284</v>
      </c>
      <c r="D4" s="271"/>
      <c r="E4" s="271" t="s">
        <v>8</v>
      </c>
      <c r="F4" s="271"/>
      <c r="G4" s="271" t="s">
        <v>695</v>
      </c>
      <c r="H4" s="270" t="s">
        <v>10</v>
      </c>
      <c r="I4" s="270" t="s">
        <v>1285</v>
      </c>
      <c r="J4" s="271"/>
      <c r="K4" s="288"/>
    </row>
    <row r="5" spans="1:76" x14ac:dyDescent="0.25">
      <c r="A5" s="287"/>
      <c r="B5" s="271"/>
      <c r="C5" s="271"/>
      <c r="D5" s="271"/>
      <c r="E5" s="271"/>
      <c r="F5" s="271"/>
      <c r="G5" s="271"/>
      <c r="H5" s="271"/>
      <c r="I5" s="271"/>
      <c r="J5" s="271"/>
      <c r="K5" s="288"/>
    </row>
    <row r="6" spans="1:76" x14ac:dyDescent="0.25">
      <c r="A6" s="286" t="s">
        <v>12</v>
      </c>
      <c r="B6" s="271"/>
      <c r="C6" s="270" t="s">
        <v>13</v>
      </c>
      <c r="D6" s="271"/>
      <c r="E6" s="271" t="s">
        <v>14</v>
      </c>
      <c r="F6" s="271"/>
      <c r="G6" s="271" t="s">
        <v>15</v>
      </c>
      <c r="H6" s="270" t="s">
        <v>16</v>
      </c>
      <c r="I6" s="271" t="s">
        <v>697</v>
      </c>
      <c r="J6" s="271"/>
      <c r="K6" s="288"/>
    </row>
    <row r="7" spans="1:76" x14ac:dyDescent="0.25">
      <c r="A7" s="287"/>
      <c r="B7" s="271"/>
      <c r="C7" s="271"/>
      <c r="D7" s="271"/>
      <c r="E7" s="271"/>
      <c r="F7" s="271"/>
      <c r="G7" s="271"/>
      <c r="H7" s="271"/>
      <c r="I7" s="271"/>
      <c r="J7" s="271"/>
      <c r="K7" s="288"/>
    </row>
    <row r="8" spans="1:76" x14ac:dyDescent="0.25">
      <c r="A8" s="286" t="s">
        <v>18</v>
      </c>
      <c r="B8" s="271"/>
      <c r="C8" s="270" t="s">
        <v>1286</v>
      </c>
      <c r="D8" s="271"/>
      <c r="E8" s="271" t="s">
        <v>20</v>
      </c>
      <c r="F8" s="271"/>
      <c r="G8" s="271" t="s">
        <v>699</v>
      </c>
      <c r="H8" s="270" t="s">
        <v>22</v>
      </c>
      <c r="I8" s="270" t="s">
        <v>700</v>
      </c>
      <c r="J8" s="271"/>
      <c r="K8" s="288"/>
    </row>
    <row r="9" spans="1:76" ht="15.75" thickBot="1" x14ac:dyDescent="0.3">
      <c r="A9" s="287"/>
      <c r="B9" s="271"/>
      <c r="C9" s="271"/>
      <c r="D9" s="271"/>
      <c r="E9" s="271"/>
      <c r="F9" s="271"/>
      <c r="G9" s="271"/>
      <c r="H9" s="271"/>
      <c r="I9" s="271"/>
      <c r="J9" s="271"/>
      <c r="K9" s="288"/>
    </row>
    <row r="10" spans="1:76" x14ac:dyDescent="0.25">
      <c r="A10" s="111" t="s">
        <v>24</v>
      </c>
      <c r="B10" s="112" t="s">
        <v>25</v>
      </c>
      <c r="C10" s="279" t="s">
        <v>26</v>
      </c>
      <c r="D10" s="280"/>
      <c r="E10" s="112" t="s">
        <v>27</v>
      </c>
      <c r="F10" s="113" t="s">
        <v>28</v>
      </c>
      <c r="G10" s="114" t="s">
        <v>29</v>
      </c>
      <c r="H10" s="281" t="s">
        <v>30</v>
      </c>
      <c r="I10" s="282"/>
      <c r="J10" s="283"/>
      <c r="K10" s="113" t="s">
        <v>31</v>
      </c>
      <c r="BK10" s="115" t="s">
        <v>32</v>
      </c>
      <c r="BL10" s="116" t="s">
        <v>33</v>
      </c>
      <c r="BW10" s="116" t="s">
        <v>34</v>
      </c>
    </row>
    <row r="11" spans="1:76" ht="15.75" thickBot="1" x14ac:dyDescent="0.3">
      <c r="A11" s="117" t="s">
        <v>9</v>
      </c>
      <c r="B11" s="118" t="s">
        <v>9</v>
      </c>
      <c r="C11" s="284" t="s">
        <v>35</v>
      </c>
      <c r="D11" s="285"/>
      <c r="E11" s="118" t="s">
        <v>9</v>
      </c>
      <c r="F11" s="118" t="s">
        <v>9</v>
      </c>
      <c r="G11" s="119" t="s">
        <v>36</v>
      </c>
      <c r="H11" s="120" t="s">
        <v>37</v>
      </c>
      <c r="I11" s="121" t="s">
        <v>38</v>
      </c>
      <c r="J11" s="122" t="s">
        <v>39</v>
      </c>
      <c r="K11" s="121" t="s">
        <v>40</v>
      </c>
      <c r="Z11" s="115" t="s">
        <v>41</v>
      </c>
      <c r="AA11" s="115" t="s">
        <v>42</v>
      </c>
      <c r="AB11" s="115" t="s">
        <v>43</v>
      </c>
      <c r="AC11" s="115" t="s">
        <v>44</v>
      </c>
      <c r="AD11" s="115" t="s">
        <v>45</v>
      </c>
      <c r="AE11" s="115" t="s">
        <v>46</v>
      </c>
      <c r="AF11" s="115" t="s">
        <v>47</v>
      </c>
      <c r="AG11" s="115" t="s">
        <v>48</v>
      </c>
      <c r="AH11" s="115" t="s">
        <v>49</v>
      </c>
      <c r="BH11" s="115" t="s">
        <v>50</v>
      </c>
      <c r="BI11" s="115" t="s">
        <v>51</v>
      </c>
      <c r="BJ11" s="115" t="s">
        <v>52</v>
      </c>
    </row>
    <row r="12" spans="1:76" x14ac:dyDescent="0.25">
      <c r="A12" s="123" t="s">
        <v>53</v>
      </c>
      <c r="B12" s="124" t="s">
        <v>53</v>
      </c>
      <c r="C12" s="272" t="s">
        <v>1287</v>
      </c>
      <c r="D12" s="273"/>
      <c r="E12" s="125" t="s">
        <v>9</v>
      </c>
      <c r="F12" s="125" t="s">
        <v>9</v>
      </c>
      <c r="G12" s="125" t="s">
        <v>9</v>
      </c>
      <c r="H12" s="110">
        <f>H13+H15+H17+H19+H32+H45+H68+H70+H72+H74</f>
        <v>0</v>
      </c>
      <c r="I12" s="110">
        <f>I13+I15+I17+I19+I32+I45+I68+I70+I72+I74</f>
        <v>0</v>
      </c>
      <c r="J12" s="110">
        <f>J13+J15+J17+J19+J32+J45+J68+J70+J72+J74</f>
        <v>0</v>
      </c>
      <c r="K12" s="126" t="s">
        <v>53</v>
      </c>
    </row>
    <row r="13" spans="1:76" x14ac:dyDescent="0.25">
      <c r="A13" s="123" t="s">
        <v>53</v>
      </c>
      <c r="B13" s="124" t="s">
        <v>116</v>
      </c>
      <c r="C13" s="272" t="s">
        <v>123</v>
      </c>
      <c r="D13" s="273"/>
      <c r="E13" s="125" t="s">
        <v>9</v>
      </c>
      <c r="F13" s="125" t="s">
        <v>9</v>
      </c>
      <c r="G13" s="125" t="s">
        <v>9</v>
      </c>
      <c r="H13" s="110">
        <f>SUM(H14:H14)</f>
        <v>0</v>
      </c>
      <c r="I13" s="110">
        <f>SUM(I14:I14)</f>
        <v>0</v>
      </c>
      <c r="J13" s="110">
        <f>SUM(J14:J14)</f>
        <v>0</v>
      </c>
      <c r="K13" s="126" t="s">
        <v>53</v>
      </c>
      <c r="AI13" s="115" t="s">
        <v>1288</v>
      </c>
      <c r="AS13" s="110">
        <f>SUM(AJ14:AJ14)</f>
        <v>0</v>
      </c>
      <c r="AT13" s="110">
        <f>SUM(AK14:AK14)</f>
        <v>0</v>
      </c>
      <c r="AU13" s="110">
        <f>SUM(AL14:AL14)</f>
        <v>0</v>
      </c>
    </row>
    <row r="14" spans="1:76" ht="25.5" x14ac:dyDescent="0.25">
      <c r="A14" s="134" t="s">
        <v>56</v>
      </c>
      <c r="B14" s="135" t="s">
        <v>788</v>
      </c>
      <c r="C14" s="270" t="s">
        <v>1289</v>
      </c>
      <c r="D14" s="271"/>
      <c r="E14" s="135" t="s">
        <v>79</v>
      </c>
      <c r="F14" s="131">
        <v>56.05</v>
      </c>
      <c r="G14" s="179">
        <v>0</v>
      </c>
      <c r="H14" s="131">
        <f>F14*AO14</f>
        <v>0</v>
      </c>
      <c r="I14" s="131">
        <f>F14*AP14</f>
        <v>0</v>
      </c>
      <c r="J14" s="131">
        <f>F14*G14</f>
        <v>0</v>
      </c>
      <c r="K14" s="136" t="s">
        <v>60</v>
      </c>
      <c r="Z14" s="131">
        <f>IF(AQ14="5",BJ14,0)</f>
        <v>0</v>
      </c>
      <c r="AB14" s="131">
        <f>IF(AQ14="1",BH14,0)</f>
        <v>0</v>
      </c>
      <c r="AC14" s="131">
        <f>IF(AQ14="1",BI14,0)</f>
        <v>0</v>
      </c>
      <c r="AD14" s="131">
        <f>IF(AQ14="7",BH14,0)</f>
        <v>0</v>
      </c>
      <c r="AE14" s="131">
        <f>IF(AQ14="7",BI14,0)</f>
        <v>0</v>
      </c>
      <c r="AF14" s="131">
        <f>IF(AQ14="2",BH14,0)</f>
        <v>0</v>
      </c>
      <c r="AG14" s="131">
        <f>IF(AQ14="2",BI14,0)</f>
        <v>0</v>
      </c>
      <c r="AH14" s="131">
        <f>IF(AQ14="0",BJ14,0)</f>
        <v>0</v>
      </c>
      <c r="AI14" s="115" t="s">
        <v>1288</v>
      </c>
      <c r="AJ14" s="131">
        <f>IF(AN14=0,J14,0)</f>
        <v>0</v>
      </c>
      <c r="AK14" s="131">
        <f>IF(AN14=12,J14,0)</f>
        <v>0</v>
      </c>
      <c r="AL14" s="131">
        <f>IF(AN14=21,J14,0)</f>
        <v>0</v>
      </c>
      <c r="AN14" s="131">
        <v>21</v>
      </c>
      <c r="AO14" s="131">
        <f>G14*0</f>
        <v>0</v>
      </c>
      <c r="AP14" s="131">
        <f>G14*(1-0)</f>
        <v>0</v>
      </c>
      <c r="AQ14" s="132" t="s">
        <v>56</v>
      </c>
      <c r="AV14" s="131">
        <f>AW14+AX14</f>
        <v>0</v>
      </c>
      <c r="AW14" s="131">
        <f>F14*AO14</f>
        <v>0</v>
      </c>
      <c r="AX14" s="131">
        <f>F14*AP14</f>
        <v>0</v>
      </c>
      <c r="AY14" s="132" t="s">
        <v>127</v>
      </c>
      <c r="AZ14" s="132" t="s">
        <v>1290</v>
      </c>
      <c r="BA14" s="115" t="s">
        <v>1291</v>
      </c>
      <c r="BC14" s="131">
        <f>AW14+AX14</f>
        <v>0</v>
      </c>
      <c r="BD14" s="131">
        <f>G14/(100-BE14)*100</f>
        <v>0</v>
      </c>
      <c r="BE14" s="131">
        <v>0</v>
      </c>
      <c r="BF14" s="131">
        <f>14</f>
        <v>14</v>
      </c>
      <c r="BH14" s="131">
        <f>F14*AO14</f>
        <v>0</v>
      </c>
      <c r="BI14" s="131">
        <f>F14*AP14</f>
        <v>0</v>
      </c>
      <c r="BJ14" s="131">
        <f>F14*G14</f>
        <v>0</v>
      </c>
      <c r="BK14" s="131"/>
      <c r="BL14" s="131">
        <v>17</v>
      </c>
      <c r="BW14" s="131">
        <v>21</v>
      </c>
      <c r="BX14" s="133" t="s">
        <v>1289</v>
      </c>
    </row>
    <row r="15" spans="1:76" x14ac:dyDescent="0.25">
      <c r="A15" s="123" t="s">
        <v>53</v>
      </c>
      <c r="B15" s="124" t="s">
        <v>381</v>
      </c>
      <c r="C15" s="272" t="s">
        <v>1292</v>
      </c>
      <c r="D15" s="273"/>
      <c r="E15" s="125" t="s">
        <v>9</v>
      </c>
      <c r="F15" s="125" t="s">
        <v>9</v>
      </c>
      <c r="G15" s="125" t="s">
        <v>9</v>
      </c>
      <c r="H15" s="110">
        <f>SUM(H16:H16)</f>
        <v>0</v>
      </c>
      <c r="I15" s="110">
        <f>SUM(I16:I16)</f>
        <v>0</v>
      </c>
      <c r="J15" s="110">
        <f>SUM(J16:J16)</f>
        <v>0</v>
      </c>
      <c r="K15" s="126" t="s">
        <v>53</v>
      </c>
      <c r="AI15" s="115" t="s">
        <v>1288</v>
      </c>
      <c r="AS15" s="110">
        <f>SUM(AJ16:AJ16)</f>
        <v>0</v>
      </c>
      <c r="AT15" s="110">
        <f>SUM(AK16:AK16)</f>
        <v>0</v>
      </c>
      <c r="AU15" s="110">
        <f>SUM(AL16:AL16)</f>
        <v>0</v>
      </c>
    </row>
    <row r="16" spans="1:76" ht="25.5" x14ac:dyDescent="0.25">
      <c r="A16" s="134" t="s">
        <v>64</v>
      </c>
      <c r="B16" s="135" t="s">
        <v>1293</v>
      </c>
      <c r="C16" s="270" t="s">
        <v>1294</v>
      </c>
      <c r="D16" s="271"/>
      <c r="E16" s="135" t="s">
        <v>705</v>
      </c>
      <c r="F16" s="131">
        <v>24</v>
      </c>
      <c r="G16" s="179">
        <v>0</v>
      </c>
      <c r="H16" s="131">
        <f>F16*AO16</f>
        <v>0</v>
      </c>
      <c r="I16" s="131">
        <f>F16*AP16</f>
        <v>0</v>
      </c>
      <c r="J16" s="131">
        <f>F16*G16</f>
        <v>0</v>
      </c>
      <c r="K16" s="136" t="s">
        <v>60</v>
      </c>
      <c r="Z16" s="131">
        <f>IF(AQ16="5",BJ16,0)</f>
        <v>0</v>
      </c>
      <c r="AB16" s="131">
        <f>IF(AQ16="1",BH16,0)</f>
        <v>0</v>
      </c>
      <c r="AC16" s="131">
        <f>IF(AQ16="1",BI16,0)</f>
        <v>0</v>
      </c>
      <c r="AD16" s="131">
        <f>IF(AQ16="7",BH16,0)</f>
        <v>0</v>
      </c>
      <c r="AE16" s="131">
        <f>IF(AQ16="7",BI16,0)</f>
        <v>0</v>
      </c>
      <c r="AF16" s="131">
        <f>IF(AQ16="2",BH16,0)</f>
        <v>0</v>
      </c>
      <c r="AG16" s="131">
        <f>IF(AQ16="2",BI16,0)</f>
        <v>0</v>
      </c>
      <c r="AH16" s="131">
        <f>IF(AQ16="0",BJ16,0)</f>
        <v>0</v>
      </c>
      <c r="AI16" s="115" t="s">
        <v>1288</v>
      </c>
      <c r="AJ16" s="131">
        <f>IF(AN16=0,J16,0)</f>
        <v>0</v>
      </c>
      <c r="AK16" s="131">
        <f>IF(AN16=12,J16,0)</f>
        <v>0</v>
      </c>
      <c r="AL16" s="131">
        <f>IF(AN16=21,J16,0)</f>
        <v>0</v>
      </c>
      <c r="AN16" s="131">
        <v>21</v>
      </c>
      <c r="AO16" s="131">
        <f>G16*0</f>
        <v>0</v>
      </c>
      <c r="AP16" s="131">
        <f>G16*(1-0)</f>
        <v>0</v>
      </c>
      <c r="AQ16" s="132" t="s">
        <v>56</v>
      </c>
      <c r="AV16" s="131">
        <f>AW16+AX16</f>
        <v>0</v>
      </c>
      <c r="AW16" s="131">
        <f>F16*AO16</f>
        <v>0</v>
      </c>
      <c r="AX16" s="131">
        <f>F16*AP16</f>
        <v>0</v>
      </c>
      <c r="AY16" s="132" t="s">
        <v>1295</v>
      </c>
      <c r="AZ16" s="132" t="s">
        <v>1296</v>
      </c>
      <c r="BA16" s="115" t="s">
        <v>1291</v>
      </c>
      <c r="BC16" s="131">
        <f>AW16+AX16</f>
        <v>0</v>
      </c>
      <c r="BD16" s="131">
        <f>G16/(100-BE16)*100</f>
        <v>0</v>
      </c>
      <c r="BE16" s="131">
        <v>0</v>
      </c>
      <c r="BF16" s="131">
        <f>16</f>
        <v>16</v>
      </c>
      <c r="BH16" s="131">
        <f>F16*AO16</f>
        <v>0</v>
      </c>
      <c r="BI16" s="131">
        <f>F16*AP16</f>
        <v>0</v>
      </c>
      <c r="BJ16" s="131">
        <f>F16*G16</f>
        <v>0</v>
      </c>
      <c r="BK16" s="131"/>
      <c r="BL16" s="131">
        <v>90</v>
      </c>
      <c r="BW16" s="131">
        <v>21</v>
      </c>
      <c r="BX16" s="133" t="s">
        <v>1294</v>
      </c>
    </row>
    <row r="17" spans="1:76" x14ac:dyDescent="0.25">
      <c r="A17" s="123" t="s">
        <v>53</v>
      </c>
      <c r="B17" s="124" t="s">
        <v>1297</v>
      </c>
      <c r="C17" s="272" t="s">
        <v>1298</v>
      </c>
      <c r="D17" s="273"/>
      <c r="E17" s="125" t="s">
        <v>9</v>
      </c>
      <c r="F17" s="125" t="s">
        <v>9</v>
      </c>
      <c r="G17" s="125" t="s">
        <v>9</v>
      </c>
      <c r="H17" s="110">
        <f>SUM(H18:H18)</f>
        <v>0</v>
      </c>
      <c r="I17" s="110">
        <f>SUM(I18:I18)</f>
        <v>0</v>
      </c>
      <c r="J17" s="110">
        <f>SUM(J18:J18)</f>
        <v>0</v>
      </c>
      <c r="K17" s="126" t="s">
        <v>53</v>
      </c>
      <c r="AI17" s="115" t="s">
        <v>1288</v>
      </c>
      <c r="AS17" s="110">
        <f>SUM(AJ18:AJ18)</f>
        <v>0</v>
      </c>
      <c r="AT17" s="110">
        <f>SUM(AK18:AK18)</f>
        <v>0</v>
      </c>
      <c r="AU17" s="110">
        <f>SUM(AL18:AL18)</f>
        <v>0</v>
      </c>
    </row>
    <row r="18" spans="1:76" x14ac:dyDescent="0.25">
      <c r="A18" s="134" t="s">
        <v>68</v>
      </c>
      <c r="B18" s="135" t="s">
        <v>1299</v>
      </c>
      <c r="C18" s="270" t="s">
        <v>1300</v>
      </c>
      <c r="D18" s="271"/>
      <c r="E18" s="135" t="s">
        <v>122</v>
      </c>
      <c r="F18" s="131">
        <v>24.8</v>
      </c>
      <c r="G18" s="179">
        <v>0</v>
      </c>
      <c r="H18" s="131">
        <f>F18*AO18</f>
        <v>0</v>
      </c>
      <c r="I18" s="131">
        <f>F18*AP18</f>
        <v>0</v>
      </c>
      <c r="J18" s="131">
        <f>F18*G18</f>
        <v>0</v>
      </c>
      <c r="K18" s="136" t="s">
        <v>60</v>
      </c>
      <c r="Z18" s="131">
        <f>IF(AQ18="5",BJ18,0)</f>
        <v>0</v>
      </c>
      <c r="AB18" s="131">
        <f>IF(AQ18="1",BH18,0)</f>
        <v>0</v>
      </c>
      <c r="AC18" s="131">
        <f>IF(AQ18="1",BI18,0)</f>
        <v>0</v>
      </c>
      <c r="AD18" s="131">
        <f>IF(AQ18="7",BH18,0)</f>
        <v>0</v>
      </c>
      <c r="AE18" s="131">
        <f>IF(AQ18="7",BI18,0)</f>
        <v>0</v>
      </c>
      <c r="AF18" s="131">
        <f>IF(AQ18="2",BH18,0)</f>
        <v>0</v>
      </c>
      <c r="AG18" s="131">
        <f>IF(AQ18="2",BI18,0)</f>
        <v>0</v>
      </c>
      <c r="AH18" s="131">
        <f>IF(AQ18="0",BJ18,0)</f>
        <v>0</v>
      </c>
      <c r="AI18" s="115" t="s">
        <v>1288</v>
      </c>
      <c r="AJ18" s="131">
        <f>IF(AN18=0,J18,0)</f>
        <v>0</v>
      </c>
      <c r="AK18" s="131">
        <f>IF(AN18=12,J18,0)</f>
        <v>0</v>
      </c>
      <c r="AL18" s="131">
        <f>IF(AN18=21,J18,0)</f>
        <v>0</v>
      </c>
      <c r="AN18" s="131">
        <v>21</v>
      </c>
      <c r="AO18" s="131">
        <f>G18*0</f>
        <v>0</v>
      </c>
      <c r="AP18" s="131">
        <f>G18*(1-0)</f>
        <v>0</v>
      </c>
      <c r="AQ18" s="132" t="s">
        <v>76</v>
      </c>
      <c r="AV18" s="131">
        <f>AW18+AX18</f>
        <v>0</v>
      </c>
      <c r="AW18" s="131">
        <f>F18*AO18</f>
        <v>0</v>
      </c>
      <c r="AX18" s="131">
        <f>F18*AP18</f>
        <v>0</v>
      </c>
      <c r="AY18" s="132" t="s">
        <v>1301</v>
      </c>
      <c r="AZ18" s="132" t="s">
        <v>1296</v>
      </c>
      <c r="BA18" s="115" t="s">
        <v>1291</v>
      </c>
      <c r="BC18" s="131">
        <f>AW18+AX18</f>
        <v>0</v>
      </c>
      <c r="BD18" s="131">
        <f>G18/(100-BE18)*100</f>
        <v>0</v>
      </c>
      <c r="BE18" s="131">
        <v>0</v>
      </c>
      <c r="BF18" s="131">
        <f>18</f>
        <v>18</v>
      </c>
      <c r="BH18" s="131">
        <f>F18*AO18</f>
        <v>0</v>
      </c>
      <c r="BI18" s="131">
        <f>F18*AP18</f>
        <v>0</v>
      </c>
      <c r="BJ18" s="131">
        <f>F18*G18</f>
        <v>0</v>
      </c>
      <c r="BK18" s="131"/>
      <c r="BL18" s="131"/>
      <c r="BW18" s="131">
        <v>21</v>
      </c>
      <c r="BX18" s="133" t="s">
        <v>1300</v>
      </c>
    </row>
    <row r="19" spans="1:76" x14ac:dyDescent="0.25">
      <c r="A19" s="123" t="s">
        <v>53</v>
      </c>
      <c r="B19" s="124" t="s">
        <v>1302</v>
      </c>
      <c r="C19" s="272" t="s">
        <v>1303</v>
      </c>
      <c r="D19" s="273"/>
      <c r="E19" s="125" t="s">
        <v>9</v>
      </c>
      <c r="F19" s="125" t="s">
        <v>9</v>
      </c>
      <c r="G19" s="125" t="s">
        <v>9</v>
      </c>
      <c r="H19" s="110">
        <f>SUM(H20:H31)</f>
        <v>0</v>
      </c>
      <c r="I19" s="110">
        <f>SUM(I20:I31)</f>
        <v>0</v>
      </c>
      <c r="J19" s="110">
        <f>SUM(J20:J31)</f>
        <v>0</v>
      </c>
      <c r="K19" s="126" t="s">
        <v>53</v>
      </c>
      <c r="AI19" s="115" t="s">
        <v>1288</v>
      </c>
      <c r="AS19" s="110">
        <f>SUM(AJ20:AJ31)</f>
        <v>0</v>
      </c>
      <c r="AT19" s="110">
        <f>SUM(AK20:AK31)</f>
        <v>0</v>
      </c>
      <c r="AU19" s="110">
        <f>SUM(AL20:AL31)</f>
        <v>0</v>
      </c>
    </row>
    <row r="20" spans="1:76" x14ac:dyDescent="0.25">
      <c r="A20" s="134" t="s">
        <v>71</v>
      </c>
      <c r="B20" s="135" t="s">
        <v>1304</v>
      </c>
      <c r="C20" s="270" t="s">
        <v>1305</v>
      </c>
      <c r="D20" s="271"/>
      <c r="E20" s="135" t="s">
        <v>164</v>
      </c>
      <c r="F20" s="131">
        <v>76</v>
      </c>
      <c r="G20" s="179">
        <v>0</v>
      </c>
      <c r="H20" s="131">
        <f t="shared" ref="H20:H31" si="0">F20*AO20</f>
        <v>0</v>
      </c>
      <c r="I20" s="131">
        <f t="shared" ref="I20:I31" si="1">F20*AP20</f>
        <v>0</v>
      </c>
      <c r="J20" s="131">
        <f t="shared" ref="J20:J31" si="2">F20*G20</f>
        <v>0</v>
      </c>
      <c r="K20" s="136" t="s">
        <v>60</v>
      </c>
      <c r="Z20" s="131">
        <f t="shared" ref="Z20:Z31" si="3">IF(AQ20="5",BJ20,0)</f>
        <v>0</v>
      </c>
      <c r="AB20" s="131">
        <f t="shared" ref="AB20:AB31" si="4">IF(AQ20="1",BH20,0)</f>
        <v>0</v>
      </c>
      <c r="AC20" s="131">
        <f t="shared" ref="AC20:AC31" si="5">IF(AQ20="1",BI20,0)</f>
        <v>0</v>
      </c>
      <c r="AD20" s="131">
        <f t="shared" ref="AD20:AD31" si="6">IF(AQ20="7",BH20,0)</f>
        <v>0</v>
      </c>
      <c r="AE20" s="131">
        <f t="shared" ref="AE20:AE31" si="7">IF(AQ20="7",BI20,0)</f>
        <v>0</v>
      </c>
      <c r="AF20" s="131">
        <f t="shared" ref="AF20:AF31" si="8">IF(AQ20="2",BH20,0)</f>
        <v>0</v>
      </c>
      <c r="AG20" s="131">
        <f t="shared" ref="AG20:AG31" si="9">IF(AQ20="2",BI20,0)</f>
        <v>0</v>
      </c>
      <c r="AH20" s="131">
        <f t="shared" ref="AH20:AH31" si="10">IF(AQ20="0",BJ20,0)</f>
        <v>0</v>
      </c>
      <c r="AI20" s="115" t="s">
        <v>1288</v>
      </c>
      <c r="AJ20" s="131">
        <f t="shared" ref="AJ20:AJ31" si="11">IF(AN20=0,J20,0)</f>
        <v>0</v>
      </c>
      <c r="AK20" s="131">
        <f t="shared" ref="AK20:AK31" si="12">IF(AN20=12,J20,0)</f>
        <v>0</v>
      </c>
      <c r="AL20" s="131">
        <f t="shared" ref="AL20:AL31" si="13">IF(AN20=21,J20,0)</f>
        <v>0</v>
      </c>
      <c r="AN20" s="131">
        <v>21</v>
      </c>
      <c r="AO20" s="131">
        <f t="shared" ref="AO20:AO31" si="14">G20*0</f>
        <v>0</v>
      </c>
      <c r="AP20" s="131">
        <f t="shared" ref="AP20:AP31" si="15">G20*(1-0)</f>
        <v>0</v>
      </c>
      <c r="AQ20" s="132" t="s">
        <v>64</v>
      </c>
      <c r="AV20" s="131">
        <f t="shared" ref="AV20:AV31" si="16">AW20+AX20</f>
        <v>0</v>
      </c>
      <c r="AW20" s="131">
        <f t="shared" ref="AW20:AW31" si="17">F20*AO20</f>
        <v>0</v>
      </c>
      <c r="AX20" s="131">
        <f t="shared" ref="AX20:AX31" si="18">F20*AP20</f>
        <v>0</v>
      </c>
      <c r="AY20" s="132" t="s">
        <v>1306</v>
      </c>
      <c r="AZ20" s="132" t="s">
        <v>1296</v>
      </c>
      <c r="BA20" s="115" t="s">
        <v>1291</v>
      </c>
      <c r="BC20" s="131">
        <f t="shared" ref="BC20:BC31" si="19">AW20+AX20</f>
        <v>0</v>
      </c>
      <c r="BD20" s="131">
        <f t="shared" ref="BD20:BD31" si="20">G20/(100-BE20)*100</f>
        <v>0</v>
      </c>
      <c r="BE20" s="131">
        <v>0</v>
      </c>
      <c r="BF20" s="131">
        <f>20</f>
        <v>20</v>
      </c>
      <c r="BH20" s="131">
        <f t="shared" ref="BH20:BH31" si="21">F20*AO20</f>
        <v>0</v>
      </c>
      <c r="BI20" s="131">
        <f t="shared" ref="BI20:BI31" si="22">F20*AP20</f>
        <v>0</v>
      </c>
      <c r="BJ20" s="131">
        <f t="shared" ref="BJ20:BJ31" si="23">F20*G20</f>
        <v>0</v>
      </c>
      <c r="BK20" s="131"/>
      <c r="BL20" s="131"/>
      <c r="BW20" s="131">
        <v>21</v>
      </c>
      <c r="BX20" s="133" t="s">
        <v>1305</v>
      </c>
    </row>
    <row r="21" spans="1:76" x14ac:dyDescent="0.25">
      <c r="A21" s="134" t="s">
        <v>76</v>
      </c>
      <c r="B21" s="135" t="s">
        <v>1307</v>
      </c>
      <c r="C21" s="270" t="s">
        <v>1308</v>
      </c>
      <c r="D21" s="271"/>
      <c r="E21" s="135" t="s">
        <v>164</v>
      </c>
      <c r="F21" s="131">
        <v>6</v>
      </c>
      <c r="G21" s="179">
        <v>0</v>
      </c>
      <c r="H21" s="131">
        <f t="shared" si="0"/>
        <v>0</v>
      </c>
      <c r="I21" s="131">
        <f t="shared" si="1"/>
        <v>0</v>
      </c>
      <c r="J21" s="131">
        <f t="shared" si="2"/>
        <v>0</v>
      </c>
      <c r="K21" s="136" t="s">
        <v>60</v>
      </c>
      <c r="Z21" s="131">
        <f t="shared" si="3"/>
        <v>0</v>
      </c>
      <c r="AB21" s="131">
        <f t="shared" si="4"/>
        <v>0</v>
      </c>
      <c r="AC21" s="131">
        <f t="shared" si="5"/>
        <v>0</v>
      </c>
      <c r="AD21" s="131">
        <f t="shared" si="6"/>
        <v>0</v>
      </c>
      <c r="AE21" s="131">
        <f t="shared" si="7"/>
        <v>0</v>
      </c>
      <c r="AF21" s="131">
        <f t="shared" si="8"/>
        <v>0</v>
      </c>
      <c r="AG21" s="131">
        <f t="shared" si="9"/>
        <v>0</v>
      </c>
      <c r="AH21" s="131">
        <f t="shared" si="10"/>
        <v>0</v>
      </c>
      <c r="AI21" s="115" t="s">
        <v>1288</v>
      </c>
      <c r="AJ21" s="131">
        <f t="shared" si="11"/>
        <v>0</v>
      </c>
      <c r="AK21" s="131">
        <f t="shared" si="12"/>
        <v>0</v>
      </c>
      <c r="AL21" s="131">
        <f t="shared" si="13"/>
        <v>0</v>
      </c>
      <c r="AN21" s="131">
        <v>21</v>
      </c>
      <c r="AO21" s="131">
        <f t="shared" si="14"/>
        <v>0</v>
      </c>
      <c r="AP21" s="131">
        <f t="shared" si="15"/>
        <v>0</v>
      </c>
      <c r="AQ21" s="132" t="s">
        <v>64</v>
      </c>
      <c r="AV21" s="131">
        <f t="shared" si="16"/>
        <v>0</v>
      </c>
      <c r="AW21" s="131">
        <f t="shared" si="17"/>
        <v>0</v>
      </c>
      <c r="AX21" s="131">
        <f t="shared" si="18"/>
        <v>0</v>
      </c>
      <c r="AY21" s="132" t="s">
        <v>1306</v>
      </c>
      <c r="AZ21" s="132" t="s">
        <v>1296</v>
      </c>
      <c r="BA21" s="115" t="s">
        <v>1291</v>
      </c>
      <c r="BC21" s="131">
        <f t="shared" si="19"/>
        <v>0</v>
      </c>
      <c r="BD21" s="131">
        <f t="shared" si="20"/>
        <v>0</v>
      </c>
      <c r="BE21" s="131">
        <v>0</v>
      </c>
      <c r="BF21" s="131">
        <f>21</f>
        <v>21</v>
      </c>
      <c r="BH21" s="131">
        <f t="shared" si="21"/>
        <v>0</v>
      </c>
      <c r="BI21" s="131">
        <f t="shared" si="22"/>
        <v>0</v>
      </c>
      <c r="BJ21" s="131">
        <f t="shared" si="23"/>
        <v>0</v>
      </c>
      <c r="BK21" s="131"/>
      <c r="BL21" s="131"/>
      <c r="BW21" s="131">
        <v>21</v>
      </c>
      <c r="BX21" s="133" t="s">
        <v>1308</v>
      </c>
    </row>
    <row r="22" spans="1:76" x14ac:dyDescent="0.25">
      <c r="A22" s="134" t="s">
        <v>81</v>
      </c>
      <c r="B22" s="135" t="s">
        <v>1309</v>
      </c>
      <c r="C22" s="270" t="s">
        <v>1310</v>
      </c>
      <c r="D22" s="271"/>
      <c r="E22" s="135" t="s">
        <v>164</v>
      </c>
      <c r="F22" s="131">
        <v>1</v>
      </c>
      <c r="G22" s="179">
        <v>0</v>
      </c>
      <c r="H22" s="131">
        <f t="shared" si="0"/>
        <v>0</v>
      </c>
      <c r="I22" s="131">
        <f t="shared" si="1"/>
        <v>0</v>
      </c>
      <c r="J22" s="131">
        <f t="shared" si="2"/>
        <v>0</v>
      </c>
      <c r="K22" s="136" t="s">
        <v>60</v>
      </c>
      <c r="Z22" s="131">
        <f t="shared" si="3"/>
        <v>0</v>
      </c>
      <c r="AB22" s="131">
        <f t="shared" si="4"/>
        <v>0</v>
      </c>
      <c r="AC22" s="131">
        <f t="shared" si="5"/>
        <v>0</v>
      </c>
      <c r="AD22" s="131">
        <f t="shared" si="6"/>
        <v>0</v>
      </c>
      <c r="AE22" s="131">
        <f t="shared" si="7"/>
        <v>0</v>
      </c>
      <c r="AF22" s="131">
        <f t="shared" si="8"/>
        <v>0</v>
      </c>
      <c r="AG22" s="131">
        <f t="shared" si="9"/>
        <v>0</v>
      </c>
      <c r="AH22" s="131">
        <f t="shared" si="10"/>
        <v>0</v>
      </c>
      <c r="AI22" s="115" t="s">
        <v>1288</v>
      </c>
      <c r="AJ22" s="131">
        <f t="shared" si="11"/>
        <v>0</v>
      </c>
      <c r="AK22" s="131">
        <f t="shared" si="12"/>
        <v>0</v>
      </c>
      <c r="AL22" s="131">
        <f t="shared" si="13"/>
        <v>0</v>
      </c>
      <c r="AN22" s="131">
        <v>21</v>
      </c>
      <c r="AO22" s="131">
        <f t="shared" si="14"/>
        <v>0</v>
      </c>
      <c r="AP22" s="131">
        <f t="shared" si="15"/>
        <v>0</v>
      </c>
      <c r="AQ22" s="132" t="s">
        <v>64</v>
      </c>
      <c r="AV22" s="131">
        <f t="shared" si="16"/>
        <v>0</v>
      </c>
      <c r="AW22" s="131">
        <f t="shared" si="17"/>
        <v>0</v>
      </c>
      <c r="AX22" s="131">
        <f t="shared" si="18"/>
        <v>0</v>
      </c>
      <c r="AY22" s="132" t="s">
        <v>1306</v>
      </c>
      <c r="AZ22" s="132" t="s">
        <v>1296</v>
      </c>
      <c r="BA22" s="115" t="s">
        <v>1291</v>
      </c>
      <c r="BC22" s="131">
        <f t="shared" si="19"/>
        <v>0</v>
      </c>
      <c r="BD22" s="131">
        <f t="shared" si="20"/>
        <v>0</v>
      </c>
      <c r="BE22" s="131">
        <v>0</v>
      </c>
      <c r="BF22" s="131">
        <f>22</f>
        <v>22</v>
      </c>
      <c r="BH22" s="131">
        <f t="shared" si="21"/>
        <v>0</v>
      </c>
      <c r="BI22" s="131">
        <f t="shared" si="22"/>
        <v>0</v>
      </c>
      <c r="BJ22" s="131">
        <f t="shared" si="23"/>
        <v>0</v>
      </c>
      <c r="BK22" s="131"/>
      <c r="BL22" s="131"/>
      <c r="BW22" s="131">
        <v>21</v>
      </c>
      <c r="BX22" s="133" t="s">
        <v>1310</v>
      </c>
    </row>
    <row r="23" spans="1:76" x14ac:dyDescent="0.25">
      <c r="A23" s="134" t="s">
        <v>84</v>
      </c>
      <c r="B23" s="135" t="s">
        <v>1311</v>
      </c>
      <c r="C23" s="270" t="s">
        <v>1312</v>
      </c>
      <c r="D23" s="271"/>
      <c r="E23" s="135" t="s">
        <v>164</v>
      </c>
      <c r="F23" s="131">
        <v>15</v>
      </c>
      <c r="G23" s="179">
        <v>0</v>
      </c>
      <c r="H23" s="131">
        <f t="shared" si="0"/>
        <v>0</v>
      </c>
      <c r="I23" s="131">
        <f t="shared" si="1"/>
        <v>0</v>
      </c>
      <c r="J23" s="131">
        <f t="shared" si="2"/>
        <v>0</v>
      </c>
      <c r="K23" s="136" t="s">
        <v>60</v>
      </c>
      <c r="Z23" s="131">
        <f t="shared" si="3"/>
        <v>0</v>
      </c>
      <c r="AB23" s="131">
        <f t="shared" si="4"/>
        <v>0</v>
      </c>
      <c r="AC23" s="131">
        <f t="shared" si="5"/>
        <v>0</v>
      </c>
      <c r="AD23" s="131">
        <f t="shared" si="6"/>
        <v>0</v>
      </c>
      <c r="AE23" s="131">
        <f t="shared" si="7"/>
        <v>0</v>
      </c>
      <c r="AF23" s="131">
        <f t="shared" si="8"/>
        <v>0</v>
      </c>
      <c r="AG23" s="131">
        <f t="shared" si="9"/>
        <v>0</v>
      </c>
      <c r="AH23" s="131">
        <f t="shared" si="10"/>
        <v>0</v>
      </c>
      <c r="AI23" s="115" t="s">
        <v>1288</v>
      </c>
      <c r="AJ23" s="131">
        <f t="shared" si="11"/>
        <v>0</v>
      </c>
      <c r="AK23" s="131">
        <f t="shared" si="12"/>
        <v>0</v>
      </c>
      <c r="AL23" s="131">
        <f t="shared" si="13"/>
        <v>0</v>
      </c>
      <c r="AN23" s="131">
        <v>21</v>
      </c>
      <c r="AO23" s="131">
        <f t="shared" si="14"/>
        <v>0</v>
      </c>
      <c r="AP23" s="131">
        <f t="shared" si="15"/>
        <v>0</v>
      </c>
      <c r="AQ23" s="132" t="s">
        <v>64</v>
      </c>
      <c r="AV23" s="131">
        <f t="shared" si="16"/>
        <v>0</v>
      </c>
      <c r="AW23" s="131">
        <f t="shared" si="17"/>
        <v>0</v>
      </c>
      <c r="AX23" s="131">
        <f t="shared" si="18"/>
        <v>0</v>
      </c>
      <c r="AY23" s="132" t="s">
        <v>1306</v>
      </c>
      <c r="AZ23" s="132" t="s">
        <v>1296</v>
      </c>
      <c r="BA23" s="115" t="s">
        <v>1291</v>
      </c>
      <c r="BC23" s="131">
        <f t="shared" si="19"/>
        <v>0</v>
      </c>
      <c r="BD23" s="131">
        <f t="shared" si="20"/>
        <v>0</v>
      </c>
      <c r="BE23" s="131">
        <v>0</v>
      </c>
      <c r="BF23" s="131">
        <f>23</f>
        <v>23</v>
      </c>
      <c r="BH23" s="131">
        <f t="shared" si="21"/>
        <v>0</v>
      </c>
      <c r="BI23" s="131">
        <f t="shared" si="22"/>
        <v>0</v>
      </c>
      <c r="BJ23" s="131">
        <f t="shared" si="23"/>
        <v>0</v>
      </c>
      <c r="BK23" s="131"/>
      <c r="BL23" s="131"/>
      <c r="BW23" s="131">
        <v>21</v>
      </c>
      <c r="BX23" s="133" t="s">
        <v>1312</v>
      </c>
    </row>
    <row r="24" spans="1:76" x14ac:dyDescent="0.25">
      <c r="A24" s="134" t="s">
        <v>87</v>
      </c>
      <c r="B24" s="135" t="s">
        <v>1311</v>
      </c>
      <c r="C24" s="270" t="s">
        <v>1313</v>
      </c>
      <c r="D24" s="271"/>
      <c r="E24" s="135" t="s">
        <v>164</v>
      </c>
      <c r="F24" s="131">
        <v>45</v>
      </c>
      <c r="G24" s="179">
        <v>0</v>
      </c>
      <c r="H24" s="131">
        <f t="shared" si="0"/>
        <v>0</v>
      </c>
      <c r="I24" s="131">
        <f t="shared" si="1"/>
        <v>0</v>
      </c>
      <c r="J24" s="131">
        <f t="shared" si="2"/>
        <v>0</v>
      </c>
      <c r="K24" s="136" t="s">
        <v>60</v>
      </c>
      <c r="Z24" s="131">
        <f t="shared" si="3"/>
        <v>0</v>
      </c>
      <c r="AB24" s="131">
        <f t="shared" si="4"/>
        <v>0</v>
      </c>
      <c r="AC24" s="131">
        <f t="shared" si="5"/>
        <v>0</v>
      </c>
      <c r="AD24" s="131">
        <f t="shared" si="6"/>
        <v>0</v>
      </c>
      <c r="AE24" s="131">
        <f t="shared" si="7"/>
        <v>0</v>
      </c>
      <c r="AF24" s="131">
        <f t="shared" si="8"/>
        <v>0</v>
      </c>
      <c r="AG24" s="131">
        <f t="shared" si="9"/>
        <v>0</v>
      </c>
      <c r="AH24" s="131">
        <f t="shared" si="10"/>
        <v>0</v>
      </c>
      <c r="AI24" s="115" t="s">
        <v>1288</v>
      </c>
      <c r="AJ24" s="131">
        <f t="shared" si="11"/>
        <v>0</v>
      </c>
      <c r="AK24" s="131">
        <f t="shared" si="12"/>
        <v>0</v>
      </c>
      <c r="AL24" s="131">
        <f t="shared" si="13"/>
        <v>0</v>
      </c>
      <c r="AN24" s="131">
        <v>21</v>
      </c>
      <c r="AO24" s="131">
        <f t="shared" si="14"/>
        <v>0</v>
      </c>
      <c r="AP24" s="131">
        <f t="shared" si="15"/>
        <v>0</v>
      </c>
      <c r="AQ24" s="132" t="s">
        <v>64</v>
      </c>
      <c r="AV24" s="131">
        <f t="shared" si="16"/>
        <v>0</v>
      </c>
      <c r="AW24" s="131">
        <f t="shared" si="17"/>
        <v>0</v>
      </c>
      <c r="AX24" s="131">
        <f t="shared" si="18"/>
        <v>0</v>
      </c>
      <c r="AY24" s="132" t="s">
        <v>1306</v>
      </c>
      <c r="AZ24" s="132" t="s">
        <v>1296</v>
      </c>
      <c r="BA24" s="115" t="s">
        <v>1291</v>
      </c>
      <c r="BC24" s="131">
        <f t="shared" si="19"/>
        <v>0</v>
      </c>
      <c r="BD24" s="131">
        <f t="shared" si="20"/>
        <v>0</v>
      </c>
      <c r="BE24" s="131">
        <v>0</v>
      </c>
      <c r="BF24" s="131">
        <f>24</f>
        <v>24</v>
      </c>
      <c r="BH24" s="131">
        <f t="shared" si="21"/>
        <v>0</v>
      </c>
      <c r="BI24" s="131">
        <f t="shared" si="22"/>
        <v>0</v>
      </c>
      <c r="BJ24" s="131">
        <f t="shared" si="23"/>
        <v>0</v>
      </c>
      <c r="BK24" s="131"/>
      <c r="BL24" s="131"/>
      <c r="BW24" s="131">
        <v>21</v>
      </c>
      <c r="BX24" s="133" t="s">
        <v>1313</v>
      </c>
    </row>
    <row r="25" spans="1:76" x14ac:dyDescent="0.25">
      <c r="A25" s="134" t="s">
        <v>90</v>
      </c>
      <c r="B25" s="135" t="s">
        <v>1314</v>
      </c>
      <c r="C25" s="270" t="s">
        <v>1315</v>
      </c>
      <c r="D25" s="271"/>
      <c r="E25" s="135" t="s">
        <v>164</v>
      </c>
      <c r="F25" s="131">
        <v>43</v>
      </c>
      <c r="G25" s="179">
        <v>0</v>
      </c>
      <c r="H25" s="131">
        <f t="shared" si="0"/>
        <v>0</v>
      </c>
      <c r="I25" s="131">
        <f t="shared" si="1"/>
        <v>0</v>
      </c>
      <c r="J25" s="131">
        <f t="shared" si="2"/>
        <v>0</v>
      </c>
      <c r="K25" s="136" t="s">
        <v>60</v>
      </c>
      <c r="Z25" s="131">
        <f t="shared" si="3"/>
        <v>0</v>
      </c>
      <c r="AB25" s="131">
        <f t="shared" si="4"/>
        <v>0</v>
      </c>
      <c r="AC25" s="131">
        <f t="shared" si="5"/>
        <v>0</v>
      </c>
      <c r="AD25" s="131">
        <f t="shared" si="6"/>
        <v>0</v>
      </c>
      <c r="AE25" s="131">
        <f t="shared" si="7"/>
        <v>0</v>
      </c>
      <c r="AF25" s="131">
        <f t="shared" si="8"/>
        <v>0</v>
      </c>
      <c r="AG25" s="131">
        <f t="shared" si="9"/>
        <v>0</v>
      </c>
      <c r="AH25" s="131">
        <f t="shared" si="10"/>
        <v>0</v>
      </c>
      <c r="AI25" s="115" t="s">
        <v>1288</v>
      </c>
      <c r="AJ25" s="131">
        <f t="shared" si="11"/>
        <v>0</v>
      </c>
      <c r="AK25" s="131">
        <f t="shared" si="12"/>
        <v>0</v>
      </c>
      <c r="AL25" s="131">
        <f t="shared" si="13"/>
        <v>0</v>
      </c>
      <c r="AN25" s="131">
        <v>21</v>
      </c>
      <c r="AO25" s="131">
        <f t="shared" si="14"/>
        <v>0</v>
      </c>
      <c r="AP25" s="131">
        <f t="shared" si="15"/>
        <v>0</v>
      </c>
      <c r="AQ25" s="132" t="s">
        <v>64</v>
      </c>
      <c r="AV25" s="131">
        <f t="shared" si="16"/>
        <v>0</v>
      </c>
      <c r="AW25" s="131">
        <f t="shared" si="17"/>
        <v>0</v>
      </c>
      <c r="AX25" s="131">
        <f t="shared" si="18"/>
        <v>0</v>
      </c>
      <c r="AY25" s="132" t="s">
        <v>1306</v>
      </c>
      <c r="AZ25" s="132" t="s">
        <v>1296</v>
      </c>
      <c r="BA25" s="115" t="s">
        <v>1291</v>
      </c>
      <c r="BC25" s="131">
        <f t="shared" si="19"/>
        <v>0</v>
      </c>
      <c r="BD25" s="131">
        <f t="shared" si="20"/>
        <v>0</v>
      </c>
      <c r="BE25" s="131">
        <v>0</v>
      </c>
      <c r="BF25" s="131">
        <f>25</f>
        <v>25</v>
      </c>
      <c r="BH25" s="131">
        <f t="shared" si="21"/>
        <v>0</v>
      </c>
      <c r="BI25" s="131">
        <f t="shared" si="22"/>
        <v>0</v>
      </c>
      <c r="BJ25" s="131">
        <f t="shared" si="23"/>
        <v>0</v>
      </c>
      <c r="BK25" s="131"/>
      <c r="BL25" s="131"/>
      <c r="BW25" s="131">
        <v>21</v>
      </c>
      <c r="BX25" s="133" t="s">
        <v>1315</v>
      </c>
    </row>
    <row r="26" spans="1:76" x14ac:dyDescent="0.25">
      <c r="A26" s="134" t="s">
        <v>93</v>
      </c>
      <c r="B26" s="135" t="s">
        <v>1316</v>
      </c>
      <c r="C26" s="270" t="s">
        <v>1317</v>
      </c>
      <c r="D26" s="271"/>
      <c r="E26" s="135" t="s">
        <v>164</v>
      </c>
      <c r="F26" s="131">
        <v>45</v>
      </c>
      <c r="G26" s="179">
        <v>0</v>
      </c>
      <c r="H26" s="131">
        <f t="shared" si="0"/>
        <v>0</v>
      </c>
      <c r="I26" s="131">
        <f t="shared" si="1"/>
        <v>0</v>
      </c>
      <c r="J26" s="131">
        <f t="shared" si="2"/>
        <v>0</v>
      </c>
      <c r="K26" s="136" t="s">
        <v>60</v>
      </c>
      <c r="Z26" s="131">
        <f t="shared" si="3"/>
        <v>0</v>
      </c>
      <c r="AB26" s="131">
        <f t="shared" si="4"/>
        <v>0</v>
      </c>
      <c r="AC26" s="131">
        <f t="shared" si="5"/>
        <v>0</v>
      </c>
      <c r="AD26" s="131">
        <f t="shared" si="6"/>
        <v>0</v>
      </c>
      <c r="AE26" s="131">
        <f t="shared" si="7"/>
        <v>0</v>
      </c>
      <c r="AF26" s="131">
        <f t="shared" si="8"/>
        <v>0</v>
      </c>
      <c r="AG26" s="131">
        <f t="shared" si="9"/>
        <v>0</v>
      </c>
      <c r="AH26" s="131">
        <f t="shared" si="10"/>
        <v>0</v>
      </c>
      <c r="AI26" s="115" t="s">
        <v>1288</v>
      </c>
      <c r="AJ26" s="131">
        <f t="shared" si="11"/>
        <v>0</v>
      </c>
      <c r="AK26" s="131">
        <f t="shared" si="12"/>
        <v>0</v>
      </c>
      <c r="AL26" s="131">
        <f t="shared" si="13"/>
        <v>0</v>
      </c>
      <c r="AN26" s="131">
        <v>21</v>
      </c>
      <c r="AO26" s="131">
        <f t="shared" si="14"/>
        <v>0</v>
      </c>
      <c r="AP26" s="131">
        <f t="shared" si="15"/>
        <v>0</v>
      </c>
      <c r="AQ26" s="132" t="s">
        <v>64</v>
      </c>
      <c r="AV26" s="131">
        <f t="shared" si="16"/>
        <v>0</v>
      </c>
      <c r="AW26" s="131">
        <f t="shared" si="17"/>
        <v>0</v>
      </c>
      <c r="AX26" s="131">
        <f t="shared" si="18"/>
        <v>0</v>
      </c>
      <c r="AY26" s="132" t="s">
        <v>1306</v>
      </c>
      <c r="AZ26" s="132" t="s">
        <v>1296</v>
      </c>
      <c r="BA26" s="115" t="s">
        <v>1291</v>
      </c>
      <c r="BC26" s="131">
        <f t="shared" si="19"/>
        <v>0</v>
      </c>
      <c r="BD26" s="131">
        <f t="shared" si="20"/>
        <v>0</v>
      </c>
      <c r="BE26" s="131">
        <v>0</v>
      </c>
      <c r="BF26" s="131">
        <f>26</f>
        <v>26</v>
      </c>
      <c r="BH26" s="131">
        <f t="shared" si="21"/>
        <v>0</v>
      </c>
      <c r="BI26" s="131">
        <f t="shared" si="22"/>
        <v>0</v>
      </c>
      <c r="BJ26" s="131">
        <f t="shared" si="23"/>
        <v>0</v>
      </c>
      <c r="BK26" s="131"/>
      <c r="BL26" s="131"/>
      <c r="BW26" s="131">
        <v>21</v>
      </c>
      <c r="BX26" s="133" t="s">
        <v>1317</v>
      </c>
    </row>
    <row r="27" spans="1:76" x14ac:dyDescent="0.25">
      <c r="A27" s="134" t="s">
        <v>54</v>
      </c>
      <c r="B27" s="135" t="s">
        <v>1318</v>
      </c>
      <c r="C27" s="270" t="s">
        <v>1319</v>
      </c>
      <c r="D27" s="271"/>
      <c r="E27" s="135" t="s">
        <v>67</v>
      </c>
      <c r="F27" s="131">
        <v>1277.5999999999999</v>
      </c>
      <c r="G27" s="179">
        <v>0</v>
      </c>
      <c r="H27" s="131">
        <f t="shared" si="0"/>
        <v>0</v>
      </c>
      <c r="I27" s="131">
        <f t="shared" si="1"/>
        <v>0</v>
      </c>
      <c r="J27" s="131">
        <f t="shared" si="2"/>
        <v>0</v>
      </c>
      <c r="K27" s="136" t="s">
        <v>60</v>
      </c>
      <c r="Z27" s="131">
        <f t="shared" si="3"/>
        <v>0</v>
      </c>
      <c r="AB27" s="131">
        <f t="shared" si="4"/>
        <v>0</v>
      </c>
      <c r="AC27" s="131">
        <f t="shared" si="5"/>
        <v>0</v>
      </c>
      <c r="AD27" s="131">
        <f t="shared" si="6"/>
        <v>0</v>
      </c>
      <c r="AE27" s="131">
        <f t="shared" si="7"/>
        <v>0</v>
      </c>
      <c r="AF27" s="131">
        <f t="shared" si="8"/>
        <v>0</v>
      </c>
      <c r="AG27" s="131">
        <f t="shared" si="9"/>
        <v>0</v>
      </c>
      <c r="AH27" s="131">
        <f t="shared" si="10"/>
        <v>0</v>
      </c>
      <c r="AI27" s="115" t="s">
        <v>1288</v>
      </c>
      <c r="AJ27" s="131">
        <f t="shared" si="11"/>
        <v>0</v>
      </c>
      <c r="AK27" s="131">
        <f t="shared" si="12"/>
        <v>0</v>
      </c>
      <c r="AL27" s="131">
        <f t="shared" si="13"/>
        <v>0</v>
      </c>
      <c r="AN27" s="131">
        <v>21</v>
      </c>
      <c r="AO27" s="131">
        <f t="shared" si="14"/>
        <v>0</v>
      </c>
      <c r="AP27" s="131">
        <f t="shared" si="15"/>
        <v>0</v>
      </c>
      <c r="AQ27" s="132" t="s">
        <v>64</v>
      </c>
      <c r="AV27" s="131">
        <f t="shared" si="16"/>
        <v>0</v>
      </c>
      <c r="AW27" s="131">
        <f t="shared" si="17"/>
        <v>0</v>
      </c>
      <c r="AX27" s="131">
        <f t="shared" si="18"/>
        <v>0</v>
      </c>
      <c r="AY27" s="132" t="s">
        <v>1306</v>
      </c>
      <c r="AZ27" s="132" t="s">
        <v>1296</v>
      </c>
      <c r="BA27" s="115" t="s">
        <v>1291</v>
      </c>
      <c r="BC27" s="131">
        <f t="shared" si="19"/>
        <v>0</v>
      </c>
      <c r="BD27" s="131">
        <f t="shared" si="20"/>
        <v>0</v>
      </c>
      <c r="BE27" s="131">
        <v>0</v>
      </c>
      <c r="BF27" s="131">
        <f>27</f>
        <v>27</v>
      </c>
      <c r="BH27" s="131">
        <f t="shared" si="21"/>
        <v>0</v>
      </c>
      <c r="BI27" s="131">
        <f t="shared" si="22"/>
        <v>0</v>
      </c>
      <c r="BJ27" s="131">
        <f t="shared" si="23"/>
        <v>0</v>
      </c>
      <c r="BK27" s="131"/>
      <c r="BL27" s="131"/>
      <c r="BW27" s="131">
        <v>21</v>
      </c>
      <c r="BX27" s="133" t="s">
        <v>1319</v>
      </c>
    </row>
    <row r="28" spans="1:76" x14ac:dyDescent="0.25">
      <c r="A28" s="134" t="s">
        <v>74</v>
      </c>
      <c r="B28" s="135" t="s">
        <v>1320</v>
      </c>
      <c r="C28" s="270" t="s">
        <v>1321</v>
      </c>
      <c r="D28" s="271"/>
      <c r="E28" s="135" t="s">
        <v>164</v>
      </c>
      <c r="F28" s="131">
        <v>69</v>
      </c>
      <c r="G28" s="179">
        <v>0</v>
      </c>
      <c r="H28" s="131">
        <f t="shared" si="0"/>
        <v>0</v>
      </c>
      <c r="I28" s="131">
        <f t="shared" si="1"/>
        <v>0</v>
      </c>
      <c r="J28" s="131">
        <f t="shared" si="2"/>
        <v>0</v>
      </c>
      <c r="K28" s="136" t="s">
        <v>60</v>
      </c>
      <c r="Z28" s="131">
        <f t="shared" si="3"/>
        <v>0</v>
      </c>
      <c r="AB28" s="131">
        <f t="shared" si="4"/>
        <v>0</v>
      </c>
      <c r="AC28" s="131">
        <f t="shared" si="5"/>
        <v>0</v>
      </c>
      <c r="AD28" s="131">
        <f t="shared" si="6"/>
        <v>0</v>
      </c>
      <c r="AE28" s="131">
        <f t="shared" si="7"/>
        <v>0</v>
      </c>
      <c r="AF28" s="131">
        <f t="shared" si="8"/>
        <v>0</v>
      </c>
      <c r="AG28" s="131">
        <f t="shared" si="9"/>
        <v>0</v>
      </c>
      <c r="AH28" s="131">
        <f t="shared" si="10"/>
        <v>0</v>
      </c>
      <c r="AI28" s="115" t="s">
        <v>1288</v>
      </c>
      <c r="AJ28" s="131">
        <f t="shared" si="11"/>
        <v>0</v>
      </c>
      <c r="AK28" s="131">
        <f t="shared" si="12"/>
        <v>0</v>
      </c>
      <c r="AL28" s="131">
        <f t="shared" si="13"/>
        <v>0</v>
      </c>
      <c r="AN28" s="131">
        <v>21</v>
      </c>
      <c r="AO28" s="131">
        <f t="shared" si="14"/>
        <v>0</v>
      </c>
      <c r="AP28" s="131">
        <f t="shared" si="15"/>
        <v>0</v>
      </c>
      <c r="AQ28" s="132" t="s">
        <v>64</v>
      </c>
      <c r="AV28" s="131">
        <f t="shared" si="16"/>
        <v>0</v>
      </c>
      <c r="AW28" s="131">
        <f t="shared" si="17"/>
        <v>0</v>
      </c>
      <c r="AX28" s="131">
        <f t="shared" si="18"/>
        <v>0</v>
      </c>
      <c r="AY28" s="132" t="s">
        <v>1306</v>
      </c>
      <c r="AZ28" s="132" t="s">
        <v>1296</v>
      </c>
      <c r="BA28" s="115" t="s">
        <v>1291</v>
      </c>
      <c r="BC28" s="131">
        <f t="shared" si="19"/>
        <v>0</v>
      </c>
      <c r="BD28" s="131">
        <f t="shared" si="20"/>
        <v>0</v>
      </c>
      <c r="BE28" s="131">
        <v>0</v>
      </c>
      <c r="BF28" s="131">
        <f>28</f>
        <v>28</v>
      </c>
      <c r="BH28" s="131">
        <f t="shared" si="21"/>
        <v>0</v>
      </c>
      <c r="BI28" s="131">
        <f t="shared" si="22"/>
        <v>0</v>
      </c>
      <c r="BJ28" s="131">
        <f t="shared" si="23"/>
        <v>0</v>
      </c>
      <c r="BK28" s="131"/>
      <c r="BL28" s="131"/>
      <c r="BW28" s="131">
        <v>21</v>
      </c>
      <c r="BX28" s="133" t="s">
        <v>1321</v>
      </c>
    </row>
    <row r="29" spans="1:76" x14ac:dyDescent="0.25">
      <c r="A29" s="134" t="s">
        <v>96</v>
      </c>
      <c r="B29" s="135" t="s">
        <v>1322</v>
      </c>
      <c r="C29" s="270" t="s">
        <v>1323</v>
      </c>
      <c r="D29" s="271"/>
      <c r="E29" s="135" t="s">
        <v>67</v>
      </c>
      <c r="F29" s="131">
        <v>360</v>
      </c>
      <c r="G29" s="179">
        <v>0</v>
      </c>
      <c r="H29" s="131">
        <f t="shared" si="0"/>
        <v>0</v>
      </c>
      <c r="I29" s="131">
        <f t="shared" si="1"/>
        <v>0</v>
      </c>
      <c r="J29" s="131">
        <f t="shared" si="2"/>
        <v>0</v>
      </c>
      <c r="K29" s="136" t="s">
        <v>60</v>
      </c>
      <c r="Z29" s="131">
        <f t="shared" si="3"/>
        <v>0</v>
      </c>
      <c r="AB29" s="131">
        <f t="shared" si="4"/>
        <v>0</v>
      </c>
      <c r="AC29" s="131">
        <f t="shared" si="5"/>
        <v>0</v>
      </c>
      <c r="AD29" s="131">
        <f t="shared" si="6"/>
        <v>0</v>
      </c>
      <c r="AE29" s="131">
        <f t="shared" si="7"/>
        <v>0</v>
      </c>
      <c r="AF29" s="131">
        <f t="shared" si="8"/>
        <v>0</v>
      </c>
      <c r="AG29" s="131">
        <f t="shared" si="9"/>
        <v>0</v>
      </c>
      <c r="AH29" s="131">
        <f t="shared" si="10"/>
        <v>0</v>
      </c>
      <c r="AI29" s="115" t="s">
        <v>1288</v>
      </c>
      <c r="AJ29" s="131">
        <f t="shared" si="11"/>
        <v>0</v>
      </c>
      <c r="AK29" s="131">
        <f t="shared" si="12"/>
        <v>0</v>
      </c>
      <c r="AL29" s="131">
        <f t="shared" si="13"/>
        <v>0</v>
      </c>
      <c r="AN29" s="131">
        <v>21</v>
      </c>
      <c r="AO29" s="131">
        <f t="shared" si="14"/>
        <v>0</v>
      </c>
      <c r="AP29" s="131">
        <f t="shared" si="15"/>
        <v>0</v>
      </c>
      <c r="AQ29" s="132" t="s">
        <v>64</v>
      </c>
      <c r="AV29" s="131">
        <f t="shared" si="16"/>
        <v>0</v>
      </c>
      <c r="AW29" s="131">
        <f t="shared" si="17"/>
        <v>0</v>
      </c>
      <c r="AX29" s="131">
        <f t="shared" si="18"/>
        <v>0</v>
      </c>
      <c r="AY29" s="132" t="s">
        <v>1306</v>
      </c>
      <c r="AZ29" s="132" t="s">
        <v>1296</v>
      </c>
      <c r="BA29" s="115" t="s">
        <v>1291</v>
      </c>
      <c r="BC29" s="131">
        <f t="shared" si="19"/>
        <v>0</v>
      </c>
      <c r="BD29" s="131">
        <f t="shared" si="20"/>
        <v>0</v>
      </c>
      <c r="BE29" s="131">
        <v>0</v>
      </c>
      <c r="BF29" s="131">
        <f>29</f>
        <v>29</v>
      </c>
      <c r="BH29" s="131">
        <f t="shared" si="21"/>
        <v>0</v>
      </c>
      <c r="BI29" s="131">
        <f t="shared" si="22"/>
        <v>0</v>
      </c>
      <c r="BJ29" s="131">
        <f t="shared" si="23"/>
        <v>0</v>
      </c>
      <c r="BK29" s="131"/>
      <c r="BL29" s="131"/>
      <c r="BW29" s="131">
        <v>21</v>
      </c>
      <c r="BX29" s="133" t="s">
        <v>1323</v>
      </c>
    </row>
    <row r="30" spans="1:76" x14ac:dyDescent="0.25">
      <c r="A30" s="134" t="s">
        <v>108</v>
      </c>
      <c r="B30" s="135" t="s">
        <v>1324</v>
      </c>
      <c r="C30" s="270" t="s">
        <v>1325</v>
      </c>
      <c r="D30" s="271"/>
      <c r="E30" s="135" t="s">
        <v>67</v>
      </c>
      <c r="F30" s="131">
        <v>1367</v>
      </c>
      <c r="G30" s="179">
        <v>0</v>
      </c>
      <c r="H30" s="131">
        <f t="shared" si="0"/>
        <v>0</v>
      </c>
      <c r="I30" s="131">
        <f t="shared" si="1"/>
        <v>0</v>
      </c>
      <c r="J30" s="131">
        <f t="shared" si="2"/>
        <v>0</v>
      </c>
      <c r="K30" s="136" t="s">
        <v>60</v>
      </c>
      <c r="Z30" s="131">
        <f t="shared" si="3"/>
        <v>0</v>
      </c>
      <c r="AB30" s="131">
        <f t="shared" si="4"/>
        <v>0</v>
      </c>
      <c r="AC30" s="131">
        <f t="shared" si="5"/>
        <v>0</v>
      </c>
      <c r="AD30" s="131">
        <f t="shared" si="6"/>
        <v>0</v>
      </c>
      <c r="AE30" s="131">
        <f t="shared" si="7"/>
        <v>0</v>
      </c>
      <c r="AF30" s="131">
        <f t="shared" si="8"/>
        <v>0</v>
      </c>
      <c r="AG30" s="131">
        <f t="shared" si="9"/>
        <v>0</v>
      </c>
      <c r="AH30" s="131">
        <f t="shared" si="10"/>
        <v>0</v>
      </c>
      <c r="AI30" s="115" t="s">
        <v>1288</v>
      </c>
      <c r="AJ30" s="131">
        <f t="shared" si="11"/>
        <v>0</v>
      </c>
      <c r="AK30" s="131">
        <f t="shared" si="12"/>
        <v>0</v>
      </c>
      <c r="AL30" s="131">
        <f t="shared" si="13"/>
        <v>0</v>
      </c>
      <c r="AN30" s="131">
        <v>21</v>
      </c>
      <c r="AO30" s="131">
        <f t="shared" si="14"/>
        <v>0</v>
      </c>
      <c r="AP30" s="131">
        <f t="shared" si="15"/>
        <v>0</v>
      </c>
      <c r="AQ30" s="132" t="s">
        <v>64</v>
      </c>
      <c r="AV30" s="131">
        <f t="shared" si="16"/>
        <v>0</v>
      </c>
      <c r="AW30" s="131">
        <f t="shared" si="17"/>
        <v>0</v>
      </c>
      <c r="AX30" s="131">
        <f t="shared" si="18"/>
        <v>0</v>
      </c>
      <c r="AY30" s="132" t="s">
        <v>1306</v>
      </c>
      <c r="AZ30" s="132" t="s">
        <v>1296</v>
      </c>
      <c r="BA30" s="115" t="s">
        <v>1291</v>
      </c>
      <c r="BC30" s="131">
        <f t="shared" si="19"/>
        <v>0</v>
      </c>
      <c r="BD30" s="131">
        <f t="shared" si="20"/>
        <v>0</v>
      </c>
      <c r="BE30" s="131">
        <v>0</v>
      </c>
      <c r="BF30" s="131">
        <f>30</f>
        <v>30</v>
      </c>
      <c r="BH30" s="131">
        <f t="shared" si="21"/>
        <v>0</v>
      </c>
      <c r="BI30" s="131">
        <f t="shared" si="22"/>
        <v>0</v>
      </c>
      <c r="BJ30" s="131">
        <f t="shared" si="23"/>
        <v>0</v>
      </c>
      <c r="BK30" s="131"/>
      <c r="BL30" s="131"/>
      <c r="BW30" s="131">
        <v>21</v>
      </c>
      <c r="BX30" s="133" t="s">
        <v>1325</v>
      </c>
    </row>
    <row r="31" spans="1:76" ht="25.5" x14ac:dyDescent="0.25">
      <c r="A31" s="134" t="s">
        <v>111</v>
      </c>
      <c r="B31" s="135" t="s">
        <v>1326</v>
      </c>
      <c r="C31" s="270" t="s">
        <v>1327</v>
      </c>
      <c r="D31" s="271"/>
      <c r="E31" s="135" t="s">
        <v>67</v>
      </c>
      <c r="F31" s="131">
        <v>1281</v>
      </c>
      <c r="G31" s="179">
        <v>0</v>
      </c>
      <c r="H31" s="131">
        <f t="shared" si="0"/>
        <v>0</v>
      </c>
      <c r="I31" s="131">
        <f t="shared" si="1"/>
        <v>0</v>
      </c>
      <c r="J31" s="131">
        <f t="shared" si="2"/>
        <v>0</v>
      </c>
      <c r="K31" s="136" t="s">
        <v>60</v>
      </c>
      <c r="Z31" s="131">
        <f t="shared" si="3"/>
        <v>0</v>
      </c>
      <c r="AB31" s="131">
        <f t="shared" si="4"/>
        <v>0</v>
      </c>
      <c r="AC31" s="131">
        <f t="shared" si="5"/>
        <v>0</v>
      </c>
      <c r="AD31" s="131">
        <f t="shared" si="6"/>
        <v>0</v>
      </c>
      <c r="AE31" s="131">
        <f t="shared" si="7"/>
        <v>0</v>
      </c>
      <c r="AF31" s="131">
        <f t="shared" si="8"/>
        <v>0</v>
      </c>
      <c r="AG31" s="131">
        <f t="shared" si="9"/>
        <v>0</v>
      </c>
      <c r="AH31" s="131">
        <f t="shared" si="10"/>
        <v>0</v>
      </c>
      <c r="AI31" s="115" t="s">
        <v>1288</v>
      </c>
      <c r="AJ31" s="131">
        <f t="shared" si="11"/>
        <v>0</v>
      </c>
      <c r="AK31" s="131">
        <f t="shared" si="12"/>
        <v>0</v>
      </c>
      <c r="AL31" s="131">
        <f t="shared" si="13"/>
        <v>0</v>
      </c>
      <c r="AN31" s="131">
        <v>21</v>
      </c>
      <c r="AO31" s="131">
        <f t="shared" si="14"/>
        <v>0</v>
      </c>
      <c r="AP31" s="131">
        <f t="shared" si="15"/>
        <v>0</v>
      </c>
      <c r="AQ31" s="132" t="s">
        <v>64</v>
      </c>
      <c r="AV31" s="131">
        <f t="shared" si="16"/>
        <v>0</v>
      </c>
      <c r="AW31" s="131">
        <f t="shared" si="17"/>
        <v>0</v>
      </c>
      <c r="AX31" s="131">
        <f t="shared" si="18"/>
        <v>0</v>
      </c>
      <c r="AY31" s="132" t="s">
        <v>1306</v>
      </c>
      <c r="AZ31" s="132" t="s">
        <v>1296</v>
      </c>
      <c r="BA31" s="115" t="s">
        <v>1291</v>
      </c>
      <c r="BC31" s="131">
        <f t="shared" si="19"/>
        <v>0</v>
      </c>
      <c r="BD31" s="131">
        <f t="shared" si="20"/>
        <v>0</v>
      </c>
      <c r="BE31" s="131">
        <v>0</v>
      </c>
      <c r="BF31" s="131">
        <f>31</f>
        <v>31</v>
      </c>
      <c r="BH31" s="131">
        <f t="shared" si="21"/>
        <v>0</v>
      </c>
      <c r="BI31" s="131">
        <f t="shared" si="22"/>
        <v>0</v>
      </c>
      <c r="BJ31" s="131">
        <f t="shared" si="23"/>
        <v>0</v>
      </c>
      <c r="BK31" s="131"/>
      <c r="BL31" s="131"/>
      <c r="BW31" s="131">
        <v>21</v>
      </c>
      <c r="BX31" s="133" t="s">
        <v>1327</v>
      </c>
    </row>
    <row r="32" spans="1:76" x14ac:dyDescent="0.25">
      <c r="A32" s="123" t="s">
        <v>53</v>
      </c>
      <c r="B32" s="124" t="s">
        <v>1328</v>
      </c>
      <c r="C32" s="272" t="s">
        <v>1329</v>
      </c>
      <c r="D32" s="273"/>
      <c r="E32" s="125" t="s">
        <v>9</v>
      </c>
      <c r="F32" s="125" t="s">
        <v>9</v>
      </c>
      <c r="G32" s="125" t="s">
        <v>9</v>
      </c>
      <c r="H32" s="110">
        <f>SUM(H33:H44)</f>
        <v>0</v>
      </c>
      <c r="I32" s="110">
        <f>SUM(I33:I44)</f>
        <v>0</v>
      </c>
      <c r="J32" s="110">
        <f>SUM(J33:J44)</f>
        <v>0</v>
      </c>
      <c r="K32" s="126" t="s">
        <v>53</v>
      </c>
      <c r="AI32" s="115" t="s">
        <v>1288</v>
      </c>
      <c r="AS32" s="110">
        <f>SUM(AJ33:AJ44)</f>
        <v>0</v>
      </c>
      <c r="AT32" s="110">
        <f>SUM(AK33:AK44)</f>
        <v>0</v>
      </c>
      <c r="AU32" s="110">
        <f>SUM(AL33:AL44)</f>
        <v>0</v>
      </c>
    </row>
    <row r="33" spans="1:76" x14ac:dyDescent="0.25">
      <c r="A33" s="134" t="s">
        <v>101</v>
      </c>
      <c r="B33" s="135" t="s">
        <v>1330</v>
      </c>
      <c r="C33" s="270" t="s">
        <v>1331</v>
      </c>
      <c r="D33" s="271"/>
      <c r="E33" s="135" t="s">
        <v>79</v>
      </c>
      <c r="F33" s="131">
        <v>12.38</v>
      </c>
      <c r="G33" s="179">
        <v>0</v>
      </c>
      <c r="H33" s="131">
        <f t="shared" ref="H33:H44" si="24">F33*AO33</f>
        <v>0</v>
      </c>
      <c r="I33" s="131">
        <f t="shared" ref="I33:I44" si="25">F33*AP33</f>
        <v>0</v>
      </c>
      <c r="J33" s="131">
        <f t="shared" ref="J33:J44" si="26">F33*G33</f>
        <v>0</v>
      </c>
      <c r="K33" s="136" t="s">
        <v>60</v>
      </c>
      <c r="Z33" s="131">
        <f t="shared" ref="Z33:Z44" si="27">IF(AQ33="5",BJ33,0)</f>
        <v>0</v>
      </c>
      <c r="AB33" s="131">
        <f t="shared" ref="AB33:AB44" si="28">IF(AQ33="1",BH33,0)</f>
        <v>0</v>
      </c>
      <c r="AC33" s="131">
        <f t="shared" ref="AC33:AC44" si="29">IF(AQ33="1",BI33,0)</f>
        <v>0</v>
      </c>
      <c r="AD33" s="131">
        <f t="shared" ref="AD33:AD44" si="30">IF(AQ33="7",BH33,0)</f>
        <v>0</v>
      </c>
      <c r="AE33" s="131">
        <f t="shared" ref="AE33:AE44" si="31">IF(AQ33="7",BI33,0)</f>
        <v>0</v>
      </c>
      <c r="AF33" s="131">
        <f t="shared" ref="AF33:AF44" si="32">IF(AQ33="2",BH33,0)</f>
        <v>0</v>
      </c>
      <c r="AG33" s="131">
        <f t="shared" ref="AG33:AG44" si="33">IF(AQ33="2",BI33,0)</f>
        <v>0</v>
      </c>
      <c r="AH33" s="131">
        <f t="shared" ref="AH33:AH44" si="34">IF(AQ33="0",BJ33,0)</f>
        <v>0</v>
      </c>
      <c r="AI33" s="115" t="s">
        <v>1288</v>
      </c>
      <c r="AJ33" s="131">
        <f t="shared" ref="AJ33:AJ44" si="35">IF(AN33=0,J33,0)</f>
        <v>0</v>
      </c>
      <c r="AK33" s="131">
        <f t="shared" ref="AK33:AK44" si="36">IF(AN33=12,J33,0)</f>
        <v>0</v>
      </c>
      <c r="AL33" s="131">
        <f t="shared" ref="AL33:AL44" si="37">IF(AN33=21,J33,0)</f>
        <v>0</v>
      </c>
      <c r="AN33" s="131">
        <v>21</v>
      </c>
      <c r="AO33" s="131">
        <f>G33*0</f>
        <v>0</v>
      </c>
      <c r="AP33" s="131">
        <f>G33*(1-0)</f>
        <v>0</v>
      </c>
      <c r="AQ33" s="132" t="s">
        <v>64</v>
      </c>
      <c r="AV33" s="131">
        <f t="shared" ref="AV33:AV44" si="38">AW33+AX33</f>
        <v>0</v>
      </c>
      <c r="AW33" s="131">
        <f t="shared" ref="AW33:AW44" si="39">F33*AO33</f>
        <v>0</v>
      </c>
      <c r="AX33" s="131">
        <f t="shared" ref="AX33:AX44" si="40">F33*AP33</f>
        <v>0</v>
      </c>
      <c r="AY33" s="132" t="s">
        <v>1332</v>
      </c>
      <c r="AZ33" s="132" t="s">
        <v>1296</v>
      </c>
      <c r="BA33" s="115" t="s">
        <v>1291</v>
      </c>
      <c r="BC33" s="131">
        <f t="shared" ref="BC33:BC44" si="41">AW33+AX33</f>
        <v>0</v>
      </c>
      <c r="BD33" s="131">
        <f t="shared" ref="BD33:BD44" si="42">G33/(100-BE33)*100</f>
        <v>0</v>
      </c>
      <c r="BE33" s="131">
        <v>0</v>
      </c>
      <c r="BF33" s="131">
        <f>33</f>
        <v>33</v>
      </c>
      <c r="BH33" s="131">
        <f t="shared" ref="BH33:BH44" si="43">F33*AO33</f>
        <v>0</v>
      </c>
      <c r="BI33" s="131">
        <f t="shared" ref="BI33:BI44" si="44">F33*AP33</f>
        <v>0</v>
      </c>
      <c r="BJ33" s="131">
        <f t="shared" ref="BJ33:BJ44" si="45">F33*G33</f>
        <v>0</v>
      </c>
      <c r="BK33" s="131"/>
      <c r="BL33" s="131"/>
      <c r="BW33" s="131">
        <v>21</v>
      </c>
      <c r="BX33" s="133" t="s">
        <v>1331</v>
      </c>
    </row>
    <row r="34" spans="1:76" x14ac:dyDescent="0.25">
      <c r="A34" s="134" t="s">
        <v>116</v>
      </c>
      <c r="B34" s="135" t="s">
        <v>1333</v>
      </c>
      <c r="C34" s="270" t="s">
        <v>1334</v>
      </c>
      <c r="D34" s="271"/>
      <c r="E34" s="135" t="s">
        <v>164</v>
      </c>
      <c r="F34" s="131">
        <v>7</v>
      </c>
      <c r="G34" s="179">
        <v>0</v>
      </c>
      <c r="H34" s="131">
        <f t="shared" si="24"/>
        <v>0</v>
      </c>
      <c r="I34" s="131">
        <f t="shared" si="25"/>
        <v>0</v>
      </c>
      <c r="J34" s="131">
        <f t="shared" si="26"/>
        <v>0</v>
      </c>
      <c r="K34" s="136" t="s">
        <v>60</v>
      </c>
      <c r="Z34" s="131">
        <f t="shared" si="27"/>
        <v>0</v>
      </c>
      <c r="AB34" s="131">
        <f t="shared" si="28"/>
        <v>0</v>
      </c>
      <c r="AC34" s="131">
        <f t="shared" si="29"/>
        <v>0</v>
      </c>
      <c r="AD34" s="131">
        <f t="shared" si="30"/>
        <v>0</v>
      </c>
      <c r="AE34" s="131">
        <f t="shared" si="31"/>
        <v>0</v>
      </c>
      <c r="AF34" s="131">
        <f t="shared" si="32"/>
        <v>0</v>
      </c>
      <c r="AG34" s="131">
        <f t="shared" si="33"/>
        <v>0</v>
      </c>
      <c r="AH34" s="131">
        <f t="shared" si="34"/>
        <v>0</v>
      </c>
      <c r="AI34" s="115" t="s">
        <v>1288</v>
      </c>
      <c r="AJ34" s="131">
        <f t="shared" si="35"/>
        <v>0</v>
      </c>
      <c r="AK34" s="131">
        <f t="shared" si="36"/>
        <v>0</v>
      </c>
      <c r="AL34" s="131">
        <f t="shared" si="37"/>
        <v>0</v>
      </c>
      <c r="AN34" s="131">
        <v>21</v>
      </c>
      <c r="AO34" s="131">
        <f>G34*0</f>
        <v>0</v>
      </c>
      <c r="AP34" s="131">
        <f>G34*(1-0)</f>
        <v>0</v>
      </c>
      <c r="AQ34" s="132" t="s">
        <v>64</v>
      </c>
      <c r="AV34" s="131">
        <f t="shared" si="38"/>
        <v>0</v>
      </c>
      <c r="AW34" s="131">
        <f t="shared" si="39"/>
        <v>0</v>
      </c>
      <c r="AX34" s="131">
        <f t="shared" si="40"/>
        <v>0</v>
      </c>
      <c r="AY34" s="132" t="s">
        <v>1332</v>
      </c>
      <c r="AZ34" s="132" t="s">
        <v>1296</v>
      </c>
      <c r="BA34" s="115" t="s">
        <v>1291</v>
      </c>
      <c r="BC34" s="131">
        <f t="shared" si="41"/>
        <v>0</v>
      </c>
      <c r="BD34" s="131">
        <f t="shared" si="42"/>
        <v>0</v>
      </c>
      <c r="BE34" s="131">
        <v>0</v>
      </c>
      <c r="BF34" s="131">
        <f>34</f>
        <v>34</v>
      </c>
      <c r="BH34" s="131">
        <f t="shared" si="43"/>
        <v>0</v>
      </c>
      <c r="BI34" s="131">
        <f t="shared" si="44"/>
        <v>0</v>
      </c>
      <c r="BJ34" s="131">
        <f t="shared" si="45"/>
        <v>0</v>
      </c>
      <c r="BK34" s="131"/>
      <c r="BL34" s="131"/>
      <c r="BW34" s="131">
        <v>21</v>
      </c>
      <c r="BX34" s="133" t="s">
        <v>1334</v>
      </c>
    </row>
    <row r="35" spans="1:76" x14ac:dyDescent="0.25">
      <c r="A35" s="134" t="s">
        <v>119</v>
      </c>
      <c r="B35" s="135" t="s">
        <v>1335</v>
      </c>
      <c r="C35" s="270" t="s">
        <v>1336</v>
      </c>
      <c r="D35" s="271"/>
      <c r="E35" s="135" t="s">
        <v>164</v>
      </c>
      <c r="F35" s="131">
        <v>43</v>
      </c>
      <c r="G35" s="179">
        <v>0</v>
      </c>
      <c r="H35" s="131">
        <f t="shared" si="24"/>
        <v>0</v>
      </c>
      <c r="I35" s="131">
        <f t="shared" si="25"/>
        <v>0</v>
      </c>
      <c r="J35" s="131">
        <f t="shared" si="26"/>
        <v>0</v>
      </c>
      <c r="K35" s="136" t="s">
        <v>60</v>
      </c>
      <c r="Z35" s="131">
        <f t="shared" si="27"/>
        <v>0</v>
      </c>
      <c r="AB35" s="131">
        <f t="shared" si="28"/>
        <v>0</v>
      </c>
      <c r="AC35" s="131">
        <f t="shared" si="29"/>
        <v>0</v>
      </c>
      <c r="AD35" s="131">
        <f t="shared" si="30"/>
        <v>0</v>
      </c>
      <c r="AE35" s="131">
        <f t="shared" si="31"/>
        <v>0</v>
      </c>
      <c r="AF35" s="131">
        <f t="shared" si="32"/>
        <v>0</v>
      </c>
      <c r="AG35" s="131">
        <f t="shared" si="33"/>
        <v>0</v>
      </c>
      <c r="AH35" s="131">
        <f t="shared" si="34"/>
        <v>0</v>
      </c>
      <c r="AI35" s="115" t="s">
        <v>1288</v>
      </c>
      <c r="AJ35" s="131">
        <f t="shared" si="35"/>
        <v>0</v>
      </c>
      <c r="AK35" s="131">
        <f t="shared" si="36"/>
        <v>0</v>
      </c>
      <c r="AL35" s="131">
        <f t="shared" si="37"/>
        <v>0</v>
      </c>
      <c r="AN35" s="131">
        <v>21</v>
      </c>
      <c r="AO35" s="131">
        <f>G35*0.306429594</f>
        <v>0</v>
      </c>
      <c r="AP35" s="131">
        <f>G35*(1-0.306429594)</f>
        <v>0</v>
      </c>
      <c r="AQ35" s="132" t="s">
        <v>64</v>
      </c>
      <c r="AV35" s="131">
        <f t="shared" si="38"/>
        <v>0</v>
      </c>
      <c r="AW35" s="131">
        <f t="shared" si="39"/>
        <v>0</v>
      </c>
      <c r="AX35" s="131">
        <f t="shared" si="40"/>
        <v>0</v>
      </c>
      <c r="AY35" s="132" t="s">
        <v>1332</v>
      </c>
      <c r="AZ35" s="132" t="s">
        <v>1296</v>
      </c>
      <c r="BA35" s="115" t="s">
        <v>1291</v>
      </c>
      <c r="BC35" s="131">
        <f t="shared" si="41"/>
        <v>0</v>
      </c>
      <c r="BD35" s="131">
        <f t="shared" si="42"/>
        <v>0</v>
      </c>
      <c r="BE35" s="131">
        <v>0</v>
      </c>
      <c r="BF35" s="131">
        <f>35</f>
        <v>35</v>
      </c>
      <c r="BH35" s="131">
        <f t="shared" si="43"/>
        <v>0</v>
      </c>
      <c r="BI35" s="131">
        <f t="shared" si="44"/>
        <v>0</v>
      </c>
      <c r="BJ35" s="131">
        <f t="shared" si="45"/>
        <v>0</v>
      </c>
      <c r="BK35" s="131"/>
      <c r="BL35" s="131"/>
      <c r="BW35" s="131">
        <v>21</v>
      </c>
      <c r="BX35" s="133" t="s">
        <v>1336</v>
      </c>
    </row>
    <row r="36" spans="1:76" x14ac:dyDescent="0.25">
      <c r="A36" s="134" t="s">
        <v>124</v>
      </c>
      <c r="B36" s="135" t="s">
        <v>1337</v>
      </c>
      <c r="C36" s="270" t="s">
        <v>1338</v>
      </c>
      <c r="D36" s="271"/>
      <c r="E36" s="135" t="s">
        <v>67</v>
      </c>
      <c r="F36" s="131">
        <v>1226</v>
      </c>
      <c r="G36" s="179">
        <v>0</v>
      </c>
      <c r="H36" s="131">
        <f t="shared" si="24"/>
        <v>0</v>
      </c>
      <c r="I36" s="131">
        <f t="shared" si="25"/>
        <v>0</v>
      </c>
      <c r="J36" s="131">
        <f t="shared" si="26"/>
        <v>0</v>
      </c>
      <c r="K36" s="136" t="s">
        <v>60</v>
      </c>
      <c r="Z36" s="131">
        <f t="shared" si="27"/>
        <v>0</v>
      </c>
      <c r="AB36" s="131">
        <f t="shared" si="28"/>
        <v>0</v>
      </c>
      <c r="AC36" s="131">
        <f t="shared" si="29"/>
        <v>0</v>
      </c>
      <c r="AD36" s="131">
        <f t="shared" si="30"/>
        <v>0</v>
      </c>
      <c r="AE36" s="131">
        <f t="shared" si="31"/>
        <v>0</v>
      </c>
      <c r="AF36" s="131">
        <f t="shared" si="32"/>
        <v>0</v>
      </c>
      <c r="AG36" s="131">
        <f t="shared" si="33"/>
        <v>0</v>
      </c>
      <c r="AH36" s="131">
        <f t="shared" si="34"/>
        <v>0</v>
      </c>
      <c r="AI36" s="115" t="s">
        <v>1288</v>
      </c>
      <c r="AJ36" s="131">
        <f t="shared" si="35"/>
        <v>0</v>
      </c>
      <c r="AK36" s="131">
        <f t="shared" si="36"/>
        <v>0</v>
      </c>
      <c r="AL36" s="131">
        <f t="shared" si="37"/>
        <v>0</v>
      </c>
      <c r="AN36" s="131">
        <v>21</v>
      </c>
      <c r="AO36" s="131">
        <f>G36*0</f>
        <v>0</v>
      </c>
      <c r="AP36" s="131">
        <f>G36*(1-0)</f>
        <v>0</v>
      </c>
      <c r="AQ36" s="132" t="s">
        <v>64</v>
      </c>
      <c r="AV36" s="131">
        <f t="shared" si="38"/>
        <v>0</v>
      </c>
      <c r="AW36" s="131">
        <f t="shared" si="39"/>
        <v>0</v>
      </c>
      <c r="AX36" s="131">
        <f t="shared" si="40"/>
        <v>0</v>
      </c>
      <c r="AY36" s="132" t="s">
        <v>1332</v>
      </c>
      <c r="AZ36" s="132" t="s">
        <v>1296</v>
      </c>
      <c r="BA36" s="115" t="s">
        <v>1291</v>
      </c>
      <c r="BC36" s="131">
        <f t="shared" si="41"/>
        <v>0</v>
      </c>
      <c r="BD36" s="131">
        <f t="shared" si="42"/>
        <v>0</v>
      </c>
      <c r="BE36" s="131">
        <v>0</v>
      </c>
      <c r="BF36" s="131">
        <f>36</f>
        <v>36</v>
      </c>
      <c r="BH36" s="131">
        <f t="shared" si="43"/>
        <v>0</v>
      </c>
      <c r="BI36" s="131">
        <f t="shared" si="44"/>
        <v>0</v>
      </c>
      <c r="BJ36" s="131">
        <f t="shared" si="45"/>
        <v>0</v>
      </c>
      <c r="BK36" s="131"/>
      <c r="BL36" s="131"/>
      <c r="BW36" s="131">
        <v>21</v>
      </c>
      <c r="BX36" s="133" t="s">
        <v>1338</v>
      </c>
    </row>
    <row r="37" spans="1:76" x14ac:dyDescent="0.25">
      <c r="A37" s="134" t="s">
        <v>128</v>
      </c>
      <c r="B37" s="135" t="s">
        <v>1339</v>
      </c>
      <c r="C37" s="270" t="s">
        <v>1340</v>
      </c>
      <c r="D37" s="271"/>
      <c r="E37" s="135" t="s">
        <v>67</v>
      </c>
      <c r="F37" s="131">
        <v>1226</v>
      </c>
      <c r="G37" s="179">
        <v>0</v>
      </c>
      <c r="H37" s="131">
        <f t="shared" si="24"/>
        <v>0</v>
      </c>
      <c r="I37" s="131">
        <f t="shared" si="25"/>
        <v>0</v>
      </c>
      <c r="J37" s="131">
        <f t="shared" si="26"/>
        <v>0</v>
      </c>
      <c r="K37" s="136" t="s">
        <v>60</v>
      </c>
      <c r="Z37" s="131">
        <f t="shared" si="27"/>
        <v>0</v>
      </c>
      <c r="AB37" s="131">
        <f t="shared" si="28"/>
        <v>0</v>
      </c>
      <c r="AC37" s="131">
        <f t="shared" si="29"/>
        <v>0</v>
      </c>
      <c r="AD37" s="131">
        <f t="shared" si="30"/>
        <v>0</v>
      </c>
      <c r="AE37" s="131">
        <f t="shared" si="31"/>
        <v>0</v>
      </c>
      <c r="AF37" s="131">
        <f t="shared" si="32"/>
        <v>0</v>
      </c>
      <c r="AG37" s="131">
        <f t="shared" si="33"/>
        <v>0</v>
      </c>
      <c r="AH37" s="131">
        <f t="shared" si="34"/>
        <v>0</v>
      </c>
      <c r="AI37" s="115" t="s">
        <v>1288</v>
      </c>
      <c r="AJ37" s="131">
        <f t="shared" si="35"/>
        <v>0</v>
      </c>
      <c r="AK37" s="131">
        <f t="shared" si="36"/>
        <v>0</v>
      </c>
      <c r="AL37" s="131">
        <f t="shared" si="37"/>
        <v>0</v>
      </c>
      <c r="AN37" s="131">
        <v>21</v>
      </c>
      <c r="AO37" s="131">
        <f>G37*0</f>
        <v>0</v>
      </c>
      <c r="AP37" s="131">
        <f>G37*(1-0)</f>
        <v>0</v>
      </c>
      <c r="AQ37" s="132" t="s">
        <v>64</v>
      </c>
      <c r="AV37" s="131">
        <f t="shared" si="38"/>
        <v>0</v>
      </c>
      <c r="AW37" s="131">
        <f t="shared" si="39"/>
        <v>0</v>
      </c>
      <c r="AX37" s="131">
        <f t="shared" si="40"/>
        <v>0</v>
      </c>
      <c r="AY37" s="132" t="s">
        <v>1332</v>
      </c>
      <c r="AZ37" s="132" t="s">
        <v>1296</v>
      </c>
      <c r="BA37" s="115" t="s">
        <v>1291</v>
      </c>
      <c r="BC37" s="131">
        <f t="shared" si="41"/>
        <v>0</v>
      </c>
      <c r="BD37" s="131">
        <f t="shared" si="42"/>
        <v>0</v>
      </c>
      <c r="BE37" s="131">
        <v>0</v>
      </c>
      <c r="BF37" s="131">
        <f>37</f>
        <v>37</v>
      </c>
      <c r="BH37" s="131">
        <f t="shared" si="43"/>
        <v>0</v>
      </c>
      <c r="BI37" s="131">
        <f t="shared" si="44"/>
        <v>0</v>
      </c>
      <c r="BJ37" s="131">
        <f t="shared" si="45"/>
        <v>0</v>
      </c>
      <c r="BK37" s="131"/>
      <c r="BL37" s="131"/>
      <c r="BW37" s="131">
        <v>21</v>
      </c>
      <c r="BX37" s="133" t="s">
        <v>1340</v>
      </c>
    </row>
    <row r="38" spans="1:76" ht="25.5" x14ac:dyDescent="0.25">
      <c r="A38" s="134" t="s">
        <v>131</v>
      </c>
      <c r="B38" s="135" t="s">
        <v>1341</v>
      </c>
      <c r="C38" s="270" t="s">
        <v>1342</v>
      </c>
      <c r="D38" s="271"/>
      <c r="E38" s="135" t="s">
        <v>67</v>
      </c>
      <c r="F38" s="131">
        <v>158</v>
      </c>
      <c r="G38" s="179">
        <v>0</v>
      </c>
      <c r="H38" s="131">
        <f t="shared" si="24"/>
        <v>0</v>
      </c>
      <c r="I38" s="131">
        <f t="shared" si="25"/>
        <v>0</v>
      </c>
      <c r="J38" s="131">
        <f t="shared" si="26"/>
        <v>0</v>
      </c>
      <c r="K38" s="136" t="s">
        <v>60</v>
      </c>
      <c r="Z38" s="131">
        <f t="shared" si="27"/>
        <v>0</v>
      </c>
      <c r="AB38" s="131">
        <f t="shared" si="28"/>
        <v>0</v>
      </c>
      <c r="AC38" s="131">
        <f t="shared" si="29"/>
        <v>0</v>
      </c>
      <c r="AD38" s="131">
        <f t="shared" si="30"/>
        <v>0</v>
      </c>
      <c r="AE38" s="131">
        <f t="shared" si="31"/>
        <v>0</v>
      </c>
      <c r="AF38" s="131">
        <f t="shared" si="32"/>
        <v>0</v>
      </c>
      <c r="AG38" s="131">
        <f t="shared" si="33"/>
        <v>0</v>
      </c>
      <c r="AH38" s="131">
        <f t="shared" si="34"/>
        <v>0</v>
      </c>
      <c r="AI38" s="115" t="s">
        <v>1288</v>
      </c>
      <c r="AJ38" s="131">
        <f t="shared" si="35"/>
        <v>0</v>
      </c>
      <c r="AK38" s="131">
        <f t="shared" si="36"/>
        <v>0</v>
      </c>
      <c r="AL38" s="131">
        <f t="shared" si="37"/>
        <v>0</v>
      </c>
      <c r="AN38" s="131">
        <v>21</v>
      </c>
      <c r="AO38" s="131">
        <f>G38*0.872992126</f>
        <v>0</v>
      </c>
      <c r="AP38" s="131">
        <f>G38*(1-0.872992126)</f>
        <v>0</v>
      </c>
      <c r="AQ38" s="132" t="s">
        <v>64</v>
      </c>
      <c r="AV38" s="131">
        <f t="shared" si="38"/>
        <v>0</v>
      </c>
      <c r="AW38" s="131">
        <f t="shared" si="39"/>
        <v>0</v>
      </c>
      <c r="AX38" s="131">
        <f t="shared" si="40"/>
        <v>0</v>
      </c>
      <c r="AY38" s="132" t="s">
        <v>1332</v>
      </c>
      <c r="AZ38" s="132" t="s">
        <v>1296</v>
      </c>
      <c r="BA38" s="115" t="s">
        <v>1291</v>
      </c>
      <c r="BC38" s="131">
        <f t="shared" si="41"/>
        <v>0</v>
      </c>
      <c r="BD38" s="131">
        <f t="shared" si="42"/>
        <v>0</v>
      </c>
      <c r="BE38" s="131">
        <v>0</v>
      </c>
      <c r="BF38" s="131">
        <f>38</f>
        <v>38</v>
      </c>
      <c r="BH38" s="131">
        <f t="shared" si="43"/>
        <v>0</v>
      </c>
      <c r="BI38" s="131">
        <f t="shared" si="44"/>
        <v>0</v>
      </c>
      <c r="BJ38" s="131">
        <f t="shared" si="45"/>
        <v>0</v>
      </c>
      <c r="BK38" s="131"/>
      <c r="BL38" s="131"/>
      <c r="BW38" s="131">
        <v>21</v>
      </c>
      <c r="BX38" s="133" t="s">
        <v>1342</v>
      </c>
    </row>
    <row r="39" spans="1:76" x14ac:dyDescent="0.25">
      <c r="A39" s="134" t="s">
        <v>135</v>
      </c>
      <c r="B39" s="135" t="s">
        <v>1343</v>
      </c>
      <c r="C39" s="270" t="s">
        <v>1344</v>
      </c>
      <c r="D39" s="271"/>
      <c r="E39" s="135" t="s">
        <v>67</v>
      </c>
      <c r="F39" s="131">
        <v>1226</v>
      </c>
      <c r="G39" s="179">
        <v>0</v>
      </c>
      <c r="H39" s="131">
        <f t="shared" si="24"/>
        <v>0</v>
      </c>
      <c r="I39" s="131">
        <f t="shared" si="25"/>
        <v>0</v>
      </c>
      <c r="J39" s="131">
        <f t="shared" si="26"/>
        <v>0</v>
      </c>
      <c r="K39" s="136" t="s">
        <v>60</v>
      </c>
      <c r="Z39" s="131">
        <f t="shared" si="27"/>
        <v>0</v>
      </c>
      <c r="AB39" s="131">
        <f t="shared" si="28"/>
        <v>0</v>
      </c>
      <c r="AC39" s="131">
        <f t="shared" si="29"/>
        <v>0</v>
      </c>
      <c r="AD39" s="131">
        <f t="shared" si="30"/>
        <v>0</v>
      </c>
      <c r="AE39" s="131">
        <f t="shared" si="31"/>
        <v>0</v>
      </c>
      <c r="AF39" s="131">
        <f t="shared" si="32"/>
        <v>0</v>
      </c>
      <c r="AG39" s="131">
        <f t="shared" si="33"/>
        <v>0</v>
      </c>
      <c r="AH39" s="131">
        <f t="shared" si="34"/>
        <v>0</v>
      </c>
      <c r="AI39" s="115" t="s">
        <v>1288</v>
      </c>
      <c r="AJ39" s="131">
        <f t="shared" si="35"/>
        <v>0</v>
      </c>
      <c r="AK39" s="131">
        <f t="shared" si="36"/>
        <v>0</v>
      </c>
      <c r="AL39" s="131">
        <f t="shared" si="37"/>
        <v>0</v>
      </c>
      <c r="AN39" s="131">
        <v>21</v>
      </c>
      <c r="AO39" s="131">
        <f>G39*0.419911504</f>
        <v>0</v>
      </c>
      <c r="AP39" s="131">
        <f>G39*(1-0.419911504)</f>
        <v>0</v>
      </c>
      <c r="AQ39" s="132" t="s">
        <v>64</v>
      </c>
      <c r="AV39" s="131">
        <f t="shared" si="38"/>
        <v>0</v>
      </c>
      <c r="AW39" s="131">
        <f t="shared" si="39"/>
        <v>0</v>
      </c>
      <c r="AX39" s="131">
        <f t="shared" si="40"/>
        <v>0</v>
      </c>
      <c r="AY39" s="132" t="s">
        <v>1332</v>
      </c>
      <c r="AZ39" s="132" t="s">
        <v>1296</v>
      </c>
      <c r="BA39" s="115" t="s">
        <v>1291</v>
      </c>
      <c r="BC39" s="131">
        <f t="shared" si="41"/>
        <v>0</v>
      </c>
      <c r="BD39" s="131">
        <f t="shared" si="42"/>
        <v>0</v>
      </c>
      <c r="BE39" s="131">
        <v>0</v>
      </c>
      <c r="BF39" s="131">
        <f>39</f>
        <v>39</v>
      </c>
      <c r="BH39" s="131">
        <f t="shared" si="43"/>
        <v>0</v>
      </c>
      <c r="BI39" s="131">
        <f t="shared" si="44"/>
        <v>0</v>
      </c>
      <c r="BJ39" s="131">
        <f t="shared" si="45"/>
        <v>0</v>
      </c>
      <c r="BK39" s="131"/>
      <c r="BL39" s="131"/>
      <c r="BW39" s="131">
        <v>21</v>
      </c>
      <c r="BX39" s="133" t="s">
        <v>1344</v>
      </c>
    </row>
    <row r="40" spans="1:76" x14ac:dyDescent="0.25">
      <c r="A40" s="134" t="s">
        <v>139</v>
      </c>
      <c r="B40" s="135" t="s">
        <v>1345</v>
      </c>
      <c r="C40" s="270" t="s">
        <v>1346</v>
      </c>
      <c r="D40" s="271"/>
      <c r="E40" s="135" t="s">
        <v>67</v>
      </c>
      <c r="F40" s="131">
        <v>1226</v>
      </c>
      <c r="G40" s="179">
        <v>0</v>
      </c>
      <c r="H40" s="131">
        <f t="shared" si="24"/>
        <v>0</v>
      </c>
      <c r="I40" s="131">
        <f t="shared" si="25"/>
        <v>0</v>
      </c>
      <c r="J40" s="131">
        <f t="shared" si="26"/>
        <v>0</v>
      </c>
      <c r="K40" s="136" t="s">
        <v>60</v>
      </c>
      <c r="Z40" s="131">
        <f t="shared" si="27"/>
        <v>0</v>
      </c>
      <c r="AB40" s="131">
        <f t="shared" si="28"/>
        <v>0</v>
      </c>
      <c r="AC40" s="131">
        <f t="shared" si="29"/>
        <v>0</v>
      </c>
      <c r="AD40" s="131">
        <f t="shared" si="30"/>
        <v>0</v>
      </c>
      <c r="AE40" s="131">
        <f t="shared" si="31"/>
        <v>0</v>
      </c>
      <c r="AF40" s="131">
        <f t="shared" si="32"/>
        <v>0</v>
      </c>
      <c r="AG40" s="131">
        <f t="shared" si="33"/>
        <v>0</v>
      </c>
      <c r="AH40" s="131">
        <f t="shared" si="34"/>
        <v>0</v>
      </c>
      <c r="AI40" s="115" t="s">
        <v>1288</v>
      </c>
      <c r="AJ40" s="131">
        <f t="shared" si="35"/>
        <v>0</v>
      </c>
      <c r="AK40" s="131">
        <f t="shared" si="36"/>
        <v>0</v>
      </c>
      <c r="AL40" s="131">
        <f t="shared" si="37"/>
        <v>0</v>
      </c>
      <c r="AN40" s="131">
        <v>21</v>
      </c>
      <c r="AO40" s="131">
        <f>G40*0</f>
        <v>0</v>
      </c>
      <c r="AP40" s="131">
        <f>G40*(1-0)</f>
        <v>0</v>
      </c>
      <c r="AQ40" s="132" t="s">
        <v>64</v>
      </c>
      <c r="AV40" s="131">
        <f t="shared" si="38"/>
        <v>0</v>
      </c>
      <c r="AW40" s="131">
        <f t="shared" si="39"/>
        <v>0</v>
      </c>
      <c r="AX40" s="131">
        <f t="shared" si="40"/>
        <v>0</v>
      </c>
      <c r="AY40" s="132" t="s">
        <v>1332</v>
      </c>
      <c r="AZ40" s="132" t="s">
        <v>1296</v>
      </c>
      <c r="BA40" s="115" t="s">
        <v>1291</v>
      </c>
      <c r="BC40" s="131">
        <f t="shared" si="41"/>
        <v>0</v>
      </c>
      <c r="BD40" s="131">
        <f t="shared" si="42"/>
        <v>0</v>
      </c>
      <c r="BE40" s="131">
        <v>0</v>
      </c>
      <c r="BF40" s="131">
        <f>40</f>
        <v>40</v>
      </c>
      <c r="BH40" s="131">
        <f t="shared" si="43"/>
        <v>0</v>
      </c>
      <c r="BI40" s="131">
        <f t="shared" si="44"/>
        <v>0</v>
      </c>
      <c r="BJ40" s="131">
        <f t="shared" si="45"/>
        <v>0</v>
      </c>
      <c r="BK40" s="131"/>
      <c r="BL40" s="131"/>
      <c r="BW40" s="131">
        <v>21</v>
      </c>
      <c r="BX40" s="133" t="s">
        <v>1346</v>
      </c>
    </row>
    <row r="41" spans="1:76" x14ac:dyDescent="0.25">
      <c r="A41" s="134" t="s">
        <v>142</v>
      </c>
      <c r="B41" s="135" t="s">
        <v>1347</v>
      </c>
      <c r="C41" s="270" t="s">
        <v>1348</v>
      </c>
      <c r="D41" s="271"/>
      <c r="E41" s="135" t="s">
        <v>59</v>
      </c>
      <c r="F41" s="131">
        <v>30</v>
      </c>
      <c r="G41" s="179">
        <v>0</v>
      </c>
      <c r="H41" s="131">
        <f t="shared" si="24"/>
        <v>0</v>
      </c>
      <c r="I41" s="131">
        <f t="shared" si="25"/>
        <v>0</v>
      </c>
      <c r="J41" s="131">
        <f t="shared" si="26"/>
        <v>0</v>
      </c>
      <c r="K41" s="136" t="s">
        <v>60</v>
      </c>
      <c r="Z41" s="131">
        <f t="shared" si="27"/>
        <v>0</v>
      </c>
      <c r="AB41" s="131">
        <f t="shared" si="28"/>
        <v>0</v>
      </c>
      <c r="AC41" s="131">
        <f t="shared" si="29"/>
        <v>0</v>
      </c>
      <c r="AD41" s="131">
        <f t="shared" si="30"/>
        <v>0</v>
      </c>
      <c r="AE41" s="131">
        <f t="shared" si="31"/>
        <v>0</v>
      </c>
      <c r="AF41" s="131">
        <f t="shared" si="32"/>
        <v>0</v>
      </c>
      <c r="AG41" s="131">
        <f t="shared" si="33"/>
        <v>0</v>
      </c>
      <c r="AH41" s="131">
        <f t="shared" si="34"/>
        <v>0</v>
      </c>
      <c r="AI41" s="115" t="s">
        <v>1288</v>
      </c>
      <c r="AJ41" s="131">
        <f t="shared" si="35"/>
        <v>0</v>
      </c>
      <c r="AK41" s="131">
        <f t="shared" si="36"/>
        <v>0</v>
      </c>
      <c r="AL41" s="131">
        <f t="shared" si="37"/>
        <v>0</v>
      </c>
      <c r="AN41" s="131">
        <v>21</v>
      </c>
      <c r="AO41" s="131">
        <f>G41*0.730956809</f>
        <v>0</v>
      </c>
      <c r="AP41" s="131">
        <f>G41*(1-0.730956809)</f>
        <v>0</v>
      </c>
      <c r="AQ41" s="132" t="s">
        <v>64</v>
      </c>
      <c r="AV41" s="131">
        <f t="shared" si="38"/>
        <v>0</v>
      </c>
      <c r="AW41" s="131">
        <f t="shared" si="39"/>
        <v>0</v>
      </c>
      <c r="AX41" s="131">
        <f t="shared" si="40"/>
        <v>0</v>
      </c>
      <c r="AY41" s="132" t="s">
        <v>1332</v>
      </c>
      <c r="AZ41" s="132" t="s">
        <v>1296</v>
      </c>
      <c r="BA41" s="115" t="s">
        <v>1291</v>
      </c>
      <c r="BC41" s="131">
        <f t="shared" si="41"/>
        <v>0</v>
      </c>
      <c r="BD41" s="131">
        <f t="shared" si="42"/>
        <v>0</v>
      </c>
      <c r="BE41" s="131">
        <v>0</v>
      </c>
      <c r="BF41" s="131">
        <f>41</f>
        <v>41</v>
      </c>
      <c r="BH41" s="131">
        <f t="shared" si="43"/>
        <v>0</v>
      </c>
      <c r="BI41" s="131">
        <f t="shared" si="44"/>
        <v>0</v>
      </c>
      <c r="BJ41" s="131">
        <f t="shared" si="45"/>
        <v>0</v>
      </c>
      <c r="BK41" s="131"/>
      <c r="BL41" s="131"/>
      <c r="BW41" s="131">
        <v>21</v>
      </c>
      <c r="BX41" s="133" t="s">
        <v>1348</v>
      </c>
    </row>
    <row r="42" spans="1:76" x14ac:dyDescent="0.25">
      <c r="A42" s="134" t="s">
        <v>145</v>
      </c>
      <c r="B42" s="135" t="s">
        <v>1349</v>
      </c>
      <c r="C42" s="270" t="s">
        <v>1350</v>
      </c>
      <c r="D42" s="271"/>
      <c r="E42" s="135" t="s">
        <v>79</v>
      </c>
      <c r="F42" s="131">
        <v>56.05</v>
      </c>
      <c r="G42" s="179">
        <v>0</v>
      </c>
      <c r="H42" s="131">
        <f t="shared" si="24"/>
        <v>0</v>
      </c>
      <c r="I42" s="131">
        <f t="shared" si="25"/>
        <v>0</v>
      </c>
      <c r="J42" s="131">
        <f t="shared" si="26"/>
        <v>0</v>
      </c>
      <c r="K42" s="136" t="s">
        <v>60</v>
      </c>
      <c r="Z42" s="131">
        <f t="shared" si="27"/>
        <v>0</v>
      </c>
      <c r="AB42" s="131">
        <f t="shared" si="28"/>
        <v>0</v>
      </c>
      <c r="AC42" s="131">
        <f t="shared" si="29"/>
        <v>0</v>
      </c>
      <c r="AD42" s="131">
        <f t="shared" si="30"/>
        <v>0</v>
      </c>
      <c r="AE42" s="131">
        <f t="shared" si="31"/>
        <v>0</v>
      </c>
      <c r="AF42" s="131">
        <f t="shared" si="32"/>
        <v>0</v>
      </c>
      <c r="AG42" s="131">
        <f t="shared" si="33"/>
        <v>0</v>
      </c>
      <c r="AH42" s="131">
        <f t="shared" si="34"/>
        <v>0</v>
      </c>
      <c r="AI42" s="115" t="s">
        <v>1288</v>
      </c>
      <c r="AJ42" s="131">
        <f t="shared" si="35"/>
        <v>0</v>
      </c>
      <c r="AK42" s="131">
        <f t="shared" si="36"/>
        <v>0</v>
      </c>
      <c r="AL42" s="131">
        <f t="shared" si="37"/>
        <v>0</v>
      </c>
      <c r="AN42" s="131">
        <v>21</v>
      </c>
      <c r="AO42" s="131">
        <f>G42*0</f>
        <v>0</v>
      </c>
      <c r="AP42" s="131">
        <f>G42*(1-0)</f>
        <v>0</v>
      </c>
      <c r="AQ42" s="132" t="s">
        <v>64</v>
      </c>
      <c r="AV42" s="131">
        <f t="shared" si="38"/>
        <v>0</v>
      </c>
      <c r="AW42" s="131">
        <f t="shared" si="39"/>
        <v>0</v>
      </c>
      <c r="AX42" s="131">
        <f t="shared" si="40"/>
        <v>0</v>
      </c>
      <c r="AY42" s="132" t="s">
        <v>1332</v>
      </c>
      <c r="AZ42" s="132" t="s">
        <v>1296</v>
      </c>
      <c r="BA42" s="115" t="s">
        <v>1291</v>
      </c>
      <c r="BC42" s="131">
        <f t="shared" si="41"/>
        <v>0</v>
      </c>
      <c r="BD42" s="131">
        <f t="shared" si="42"/>
        <v>0</v>
      </c>
      <c r="BE42" s="131">
        <v>0</v>
      </c>
      <c r="BF42" s="131">
        <f>42</f>
        <v>42</v>
      </c>
      <c r="BH42" s="131">
        <f t="shared" si="43"/>
        <v>0</v>
      </c>
      <c r="BI42" s="131">
        <f t="shared" si="44"/>
        <v>0</v>
      </c>
      <c r="BJ42" s="131">
        <f t="shared" si="45"/>
        <v>0</v>
      </c>
      <c r="BK42" s="131"/>
      <c r="BL42" s="131"/>
      <c r="BW42" s="131">
        <v>21</v>
      </c>
      <c r="BX42" s="133" t="s">
        <v>1350</v>
      </c>
    </row>
    <row r="43" spans="1:76" x14ac:dyDescent="0.25">
      <c r="A43" s="134" t="s">
        <v>150</v>
      </c>
      <c r="B43" s="135" t="s">
        <v>1351</v>
      </c>
      <c r="C43" s="270" t="s">
        <v>1352</v>
      </c>
      <c r="D43" s="271"/>
      <c r="E43" s="135" t="s">
        <v>79</v>
      </c>
      <c r="F43" s="131">
        <v>560.5</v>
      </c>
      <c r="G43" s="179">
        <v>0</v>
      </c>
      <c r="H43" s="131">
        <f t="shared" si="24"/>
        <v>0</v>
      </c>
      <c r="I43" s="131">
        <f t="shared" si="25"/>
        <v>0</v>
      </c>
      <c r="J43" s="131">
        <f t="shared" si="26"/>
        <v>0</v>
      </c>
      <c r="K43" s="136" t="s">
        <v>60</v>
      </c>
      <c r="Z43" s="131">
        <f t="shared" si="27"/>
        <v>0</v>
      </c>
      <c r="AB43" s="131">
        <f t="shared" si="28"/>
        <v>0</v>
      </c>
      <c r="AC43" s="131">
        <f t="shared" si="29"/>
        <v>0</v>
      </c>
      <c r="AD43" s="131">
        <f t="shared" si="30"/>
        <v>0</v>
      </c>
      <c r="AE43" s="131">
        <f t="shared" si="31"/>
        <v>0</v>
      </c>
      <c r="AF43" s="131">
        <f t="shared" si="32"/>
        <v>0</v>
      </c>
      <c r="AG43" s="131">
        <f t="shared" si="33"/>
        <v>0</v>
      </c>
      <c r="AH43" s="131">
        <f t="shared" si="34"/>
        <v>0</v>
      </c>
      <c r="AI43" s="115" t="s">
        <v>1288</v>
      </c>
      <c r="AJ43" s="131">
        <f t="shared" si="35"/>
        <v>0</v>
      </c>
      <c r="AK43" s="131">
        <f t="shared" si="36"/>
        <v>0</v>
      </c>
      <c r="AL43" s="131">
        <f t="shared" si="37"/>
        <v>0</v>
      </c>
      <c r="AN43" s="131">
        <v>21</v>
      </c>
      <c r="AO43" s="131">
        <f>G43*0</f>
        <v>0</v>
      </c>
      <c r="AP43" s="131">
        <f>G43*(1-0)</f>
        <v>0</v>
      </c>
      <c r="AQ43" s="132" t="s">
        <v>64</v>
      </c>
      <c r="AV43" s="131">
        <f t="shared" si="38"/>
        <v>0</v>
      </c>
      <c r="AW43" s="131">
        <f t="shared" si="39"/>
        <v>0</v>
      </c>
      <c r="AX43" s="131">
        <f t="shared" si="40"/>
        <v>0</v>
      </c>
      <c r="AY43" s="132" t="s">
        <v>1332</v>
      </c>
      <c r="AZ43" s="132" t="s">
        <v>1296</v>
      </c>
      <c r="BA43" s="115" t="s">
        <v>1291</v>
      </c>
      <c r="BC43" s="131">
        <f t="shared" si="41"/>
        <v>0</v>
      </c>
      <c r="BD43" s="131">
        <f t="shared" si="42"/>
        <v>0</v>
      </c>
      <c r="BE43" s="131">
        <v>0</v>
      </c>
      <c r="BF43" s="131">
        <f>43</f>
        <v>43</v>
      </c>
      <c r="BH43" s="131">
        <f t="shared" si="43"/>
        <v>0</v>
      </c>
      <c r="BI43" s="131">
        <f t="shared" si="44"/>
        <v>0</v>
      </c>
      <c r="BJ43" s="131">
        <f t="shared" si="45"/>
        <v>0</v>
      </c>
      <c r="BK43" s="131"/>
      <c r="BL43" s="131"/>
      <c r="BW43" s="131">
        <v>21</v>
      </c>
      <c r="BX43" s="133" t="s">
        <v>1352</v>
      </c>
    </row>
    <row r="44" spans="1:76" x14ac:dyDescent="0.25">
      <c r="A44" s="134" t="s">
        <v>155</v>
      </c>
      <c r="B44" s="135" t="s">
        <v>120</v>
      </c>
      <c r="C44" s="270" t="s">
        <v>121</v>
      </c>
      <c r="D44" s="271"/>
      <c r="E44" s="135" t="s">
        <v>122</v>
      </c>
      <c r="F44" s="131">
        <v>100.89</v>
      </c>
      <c r="G44" s="179">
        <v>0</v>
      </c>
      <c r="H44" s="131">
        <f t="shared" si="24"/>
        <v>0</v>
      </c>
      <c r="I44" s="131">
        <f t="shared" si="25"/>
        <v>0</v>
      </c>
      <c r="J44" s="131">
        <f t="shared" si="26"/>
        <v>0</v>
      </c>
      <c r="K44" s="136" t="s">
        <v>60</v>
      </c>
      <c r="Z44" s="131">
        <f t="shared" si="27"/>
        <v>0</v>
      </c>
      <c r="AB44" s="131">
        <f t="shared" si="28"/>
        <v>0</v>
      </c>
      <c r="AC44" s="131">
        <f t="shared" si="29"/>
        <v>0</v>
      </c>
      <c r="AD44" s="131">
        <f t="shared" si="30"/>
        <v>0</v>
      </c>
      <c r="AE44" s="131">
        <f t="shared" si="31"/>
        <v>0</v>
      </c>
      <c r="AF44" s="131">
        <f t="shared" si="32"/>
        <v>0</v>
      </c>
      <c r="AG44" s="131">
        <f t="shared" si="33"/>
        <v>0</v>
      </c>
      <c r="AH44" s="131">
        <f t="shared" si="34"/>
        <v>0</v>
      </c>
      <c r="AI44" s="115" t="s">
        <v>1288</v>
      </c>
      <c r="AJ44" s="131">
        <f t="shared" si="35"/>
        <v>0</v>
      </c>
      <c r="AK44" s="131">
        <f t="shared" si="36"/>
        <v>0</v>
      </c>
      <c r="AL44" s="131">
        <f t="shared" si="37"/>
        <v>0</v>
      </c>
      <c r="AN44" s="131">
        <v>21</v>
      </c>
      <c r="AO44" s="131">
        <f>G44*0</f>
        <v>0</v>
      </c>
      <c r="AP44" s="131">
        <f>G44*(1-0)</f>
        <v>0</v>
      </c>
      <c r="AQ44" s="132" t="s">
        <v>56</v>
      </c>
      <c r="AV44" s="131">
        <f t="shared" si="38"/>
        <v>0</v>
      </c>
      <c r="AW44" s="131">
        <f t="shared" si="39"/>
        <v>0</v>
      </c>
      <c r="AX44" s="131">
        <f t="shared" si="40"/>
        <v>0</v>
      </c>
      <c r="AY44" s="132" t="s">
        <v>1332</v>
      </c>
      <c r="AZ44" s="132" t="s">
        <v>1296</v>
      </c>
      <c r="BA44" s="115" t="s">
        <v>1291</v>
      </c>
      <c r="BC44" s="131">
        <f t="shared" si="41"/>
        <v>0</v>
      </c>
      <c r="BD44" s="131">
        <f t="shared" si="42"/>
        <v>0</v>
      </c>
      <c r="BE44" s="131">
        <v>0</v>
      </c>
      <c r="BF44" s="131">
        <f>44</f>
        <v>44</v>
      </c>
      <c r="BH44" s="131">
        <f t="shared" si="43"/>
        <v>0</v>
      </c>
      <c r="BI44" s="131">
        <f t="shared" si="44"/>
        <v>0</v>
      </c>
      <c r="BJ44" s="131">
        <f t="shared" si="45"/>
        <v>0</v>
      </c>
      <c r="BK44" s="131"/>
      <c r="BL44" s="131"/>
      <c r="BW44" s="131">
        <v>21</v>
      </c>
      <c r="BX44" s="133" t="s">
        <v>121</v>
      </c>
    </row>
    <row r="45" spans="1:76" x14ac:dyDescent="0.25">
      <c r="A45" s="123" t="s">
        <v>53</v>
      </c>
      <c r="B45" s="124" t="s">
        <v>338</v>
      </c>
      <c r="C45" s="272" t="s">
        <v>339</v>
      </c>
      <c r="D45" s="273"/>
      <c r="E45" s="125" t="s">
        <v>9</v>
      </c>
      <c r="F45" s="125" t="s">
        <v>9</v>
      </c>
      <c r="G45" s="125" t="s">
        <v>9</v>
      </c>
      <c r="H45" s="110">
        <f>SUM(H46:H66)</f>
        <v>0</v>
      </c>
      <c r="I45" s="110">
        <f>SUM(I46:I66)</f>
        <v>0</v>
      </c>
      <c r="J45" s="110">
        <f>SUM(J46:J66)</f>
        <v>0</v>
      </c>
      <c r="K45" s="126" t="s">
        <v>53</v>
      </c>
      <c r="AI45" s="115" t="s">
        <v>1288</v>
      </c>
      <c r="AS45" s="110">
        <f>SUM(AJ46:AJ66)</f>
        <v>0</v>
      </c>
      <c r="AT45" s="110">
        <f>SUM(AK46:AK66)</f>
        <v>0</v>
      </c>
      <c r="AU45" s="110">
        <f>SUM(AL46:AL66)</f>
        <v>0</v>
      </c>
    </row>
    <row r="46" spans="1:76" x14ac:dyDescent="0.25">
      <c r="A46" s="134" t="s">
        <v>158</v>
      </c>
      <c r="B46" s="135" t="s">
        <v>1353</v>
      </c>
      <c r="C46" s="270" t="s">
        <v>1354</v>
      </c>
      <c r="D46" s="271"/>
      <c r="E46" s="135" t="s">
        <v>67</v>
      </c>
      <c r="F46" s="131">
        <v>378</v>
      </c>
      <c r="G46" s="179">
        <v>0</v>
      </c>
      <c r="H46" s="131">
        <f t="shared" ref="H46:H66" si="46">F46*AO46</f>
        <v>0</v>
      </c>
      <c r="I46" s="131">
        <f t="shared" ref="I46:I66" si="47">F46*AP46</f>
        <v>0</v>
      </c>
      <c r="J46" s="131">
        <f t="shared" ref="J46:J66" si="48">F46*G46</f>
        <v>0</v>
      </c>
      <c r="K46" s="136" t="s">
        <v>60</v>
      </c>
      <c r="Z46" s="131">
        <f t="shared" ref="Z46:Z66" si="49">IF(AQ46="5",BJ46,0)</f>
        <v>0</v>
      </c>
      <c r="AB46" s="131">
        <f t="shared" ref="AB46:AB66" si="50">IF(AQ46="1",BH46,0)</f>
        <v>0</v>
      </c>
      <c r="AC46" s="131">
        <f t="shared" ref="AC46:AC66" si="51">IF(AQ46="1",BI46,0)</f>
        <v>0</v>
      </c>
      <c r="AD46" s="131">
        <f t="shared" ref="AD46:AD66" si="52">IF(AQ46="7",BH46,0)</f>
        <v>0</v>
      </c>
      <c r="AE46" s="131">
        <f t="shared" ref="AE46:AE66" si="53">IF(AQ46="7",BI46,0)</f>
        <v>0</v>
      </c>
      <c r="AF46" s="131">
        <f t="shared" ref="AF46:AF66" si="54">IF(AQ46="2",BH46,0)</f>
        <v>0</v>
      </c>
      <c r="AG46" s="131">
        <f t="shared" ref="AG46:AG66" si="55">IF(AQ46="2",BI46,0)</f>
        <v>0</v>
      </c>
      <c r="AH46" s="131">
        <f t="shared" ref="AH46:AH66" si="56">IF(AQ46="0",BJ46,0)</f>
        <v>0</v>
      </c>
      <c r="AI46" s="115" t="s">
        <v>1288</v>
      </c>
      <c r="AJ46" s="131">
        <f t="shared" ref="AJ46:AJ66" si="57">IF(AN46=0,J46,0)</f>
        <v>0</v>
      </c>
      <c r="AK46" s="131">
        <f t="shared" ref="AK46:AK66" si="58">IF(AN46=12,J46,0)</f>
        <v>0</v>
      </c>
      <c r="AL46" s="131">
        <f t="shared" ref="AL46:AL66" si="59">IF(AN46=21,J46,0)</f>
        <v>0</v>
      </c>
      <c r="AN46" s="131">
        <v>21</v>
      </c>
      <c r="AO46" s="131">
        <f t="shared" ref="AO46:AO66" si="60">G46*1</f>
        <v>0</v>
      </c>
      <c r="AP46" s="131">
        <f t="shared" ref="AP46:AP66" si="61">G46*(1-1)</f>
        <v>0</v>
      </c>
      <c r="AQ46" s="132" t="s">
        <v>343</v>
      </c>
      <c r="AV46" s="131">
        <f t="shared" ref="AV46:AV66" si="62">AW46+AX46</f>
        <v>0</v>
      </c>
      <c r="AW46" s="131">
        <f t="shared" ref="AW46:AW66" si="63">F46*AO46</f>
        <v>0</v>
      </c>
      <c r="AX46" s="131">
        <f t="shared" ref="AX46:AX66" si="64">F46*AP46</f>
        <v>0</v>
      </c>
      <c r="AY46" s="132" t="s">
        <v>344</v>
      </c>
      <c r="AZ46" s="132" t="s">
        <v>1355</v>
      </c>
      <c r="BA46" s="115" t="s">
        <v>1291</v>
      </c>
      <c r="BC46" s="131">
        <f t="shared" ref="BC46:BC66" si="65">AW46+AX46</f>
        <v>0</v>
      </c>
      <c r="BD46" s="131">
        <f t="shared" ref="BD46:BD66" si="66">G46/(100-BE46)*100</f>
        <v>0</v>
      </c>
      <c r="BE46" s="131">
        <v>0</v>
      </c>
      <c r="BF46" s="131">
        <f>46</f>
        <v>46</v>
      </c>
      <c r="BH46" s="131">
        <f t="shared" ref="BH46:BH66" si="67">F46*AO46</f>
        <v>0</v>
      </c>
      <c r="BI46" s="131">
        <f t="shared" ref="BI46:BI66" si="68">F46*AP46</f>
        <v>0</v>
      </c>
      <c r="BJ46" s="131">
        <f t="shared" ref="BJ46:BJ66" si="69">F46*G46</f>
        <v>0</v>
      </c>
      <c r="BK46" s="131"/>
      <c r="BL46" s="131"/>
      <c r="BW46" s="131">
        <v>21</v>
      </c>
      <c r="BX46" s="133" t="s">
        <v>1354</v>
      </c>
    </row>
    <row r="47" spans="1:76" x14ac:dyDescent="0.25">
      <c r="A47" s="134" t="s">
        <v>161</v>
      </c>
      <c r="B47" s="135" t="s">
        <v>1356</v>
      </c>
      <c r="C47" s="270" t="s">
        <v>1357</v>
      </c>
      <c r="D47" s="271"/>
      <c r="E47" s="135" t="s">
        <v>67</v>
      </c>
      <c r="F47" s="131">
        <v>1435.35</v>
      </c>
      <c r="G47" s="179">
        <v>0</v>
      </c>
      <c r="H47" s="131">
        <f t="shared" si="46"/>
        <v>0</v>
      </c>
      <c r="I47" s="131">
        <f t="shared" si="47"/>
        <v>0</v>
      </c>
      <c r="J47" s="131">
        <f t="shared" si="48"/>
        <v>0</v>
      </c>
      <c r="K47" s="136" t="s">
        <v>60</v>
      </c>
      <c r="Z47" s="131">
        <f t="shared" si="49"/>
        <v>0</v>
      </c>
      <c r="AB47" s="131">
        <f t="shared" si="50"/>
        <v>0</v>
      </c>
      <c r="AC47" s="131">
        <f t="shared" si="51"/>
        <v>0</v>
      </c>
      <c r="AD47" s="131">
        <f t="shared" si="52"/>
        <v>0</v>
      </c>
      <c r="AE47" s="131">
        <f t="shared" si="53"/>
        <v>0</v>
      </c>
      <c r="AF47" s="131">
        <f t="shared" si="54"/>
        <v>0</v>
      </c>
      <c r="AG47" s="131">
        <f t="shared" si="55"/>
        <v>0</v>
      </c>
      <c r="AH47" s="131">
        <f t="shared" si="56"/>
        <v>0</v>
      </c>
      <c r="AI47" s="115" t="s">
        <v>1288</v>
      </c>
      <c r="AJ47" s="131">
        <f t="shared" si="57"/>
        <v>0</v>
      </c>
      <c r="AK47" s="131">
        <f t="shared" si="58"/>
        <v>0</v>
      </c>
      <c r="AL47" s="131">
        <f t="shared" si="59"/>
        <v>0</v>
      </c>
      <c r="AN47" s="131">
        <v>21</v>
      </c>
      <c r="AO47" s="131">
        <f t="shared" si="60"/>
        <v>0</v>
      </c>
      <c r="AP47" s="131">
        <f t="shared" si="61"/>
        <v>0</v>
      </c>
      <c r="AQ47" s="132" t="s">
        <v>343</v>
      </c>
      <c r="AV47" s="131">
        <f t="shared" si="62"/>
        <v>0</v>
      </c>
      <c r="AW47" s="131">
        <f t="shared" si="63"/>
        <v>0</v>
      </c>
      <c r="AX47" s="131">
        <f t="shared" si="64"/>
        <v>0</v>
      </c>
      <c r="AY47" s="132" t="s">
        <v>344</v>
      </c>
      <c r="AZ47" s="132" t="s">
        <v>1355</v>
      </c>
      <c r="BA47" s="115" t="s">
        <v>1291</v>
      </c>
      <c r="BC47" s="131">
        <f t="shared" si="65"/>
        <v>0</v>
      </c>
      <c r="BD47" s="131">
        <f t="shared" si="66"/>
        <v>0</v>
      </c>
      <c r="BE47" s="131">
        <v>0</v>
      </c>
      <c r="BF47" s="131">
        <f>47</f>
        <v>47</v>
      </c>
      <c r="BH47" s="131">
        <f t="shared" si="67"/>
        <v>0</v>
      </c>
      <c r="BI47" s="131">
        <f t="shared" si="68"/>
        <v>0</v>
      </c>
      <c r="BJ47" s="131">
        <f t="shared" si="69"/>
        <v>0</v>
      </c>
      <c r="BK47" s="131"/>
      <c r="BL47" s="131"/>
      <c r="BW47" s="131">
        <v>21</v>
      </c>
      <c r="BX47" s="133" t="s">
        <v>1357</v>
      </c>
    </row>
    <row r="48" spans="1:76" x14ac:dyDescent="0.25">
      <c r="A48" s="134" t="s">
        <v>165</v>
      </c>
      <c r="B48" s="135" t="s">
        <v>1358</v>
      </c>
      <c r="C48" s="270" t="s">
        <v>1359</v>
      </c>
      <c r="D48" s="271"/>
      <c r="E48" s="135" t="s">
        <v>67</v>
      </c>
      <c r="F48" s="131">
        <v>1281</v>
      </c>
      <c r="G48" s="179">
        <v>0</v>
      </c>
      <c r="H48" s="131">
        <f t="shared" si="46"/>
        <v>0</v>
      </c>
      <c r="I48" s="131">
        <f t="shared" si="47"/>
        <v>0</v>
      </c>
      <c r="J48" s="131">
        <f t="shared" si="48"/>
        <v>0</v>
      </c>
      <c r="K48" s="136" t="s">
        <v>60</v>
      </c>
      <c r="Z48" s="131">
        <f t="shared" si="49"/>
        <v>0</v>
      </c>
      <c r="AB48" s="131">
        <f t="shared" si="50"/>
        <v>0</v>
      </c>
      <c r="AC48" s="131">
        <f t="shared" si="51"/>
        <v>0</v>
      </c>
      <c r="AD48" s="131">
        <f t="shared" si="52"/>
        <v>0</v>
      </c>
      <c r="AE48" s="131">
        <f t="shared" si="53"/>
        <v>0</v>
      </c>
      <c r="AF48" s="131">
        <f t="shared" si="54"/>
        <v>0</v>
      </c>
      <c r="AG48" s="131">
        <f t="shared" si="55"/>
        <v>0</v>
      </c>
      <c r="AH48" s="131">
        <f t="shared" si="56"/>
        <v>0</v>
      </c>
      <c r="AI48" s="115" t="s">
        <v>1288</v>
      </c>
      <c r="AJ48" s="131">
        <f t="shared" si="57"/>
        <v>0</v>
      </c>
      <c r="AK48" s="131">
        <f t="shared" si="58"/>
        <v>0</v>
      </c>
      <c r="AL48" s="131">
        <f t="shared" si="59"/>
        <v>0</v>
      </c>
      <c r="AN48" s="131">
        <v>21</v>
      </c>
      <c r="AO48" s="131">
        <f t="shared" si="60"/>
        <v>0</v>
      </c>
      <c r="AP48" s="131">
        <f t="shared" si="61"/>
        <v>0</v>
      </c>
      <c r="AQ48" s="132" t="s">
        <v>343</v>
      </c>
      <c r="AV48" s="131">
        <f t="shared" si="62"/>
        <v>0</v>
      </c>
      <c r="AW48" s="131">
        <f t="shared" si="63"/>
        <v>0</v>
      </c>
      <c r="AX48" s="131">
        <f t="shared" si="64"/>
        <v>0</v>
      </c>
      <c r="AY48" s="132" t="s">
        <v>344</v>
      </c>
      <c r="AZ48" s="132" t="s">
        <v>1355</v>
      </c>
      <c r="BA48" s="115" t="s">
        <v>1291</v>
      </c>
      <c r="BC48" s="131">
        <f t="shared" si="65"/>
        <v>0</v>
      </c>
      <c r="BD48" s="131">
        <f t="shared" si="66"/>
        <v>0</v>
      </c>
      <c r="BE48" s="131">
        <v>0</v>
      </c>
      <c r="BF48" s="131">
        <f>48</f>
        <v>48</v>
      </c>
      <c r="BH48" s="131">
        <f t="shared" si="67"/>
        <v>0</v>
      </c>
      <c r="BI48" s="131">
        <f t="shared" si="68"/>
        <v>0</v>
      </c>
      <c r="BJ48" s="131">
        <f t="shared" si="69"/>
        <v>0</v>
      </c>
      <c r="BK48" s="131"/>
      <c r="BL48" s="131"/>
      <c r="BW48" s="131">
        <v>21</v>
      </c>
      <c r="BX48" s="133" t="s">
        <v>1359</v>
      </c>
    </row>
    <row r="49" spans="1:76" x14ac:dyDescent="0.25">
      <c r="A49" s="134" t="s">
        <v>169</v>
      </c>
      <c r="B49" s="135" t="s">
        <v>1360</v>
      </c>
      <c r="C49" s="270" t="s">
        <v>1361</v>
      </c>
      <c r="D49" s="271"/>
      <c r="E49" s="135" t="s">
        <v>164</v>
      </c>
      <c r="F49" s="131">
        <v>43</v>
      </c>
      <c r="G49" s="179">
        <v>0</v>
      </c>
      <c r="H49" s="131">
        <f t="shared" si="46"/>
        <v>0</v>
      </c>
      <c r="I49" s="131">
        <f t="shared" si="47"/>
        <v>0</v>
      </c>
      <c r="J49" s="131">
        <f t="shared" si="48"/>
        <v>0</v>
      </c>
      <c r="K49" s="136" t="s">
        <v>60</v>
      </c>
      <c r="Z49" s="131">
        <f t="shared" si="49"/>
        <v>0</v>
      </c>
      <c r="AB49" s="131">
        <f t="shared" si="50"/>
        <v>0</v>
      </c>
      <c r="AC49" s="131">
        <f t="shared" si="51"/>
        <v>0</v>
      </c>
      <c r="AD49" s="131">
        <f t="shared" si="52"/>
        <v>0</v>
      </c>
      <c r="AE49" s="131">
        <f t="shared" si="53"/>
        <v>0</v>
      </c>
      <c r="AF49" s="131">
        <f t="shared" si="54"/>
        <v>0</v>
      </c>
      <c r="AG49" s="131">
        <f t="shared" si="55"/>
        <v>0</v>
      </c>
      <c r="AH49" s="131">
        <f t="shared" si="56"/>
        <v>0</v>
      </c>
      <c r="AI49" s="115" t="s">
        <v>1288</v>
      </c>
      <c r="AJ49" s="131">
        <f t="shared" si="57"/>
        <v>0</v>
      </c>
      <c r="AK49" s="131">
        <f t="shared" si="58"/>
        <v>0</v>
      </c>
      <c r="AL49" s="131">
        <f t="shared" si="59"/>
        <v>0</v>
      </c>
      <c r="AN49" s="131">
        <v>21</v>
      </c>
      <c r="AO49" s="131">
        <f t="shared" si="60"/>
        <v>0</v>
      </c>
      <c r="AP49" s="131">
        <f t="shared" si="61"/>
        <v>0</v>
      </c>
      <c r="AQ49" s="132" t="s">
        <v>343</v>
      </c>
      <c r="AV49" s="131">
        <f t="shared" si="62"/>
        <v>0</v>
      </c>
      <c r="AW49" s="131">
        <f t="shared" si="63"/>
        <v>0</v>
      </c>
      <c r="AX49" s="131">
        <f t="shared" si="64"/>
        <v>0</v>
      </c>
      <c r="AY49" s="132" t="s">
        <v>344</v>
      </c>
      <c r="AZ49" s="132" t="s">
        <v>1355</v>
      </c>
      <c r="BA49" s="115" t="s">
        <v>1291</v>
      </c>
      <c r="BC49" s="131">
        <f t="shared" si="65"/>
        <v>0</v>
      </c>
      <c r="BD49" s="131">
        <f t="shared" si="66"/>
        <v>0</v>
      </c>
      <c r="BE49" s="131">
        <v>0</v>
      </c>
      <c r="BF49" s="131">
        <f>49</f>
        <v>49</v>
      </c>
      <c r="BH49" s="131">
        <f t="shared" si="67"/>
        <v>0</v>
      </c>
      <c r="BI49" s="131">
        <f t="shared" si="68"/>
        <v>0</v>
      </c>
      <c r="BJ49" s="131">
        <f t="shared" si="69"/>
        <v>0</v>
      </c>
      <c r="BK49" s="131"/>
      <c r="BL49" s="131"/>
      <c r="BW49" s="131">
        <v>21</v>
      </c>
      <c r="BX49" s="133" t="s">
        <v>1361</v>
      </c>
    </row>
    <row r="50" spans="1:76" x14ac:dyDescent="0.25">
      <c r="A50" s="134" t="s">
        <v>174</v>
      </c>
      <c r="B50" s="135" t="s">
        <v>1362</v>
      </c>
      <c r="C50" s="270" t="s">
        <v>1363</v>
      </c>
      <c r="D50" s="271"/>
      <c r="E50" s="135" t="s">
        <v>408</v>
      </c>
      <c r="F50" s="131">
        <v>792.36</v>
      </c>
      <c r="G50" s="179">
        <v>0</v>
      </c>
      <c r="H50" s="131">
        <f t="shared" si="46"/>
        <v>0</v>
      </c>
      <c r="I50" s="131">
        <f t="shared" si="47"/>
        <v>0</v>
      </c>
      <c r="J50" s="131">
        <f t="shared" si="48"/>
        <v>0</v>
      </c>
      <c r="K50" s="136" t="s">
        <v>60</v>
      </c>
      <c r="Z50" s="131">
        <f t="shared" si="49"/>
        <v>0</v>
      </c>
      <c r="AB50" s="131">
        <f t="shared" si="50"/>
        <v>0</v>
      </c>
      <c r="AC50" s="131">
        <f t="shared" si="51"/>
        <v>0</v>
      </c>
      <c r="AD50" s="131">
        <f t="shared" si="52"/>
        <v>0</v>
      </c>
      <c r="AE50" s="131">
        <f t="shared" si="53"/>
        <v>0</v>
      </c>
      <c r="AF50" s="131">
        <f t="shared" si="54"/>
        <v>0</v>
      </c>
      <c r="AG50" s="131">
        <f t="shared" si="55"/>
        <v>0</v>
      </c>
      <c r="AH50" s="131">
        <f t="shared" si="56"/>
        <v>0</v>
      </c>
      <c r="AI50" s="115" t="s">
        <v>1288</v>
      </c>
      <c r="AJ50" s="131">
        <f t="shared" si="57"/>
        <v>0</v>
      </c>
      <c r="AK50" s="131">
        <f t="shared" si="58"/>
        <v>0</v>
      </c>
      <c r="AL50" s="131">
        <f t="shared" si="59"/>
        <v>0</v>
      </c>
      <c r="AN50" s="131">
        <v>21</v>
      </c>
      <c r="AO50" s="131">
        <f t="shared" si="60"/>
        <v>0</v>
      </c>
      <c r="AP50" s="131">
        <f t="shared" si="61"/>
        <v>0</v>
      </c>
      <c r="AQ50" s="132" t="s">
        <v>343</v>
      </c>
      <c r="AV50" s="131">
        <f t="shared" si="62"/>
        <v>0</v>
      </c>
      <c r="AW50" s="131">
        <f t="shared" si="63"/>
        <v>0</v>
      </c>
      <c r="AX50" s="131">
        <f t="shared" si="64"/>
        <v>0</v>
      </c>
      <c r="AY50" s="132" t="s">
        <v>344</v>
      </c>
      <c r="AZ50" s="132" t="s">
        <v>1355</v>
      </c>
      <c r="BA50" s="115" t="s">
        <v>1291</v>
      </c>
      <c r="BC50" s="131">
        <f t="shared" si="65"/>
        <v>0</v>
      </c>
      <c r="BD50" s="131">
        <f t="shared" si="66"/>
        <v>0</v>
      </c>
      <c r="BE50" s="131">
        <v>0</v>
      </c>
      <c r="BF50" s="131">
        <f>50</f>
        <v>50</v>
      </c>
      <c r="BH50" s="131">
        <f t="shared" si="67"/>
        <v>0</v>
      </c>
      <c r="BI50" s="131">
        <f t="shared" si="68"/>
        <v>0</v>
      </c>
      <c r="BJ50" s="131">
        <f t="shared" si="69"/>
        <v>0</v>
      </c>
      <c r="BK50" s="131"/>
      <c r="BL50" s="131"/>
      <c r="BW50" s="131">
        <v>21</v>
      </c>
      <c r="BX50" s="133" t="s">
        <v>1363</v>
      </c>
    </row>
    <row r="51" spans="1:76" x14ac:dyDescent="0.25">
      <c r="A51" s="134" t="s">
        <v>148</v>
      </c>
      <c r="B51" s="135" t="s">
        <v>1364</v>
      </c>
      <c r="C51" s="270" t="s">
        <v>1365</v>
      </c>
      <c r="D51" s="271"/>
      <c r="E51" s="135" t="s">
        <v>164</v>
      </c>
      <c r="F51" s="131">
        <v>5</v>
      </c>
      <c r="G51" s="179">
        <v>0</v>
      </c>
      <c r="H51" s="131">
        <f t="shared" si="46"/>
        <v>0</v>
      </c>
      <c r="I51" s="131">
        <f t="shared" si="47"/>
        <v>0</v>
      </c>
      <c r="J51" s="131">
        <f t="shared" si="48"/>
        <v>0</v>
      </c>
      <c r="K51" s="136" t="s">
        <v>60</v>
      </c>
      <c r="Z51" s="131">
        <f t="shared" si="49"/>
        <v>0</v>
      </c>
      <c r="AB51" s="131">
        <f t="shared" si="50"/>
        <v>0</v>
      </c>
      <c r="AC51" s="131">
        <f t="shared" si="51"/>
        <v>0</v>
      </c>
      <c r="AD51" s="131">
        <f t="shared" si="52"/>
        <v>0</v>
      </c>
      <c r="AE51" s="131">
        <f t="shared" si="53"/>
        <v>0</v>
      </c>
      <c r="AF51" s="131">
        <f t="shared" si="54"/>
        <v>0</v>
      </c>
      <c r="AG51" s="131">
        <f t="shared" si="55"/>
        <v>0</v>
      </c>
      <c r="AH51" s="131">
        <f t="shared" si="56"/>
        <v>0</v>
      </c>
      <c r="AI51" s="115" t="s">
        <v>1288</v>
      </c>
      <c r="AJ51" s="131">
        <f t="shared" si="57"/>
        <v>0</v>
      </c>
      <c r="AK51" s="131">
        <f t="shared" si="58"/>
        <v>0</v>
      </c>
      <c r="AL51" s="131">
        <f t="shared" si="59"/>
        <v>0</v>
      </c>
      <c r="AN51" s="131">
        <v>21</v>
      </c>
      <c r="AO51" s="131">
        <f t="shared" si="60"/>
        <v>0</v>
      </c>
      <c r="AP51" s="131">
        <f t="shared" si="61"/>
        <v>0</v>
      </c>
      <c r="AQ51" s="132" t="s">
        <v>343</v>
      </c>
      <c r="AV51" s="131">
        <f t="shared" si="62"/>
        <v>0</v>
      </c>
      <c r="AW51" s="131">
        <f t="shared" si="63"/>
        <v>0</v>
      </c>
      <c r="AX51" s="131">
        <f t="shared" si="64"/>
        <v>0</v>
      </c>
      <c r="AY51" s="132" t="s">
        <v>344</v>
      </c>
      <c r="AZ51" s="132" t="s">
        <v>1355</v>
      </c>
      <c r="BA51" s="115" t="s">
        <v>1291</v>
      </c>
      <c r="BC51" s="131">
        <f t="shared" si="65"/>
        <v>0</v>
      </c>
      <c r="BD51" s="131">
        <f t="shared" si="66"/>
        <v>0</v>
      </c>
      <c r="BE51" s="131">
        <v>0</v>
      </c>
      <c r="BF51" s="131">
        <f>51</f>
        <v>51</v>
      </c>
      <c r="BH51" s="131">
        <f t="shared" si="67"/>
        <v>0</v>
      </c>
      <c r="BI51" s="131">
        <f t="shared" si="68"/>
        <v>0</v>
      </c>
      <c r="BJ51" s="131">
        <f t="shared" si="69"/>
        <v>0</v>
      </c>
      <c r="BK51" s="131"/>
      <c r="BL51" s="131"/>
      <c r="BW51" s="131">
        <v>21</v>
      </c>
      <c r="BX51" s="133" t="s">
        <v>1365</v>
      </c>
    </row>
    <row r="52" spans="1:76" x14ac:dyDescent="0.25">
      <c r="A52" s="134" t="s">
        <v>183</v>
      </c>
      <c r="B52" s="135" t="s">
        <v>1366</v>
      </c>
      <c r="C52" s="270" t="s">
        <v>1367</v>
      </c>
      <c r="D52" s="271"/>
      <c r="E52" s="135" t="s">
        <v>164</v>
      </c>
      <c r="F52" s="131">
        <v>37</v>
      </c>
      <c r="G52" s="179">
        <v>0</v>
      </c>
      <c r="H52" s="131">
        <f t="shared" si="46"/>
        <v>0</v>
      </c>
      <c r="I52" s="131">
        <f t="shared" si="47"/>
        <v>0</v>
      </c>
      <c r="J52" s="131">
        <f t="shared" si="48"/>
        <v>0</v>
      </c>
      <c r="K52" s="136" t="s">
        <v>60</v>
      </c>
      <c r="Z52" s="131">
        <f t="shared" si="49"/>
        <v>0</v>
      </c>
      <c r="AB52" s="131">
        <f t="shared" si="50"/>
        <v>0</v>
      </c>
      <c r="AC52" s="131">
        <f t="shared" si="51"/>
        <v>0</v>
      </c>
      <c r="AD52" s="131">
        <f t="shared" si="52"/>
        <v>0</v>
      </c>
      <c r="AE52" s="131">
        <f t="shared" si="53"/>
        <v>0</v>
      </c>
      <c r="AF52" s="131">
        <f t="shared" si="54"/>
        <v>0</v>
      </c>
      <c r="AG52" s="131">
        <f t="shared" si="55"/>
        <v>0</v>
      </c>
      <c r="AH52" s="131">
        <f t="shared" si="56"/>
        <v>0</v>
      </c>
      <c r="AI52" s="115" t="s">
        <v>1288</v>
      </c>
      <c r="AJ52" s="131">
        <f t="shared" si="57"/>
        <v>0</v>
      </c>
      <c r="AK52" s="131">
        <f t="shared" si="58"/>
        <v>0</v>
      </c>
      <c r="AL52" s="131">
        <f t="shared" si="59"/>
        <v>0</v>
      </c>
      <c r="AN52" s="131">
        <v>21</v>
      </c>
      <c r="AO52" s="131">
        <f t="shared" si="60"/>
        <v>0</v>
      </c>
      <c r="AP52" s="131">
        <f t="shared" si="61"/>
        <v>0</v>
      </c>
      <c r="AQ52" s="132" t="s">
        <v>343</v>
      </c>
      <c r="AV52" s="131">
        <f t="shared" si="62"/>
        <v>0</v>
      </c>
      <c r="AW52" s="131">
        <f t="shared" si="63"/>
        <v>0</v>
      </c>
      <c r="AX52" s="131">
        <f t="shared" si="64"/>
        <v>0</v>
      </c>
      <c r="AY52" s="132" t="s">
        <v>344</v>
      </c>
      <c r="AZ52" s="132" t="s">
        <v>1355</v>
      </c>
      <c r="BA52" s="115" t="s">
        <v>1291</v>
      </c>
      <c r="BC52" s="131">
        <f t="shared" si="65"/>
        <v>0</v>
      </c>
      <c r="BD52" s="131">
        <f t="shared" si="66"/>
        <v>0</v>
      </c>
      <c r="BE52" s="131">
        <v>0</v>
      </c>
      <c r="BF52" s="131">
        <f>52</f>
        <v>52</v>
      </c>
      <c r="BH52" s="131">
        <f t="shared" si="67"/>
        <v>0</v>
      </c>
      <c r="BI52" s="131">
        <f t="shared" si="68"/>
        <v>0</v>
      </c>
      <c r="BJ52" s="131">
        <f t="shared" si="69"/>
        <v>0</v>
      </c>
      <c r="BK52" s="131"/>
      <c r="BL52" s="131"/>
      <c r="BW52" s="131">
        <v>21</v>
      </c>
      <c r="BX52" s="133" t="s">
        <v>1367</v>
      </c>
    </row>
    <row r="53" spans="1:76" x14ac:dyDescent="0.25">
      <c r="A53" s="134" t="s">
        <v>186</v>
      </c>
      <c r="B53" s="135" t="s">
        <v>1368</v>
      </c>
      <c r="C53" s="270" t="s">
        <v>1369</v>
      </c>
      <c r="D53" s="271"/>
      <c r="E53" s="135" t="s">
        <v>164</v>
      </c>
      <c r="F53" s="131">
        <v>1</v>
      </c>
      <c r="G53" s="179">
        <v>0</v>
      </c>
      <c r="H53" s="131">
        <f t="shared" si="46"/>
        <v>0</v>
      </c>
      <c r="I53" s="131">
        <f t="shared" si="47"/>
        <v>0</v>
      </c>
      <c r="J53" s="131">
        <f t="shared" si="48"/>
        <v>0</v>
      </c>
      <c r="K53" s="136" t="s">
        <v>60</v>
      </c>
      <c r="Z53" s="131">
        <f t="shared" si="49"/>
        <v>0</v>
      </c>
      <c r="AB53" s="131">
        <f t="shared" si="50"/>
        <v>0</v>
      </c>
      <c r="AC53" s="131">
        <f t="shared" si="51"/>
        <v>0</v>
      </c>
      <c r="AD53" s="131">
        <f t="shared" si="52"/>
        <v>0</v>
      </c>
      <c r="AE53" s="131">
        <f t="shared" si="53"/>
        <v>0</v>
      </c>
      <c r="AF53" s="131">
        <f t="shared" si="54"/>
        <v>0</v>
      </c>
      <c r="AG53" s="131">
        <f t="shared" si="55"/>
        <v>0</v>
      </c>
      <c r="AH53" s="131">
        <f t="shared" si="56"/>
        <v>0</v>
      </c>
      <c r="AI53" s="115" t="s">
        <v>1288</v>
      </c>
      <c r="AJ53" s="131">
        <f t="shared" si="57"/>
        <v>0</v>
      </c>
      <c r="AK53" s="131">
        <f t="shared" si="58"/>
        <v>0</v>
      </c>
      <c r="AL53" s="131">
        <f t="shared" si="59"/>
        <v>0</v>
      </c>
      <c r="AN53" s="131">
        <v>21</v>
      </c>
      <c r="AO53" s="131">
        <f t="shared" si="60"/>
        <v>0</v>
      </c>
      <c r="AP53" s="131">
        <f t="shared" si="61"/>
        <v>0</v>
      </c>
      <c r="AQ53" s="132" t="s">
        <v>343</v>
      </c>
      <c r="AV53" s="131">
        <f t="shared" si="62"/>
        <v>0</v>
      </c>
      <c r="AW53" s="131">
        <f t="shared" si="63"/>
        <v>0</v>
      </c>
      <c r="AX53" s="131">
        <f t="shared" si="64"/>
        <v>0</v>
      </c>
      <c r="AY53" s="132" t="s">
        <v>344</v>
      </c>
      <c r="AZ53" s="132" t="s">
        <v>1355</v>
      </c>
      <c r="BA53" s="115" t="s">
        <v>1291</v>
      </c>
      <c r="BC53" s="131">
        <f t="shared" si="65"/>
        <v>0</v>
      </c>
      <c r="BD53" s="131">
        <f t="shared" si="66"/>
        <v>0</v>
      </c>
      <c r="BE53" s="131">
        <v>0</v>
      </c>
      <c r="BF53" s="131">
        <f>53</f>
        <v>53</v>
      </c>
      <c r="BH53" s="131">
        <f t="shared" si="67"/>
        <v>0</v>
      </c>
      <c r="BI53" s="131">
        <f t="shared" si="68"/>
        <v>0</v>
      </c>
      <c r="BJ53" s="131">
        <f t="shared" si="69"/>
        <v>0</v>
      </c>
      <c r="BK53" s="131"/>
      <c r="BL53" s="131"/>
      <c r="BW53" s="131">
        <v>21</v>
      </c>
      <c r="BX53" s="133" t="s">
        <v>1369</v>
      </c>
    </row>
    <row r="54" spans="1:76" x14ac:dyDescent="0.25">
      <c r="A54" s="134" t="s">
        <v>189</v>
      </c>
      <c r="B54" s="135" t="s">
        <v>1370</v>
      </c>
      <c r="C54" s="270" t="s">
        <v>1371</v>
      </c>
      <c r="D54" s="271"/>
      <c r="E54" s="135" t="s">
        <v>164</v>
      </c>
      <c r="F54" s="131">
        <v>43</v>
      </c>
      <c r="G54" s="179">
        <v>0</v>
      </c>
      <c r="H54" s="131">
        <f t="shared" si="46"/>
        <v>0</v>
      </c>
      <c r="I54" s="131">
        <f t="shared" si="47"/>
        <v>0</v>
      </c>
      <c r="J54" s="131">
        <f t="shared" si="48"/>
        <v>0</v>
      </c>
      <c r="K54" s="136" t="s">
        <v>60</v>
      </c>
      <c r="Z54" s="131">
        <f t="shared" si="49"/>
        <v>0</v>
      </c>
      <c r="AB54" s="131">
        <f t="shared" si="50"/>
        <v>0</v>
      </c>
      <c r="AC54" s="131">
        <f t="shared" si="51"/>
        <v>0</v>
      </c>
      <c r="AD54" s="131">
        <f t="shared" si="52"/>
        <v>0</v>
      </c>
      <c r="AE54" s="131">
        <f t="shared" si="53"/>
        <v>0</v>
      </c>
      <c r="AF54" s="131">
        <f t="shared" si="54"/>
        <v>0</v>
      </c>
      <c r="AG54" s="131">
        <f t="shared" si="55"/>
        <v>0</v>
      </c>
      <c r="AH54" s="131">
        <f t="shared" si="56"/>
        <v>0</v>
      </c>
      <c r="AI54" s="115" t="s">
        <v>1288</v>
      </c>
      <c r="AJ54" s="131">
        <f t="shared" si="57"/>
        <v>0</v>
      </c>
      <c r="AK54" s="131">
        <f t="shared" si="58"/>
        <v>0</v>
      </c>
      <c r="AL54" s="131">
        <f t="shared" si="59"/>
        <v>0</v>
      </c>
      <c r="AN54" s="131">
        <v>21</v>
      </c>
      <c r="AO54" s="131">
        <f t="shared" si="60"/>
        <v>0</v>
      </c>
      <c r="AP54" s="131">
        <f t="shared" si="61"/>
        <v>0</v>
      </c>
      <c r="AQ54" s="132" t="s">
        <v>343</v>
      </c>
      <c r="AV54" s="131">
        <f t="shared" si="62"/>
        <v>0</v>
      </c>
      <c r="AW54" s="131">
        <f t="shared" si="63"/>
        <v>0</v>
      </c>
      <c r="AX54" s="131">
        <f t="shared" si="64"/>
        <v>0</v>
      </c>
      <c r="AY54" s="132" t="s">
        <v>344</v>
      </c>
      <c r="AZ54" s="132" t="s">
        <v>1355</v>
      </c>
      <c r="BA54" s="115" t="s">
        <v>1291</v>
      </c>
      <c r="BC54" s="131">
        <f t="shared" si="65"/>
        <v>0</v>
      </c>
      <c r="BD54" s="131">
        <f t="shared" si="66"/>
        <v>0</v>
      </c>
      <c r="BE54" s="131">
        <v>0</v>
      </c>
      <c r="BF54" s="131">
        <f>54</f>
        <v>54</v>
      </c>
      <c r="BH54" s="131">
        <f t="shared" si="67"/>
        <v>0</v>
      </c>
      <c r="BI54" s="131">
        <f t="shared" si="68"/>
        <v>0</v>
      </c>
      <c r="BJ54" s="131">
        <f t="shared" si="69"/>
        <v>0</v>
      </c>
      <c r="BK54" s="131"/>
      <c r="BL54" s="131"/>
      <c r="BW54" s="131">
        <v>21</v>
      </c>
      <c r="BX54" s="133" t="s">
        <v>1371</v>
      </c>
    </row>
    <row r="55" spans="1:76" x14ac:dyDescent="0.25">
      <c r="A55" s="134" t="s">
        <v>191</v>
      </c>
      <c r="B55" s="135" t="s">
        <v>1372</v>
      </c>
      <c r="C55" s="270" t="s">
        <v>1373</v>
      </c>
      <c r="D55" s="271"/>
      <c r="E55" s="135" t="s">
        <v>164</v>
      </c>
      <c r="F55" s="131">
        <v>7</v>
      </c>
      <c r="G55" s="179">
        <v>0</v>
      </c>
      <c r="H55" s="131">
        <f t="shared" si="46"/>
        <v>0</v>
      </c>
      <c r="I55" s="131">
        <f t="shared" si="47"/>
        <v>0</v>
      </c>
      <c r="J55" s="131">
        <f t="shared" si="48"/>
        <v>0</v>
      </c>
      <c r="K55" s="136" t="s">
        <v>60</v>
      </c>
      <c r="Z55" s="131">
        <f t="shared" si="49"/>
        <v>0</v>
      </c>
      <c r="AB55" s="131">
        <f t="shared" si="50"/>
        <v>0</v>
      </c>
      <c r="AC55" s="131">
        <f t="shared" si="51"/>
        <v>0</v>
      </c>
      <c r="AD55" s="131">
        <f t="shared" si="52"/>
        <v>0</v>
      </c>
      <c r="AE55" s="131">
        <f t="shared" si="53"/>
        <v>0</v>
      </c>
      <c r="AF55" s="131">
        <f t="shared" si="54"/>
        <v>0</v>
      </c>
      <c r="AG55" s="131">
        <f t="shared" si="55"/>
        <v>0</v>
      </c>
      <c r="AH55" s="131">
        <f t="shared" si="56"/>
        <v>0</v>
      </c>
      <c r="AI55" s="115" t="s">
        <v>1288</v>
      </c>
      <c r="AJ55" s="131">
        <f t="shared" si="57"/>
        <v>0</v>
      </c>
      <c r="AK55" s="131">
        <f t="shared" si="58"/>
        <v>0</v>
      </c>
      <c r="AL55" s="131">
        <f t="shared" si="59"/>
        <v>0</v>
      </c>
      <c r="AN55" s="131">
        <v>21</v>
      </c>
      <c r="AO55" s="131">
        <f t="shared" si="60"/>
        <v>0</v>
      </c>
      <c r="AP55" s="131">
        <f t="shared" si="61"/>
        <v>0</v>
      </c>
      <c r="AQ55" s="132" t="s">
        <v>343</v>
      </c>
      <c r="AV55" s="131">
        <f t="shared" si="62"/>
        <v>0</v>
      </c>
      <c r="AW55" s="131">
        <f t="shared" si="63"/>
        <v>0</v>
      </c>
      <c r="AX55" s="131">
        <f t="shared" si="64"/>
        <v>0</v>
      </c>
      <c r="AY55" s="132" t="s">
        <v>344</v>
      </c>
      <c r="AZ55" s="132" t="s">
        <v>1355</v>
      </c>
      <c r="BA55" s="115" t="s">
        <v>1291</v>
      </c>
      <c r="BC55" s="131">
        <f t="shared" si="65"/>
        <v>0</v>
      </c>
      <c r="BD55" s="131">
        <f t="shared" si="66"/>
        <v>0</v>
      </c>
      <c r="BE55" s="131">
        <v>0</v>
      </c>
      <c r="BF55" s="131">
        <f>55</f>
        <v>55</v>
      </c>
      <c r="BH55" s="131">
        <f t="shared" si="67"/>
        <v>0</v>
      </c>
      <c r="BI55" s="131">
        <f t="shared" si="68"/>
        <v>0</v>
      </c>
      <c r="BJ55" s="131">
        <f t="shared" si="69"/>
        <v>0</v>
      </c>
      <c r="BK55" s="131"/>
      <c r="BL55" s="131"/>
      <c r="BW55" s="131">
        <v>21</v>
      </c>
      <c r="BX55" s="133" t="s">
        <v>1373</v>
      </c>
    </row>
    <row r="56" spans="1:76" x14ac:dyDescent="0.25">
      <c r="A56" s="134" t="s">
        <v>194</v>
      </c>
      <c r="B56" s="135" t="s">
        <v>1372</v>
      </c>
      <c r="C56" s="270" t="s">
        <v>1374</v>
      </c>
      <c r="D56" s="271"/>
      <c r="E56" s="135" t="s">
        <v>164</v>
      </c>
      <c r="F56" s="131">
        <v>38</v>
      </c>
      <c r="G56" s="179">
        <v>0</v>
      </c>
      <c r="H56" s="131">
        <f t="shared" si="46"/>
        <v>0</v>
      </c>
      <c r="I56" s="131">
        <f t="shared" si="47"/>
        <v>0</v>
      </c>
      <c r="J56" s="131">
        <f t="shared" si="48"/>
        <v>0</v>
      </c>
      <c r="K56" s="136" t="s">
        <v>60</v>
      </c>
      <c r="Z56" s="131">
        <f t="shared" si="49"/>
        <v>0</v>
      </c>
      <c r="AB56" s="131">
        <f t="shared" si="50"/>
        <v>0</v>
      </c>
      <c r="AC56" s="131">
        <f t="shared" si="51"/>
        <v>0</v>
      </c>
      <c r="AD56" s="131">
        <f t="shared" si="52"/>
        <v>0</v>
      </c>
      <c r="AE56" s="131">
        <f t="shared" si="53"/>
        <v>0</v>
      </c>
      <c r="AF56" s="131">
        <f t="shared" si="54"/>
        <v>0</v>
      </c>
      <c r="AG56" s="131">
        <f t="shared" si="55"/>
        <v>0</v>
      </c>
      <c r="AH56" s="131">
        <f t="shared" si="56"/>
        <v>0</v>
      </c>
      <c r="AI56" s="115" t="s">
        <v>1288</v>
      </c>
      <c r="AJ56" s="131">
        <f t="shared" si="57"/>
        <v>0</v>
      </c>
      <c r="AK56" s="131">
        <f t="shared" si="58"/>
        <v>0</v>
      </c>
      <c r="AL56" s="131">
        <f t="shared" si="59"/>
        <v>0</v>
      </c>
      <c r="AN56" s="131">
        <v>21</v>
      </c>
      <c r="AO56" s="131">
        <f t="shared" si="60"/>
        <v>0</v>
      </c>
      <c r="AP56" s="131">
        <f t="shared" si="61"/>
        <v>0</v>
      </c>
      <c r="AQ56" s="132" t="s">
        <v>343</v>
      </c>
      <c r="AV56" s="131">
        <f t="shared" si="62"/>
        <v>0</v>
      </c>
      <c r="AW56" s="131">
        <f t="shared" si="63"/>
        <v>0</v>
      </c>
      <c r="AX56" s="131">
        <f t="shared" si="64"/>
        <v>0</v>
      </c>
      <c r="AY56" s="132" t="s">
        <v>344</v>
      </c>
      <c r="AZ56" s="132" t="s">
        <v>1355</v>
      </c>
      <c r="BA56" s="115" t="s">
        <v>1291</v>
      </c>
      <c r="BC56" s="131">
        <f t="shared" si="65"/>
        <v>0</v>
      </c>
      <c r="BD56" s="131">
        <f t="shared" si="66"/>
        <v>0</v>
      </c>
      <c r="BE56" s="131">
        <v>0</v>
      </c>
      <c r="BF56" s="131">
        <f>56</f>
        <v>56</v>
      </c>
      <c r="BH56" s="131">
        <f t="shared" si="67"/>
        <v>0</v>
      </c>
      <c r="BI56" s="131">
        <f t="shared" si="68"/>
        <v>0</v>
      </c>
      <c r="BJ56" s="131">
        <f t="shared" si="69"/>
        <v>0</v>
      </c>
      <c r="BK56" s="131"/>
      <c r="BL56" s="131"/>
      <c r="BW56" s="131">
        <v>21</v>
      </c>
      <c r="BX56" s="133" t="s">
        <v>1374</v>
      </c>
    </row>
    <row r="57" spans="1:76" x14ac:dyDescent="0.25">
      <c r="A57" s="134" t="s">
        <v>197</v>
      </c>
      <c r="B57" s="135" t="s">
        <v>1375</v>
      </c>
      <c r="C57" s="270" t="s">
        <v>1376</v>
      </c>
      <c r="D57" s="271"/>
      <c r="E57" s="135" t="s">
        <v>164</v>
      </c>
      <c r="F57" s="131">
        <v>6</v>
      </c>
      <c r="G57" s="179">
        <v>0</v>
      </c>
      <c r="H57" s="131">
        <f t="shared" si="46"/>
        <v>0</v>
      </c>
      <c r="I57" s="131">
        <f t="shared" si="47"/>
        <v>0</v>
      </c>
      <c r="J57" s="131">
        <f t="shared" si="48"/>
        <v>0</v>
      </c>
      <c r="K57" s="136" t="s">
        <v>60</v>
      </c>
      <c r="Z57" s="131">
        <f t="shared" si="49"/>
        <v>0</v>
      </c>
      <c r="AB57" s="131">
        <f t="shared" si="50"/>
        <v>0</v>
      </c>
      <c r="AC57" s="131">
        <f t="shared" si="51"/>
        <v>0</v>
      </c>
      <c r="AD57" s="131">
        <f t="shared" si="52"/>
        <v>0</v>
      </c>
      <c r="AE57" s="131">
        <f t="shared" si="53"/>
        <v>0</v>
      </c>
      <c r="AF57" s="131">
        <f t="shared" si="54"/>
        <v>0</v>
      </c>
      <c r="AG57" s="131">
        <f t="shared" si="55"/>
        <v>0</v>
      </c>
      <c r="AH57" s="131">
        <f t="shared" si="56"/>
        <v>0</v>
      </c>
      <c r="AI57" s="115" t="s">
        <v>1288</v>
      </c>
      <c r="AJ57" s="131">
        <f t="shared" si="57"/>
        <v>0</v>
      </c>
      <c r="AK57" s="131">
        <f t="shared" si="58"/>
        <v>0</v>
      </c>
      <c r="AL57" s="131">
        <f t="shared" si="59"/>
        <v>0</v>
      </c>
      <c r="AN57" s="131">
        <v>21</v>
      </c>
      <c r="AO57" s="131">
        <f t="shared" si="60"/>
        <v>0</v>
      </c>
      <c r="AP57" s="131">
        <f t="shared" si="61"/>
        <v>0</v>
      </c>
      <c r="AQ57" s="132" t="s">
        <v>343</v>
      </c>
      <c r="AV57" s="131">
        <f t="shared" si="62"/>
        <v>0</v>
      </c>
      <c r="AW57" s="131">
        <f t="shared" si="63"/>
        <v>0</v>
      </c>
      <c r="AX57" s="131">
        <f t="shared" si="64"/>
        <v>0</v>
      </c>
      <c r="AY57" s="132" t="s">
        <v>344</v>
      </c>
      <c r="AZ57" s="132" t="s">
        <v>1355</v>
      </c>
      <c r="BA57" s="115" t="s">
        <v>1291</v>
      </c>
      <c r="BC57" s="131">
        <f t="shared" si="65"/>
        <v>0</v>
      </c>
      <c r="BD57" s="131">
        <f t="shared" si="66"/>
        <v>0</v>
      </c>
      <c r="BE57" s="131">
        <v>0</v>
      </c>
      <c r="BF57" s="131">
        <f>57</f>
        <v>57</v>
      </c>
      <c r="BH57" s="131">
        <f t="shared" si="67"/>
        <v>0</v>
      </c>
      <c r="BI57" s="131">
        <f t="shared" si="68"/>
        <v>0</v>
      </c>
      <c r="BJ57" s="131">
        <f t="shared" si="69"/>
        <v>0</v>
      </c>
      <c r="BK57" s="131"/>
      <c r="BL57" s="131"/>
      <c r="BW57" s="131">
        <v>21</v>
      </c>
      <c r="BX57" s="133" t="s">
        <v>1376</v>
      </c>
    </row>
    <row r="58" spans="1:76" x14ac:dyDescent="0.25">
      <c r="A58" s="134" t="s">
        <v>199</v>
      </c>
      <c r="B58" s="135" t="s">
        <v>1377</v>
      </c>
      <c r="C58" s="270" t="s">
        <v>1378</v>
      </c>
      <c r="D58" s="271"/>
      <c r="E58" s="135" t="s">
        <v>164</v>
      </c>
      <c r="F58" s="131">
        <v>1</v>
      </c>
      <c r="G58" s="179">
        <v>0</v>
      </c>
      <c r="H58" s="131">
        <f t="shared" si="46"/>
        <v>0</v>
      </c>
      <c r="I58" s="131">
        <f t="shared" si="47"/>
        <v>0</v>
      </c>
      <c r="J58" s="131">
        <f t="shared" si="48"/>
        <v>0</v>
      </c>
      <c r="K58" s="136" t="s">
        <v>60</v>
      </c>
      <c r="Z58" s="131">
        <f t="shared" si="49"/>
        <v>0</v>
      </c>
      <c r="AB58" s="131">
        <f t="shared" si="50"/>
        <v>0</v>
      </c>
      <c r="AC58" s="131">
        <f t="shared" si="51"/>
        <v>0</v>
      </c>
      <c r="AD58" s="131">
        <f t="shared" si="52"/>
        <v>0</v>
      </c>
      <c r="AE58" s="131">
        <f t="shared" si="53"/>
        <v>0</v>
      </c>
      <c r="AF58" s="131">
        <f t="shared" si="54"/>
        <v>0</v>
      </c>
      <c r="AG58" s="131">
        <f t="shared" si="55"/>
        <v>0</v>
      </c>
      <c r="AH58" s="131">
        <f t="shared" si="56"/>
        <v>0</v>
      </c>
      <c r="AI58" s="115" t="s">
        <v>1288</v>
      </c>
      <c r="AJ58" s="131">
        <f t="shared" si="57"/>
        <v>0</v>
      </c>
      <c r="AK58" s="131">
        <f t="shared" si="58"/>
        <v>0</v>
      </c>
      <c r="AL58" s="131">
        <f t="shared" si="59"/>
        <v>0</v>
      </c>
      <c r="AN58" s="131">
        <v>21</v>
      </c>
      <c r="AO58" s="131">
        <f t="shared" si="60"/>
        <v>0</v>
      </c>
      <c r="AP58" s="131">
        <f t="shared" si="61"/>
        <v>0</v>
      </c>
      <c r="AQ58" s="132" t="s">
        <v>343</v>
      </c>
      <c r="AV58" s="131">
        <f t="shared" si="62"/>
        <v>0</v>
      </c>
      <c r="AW58" s="131">
        <f t="shared" si="63"/>
        <v>0</v>
      </c>
      <c r="AX58" s="131">
        <f t="shared" si="64"/>
        <v>0</v>
      </c>
      <c r="AY58" s="132" t="s">
        <v>344</v>
      </c>
      <c r="AZ58" s="132" t="s">
        <v>1355</v>
      </c>
      <c r="BA58" s="115" t="s">
        <v>1291</v>
      </c>
      <c r="BC58" s="131">
        <f t="shared" si="65"/>
        <v>0</v>
      </c>
      <c r="BD58" s="131">
        <f t="shared" si="66"/>
        <v>0</v>
      </c>
      <c r="BE58" s="131">
        <v>0</v>
      </c>
      <c r="BF58" s="131">
        <f>58</f>
        <v>58</v>
      </c>
      <c r="BH58" s="131">
        <f t="shared" si="67"/>
        <v>0</v>
      </c>
      <c r="BI58" s="131">
        <f t="shared" si="68"/>
        <v>0</v>
      </c>
      <c r="BJ58" s="131">
        <f t="shared" si="69"/>
        <v>0</v>
      </c>
      <c r="BK58" s="131"/>
      <c r="BL58" s="131"/>
      <c r="BW58" s="131">
        <v>21</v>
      </c>
      <c r="BX58" s="133" t="s">
        <v>1378</v>
      </c>
    </row>
    <row r="59" spans="1:76" x14ac:dyDescent="0.25">
      <c r="A59" s="134" t="s">
        <v>201</v>
      </c>
      <c r="B59" s="135" t="s">
        <v>1379</v>
      </c>
      <c r="C59" s="270" t="s">
        <v>1380</v>
      </c>
      <c r="D59" s="271"/>
      <c r="E59" s="135" t="s">
        <v>164</v>
      </c>
      <c r="F59" s="131">
        <v>6</v>
      </c>
      <c r="G59" s="179">
        <v>0</v>
      </c>
      <c r="H59" s="131">
        <f t="shared" si="46"/>
        <v>0</v>
      </c>
      <c r="I59" s="131">
        <f t="shared" si="47"/>
        <v>0</v>
      </c>
      <c r="J59" s="131">
        <f t="shared" si="48"/>
        <v>0</v>
      </c>
      <c r="K59" s="136" t="s">
        <v>60</v>
      </c>
      <c r="Z59" s="131">
        <f t="shared" si="49"/>
        <v>0</v>
      </c>
      <c r="AB59" s="131">
        <f t="shared" si="50"/>
        <v>0</v>
      </c>
      <c r="AC59" s="131">
        <f t="shared" si="51"/>
        <v>0</v>
      </c>
      <c r="AD59" s="131">
        <f t="shared" si="52"/>
        <v>0</v>
      </c>
      <c r="AE59" s="131">
        <f t="shared" si="53"/>
        <v>0</v>
      </c>
      <c r="AF59" s="131">
        <f t="shared" si="54"/>
        <v>0</v>
      </c>
      <c r="AG59" s="131">
        <f t="shared" si="55"/>
        <v>0</v>
      </c>
      <c r="AH59" s="131">
        <f t="shared" si="56"/>
        <v>0</v>
      </c>
      <c r="AI59" s="115" t="s">
        <v>1288</v>
      </c>
      <c r="AJ59" s="131">
        <f t="shared" si="57"/>
        <v>0</v>
      </c>
      <c r="AK59" s="131">
        <f t="shared" si="58"/>
        <v>0</v>
      </c>
      <c r="AL59" s="131">
        <f t="shared" si="59"/>
        <v>0</v>
      </c>
      <c r="AN59" s="131">
        <v>21</v>
      </c>
      <c r="AO59" s="131">
        <f t="shared" si="60"/>
        <v>0</v>
      </c>
      <c r="AP59" s="131">
        <f t="shared" si="61"/>
        <v>0</v>
      </c>
      <c r="AQ59" s="132" t="s">
        <v>343</v>
      </c>
      <c r="AV59" s="131">
        <f t="shared" si="62"/>
        <v>0</v>
      </c>
      <c r="AW59" s="131">
        <f t="shared" si="63"/>
        <v>0</v>
      </c>
      <c r="AX59" s="131">
        <f t="shared" si="64"/>
        <v>0</v>
      </c>
      <c r="AY59" s="132" t="s">
        <v>344</v>
      </c>
      <c r="AZ59" s="132" t="s">
        <v>1355</v>
      </c>
      <c r="BA59" s="115" t="s">
        <v>1291</v>
      </c>
      <c r="BC59" s="131">
        <f t="shared" si="65"/>
        <v>0</v>
      </c>
      <c r="BD59" s="131">
        <f t="shared" si="66"/>
        <v>0</v>
      </c>
      <c r="BE59" s="131">
        <v>0</v>
      </c>
      <c r="BF59" s="131">
        <f>59</f>
        <v>59</v>
      </c>
      <c r="BH59" s="131">
        <f t="shared" si="67"/>
        <v>0</v>
      </c>
      <c r="BI59" s="131">
        <f t="shared" si="68"/>
        <v>0</v>
      </c>
      <c r="BJ59" s="131">
        <f t="shared" si="69"/>
        <v>0</v>
      </c>
      <c r="BK59" s="131"/>
      <c r="BL59" s="131"/>
      <c r="BW59" s="131">
        <v>21</v>
      </c>
      <c r="BX59" s="133" t="s">
        <v>1380</v>
      </c>
    </row>
    <row r="60" spans="1:76" x14ac:dyDescent="0.25">
      <c r="A60" s="134" t="s">
        <v>203</v>
      </c>
      <c r="B60" s="135" t="s">
        <v>1381</v>
      </c>
      <c r="C60" s="270" t="s">
        <v>1382</v>
      </c>
      <c r="D60" s="271"/>
      <c r="E60" s="135" t="s">
        <v>164</v>
      </c>
      <c r="F60" s="131">
        <v>9</v>
      </c>
      <c r="G60" s="179">
        <v>0</v>
      </c>
      <c r="H60" s="131">
        <f t="shared" si="46"/>
        <v>0</v>
      </c>
      <c r="I60" s="131">
        <f t="shared" si="47"/>
        <v>0</v>
      </c>
      <c r="J60" s="131">
        <f t="shared" si="48"/>
        <v>0</v>
      </c>
      <c r="K60" s="136" t="s">
        <v>60</v>
      </c>
      <c r="Z60" s="131">
        <f t="shared" si="49"/>
        <v>0</v>
      </c>
      <c r="AB60" s="131">
        <f t="shared" si="50"/>
        <v>0</v>
      </c>
      <c r="AC60" s="131">
        <f t="shared" si="51"/>
        <v>0</v>
      </c>
      <c r="AD60" s="131">
        <f t="shared" si="52"/>
        <v>0</v>
      </c>
      <c r="AE60" s="131">
        <f t="shared" si="53"/>
        <v>0</v>
      </c>
      <c r="AF60" s="131">
        <f t="shared" si="54"/>
        <v>0</v>
      </c>
      <c r="AG60" s="131">
        <f t="shared" si="55"/>
        <v>0</v>
      </c>
      <c r="AH60" s="131">
        <f t="shared" si="56"/>
        <v>0</v>
      </c>
      <c r="AI60" s="115" t="s">
        <v>1288</v>
      </c>
      <c r="AJ60" s="131">
        <f t="shared" si="57"/>
        <v>0</v>
      </c>
      <c r="AK60" s="131">
        <f t="shared" si="58"/>
        <v>0</v>
      </c>
      <c r="AL60" s="131">
        <f t="shared" si="59"/>
        <v>0</v>
      </c>
      <c r="AN60" s="131">
        <v>21</v>
      </c>
      <c r="AO60" s="131">
        <f t="shared" si="60"/>
        <v>0</v>
      </c>
      <c r="AP60" s="131">
        <f t="shared" si="61"/>
        <v>0</v>
      </c>
      <c r="AQ60" s="132" t="s">
        <v>343</v>
      </c>
      <c r="AV60" s="131">
        <f t="shared" si="62"/>
        <v>0</v>
      </c>
      <c r="AW60" s="131">
        <f t="shared" si="63"/>
        <v>0</v>
      </c>
      <c r="AX60" s="131">
        <f t="shared" si="64"/>
        <v>0</v>
      </c>
      <c r="AY60" s="132" t="s">
        <v>344</v>
      </c>
      <c r="AZ60" s="132" t="s">
        <v>1355</v>
      </c>
      <c r="BA60" s="115" t="s">
        <v>1291</v>
      </c>
      <c r="BC60" s="131">
        <f t="shared" si="65"/>
        <v>0</v>
      </c>
      <c r="BD60" s="131">
        <f t="shared" si="66"/>
        <v>0</v>
      </c>
      <c r="BE60" s="131">
        <v>0</v>
      </c>
      <c r="BF60" s="131">
        <f>60</f>
        <v>60</v>
      </c>
      <c r="BH60" s="131">
        <f t="shared" si="67"/>
        <v>0</v>
      </c>
      <c r="BI60" s="131">
        <f t="shared" si="68"/>
        <v>0</v>
      </c>
      <c r="BJ60" s="131">
        <f t="shared" si="69"/>
        <v>0</v>
      </c>
      <c r="BK60" s="131"/>
      <c r="BL60" s="131"/>
      <c r="BW60" s="131">
        <v>21</v>
      </c>
      <c r="BX60" s="133" t="s">
        <v>1382</v>
      </c>
    </row>
    <row r="61" spans="1:76" x14ac:dyDescent="0.25">
      <c r="A61" s="134" t="s">
        <v>208</v>
      </c>
      <c r="B61" s="135" t="s">
        <v>1383</v>
      </c>
      <c r="C61" s="270" t="s">
        <v>1384</v>
      </c>
      <c r="D61" s="271"/>
      <c r="E61" s="135" t="s">
        <v>164</v>
      </c>
      <c r="F61" s="131">
        <v>2</v>
      </c>
      <c r="G61" s="179">
        <v>0</v>
      </c>
      <c r="H61" s="131">
        <f t="shared" si="46"/>
        <v>0</v>
      </c>
      <c r="I61" s="131">
        <f t="shared" si="47"/>
        <v>0</v>
      </c>
      <c r="J61" s="131">
        <f t="shared" si="48"/>
        <v>0</v>
      </c>
      <c r="K61" s="136" t="s">
        <v>60</v>
      </c>
      <c r="Z61" s="131">
        <f t="shared" si="49"/>
        <v>0</v>
      </c>
      <c r="AB61" s="131">
        <f t="shared" si="50"/>
        <v>0</v>
      </c>
      <c r="AC61" s="131">
        <f t="shared" si="51"/>
        <v>0</v>
      </c>
      <c r="AD61" s="131">
        <f t="shared" si="52"/>
        <v>0</v>
      </c>
      <c r="AE61" s="131">
        <f t="shared" si="53"/>
        <v>0</v>
      </c>
      <c r="AF61" s="131">
        <f t="shared" si="54"/>
        <v>0</v>
      </c>
      <c r="AG61" s="131">
        <f t="shared" si="55"/>
        <v>0</v>
      </c>
      <c r="AH61" s="131">
        <f t="shared" si="56"/>
        <v>0</v>
      </c>
      <c r="AI61" s="115" t="s">
        <v>1288</v>
      </c>
      <c r="AJ61" s="131">
        <f t="shared" si="57"/>
        <v>0</v>
      </c>
      <c r="AK61" s="131">
        <f t="shared" si="58"/>
        <v>0</v>
      </c>
      <c r="AL61" s="131">
        <f t="shared" si="59"/>
        <v>0</v>
      </c>
      <c r="AN61" s="131">
        <v>21</v>
      </c>
      <c r="AO61" s="131">
        <f t="shared" si="60"/>
        <v>0</v>
      </c>
      <c r="AP61" s="131">
        <f t="shared" si="61"/>
        <v>0</v>
      </c>
      <c r="AQ61" s="132" t="s">
        <v>343</v>
      </c>
      <c r="AV61" s="131">
        <f t="shared" si="62"/>
        <v>0</v>
      </c>
      <c r="AW61" s="131">
        <f t="shared" si="63"/>
        <v>0</v>
      </c>
      <c r="AX61" s="131">
        <f t="shared" si="64"/>
        <v>0</v>
      </c>
      <c r="AY61" s="132" t="s">
        <v>344</v>
      </c>
      <c r="AZ61" s="132" t="s">
        <v>1355</v>
      </c>
      <c r="BA61" s="115" t="s">
        <v>1291</v>
      </c>
      <c r="BC61" s="131">
        <f t="shared" si="65"/>
        <v>0</v>
      </c>
      <c r="BD61" s="131">
        <f t="shared" si="66"/>
        <v>0</v>
      </c>
      <c r="BE61" s="131">
        <v>0</v>
      </c>
      <c r="BF61" s="131">
        <f>61</f>
        <v>61</v>
      </c>
      <c r="BH61" s="131">
        <f t="shared" si="67"/>
        <v>0</v>
      </c>
      <c r="BI61" s="131">
        <f t="shared" si="68"/>
        <v>0</v>
      </c>
      <c r="BJ61" s="131">
        <f t="shared" si="69"/>
        <v>0</v>
      </c>
      <c r="BK61" s="131"/>
      <c r="BL61" s="131"/>
      <c r="BW61" s="131">
        <v>21</v>
      </c>
      <c r="BX61" s="133" t="s">
        <v>1384</v>
      </c>
    </row>
    <row r="62" spans="1:76" x14ac:dyDescent="0.25">
      <c r="A62" s="134" t="s">
        <v>212</v>
      </c>
      <c r="B62" s="135" t="s">
        <v>1385</v>
      </c>
      <c r="C62" s="270" t="s">
        <v>1386</v>
      </c>
      <c r="D62" s="271"/>
      <c r="E62" s="135" t="s">
        <v>164</v>
      </c>
      <c r="F62" s="131">
        <v>4</v>
      </c>
      <c r="G62" s="179">
        <v>0</v>
      </c>
      <c r="H62" s="131">
        <f t="shared" si="46"/>
        <v>0</v>
      </c>
      <c r="I62" s="131">
        <f t="shared" si="47"/>
        <v>0</v>
      </c>
      <c r="J62" s="131">
        <f t="shared" si="48"/>
        <v>0</v>
      </c>
      <c r="K62" s="136" t="s">
        <v>60</v>
      </c>
      <c r="Z62" s="131">
        <f t="shared" si="49"/>
        <v>0</v>
      </c>
      <c r="AB62" s="131">
        <f t="shared" si="50"/>
        <v>0</v>
      </c>
      <c r="AC62" s="131">
        <f t="shared" si="51"/>
        <v>0</v>
      </c>
      <c r="AD62" s="131">
        <f t="shared" si="52"/>
        <v>0</v>
      </c>
      <c r="AE62" s="131">
        <f t="shared" si="53"/>
        <v>0</v>
      </c>
      <c r="AF62" s="131">
        <f t="shared" si="54"/>
        <v>0</v>
      </c>
      <c r="AG62" s="131">
        <f t="shared" si="55"/>
        <v>0</v>
      </c>
      <c r="AH62" s="131">
        <f t="shared" si="56"/>
        <v>0</v>
      </c>
      <c r="AI62" s="115" t="s">
        <v>1288</v>
      </c>
      <c r="AJ62" s="131">
        <f t="shared" si="57"/>
        <v>0</v>
      </c>
      <c r="AK62" s="131">
        <f t="shared" si="58"/>
        <v>0</v>
      </c>
      <c r="AL62" s="131">
        <f t="shared" si="59"/>
        <v>0</v>
      </c>
      <c r="AN62" s="131">
        <v>21</v>
      </c>
      <c r="AO62" s="131">
        <f t="shared" si="60"/>
        <v>0</v>
      </c>
      <c r="AP62" s="131">
        <f t="shared" si="61"/>
        <v>0</v>
      </c>
      <c r="AQ62" s="132" t="s">
        <v>343</v>
      </c>
      <c r="AV62" s="131">
        <f t="shared" si="62"/>
        <v>0</v>
      </c>
      <c r="AW62" s="131">
        <f t="shared" si="63"/>
        <v>0</v>
      </c>
      <c r="AX62" s="131">
        <f t="shared" si="64"/>
        <v>0</v>
      </c>
      <c r="AY62" s="132" t="s">
        <v>344</v>
      </c>
      <c r="AZ62" s="132" t="s">
        <v>1355</v>
      </c>
      <c r="BA62" s="115" t="s">
        <v>1291</v>
      </c>
      <c r="BC62" s="131">
        <f t="shared" si="65"/>
        <v>0</v>
      </c>
      <c r="BD62" s="131">
        <f t="shared" si="66"/>
        <v>0</v>
      </c>
      <c r="BE62" s="131">
        <v>0</v>
      </c>
      <c r="BF62" s="131">
        <f>62</f>
        <v>62</v>
      </c>
      <c r="BH62" s="131">
        <f t="shared" si="67"/>
        <v>0</v>
      </c>
      <c r="BI62" s="131">
        <f t="shared" si="68"/>
        <v>0</v>
      </c>
      <c r="BJ62" s="131">
        <f t="shared" si="69"/>
        <v>0</v>
      </c>
      <c r="BK62" s="131"/>
      <c r="BL62" s="131"/>
      <c r="BW62" s="131">
        <v>21</v>
      </c>
      <c r="BX62" s="133" t="s">
        <v>1386</v>
      </c>
    </row>
    <row r="63" spans="1:76" x14ac:dyDescent="0.25">
      <c r="A63" s="134" t="s">
        <v>167</v>
      </c>
      <c r="B63" s="135" t="s">
        <v>1387</v>
      </c>
      <c r="C63" s="270" t="s">
        <v>1388</v>
      </c>
      <c r="D63" s="271"/>
      <c r="E63" s="135" t="s">
        <v>164</v>
      </c>
      <c r="F63" s="131">
        <v>3</v>
      </c>
      <c r="G63" s="179">
        <v>0</v>
      </c>
      <c r="H63" s="131">
        <f t="shared" si="46"/>
        <v>0</v>
      </c>
      <c r="I63" s="131">
        <f t="shared" si="47"/>
        <v>0</v>
      </c>
      <c r="J63" s="131">
        <f t="shared" si="48"/>
        <v>0</v>
      </c>
      <c r="K63" s="136" t="s">
        <v>60</v>
      </c>
      <c r="Z63" s="131">
        <f t="shared" si="49"/>
        <v>0</v>
      </c>
      <c r="AB63" s="131">
        <f t="shared" si="50"/>
        <v>0</v>
      </c>
      <c r="AC63" s="131">
        <f t="shared" si="51"/>
        <v>0</v>
      </c>
      <c r="AD63" s="131">
        <f t="shared" si="52"/>
        <v>0</v>
      </c>
      <c r="AE63" s="131">
        <f t="shared" si="53"/>
        <v>0</v>
      </c>
      <c r="AF63" s="131">
        <f t="shared" si="54"/>
        <v>0</v>
      </c>
      <c r="AG63" s="131">
        <f t="shared" si="55"/>
        <v>0</v>
      </c>
      <c r="AH63" s="131">
        <f t="shared" si="56"/>
        <v>0</v>
      </c>
      <c r="AI63" s="115" t="s">
        <v>1288</v>
      </c>
      <c r="AJ63" s="131">
        <f t="shared" si="57"/>
        <v>0</v>
      </c>
      <c r="AK63" s="131">
        <f t="shared" si="58"/>
        <v>0</v>
      </c>
      <c r="AL63" s="131">
        <f t="shared" si="59"/>
        <v>0</v>
      </c>
      <c r="AN63" s="131">
        <v>21</v>
      </c>
      <c r="AO63" s="131">
        <f t="shared" si="60"/>
        <v>0</v>
      </c>
      <c r="AP63" s="131">
        <f t="shared" si="61"/>
        <v>0</v>
      </c>
      <c r="AQ63" s="132" t="s">
        <v>343</v>
      </c>
      <c r="AV63" s="131">
        <f t="shared" si="62"/>
        <v>0</v>
      </c>
      <c r="AW63" s="131">
        <f t="shared" si="63"/>
        <v>0</v>
      </c>
      <c r="AX63" s="131">
        <f t="shared" si="64"/>
        <v>0</v>
      </c>
      <c r="AY63" s="132" t="s">
        <v>344</v>
      </c>
      <c r="AZ63" s="132" t="s">
        <v>1355</v>
      </c>
      <c r="BA63" s="115" t="s">
        <v>1291</v>
      </c>
      <c r="BC63" s="131">
        <f t="shared" si="65"/>
        <v>0</v>
      </c>
      <c r="BD63" s="131">
        <f t="shared" si="66"/>
        <v>0</v>
      </c>
      <c r="BE63" s="131">
        <v>0</v>
      </c>
      <c r="BF63" s="131">
        <f>63</f>
        <v>63</v>
      </c>
      <c r="BH63" s="131">
        <f t="shared" si="67"/>
        <v>0</v>
      </c>
      <c r="BI63" s="131">
        <f t="shared" si="68"/>
        <v>0</v>
      </c>
      <c r="BJ63" s="131">
        <f t="shared" si="69"/>
        <v>0</v>
      </c>
      <c r="BK63" s="131"/>
      <c r="BL63" s="131"/>
      <c r="BW63" s="131">
        <v>21</v>
      </c>
      <c r="BX63" s="133" t="s">
        <v>1388</v>
      </c>
    </row>
    <row r="64" spans="1:76" x14ac:dyDescent="0.25">
      <c r="A64" s="134" t="s">
        <v>220</v>
      </c>
      <c r="B64" s="135" t="s">
        <v>1389</v>
      </c>
      <c r="C64" s="270" t="s">
        <v>1390</v>
      </c>
      <c r="D64" s="271"/>
      <c r="E64" s="135" t="s">
        <v>164</v>
      </c>
      <c r="F64" s="131">
        <v>1</v>
      </c>
      <c r="G64" s="179">
        <v>0</v>
      </c>
      <c r="H64" s="131">
        <f t="shared" si="46"/>
        <v>0</v>
      </c>
      <c r="I64" s="131">
        <f t="shared" si="47"/>
        <v>0</v>
      </c>
      <c r="J64" s="131">
        <f t="shared" si="48"/>
        <v>0</v>
      </c>
      <c r="K64" s="136" t="s">
        <v>60</v>
      </c>
      <c r="Z64" s="131">
        <f t="shared" si="49"/>
        <v>0</v>
      </c>
      <c r="AB64" s="131">
        <f t="shared" si="50"/>
        <v>0</v>
      </c>
      <c r="AC64" s="131">
        <f t="shared" si="51"/>
        <v>0</v>
      </c>
      <c r="AD64" s="131">
        <f t="shared" si="52"/>
        <v>0</v>
      </c>
      <c r="AE64" s="131">
        <f t="shared" si="53"/>
        <v>0</v>
      </c>
      <c r="AF64" s="131">
        <f t="shared" si="54"/>
        <v>0</v>
      </c>
      <c r="AG64" s="131">
        <f t="shared" si="55"/>
        <v>0</v>
      </c>
      <c r="AH64" s="131">
        <f t="shared" si="56"/>
        <v>0</v>
      </c>
      <c r="AI64" s="115" t="s">
        <v>1288</v>
      </c>
      <c r="AJ64" s="131">
        <f t="shared" si="57"/>
        <v>0</v>
      </c>
      <c r="AK64" s="131">
        <f t="shared" si="58"/>
        <v>0</v>
      </c>
      <c r="AL64" s="131">
        <f t="shared" si="59"/>
        <v>0</v>
      </c>
      <c r="AN64" s="131">
        <v>21</v>
      </c>
      <c r="AO64" s="131">
        <f t="shared" si="60"/>
        <v>0</v>
      </c>
      <c r="AP64" s="131">
        <f t="shared" si="61"/>
        <v>0</v>
      </c>
      <c r="AQ64" s="132" t="s">
        <v>343</v>
      </c>
      <c r="AV64" s="131">
        <f t="shared" si="62"/>
        <v>0</v>
      </c>
      <c r="AW64" s="131">
        <f t="shared" si="63"/>
        <v>0</v>
      </c>
      <c r="AX64" s="131">
        <f t="shared" si="64"/>
        <v>0</v>
      </c>
      <c r="AY64" s="132" t="s">
        <v>344</v>
      </c>
      <c r="AZ64" s="132" t="s">
        <v>1355</v>
      </c>
      <c r="BA64" s="115" t="s">
        <v>1291</v>
      </c>
      <c r="BC64" s="131">
        <f t="shared" si="65"/>
        <v>0</v>
      </c>
      <c r="BD64" s="131">
        <f t="shared" si="66"/>
        <v>0</v>
      </c>
      <c r="BE64" s="131">
        <v>0</v>
      </c>
      <c r="BF64" s="131">
        <f>64</f>
        <v>64</v>
      </c>
      <c r="BH64" s="131">
        <f t="shared" si="67"/>
        <v>0</v>
      </c>
      <c r="BI64" s="131">
        <f t="shared" si="68"/>
        <v>0</v>
      </c>
      <c r="BJ64" s="131">
        <f t="shared" si="69"/>
        <v>0</v>
      </c>
      <c r="BK64" s="131"/>
      <c r="BL64" s="131"/>
      <c r="BW64" s="131">
        <v>21</v>
      </c>
      <c r="BX64" s="133" t="s">
        <v>1390</v>
      </c>
    </row>
    <row r="65" spans="1:76" x14ac:dyDescent="0.25">
      <c r="A65" s="134" t="s">
        <v>223</v>
      </c>
      <c r="B65" s="135" t="s">
        <v>1391</v>
      </c>
      <c r="C65" s="270" t="s">
        <v>1392</v>
      </c>
      <c r="D65" s="271"/>
      <c r="E65" s="135" t="s">
        <v>164</v>
      </c>
      <c r="F65" s="131">
        <v>1</v>
      </c>
      <c r="G65" s="179">
        <v>0</v>
      </c>
      <c r="H65" s="131">
        <f t="shared" si="46"/>
        <v>0</v>
      </c>
      <c r="I65" s="131">
        <f t="shared" si="47"/>
        <v>0</v>
      </c>
      <c r="J65" s="131">
        <f t="shared" si="48"/>
        <v>0</v>
      </c>
      <c r="K65" s="136" t="s">
        <v>60</v>
      </c>
      <c r="Z65" s="131">
        <f t="shared" si="49"/>
        <v>0</v>
      </c>
      <c r="AB65" s="131">
        <f t="shared" si="50"/>
        <v>0</v>
      </c>
      <c r="AC65" s="131">
        <f t="shared" si="51"/>
        <v>0</v>
      </c>
      <c r="AD65" s="131">
        <f t="shared" si="52"/>
        <v>0</v>
      </c>
      <c r="AE65" s="131">
        <f t="shared" si="53"/>
        <v>0</v>
      </c>
      <c r="AF65" s="131">
        <f t="shared" si="54"/>
        <v>0</v>
      </c>
      <c r="AG65" s="131">
        <f t="shared" si="55"/>
        <v>0</v>
      </c>
      <c r="AH65" s="131">
        <f t="shared" si="56"/>
        <v>0</v>
      </c>
      <c r="AI65" s="115" t="s">
        <v>1288</v>
      </c>
      <c r="AJ65" s="131">
        <f t="shared" si="57"/>
        <v>0</v>
      </c>
      <c r="AK65" s="131">
        <f t="shared" si="58"/>
        <v>0</v>
      </c>
      <c r="AL65" s="131">
        <f t="shared" si="59"/>
        <v>0</v>
      </c>
      <c r="AN65" s="131">
        <v>21</v>
      </c>
      <c r="AO65" s="131">
        <f t="shared" si="60"/>
        <v>0</v>
      </c>
      <c r="AP65" s="131">
        <f t="shared" si="61"/>
        <v>0</v>
      </c>
      <c r="AQ65" s="132" t="s">
        <v>343</v>
      </c>
      <c r="AV65" s="131">
        <f t="shared" si="62"/>
        <v>0</v>
      </c>
      <c r="AW65" s="131">
        <f t="shared" si="63"/>
        <v>0</v>
      </c>
      <c r="AX65" s="131">
        <f t="shared" si="64"/>
        <v>0</v>
      </c>
      <c r="AY65" s="132" t="s">
        <v>344</v>
      </c>
      <c r="AZ65" s="132" t="s">
        <v>1355</v>
      </c>
      <c r="BA65" s="115" t="s">
        <v>1291</v>
      </c>
      <c r="BC65" s="131">
        <f t="shared" si="65"/>
        <v>0</v>
      </c>
      <c r="BD65" s="131">
        <f t="shared" si="66"/>
        <v>0</v>
      </c>
      <c r="BE65" s="131">
        <v>0</v>
      </c>
      <c r="BF65" s="131">
        <f>65</f>
        <v>65</v>
      </c>
      <c r="BH65" s="131">
        <f t="shared" si="67"/>
        <v>0</v>
      </c>
      <c r="BI65" s="131">
        <f t="shared" si="68"/>
        <v>0</v>
      </c>
      <c r="BJ65" s="131">
        <f t="shared" si="69"/>
        <v>0</v>
      </c>
      <c r="BK65" s="131"/>
      <c r="BL65" s="131"/>
      <c r="BW65" s="131">
        <v>21</v>
      </c>
      <c r="BX65" s="133" t="s">
        <v>1392</v>
      </c>
    </row>
    <row r="66" spans="1:76" x14ac:dyDescent="0.25">
      <c r="A66" s="134" t="s">
        <v>226</v>
      </c>
      <c r="B66" s="135" t="s">
        <v>1393</v>
      </c>
      <c r="C66" s="270" t="s">
        <v>1394</v>
      </c>
      <c r="D66" s="271"/>
      <c r="E66" s="135" t="s">
        <v>164</v>
      </c>
      <c r="F66" s="131">
        <v>1</v>
      </c>
      <c r="G66" s="179">
        <v>0</v>
      </c>
      <c r="H66" s="131">
        <f t="shared" si="46"/>
        <v>0</v>
      </c>
      <c r="I66" s="131">
        <f t="shared" si="47"/>
        <v>0</v>
      </c>
      <c r="J66" s="131">
        <f t="shared" si="48"/>
        <v>0</v>
      </c>
      <c r="K66" s="136" t="s">
        <v>60</v>
      </c>
      <c r="Z66" s="131">
        <f t="shared" si="49"/>
        <v>0</v>
      </c>
      <c r="AB66" s="131">
        <f t="shared" si="50"/>
        <v>0</v>
      </c>
      <c r="AC66" s="131">
        <f t="shared" si="51"/>
        <v>0</v>
      </c>
      <c r="AD66" s="131">
        <f t="shared" si="52"/>
        <v>0</v>
      </c>
      <c r="AE66" s="131">
        <f t="shared" si="53"/>
        <v>0</v>
      </c>
      <c r="AF66" s="131">
        <f t="shared" si="54"/>
        <v>0</v>
      </c>
      <c r="AG66" s="131">
        <f t="shared" si="55"/>
        <v>0</v>
      </c>
      <c r="AH66" s="131">
        <f t="shared" si="56"/>
        <v>0</v>
      </c>
      <c r="AI66" s="115" t="s">
        <v>1288</v>
      </c>
      <c r="AJ66" s="131">
        <f t="shared" si="57"/>
        <v>0</v>
      </c>
      <c r="AK66" s="131">
        <f t="shared" si="58"/>
        <v>0</v>
      </c>
      <c r="AL66" s="131">
        <f t="shared" si="59"/>
        <v>0</v>
      </c>
      <c r="AN66" s="131">
        <v>21</v>
      </c>
      <c r="AO66" s="131">
        <f t="shared" si="60"/>
        <v>0</v>
      </c>
      <c r="AP66" s="131">
        <f t="shared" si="61"/>
        <v>0</v>
      </c>
      <c r="AQ66" s="132" t="s">
        <v>343</v>
      </c>
      <c r="AV66" s="131">
        <f t="shared" si="62"/>
        <v>0</v>
      </c>
      <c r="AW66" s="131">
        <f t="shared" si="63"/>
        <v>0</v>
      </c>
      <c r="AX66" s="131">
        <f t="shared" si="64"/>
        <v>0</v>
      </c>
      <c r="AY66" s="132" t="s">
        <v>344</v>
      </c>
      <c r="AZ66" s="132" t="s">
        <v>1355</v>
      </c>
      <c r="BA66" s="115" t="s">
        <v>1291</v>
      </c>
      <c r="BC66" s="131">
        <f t="shared" si="65"/>
        <v>0</v>
      </c>
      <c r="BD66" s="131">
        <f t="shared" si="66"/>
        <v>0</v>
      </c>
      <c r="BE66" s="131">
        <v>0</v>
      </c>
      <c r="BF66" s="131">
        <f>66</f>
        <v>66</v>
      </c>
      <c r="BH66" s="131">
        <f t="shared" si="67"/>
        <v>0</v>
      </c>
      <c r="BI66" s="131">
        <f t="shared" si="68"/>
        <v>0</v>
      </c>
      <c r="BJ66" s="131">
        <f t="shared" si="69"/>
        <v>0</v>
      </c>
      <c r="BK66" s="131"/>
      <c r="BL66" s="131"/>
      <c r="BW66" s="131">
        <v>21</v>
      </c>
      <c r="BX66" s="133" t="s">
        <v>1394</v>
      </c>
    </row>
    <row r="67" spans="1:76" x14ac:dyDescent="0.25">
      <c r="A67" s="123" t="s">
        <v>53</v>
      </c>
      <c r="B67" s="124" t="s">
        <v>409</v>
      </c>
      <c r="C67" s="272" t="s">
        <v>410</v>
      </c>
      <c r="D67" s="273"/>
      <c r="E67" s="125" t="s">
        <v>9</v>
      </c>
      <c r="F67" s="125" t="s">
        <v>9</v>
      </c>
      <c r="G67" s="125" t="s">
        <v>9</v>
      </c>
      <c r="H67" s="110">
        <f>H68+H70+H72+H74</f>
        <v>0</v>
      </c>
      <c r="I67" s="110">
        <f>I68+I70+I72+I74</f>
        <v>0</v>
      </c>
      <c r="J67" s="110">
        <f>J68+J70+J72+J74</f>
        <v>0</v>
      </c>
      <c r="K67" s="126" t="s">
        <v>53</v>
      </c>
      <c r="AI67" s="115" t="s">
        <v>1288</v>
      </c>
    </row>
    <row r="68" spans="1:76" x14ac:dyDescent="0.25">
      <c r="A68" s="123" t="s">
        <v>53</v>
      </c>
      <c r="B68" s="124" t="s">
        <v>411</v>
      </c>
      <c r="C68" s="272" t="s">
        <v>412</v>
      </c>
      <c r="D68" s="273"/>
      <c r="E68" s="125" t="s">
        <v>9</v>
      </c>
      <c r="F68" s="125" t="s">
        <v>9</v>
      </c>
      <c r="G68" s="125" t="s">
        <v>9</v>
      </c>
      <c r="H68" s="110">
        <f>SUM(H69:H69)</f>
        <v>0</v>
      </c>
      <c r="I68" s="110">
        <f>SUM(I69:I69)</f>
        <v>0</v>
      </c>
      <c r="J68" s="110">
        <f>SUM(J69:J69)</f>
        <v>0</v>
      </c>
      <c r="K68" s="126" t="s">
        <v>53</v>
      </c>
      <c r="AI68" s="115" t="s">
        <v>1288</v>
      </c>
      <c r="AS68" s="110">
        <f>SUM(AJ69:AJ69)</f>
        <v>0</v>
      </c>
      <c r="AT68" s="110">
        <f>SUM(AK69:AK69)</f>
        <v>0</v>
      </c>
      <c r="AU68" s="110">
        <f>SUM(AL69:AL69)</f>
        <v>0</v>
      </c>
    </row>
    <row r="69" spans="1:76" x14ac:dyDescent="0.25">
      <c r="A69" s="134" t="s">
        <v>229</v>
      </c>
      <c r="B69" s="135" t="s">
        <v>414</v>
      </c>
      <c r="C69" s="270" t="s">
        <v>1395</v>
      </c>
      <c r="D69" s="271"/>
      <c r="E69" s="135" t="s">
        <v>416</v>
      </c>
      <c r="F69" s="131">
        <v>1</v>
      </c>
      <c r="G69" s="179">
        <v>0</v>
      </c>
      <c r="H69" s="131">
        <f>F69*AO69</f>
        <v>0</v>
      </c>
      <c r="I69" s="131">
        <f>F69*AP69</f>
        <v>0</v>
      </c>
      <c r="J69" s="131">
        <f>F69*G69</f>
        <v>0</v>
      </c>
      <c r="K69" s="136" t="s">
        <v>60</v>
      </c>
      <c r="Z69" s="131">
        <f>IF(AQ69="5",BJ69,0)</f>
        <v>0</v>
      </c>
      <c r="AB69" s="131">
        <f>IF(AQ69="1",BH69,0)</f>
        <v>0</v>
      </c>
      <c r="AC69" s="131">
        <f>IF(AQ69="1",BI69,0)</f>
        <v>0</v>
      </c>
      <c r="AD69" s="131">
        <f>IF(AQ69="7",BH69,0)</f>
        <v>0</v>
      </c>
      <c r="AE69" s="131">
        <f>IF(AQ69="7",BI69,0)</f>
        <v>0</v>
      </c>
      <c r="AF69" s="131">
        <f>IF(AQ69="2",BH69,0)</f>
        <v>0</v>
      </c>
      <c r="AG69" s="131">
        <f>IF(AQ69="2",BI69,0)</f>
        <v>0</v>
      </c>
      <c r="AH69" s="131">
        <f>IF(AQ69="0",BJ69,0)</f>
        <v>0</v>
      </c>
      <c r="AI69" s="115" t="s">
        <v>1288</v>
      </c>
      <c r="AJ69" s="131">
        <f>IF(AN69=0,J69,0)</f>
        <v>0</v>
      </c>
      <c r="AK69" s="131">
        <f>IF(AN69=12,J69,0)</f>
        <v>0</v>
      </c>
      <c r="AL69" s="131">
        <f>IF(AN69=21,J69,0)</f>
        <v>0</v>
      </c>
      <c r="AN69" s="131">
        <v>21</v>
      </c>
      <c r="AO69" s="131">
        <f>G69*0</f>
        <v>0</v>
      </c>
      <c r="AP69" s="131">
        <f>G69*(1-0)</f>
        <v>0</v>
      </c>
      <c r="AQ69" s="132" t="s">
        <v>405</v>
      </c>
      <c r="AV69" s="131">
        <f>AW69+AX69</f>
        <v>0</v>
      </c>
      <c r="AW69" s="131">
        <f>F69*AO69</f>
        <v>0</v>
      </c>
      <c r="AX69" s="131">
        <f>F69*AP69</f>
        <v>0</v>
      </c>
      <c r="AY69" s="132" t="s">
        <v>417</v>
      </c>
      <c r="AZ69" s="132" t="s">
        <v>1396</v>
      </c>
      <c r="BA69" s="115" t="s">
        <v>1291</v>
      </c>
      <c r="BC69" s="131">
        <f>AW69+AX69</f>
        <v>0</v>
      </c>
      <c r="BD69" s="131">
        <f>G69/(100-BE69)*100</f>
        <v>0</v>
      </c>
      <c r="BE69" s="131">
        <v>0</v>
      </c>
      <c r="BF69" s="131">
        <f>69</f>
        <v>69</v>
      </c>
      <c r="BH69" s="131">
        <f>F69*AO69</f>
        <v>0</v>
      </c>
      <c r="BI69" s="131">
        <f>F69*AP69</f>
        <v>0</v>
      </c>
      <c r="BJ69" s="131">
        <f>F69*G69</f>
        <v>0</v>
      </c>
      <c r="BK69" s="131"/>
      <c r="BL69" s="131"/>
      <c r="BM69" s="131">
        <f>F69*G69</f>
        <v>0</v>
      </c>
      <c r="BW69" s="131">
        <v>21</v>
      </c>
      <c r="BX69" s="133" t="s">
        <v>1395</v>
      </c>
    </row>
    <row r="70" spans="1:76" x14ac:dyDescent="0.25">
      <c r="A70" s="123" t="s">
        <v>53</v>
      </c>
      <c r="B70" s="124" t="s">
        <v>419</v>
      </c>
      <c r="C70" s="272" t="s">
        <v>420</v>
      </c>
      <c r="D70" s="273"/>
      <c r="E70" s="125" t="s">
        <v>9</v>
      </c>
      <c r="F70" s="125" t="s">
        <v>9</v>
      </c>
      <c r="G70" s="125" t="s">
        <v>9</v>
      </c>
      <c r="H70" s="110">
        <f>SUM(H71:H71)</f>
        <v>0</v>
      </c>
      <c r="I70" s="110">
        <f>SUM(I71:I71)</f>
        <v>0</v>
      </c>
      <c r="J70" s="110">
        <f>SUM(J71:J71)</f>
        <v>0</v>
      </c>
      <c r="K70" s="126" t="s">
        <v>53</v>
      </c>
      <c r="AI70" s="115" t="s">
        <v>1288</v>
      </c>
      <c r="AS70" s="110">
        <f>SUM(AJ71:AJ71)</f>
        <v>0</v>
      </c>
      <c r="AT70" s="110">
        <f>SUM(AK71:AK71)</f>
        <v>0</v>
      </c>
      <c r="AU70" s="110">
        <f>SUM(AL71:AL71)</f>
        <v>0</v>
      </c>
    </row>
    <row r="71" spans="1:76" x14ac:dyDescent="0.25">
      <c r="A71" s="134" t="s">
        <v>234</v>
      </c>
      <c r="B71" s="135" t="s">
        <v>422</v>
      </c>
      <c r="C71" s="270" t="s">
        <v>420</v>
      </c>
      <c r="D71" s="271"/>
      <c r="E71" s="135" t="s">
        <v>416</v>
      </c>
      <c r="F71" s="131">
        <v>1</v>
      </c>
      <c r="G71" s="179">
        <v>0</v>
      </c>
      <c r="H71" s="131">
        <f>F71*AO71</f>
        <v>0</v>
      </c>
      <c r="I71" s="131">
        <f>F71*AP71</f>
        <v>0</v>
      </c>
      <c r="J71" s="131">
        <f>F71*G71</f>
        <v>0</v>
      </c>
      <c r="K71" s="136" t="s">
        <v>53</v>
      </c>
      <c r="Z71" s="131">
        <f>IF(AQ71="5",BJ71,0)</f>
        <v>0</v>
      </c>
      <c r="AB71" s="131">
        <f>IF(AQ71="1",BH71,0)</f>
        <v>0</v>
      </c>
      <c r="AC71" s="131">
        <f>IF(AQ71="1",BI71,0)</f>
        <v>0</v>
      </c>
      <c r="AD71" s="131">
        <f>IF(AQ71="7",BH71,0)</f>
        <v>0</v>
      </c>
      <c r="AE71" s="131">
        <f>IF(AQ71="7",BI71,0)</f>
        <v>0</v>
      </c>
      <c r="AF71" s="131">
        <f>IF(AQ71="2",BH71,0)</f>
        <v>0</v>
      </c>
      <c r="AG71" s="131">
        <f>IF(AQ71="2",BI71,0)</f>
        <v>0</v>
      </c>
      <c r="AH71" s="131">
        <f>IF(AQ71="0",BJ71,0)</f>
        <v>0</v>
      </c>
      <c r="AI71" s="115" t="s">
        <v>1288</v>
      </c>
      <c r="AJ71" s="131">
        <f>IF(AN71=0,J71,0)</f>
        <v>0</v>
      </c>
      <c r="AK71" s="131">
        <f>IF(AN71=12,J71,0)</f>
        <v>0</v>
      </c>
      <c r="AL71" s="131">
        <f>IF(AN71=21,J71,0)</f>
        <v>0</v>
      </c>
      <c r="AN71" s="131">
        <v>21</v>
      </c>
      <c r="AO71" s="131">
        <f>G71*0</f>
        <v>0</v>
      </c>
      <c r="AP71" s="131">
        <f>G71*(1-0)</f>
        <v>0</v>
      </c>
      <c r="AQ71" s="132" t="s">
        <v>405</v>
      </c>
      <c r="AV71" s="131">
        <f>AW71+AX71</f>
        <v>0</v>
      </c>
      <c r="AW71" s="131">
        <f>F71*AO71</f>
        <v>0</v>
      </c>
      <c r="AX71" s="131">
        <f>F71*AP71</f>
        <v>0</v>
      </c>
      <c r="AY71" s="132" t="s">
        <v>423</v>
      </c>
      <c r="AZ71" s="132" t="s">
        <v>1396</v>
      </c>
      <c r="BA71" s="115" t="s">
        <v>1291</v>
      </c>
      <c r="BC71" s="131">
        <f>AW71+AX71</f>
        <v>0</v>
      </c>
      <c r="BD71" s="131">
        <f>G71/(100-BE71)*100</f>
        <v>0</v>
      </c>
      <c r="BE71" s="131">
        <v>0</v>
      </c>
      <c r="BF71" s="131">
        <f>71</f>
        <v>71</v>
      </c>
      <c r="BH71" s="131">
        <f>F71*AO71</f>
        <v>0</v>
      </c>
      <c r="BI71" s="131">
        <f>F71*AP71</f>
        <v>0</v>
      </c>
      <c r="BJ71" s="131">
        <f>F71*G71</f>
        <v>0</v>
      </c>
      <c r="BK71" s="131"/>
      <c r="BL71" s="131"/>
      <c r="BO71" s="131">
        <f>F71*G71</f>
        <v>0</v>
      </c>
      <c r="BW71" s="131">
        <v>21</v>
      </c>
      <c r="BX71" s="133" t="s">
        <v>420</v>
      </c>
    </row>
    <row r="72" spans="1:76" x14ac:dyDescent="0.25">
      <c r="A72" s="123" t="s">
        <v>53</v>
      </c>
      <c r="B72" s="124" t="s">
        <v>1397</v>
      </c>
      <c r="C72" s="272" t="s">
        <v>533</v>
      </c>
      <c r="D72" s="273"/>
      <c r="E72" s="125" t="s">
        <v>9</v>
      </c>
      <c r="F72" s="125" t="s">
        <v>9</v>
      </c>
      <c r="G72" s="125" t="s">
        <v>9</v>
      </c>
      <c r="H72" s="110">
        <f>SUM(H73:H73)</f>
        <v>0</v>
      </c>
      <c r="I72" s="110">
        <f>SUM(I73:I73)</f>
        <v>0</v>
      </c>
      <c r="J72" s="110">
        <f>SUM(J73:J73)</f>
        <v>0</v>
      </c>
      <c r="K72" s="126" t="s">
        <v>53</v>
      </c>
      <c r="AI72" s="115" t="s">
        <v>1288</v>
      </c>
      <c r="AS72" s="110">
        <f>SUM(AJ73:AJ73)</f>
        <v>0</v>
      </c>
      <c r="AT72" s="110">
        <f>SUM(AK73:AK73)</f>
        <v>0</v>
      </c>
      <c r="AU72" s="110">
        <f>SUM(AL73:AL73)</f>
        <v>0</v>
      </c>
    </row>
    <row r="73" spans="1:76" x14ac:dyDescent="0.25">
      <c r="A73" s="134" t="s">
        <v>239</v>
      </c>
      <c r="B73" s="135" t="s">
        <v>1398</v>
      </c>
      <c r="C73" s="270" t="s">
        <v>1399</v>
      </c>
      <c r="D73" s="271"/>
      <c r="E73" s="135" t="s">
        <v>416</v>
      </c>
      <c r="F73" s="131">
        <v>1</v>
      </c>
      <c r="G73" s="179">
        <v>0</v>
      </c>
      <c r="H73" s="131">
        <f>F73*AO73</f>
        <v>0</v>
      </c>
      <c r="I73" s="131">
        <f>F73*AP73</f>
        <v>0</v>
      </c>
      <c r="J73" s="131">
        <f>F73*G73</f>
        <v>0</v>
      </c>
      <c r="K73" s="136" t="s">
        <v>60</v>
      </c>
      <c r="Z73" s="131">
        <f>IF(AQ73="5",BJ73,0)</f>
        <v>0</v>
      </c>
      <c r="AB73" s="131">
        <f>IF(AQ73="1",BH73,0)</f>
        <v>0</v>
      </c>
      <c r="AC73" s="131">
        <f>IF(AQ73="1",BI73,0)</f>
        <v>0</v>
      </c>
      <c r="AD73" s="131">
        <f>IF(AQ73="7",BH73,0)</f>
        <v>0</v>
      </c>
      <c r="AE73" s="131">
        <f>IF(AQ73="7",BI73,0)</f>
        <v>0</v>
      </c>
      <c r="AF73" s="131">
        <f>IF(AQ73="2",BH73,0)</f>
        <v>0</v>
      </c>
      <c r="AG73" s="131">
        <f>IF(AQ73="2",BI73,0)</f>
        <v>0</v>
      </c>
      <c r="AH73" s="131">
        <f>IF(AQ73="0",BJ73,0)</f>
        <v>0</v>
      </c>
      <c r="AI73" s="115" t="s">
        <v>1288</v>
      </c>
      <c r="AJ73" s="131">
        <f>IF(AN73=0,J73,0)</f>
        <v>0</v>
      </c>
      <c r="AK73" s="131">
        <f>IF(AN73=12,J73,0)</f>
        <v>0</v>
      </c>
      <c r="AL73" s="131">
        <f>IF(AN73=21,J73,0)</f>
        <v>0</v>
      </c>
      <c r="AN73" s="131">
        <v>21</v>
      </c>
      <c r="AO73" s="131">
        <f>G73*0</f>
        <v>0</v>
      </c>
      <c r="AP73" s="131">
        <f>G73*(1-0)</f>
        <v>0</v>
      </c>
      <c r="AQ73" s="132" t="s">
        <v>405</v>
      </c>
      <c r="AV73" s="131">
        <f>AW73+AX73</f>
        <v>0</v>
      </c>
      <c r="AW73" s="131">
        <f>F73*AO73</f>
        <v>0</v>
      </c>
      <c r="AX73" s="131">
        <f>F73*AP73</f>
        <v>0</v>
      </c>
      <c r="AY73" s="132" t="s">
        <v>1400</v>
      </c>
      <c r="AZ73" s="132" t="s">
        <v>1396</v>
      </c>
      <c r="BA73" s="115" t="s">
        <v>1291</v>
      </c>
      <c r="BC73" s="131">
        <f>AW73+AX73</f>
        <v>0</v>
      </c>
      <c r="BD73" s="131">
        <f>G73/(100-BE73)*100</f>
        <v>0</v>
      </c>
      <c r="BE73" s="131">
        <v>0</v>
      </c>
      <c r="BF73" s="131">
        <f>73</f>
        <v>73</v>
      </c>
      <c r="BH73" s="131">
        <f>F73*AO73</f>
        <v>0</v>
      </c>
      <c r="BI73" s="131">
        <f>F73*AP73</f>
        <v>0</v>
      </c>
      <c r="BJ73" s="131">
        <f>F73*G73</f>
        <v>0</v>
      </c>
      <c r="BK73" s="131"/>
      <c r="BL73" s="131"/>
      <c r="BP73" s="131">
        <f>F73*G73</f>
        <v>0</v>
      </c>
      <c r="BW73" s="131">
        <v>21</v>
      </c>
      <c r="BX73" s="133" t="s">
        <v>1399</v>
      </c>
    </row>
    <row r="74" spans="1:76" x14ac:dyDescent="0.25">
      <c r="A74" s="123" t="s">
        <v>53</v>
      </c>
      <c r="B74" s="124" t="s">
        <v>424</v>
      </c>
      <c r="C74" s="272" t="s">
        <v>425</v>
      </c>
      <c r="D74" s="273"/>
      <c r="E74" s="125" t="s">
        <v>9</v>
      </c>
      <c r="F74" s="125" t="s">
        <v>9</v>
      </c>
      <c r="G74" s="125" t="s">
        <v>9</v>
      </c>
      <c r="H74" s="110">
        <f>SUM(H75:H75)</f>
        <v>0</v>
      </c>
      <c r="I74" s="110">
        <f>SUM(I75:I75)</f>
        <v>0</v>
      </c>
      <c r="J74" s="110">
        <f>SUM(J75:J75)</f>
        <v>0</v>
      </c>
      <c r="K74" s="126" t="s">
        <v>53</v>
      </c>
      <c r="AI74" s="115" t="s">
        <v>1288</v>
      </c>
      <c r="AS74" s="110">
        <f>SUM(AJ75:AJ75)</f>
        <v>0</v>
      </c>
      <c r="AT74" s="110">
        <f>SUM(AK75:AK75)</f>
        <v>0</v>
      </c>
      <c r="AU74" s="110">
        <f>SUM(AL75:AL75)</f>
        <v>0</v>
      </c>
    </row>
    <row r="75" spans="1:76" x14ac:dyDescent="0.25">
      <c r="A75" s="137" t="s">
        <v>244</v>
      </c>
      <c r="B75" s="138" t="s">
        <v>427</v>
      </c>
      <c r="C75" s="274" t="s">
        <v>428</v>
      </c>
      <c r="D75" s="275"/>
      <c r="E75" s="138" t="s">
        <v>416</v>
      </c>
      <c r="F75" s="139">
        <v>1</v>
      </c>
      <c r="G75" s="180">
        <v>0</v>
      </c>
      <c r="H75" s="139">
        <f>F75*AO75</f>
        <v>0</v>
      </c>
      <c r="I75" s="139">
        <f>F75*AP75</f>
        <v>0</v>
      </c>
      <c r="J75" s="139">
        <f>F75*G75</f>
        <v>0</v>
      </c>
      <c r="K75" s="140" t="s">
        <v>53</v>
      </c>
      <c r="Z75" s="131">
        <f>IF(AQ75="5",BJ75,0)</f>
        <v>0</v>
      </c>
      <c r="AB75" s="131">
        <f>IF(AQ75="1",BH75,0)</f>
        <v>0</v>
      </c>
      <c r="AC75" s="131">
        <f>IF(AQ75="1",BI75,0)</f>
        <v>0</v>
      </c>
      <c r="AD75" s="131">
        <f>IF(AQ75="7",BH75,0)</f>
        <v>0</v>
      </c>
      <c r="AE75" s="131">
        <f>IF(AQ75="7",BI75,0)</f>
        <v>0</v>
      </c>
      <c r="AF75" s="131">
        <f>IF(AQ75="2",BH75,0)</f>
        <v>0</v>
      </c>
      <c r="AG75" s="131">
        <f>IF(AQ75="2",BI75,0)</f>
        <v>0</v>
      </c>
      <c r="AH75" s="131">
        <f>IF(AQ75="0",BJ75,0)</f>
        <v>0</v>
      </c>
      <c r="AI75" s="115" t="s">
        <v>1288</v>
      </c>
      <c r="AJ75" s="131">
        <f>IF(AN75=0,J75,0)</f>
        <v>0</v>
      </c>
      <c r="AK75" s="131">
        <f>IF(AN75=12,J75,0)</f>
        <v>0</v>
      </c>
      <c r="AL75" s="131">
        <f>IF(AN75=21,J75,0)</f>
        <v>0</v>
      </c>
      <c r="AN75" s="131">
        <v>21</v>
      </c>
      <c r="AO75" s="131">
        <f>G75*0</f>
        <v>0</v>
      </c>
      <c r="AP75" s="131">
        <f>G75*(1-0)</f>
        <v>0</v>
      </c>
      <c r="AQ75" s="132" t="s">
        <v>405</v>
      </c>
      <c r="AV75" s="131">
        <f>AW75+AX75</f>
        <v>0</v>
      </c>
      <c r="AW75" s="131">
        <f>F75*AO75</f>
        <v>0</v>
      </c>
      <c r="AX75" s="131">
        <f>F75*AP75</f>
        <v>0</v>
      </c>
      <c r="AY75" s="132" t="s">
        <v>429</v>
      </c>
      <c r="AZ75" s="132" t="s">
        <v>1396</v>
      </c>
      <c r="BA75" s="115" t="s">
        <v>1291</v>
      </c>
      <c r="BC75" s="131">
        <f>AW75+AX75</f>
        <v>0</v>
      </c>
      <c r="BD75" s="131">
        <f>G75/(100-BE75)*100</f>
        <v>0</v>
      </c>
      <c r="BE75" s="131">
        <v>0</v>
      </c>
      <c r="BF75" s="131">
        <f>75</f>
        <v>75</v>
      </c>
      <c r="BH75" s="131">
        <f>F75*AO75</f>
        <v>0</v>
      </c>
      <c r="BI75" s="131">
        <f>F75*AP75</f>
        <v>0</v>
      </c>
      <c r="BJ75" s="131">
        <f>F75*G75</f>
        <v>0</v>
      </c>
      <c r="BK75" s="131"/>
      <c r="BL75" s="131"/>
      <c r="BR75" s="131">
        <f>F75*G75</f>
        <v>0</v>
      </c>
      <c r="BW75" s="131">
        <v>21</v>
      </c>
      <c r="BX75" s="133" t="s">
        <v>428</v>
      </c>
    </row>
    <row r="76" spans="1:76" x14ac:dyDescent="0.25">
      <c r="H76" s="276" t="s">
        <v>430</v>
      </c>
      <c r="I76" s="276"/>
      <c r="J76" s="141">
        <f>ROUND(J13+J15+J17+J19+J32+J45+J68+J70+J72+J74,0)</f>
        <v>0</v>
      </c>
    </row>
    <row r="77" spans="1:76" x14ac:dyDescent="0.25">
      <c r="A77" s="142" t="s">
        <v>431</v>
      </c>
    </row>
    <row r="78" spans="1:76" ht="12.75" customHeight="1" x14ac:dyDescent="0.25">
      <c r="A78" s="270" t="s">
        <v>53</v>
      </c>
      <c r="B78" s="271"/>
      <c r="C78" s="271"/>
      <c r="D78" s="271"/>
      <c r="E78" s="271"/>
      <c r="F78" s="271"/>
      <c r="G78" s="271"/>
      <c r="H78" s="271"/>
      <c r="I78" s="271"/>
      <c r="J78" s="271"/>
      <c r="K78" s="271"/>
    </row>
  </sheetData>
  <mergeCells count="94">
    <mergeCell ref="I4:K5"/>
    <mergeCell ref="A1:K1"/>
    <mergeCell ref="A2:B3"/>
    <mergeCell ref="C2:D3"/>
    <mergeCell ref="E2:F3"/>
    <mergeCell ref="G2:G3"/>
    <mergeCell ref="H2:H3"/>
    <mergeCell ref="I2:K3"/>
    <mergeCell ref="A4:B5"/>
    <mergeCell ref="C4:D5"/>
    <mergeCell ref="E4:F5"/>
    <mergeCell ref="G4:G5"/>
    <mergeCell ref="H4:H5"/>
    <mergeCell ref="I8:K9"/>
    <mergeCell ref="A6:B7"/>
    <mergeCell ref="C6:D7"/>
    <mergeCell ref="E6:F7"/>
    <mergeCell ref="G6:G7"/>
    <mergeCell ref="H6:H7"/>
    <mergeCell ref="I6:K7"/>
    <mergeCell ref="A8:B9"/>
    <mergeCell ref="C8:D9"/>
    <mergeCell ref="E8:F9"/>
    <mergeCell ref="G8:G9"/>
    <mergeCell ref="H8:H9"/>
    <mergeCell ref="C20:D20"/>
    <mergeCell ref="C10:D10"/>
    <mergeCell ref="H10:J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56:D56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8:D68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75:D75"/>
    <mergeCell ref="H76:I76"/>
    <mergeCell ref="A78:K78"/>
    <mergeCell ref="C69:D69"/>
    <mergeCell ref="C70:D70"/>
    <mergeCell ref="C71:D71"/>
    <mergeCell ref="C72:D72"/>
    <mergeCell ref="C73:D73"/>
    <mergeCell ref="C74:D74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L34" sqref="L34"/>
    </sheetView>
  </sheetViews>
  <sheetFormatPr defaultColWidth="12.140625" defaultRowHeight="15" customHeight="1" x14ac:dyDescent="0.25"/>
  <cols>
    <col min="1" max="1" width="9.140625" style="109" customWidth="1"/>
    <col min="2" max="2" width="12.85546875" style="109" customWidth="1"/>
    <col min="3" max="3" width="27.140625" style="109" customWidth="1"/>
    <col min="4" max="4" width="10" style="109" customWidth="1"/>
    <col min="5" max="5" width="14" style="109" customWidth="1"/>
    <col min="6" max="6" width="27.140625" style="109" customWidth="1"/>
    <col min="7" max="7" width="9.140625" style="109" customWidth="1"/>
    <col min="8" max="8" width="12.85546875" style="109" customWidth="1"/>
    <col min="9" max="9" width="27.140625" style="109" customWidth="1"/>
    <col min="10" max="16384" width="12.140625" style="109"/>
  </cols>
  <sheetData>
    <row r="1" spans="1:9" ht="54.75" customHeight="1" x14ac:dyDescent="0.25">
      <c r="A1" s="327" t="s">
        <v>478</v>
      </c>
      <c r="B1" s="289"/>
      <c r="C1" s="289"/>
      <c r="D1" s="289"/>
      <c r="E1" s="289"/>
      <c r="F1" s="289"/>
      <c r="G1" s="289"/>
      <c r="H1" s="289"/>
      <c r="I1" s="289"/>
    </row>
    <row r="2" spans="1:9" x14ac:dyDescent="0.25">
      <c r="A2" s="290" t="s">
        <v>1</v>
      </c>
      <c r="B2" s="291"/>
      <c r="C2" s="292" t="str">
        <f>'SO-301'!C2</f>
        <v>NEDRAŽICE - CHODNÍKY A ÚPRAVY VNITŘNÍCH PROSTOR OBCE</v>
      </c>
      <c r="D2" s="293"/>
      <c r="E2" s="294" t="s">
        <v>5</v>
      </c>
      <c r="F2" s="294" t="str">
        <f>'SO-301'!I2</f>
        <v>Obec Kostelec, Kostelec 34, 349 01 Stříbro</v>
      </c>
      <c r="G2" s="291"/>
      <c r="H2" s="294" t="s">
        <v>479</v>
      </c>
      <c r="I2" s="295" t="s">
        <v>480</v>
      </c>
    </row>
    <row r="3" spans="1:9" ht="15" customHeight="1" x14ac:dyDescent="0.25">
      <c r="A3" s="287"/>
      <c r="B3" s="271"/>
      <c r="C3" s="276"/>
      <c r="D3" s="276"/>
      <c r="E3" s="271"/>
      <c r="F3" s="271"/>
      <c r="G3" s="271"/>
      <c r="H3" s="271"/>
      <c r="I3" s="288"/>
    </row>
    <row r="4" spans="1:9" x14ac:dyDescent="0.25">
      <c r="A4" s="286" t="s">
        <v>7</v>
      </c>
      <c r="B4" s="271"/>
      <c r="C4" s="270" t="str">
        <f>'SO-301'!C4</f>
        <v>SO-301 Kabelový rozvod VO - Etapa-1</v>
      </c>
      <c r="D4" s="271"/>
      <c r="E4" s="270" t="s">
        <v>10</v>
      </c>
      <c r="F4" s="270" t="str">
        <f>'SO-301'!I4</f>
        <v>SET projekt, s.r.o.</v>
      </c>
      <c r="G4" s="271"/>
      <c r="H4" s="270" t="s">
        <v>479</v>
      </c>
      <c r="I4" s="288" t="s">
        <v>53</v>
      </c>
    </row>
    <row r="5" spans="1:9" ht="15" customHeight="1" x14ac:dyDescent="0.25">
      <c r="A5" s="287"/>
      <c r="B5" s="271"/>
      <c r="C5" s="271"/>
      <c r="D5" s="271"/>
      <c r="E5" s="271"/>
      <c r="F5" s="271"/>
      <c r="G5" s="271"/>
      <c r="H5" s="271"/>
      <c r="I5" s="288"/>
    </row>
    <row r="6" spans="1:9" x14ac:dyDescent="0.25">
      <c r="A6" s="286" t="s">
        <v>12</v>
      </c>
      <c r="B6" s="271"/>
      <c r="C6" s="270" t="str">
        <f>'SO-301'!C6</f>
        <v>Nedražice</v>
      </c>
      <c r="D6" s="271"/>
      <c r="E6" s="270" t="s">
        <v>16</v>
      </c>
      <c r="F6" s="270" t="str">
        <f>'SO-301'!I6</f>
        <v> </v>
      </c>
      <c r="G6" s="271"/>
      <c r="H6" s="270" t="s">
        <v>479</v>
      </c>
      <c r="I6" s="288" t="s">
        <v>53</v>
      </c>
    </row>
    <row r="7" spans="1:9" ht="15" customHeight="1" x14ac:dyDescent="0.25">
      <c r="A7" s="287"/>
      <c r="B7" s="271"/>
      <c r="C7" s="271"/>
      <c r="D7" s="271"/>
      <c r="E7" s="271"/>
      <c r="F7" s="271"/>
      <c r="G7" s="271"/>
      <c r="H7" s="271"/>
      <c r="I7" s="288"/>
    </row>
    <row r="8" spans="1:9" x14ac:dyDescent="0.25">
      <c r="A8" s="286" t="s">
        <v>8</v>
      </c>
      <c r="B8" s="271"/>
      <c r="C8" s="270" t="str">
        <f>'SO-301'!G4</f>
        <v>01.04.2025</v>
      </c>
      <c r="D8" s="271"/>
      <c r="E8" s="270" t="s">
        <v>14</v>
      </c>
      <c r="F8" s="270" t="str">
        <f>'SO-301'!G6</f>
        <v>31.10.2025</v>
      </c>
      <c r="G8" s="271"/>
      <c r="H8" s="271" t="s">
        <v>483</v>
      </c>
      <c r="I8" s="326">
        <v>52</v>
      </c>
    </row>
    <row r="9" spans="1:9" x14ac:dyDescent="0.25">
      <c r="A9" s="287"/>
      <c r="B9" s="271"/>
      <c r="C9" s="271"/>
      <c r="D9" s="271"/>
      <c r="E9" s="271"/>
      <c r="F9" s="271"/>
      <c r="G9" s="271"/>
      <c r="H9" s="271"/>
      <c r="I9" s="288"/>
    </row>
    <row r="10" spans="1:9" x14ac:dyDescent="0.25">
      <c r="A10" s="286" t="s">
        <v>18</v>
      </c>
      <c r="B10" s="271"/>
      <c r="C10" s="270" t="str">
        <f>'SO-301'!C8</f>
        <v>8287511</v>
      </c>
      <c r="D10" s="271"/>
      <c r="E10" s="270" t="s">
        <v>22</v>
      </c>
      <c r="F10" s="270" t="str">
        <f>'SO-301'!I8</f>
        <v>Václav Říha</v>
      </c>
      <c r="G10" s="271"/>
      <c r="H10" s="271" t="s">
        <v>484</v>
      </c>
      <c r="I10" s="324" t="str">
        <f>'SO-301'!G8</f>
        <v>08.10.2024</v>
      </c>
    </row>
    <row r="11" spans="1:9" x14ac:dyDescent="0.25">
      <c r="A11" s="323"/>
      <c r="B11" s="275"/>
      <c r="C11" s="275"/>
      <c r="D11" s="275"/>
      <c r="E11" s="275"/>
      <c r="F11" s="275"/>
      <c r="G11" s="275"/>
      <c r="H11" s="275"/>
      <c r="I11" s="325"/>
    </row>
    <row r="12" spans="1:9" ht="23.25" x14ac:dyDescent="0.25">
      <c r="A12" s="320" t="s">
        <v>485</v>
      </c>
      <c r="B12" s="320"/>
      <c r="C12" s="320"/>
      <c r="D12" s="320"/>
      <c r="E12" s="320"/>
      <c r="F12" s="320"/>
      <c r="G12" s="320"/>
      <c r="H12" s="320"/>
      <c r="I12" s="320"/>
    </row>
    <row r="13" spans="1:9" ht="26.25" customHeight="1" x14ac:dyDescent="0.25">
      <c r="A13" s="157" t="s">
        <v>486</v>
      </c>
      <c r="B13" s="321" t="s">
        <v>487</v>
      </c>
      <c r="C13" s="322"/>
      <c r="D13" s="158" t="s">
        <v>488</v>
      </c>
      <c r="E13" s="321" t="s">
        <v>489</v>
      </c>
      <c r="F13" s="322"/>
      <c r="G13" s="158" t="s">
        <v>490</v>
      </c>
      <c r="H13" s="321" t="s">
        <v>491</v>
      </c>
      <c r="I13" s="322"/>
    </row>
    <row r="14" spans="1:9" ht="15.75" x14ac:dyDescent="0.25">
      <c r="A14" s="159" t="s">
        <v>492</v>
      </c>
      <c r="B14" s="160" t="s">
        <v>493</v>
      </c>
      <c r="C14" s="161">
        <f>SUM('SO-301'!AB12:AB75)</f>
        <v>0</v>
      </c>
      <c r="D14" s="318" t="s">
        <v>494</v>
      </c>
      <c r="E14" s="319"/>
      <c r="F14" s="161">
        <f>[5]VORN!I15</f>
        <v>0</v>
      </c>
      <c r="G14" s="318" t="s">
        <v>420</v>
      </c>
      <c r="H14" s="319"/>
      <c r="I14" s="162">
        <f>[5]VORN!I21</f>
        <v>0</v>
      </c>
    </row>
    <row r="15" spans="1:9" ht="15.75" x14ac:dyDescent="0.25">
      <c r="A15" s="163" t="s">
        <v>53</v>
      </c>
      <c r="B15" s="160" t="s">
        <v>38</v>
      </c>
      <c r="C15" s="161">
        <f>SUM('SO-301'!AC12:AC75)</f>
        <v>0</v>
      </c>
      <c r="D15" s="318" t="s">
        <v>495</v>
      </c>
      <c r="E15" s="319"/>
      <c r="F15" s="161">
        <f>[5]VORN!I16</f>
        <v>0</v>
      </c>
      <c r="G15" s="318" t="s">
        <v>496</v>
      </c>
      <c r="H15" s="319"/>
      <c r="I15" s="162">
        <f>[5]VORN!I22</f>
        <v>0</v>
      </c>
    </row>
    <row r="16" spans="1:9" ht="15.75" x14ac:dyDescent="0.25">
      <c r="A16" s="159" t="s">
        <v>497</v>
      </c>
      <c r="B16" s="160" t="s">
        <v>493</v>
      </c>
      <c r="C16" s="161">
        <f>SUM('SO-301'!AD12:AD75)</f>
        <v>0</v>
      </c>
      <c r="D16" s="318" t="s">
        <v>498</v>
      </c>
      <c r="E16" s="319"/>
      <c r="F16" s="161">
        <f>[5]VORN!I17</f>
        <v>0</v>
      </c>
      <c r="G16" s="318" t="s">
        <v>425</v>
      </c>
      <c r="H16" s="319"/>
      <c r="I16" s="162">
        <f>[5]VORN!I23</f>
        <v>0</v>
      </c>
    </row>
    <row r="17" spans="1:9" ht="15.75" x14ac:dyDescent="0.25">
      <c r="A17" s="163" t="s">
        <v>53</v>
      </c>
      <c r="B17" s="160" t="s">
        <v>38</v>
      </c>
      <c r="C17" s="161">
        <f>SUM('SO-301'!AE12:AE75)</f>
        <v>0</v>
      </c>
      <c r="D17" s="318" t="s">
        <v>53</v>
      </c>
      <c r="E17" s="319"/>
      <c r="F17" s="162" t="s">
        <v>53</v>
      </c>
      <c r="G17" s="318" t="s">
        <v>499</v>
      </c>
      <c r="H17" s="319"/>
      <c r="I17" s="162">
        <f>[5]VORN!I24</f>
        <v>0</v>
      </c>
    </row>
    <row r="18" spans="1:9" ht="15.75" x14ac:dyDescent="0.25">
      <c r="A18" s="159" t="s">
        <v>500</v>
      </c>
      <c r="B18" s="160" t="s">
        <v>493</v>
      </c>
      <c r="C18" s="161">
        <f>SUM('SO-301'!AF12:AF75)</f>
        <v>0</v>
      </c>
      <c r="D18" s="318" t="s">
        <v>53</v>
      </c>
      <c r="E18" s="319"/>
      <c r="F18" s="162" t="s">
        <v>53</v>
      </c>
      <c r="G18" s="318" t="s">
        <v>501</v>
      </c>
      <c r="H18" s="319"/>
      <c r="I18" s="162">
        <f>[5]VORN!I25</f>
        <v>0</v>
      </c>
    </row>
    <row r="19" spans="1:9" ht="15.75" x14ac:dyDescent="0.25">
      <c r="A19" s="163" t="s">
        <v>53</v>
      </c>
      <c r="B19" s="160" t="s">
        <v>38</v>
      </c>
      <c r="C19" s="161">
        <f>SUM('SO-301'!AG12:AG75)</f>
        <v>0</v>
      </c>
      <c r="D19" s="318" t="s">
        <v>53</v>
      </c>
      <c r="E19" s="319"/>
      <c r="F19" s="162" t="s">
        <v>53</v>
      </c>
      <c r="G19" s="318" t="s">
        <v>502</v>
      </c>
      <c r="H19" s="319"/>
      <c r="I19" s="162">
        <f>[5]VORN!I26</f>
        <v>0</v>
      </c>
    </row>
    <row r="20" spans="1:9" ht="15.75" x14ac:dyDescent="0.25">
      <c r="A20" s="307" t="s">
        <v>339</v>
      </c>
      <c r="B20" s="308"/>
      <c r="C20" s="161">
        <f>SUM('SO-301'!AH12:AH75)</f>
        <v>0</v>
      </c>
      <c r="D20" s="318" t="s">
        <v>53</v>
      </c>
      <c r="E20" s="319"/>
      <c r="F20" s="162" t="s">
        <v>53</v>
      </c>
      <c r="G20" s="318" t="s">
        <v>53</v>
      </c>
      <c r="H20" s="319"/>
      <c r="I20" s="162" t="s">
        <v>53</v>
      </c>
    </row>
    <row r="21" spans="1:9" ht="15.75" x14ac:dyDescent="0.25">
      <c r="A21" s="312" t="s">
        <v>503</v>
      </c>
      <c r="B21" s="313"/>
      <c r="C21" s="164">
        <f>SUM('SO-301'!Z12:Z75)</f>
        <v>0</v>
      </c>
      <c r="D21" s="297" t="s">
        <v>53</v>
      </c>
      <c r="E21" s="314"/>
      <c r="F21" s="165" t="s">
        <v>53</v>
      </c>
      <c r="G21" s="297" t="s">
        <v>53</v>
      </c>
      <c r="H21" s="314"/>
      <c r="I21" s="165" t="s">
        <v>53</v>
      </c>
    </row>
    <row r="22" spans="1:9" ht="16.5" customHeight="1" x14ac:dyDescent="0.25">
      <c r="A22" s="315" t="s">
        <v>504</v>
      </c>
      <c r="B22" s="316"/>
      <c r="C22" s="166">
        <f>ROUND(SUM(C14:C21),0)</f>
        <v>0</v>
      </c>
      <c r="D22" s="317" t="s">
        <v>505</v>
      </c>
      <c r="E22" s="316"/>
      <c r="F22" s="166">
        <f>SUM(F14:F21)</f>
        <v>0</v>
      </c>
      <c r="G22" s="317" t="s">
        <v>506</v>
      </c>
      <c r="H22" s="316"/>
      <c r="I22" s="166">
        <f>SUM(I14:I21)</f>
        <v>0</v>
      </c>
    </row>
    <row r="23" spans="1:9" ht="16.5" thickBot="1" x14ac:dyDescent="0.3">
      <c r="D23" s="307" t="s">
        <v>507</v>
      </c>
      <c r="E23" s="308"/>
      <c r="F23" s="167">
        <v>0</v>
      </c>
      <c r="G23" s="309" t="s">
        <v>508</v>
      </c>
      <c r="H23" s="308"/>
      <c r="I23" s="161">
        <v>0</v>
      </c>
    </row>
    <row r="24" spans="1:9" ht="15.75" x14ac:dyDescent="0.25">
      <c r="G24" s="307" t="s">
        <v>509</v>
      </c>
      <c r="H24" s="308"/>
      <c r="I24" s="164">
        <f>vorn_sum</f>
        <v>0</v>
      </c>
    </row>
    <row r="25" spans="1:9" ht="15.75" x14ac:dyDescent="0.25">
      <c r="G25" s="307" t="s">
        <v>510</v>
      </c>
      <c r="H25" s="308"/>
      <c r="I25" s="166">
        <v>0</v>
      </c>
    </row>
    <row r="27" spans="1:9" ht="15.75" x14ac:dyDescent="0.25">
      <c r="A27" s="310" t="s">
        <v>511</v>
      </c>
      <c r="B27" s="311"/>
      <c r="C27" s="168">
        <f>ROUND(SUM('SO-301'!AJ12:AJ75),0)</f>
        <v>0</v>
      </c>
    </row>
    <row r="28" spans="1:9" ht="15.75" x14ac:dyDescent="0.25">
      <c r="A28" s="302" t="s">
        <v>512</v>
      </c>
      <c r="B28" s="303"/>
      <c r="C28" s="169">
        <f>ROUND(SUM('SO-301'!AK12:AK75),0)</f>
        <v>0</v>
      </c>
      <c r="D28" s="311" t="s">
        <v>513</v>
      </c>
      <c r="E28" s="311"/>
      <c r="F28" s="168">
        <f>ROUND(C28*(12/100),2)</f>
        <v>0</v>
      </c>
      <c r="G28" s="311" t="s">
        <v>514</v>
      </c>
      <c r="H28" s="311"/>
      <c r="I28" s="168">
        <f>ROUND(SUM(C27:C29),0)</f>
        <v>0</v>
      </c>
    </row>
    <row r="29" spans="1:9" ht="15.75" x14ac:dyDescent="0.25">
      <c r="A29" s="302" t="s">
        <v>515</v>
      </c>
      <c r="B29" s="303"/>
      <c r="C29" s="169">
        <f>ROUND(SUM('SO-301'!AL12:AL75),0)</f>
        <v>0</v>
      </c>
      <c r="D29" s="303" t="s">
        <v>516</v>
      </c>
      <c r="E29" s="303"/>
      <c r="F29" s="169">
        <f>ROUND(C29*(21/100),2)</f>
        <v>0</v>
      </c>
      <c r="G29" s="303" t="s">
        <v>517</v>
      </c>
      <c r="H29" s="303"/>
      <c r="I29" s="169">
        <f>ROUND(SUM(F28:F29)+I28,0)</f>
        <v>0</v>
      </c>
    </row>
    <row r="31" spans="1:9" x14ac:dyDescent="0.25">
      <c r="A31" s="304" t="s">
        <v>518</v>
      </c>
      <c r="B31" s="305"/>
      <c r="C31" s="306"/>
      <c r="D31" s="305" t="s">
        <v>519</v>
      </c>
      <c r="E31" s="305"/>
      <c r="F31" s="306"/>
      <c r="G31" s="305" t="s">
        <v>520</v>
      </c>
      <c r="H31" s="305"/>
      <c r="I31" s="306"/>
    </row>
    <row r="32" spans="1:9" x14ac:dyDescent="0.25">
      <c r="A32" s="296" t="s">
        <v>53</v>
      </c>
      <c r="B32" s="297"/>
      <c r="C32" s="298"/>
      <c r="D32" s="297" t="s">
        <v>53</v>
      </c>
      <c r="E32" s="297"/>
      <c r="F32" s="298"/>
      <c r="G32" s="297" t="s">
        <v>53</v>
      </c>
      <c r="H32" s="297"/>
      <c r="I32" s="298"/>
    </row>
    <row r="33" spans="1:9" x14ac:dyDescent="0.25">
      <c r="A33" s="296" t="s">
        <v>53</v>
      </c>
      <c r="B33" s="297"/>
      <c r="C33" s="298"/>
      <c r="D33" s="297" t="s">
        <v>53</v>
      </c>
      <c r="E33" s="297"/>
      <c r="F33" s="298"/>
      <c r="G33" s="297" t="s">
        <v>53</v>
      </c>
      <c r="H33" s="297"/>
      <c r="I33" s="298"/>
    </row>
    <row r="34" spans="1:9" x14ac:dyDescent="0.25">
      <c r="A34" s="296" t="s">
        <v>53</v>
      </c>
      <c r="B34" s="297"/>
      <c r="C34" s="298"/>
      <c r="D34" s="297" t="s">
        <v>53</v>
      </c>
      <c r="E34" s="297"/>
      <c r="F34" s="298"/>
      <c r="G34" s="297" t="s">
        <v>53</v>
      </c>
      <c r="H34" s="297"/>
      <c r="I34" s="298"/>
    </row>
    <row r="35" spans="1:9" ht="15.75" thickBot="1" x14ac:dyDescent="0.3">
      <c r="A35" s="299" t="s">
        <v>521</v>
      </c>
      <c r="B35" s="300"/>
      <c r="C35" s="301"/>
      <c r="D35" s="300" t="s">
        <v>521</v>
      </c>
      <c r="E35" s="300"/>
      <c r="F35" s="301"/>
      <c r="G35" s="300" t="s">
        <v>521</v>
      </c>
      <c r="H35" s="300"/>
      <c r="I35" s="301"/>
    </row>
    <row r="36" spans="1:9" x14ac:dyDescent="0.25">
      <c r="A36" s="142" t="s">
        <v>431</v>
      </c>
    </row>
    <row r="37" spans="1:9" ht="12.75" customHeight="1" x14ac:dyDescent="0.25">
      <c r="A37" s="270" t="s">
        <v>53</v>
      </c>
      <c r="B37" s="271"/>
      <c r="C37" s="271"/>
      <c r="D37" s="271"/>
      <c r="E37" s="271"/>
      <c r="F37" s="271"/>
      <c r="G37" s="271"/>
      <c r="H37" s="271"/>
      <c r="I37" s="271"/>
    </row>
  </sheetData>
  <mergeCells count="83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workbookViewId="0">
      <selection activeCell="L34" sqref="L34"/>
    </sheetView>
  </sheetViews>
  <sheetFormatPr defaultColWidth="12.140625" defaultRowHeight="15" customHeight="1" x14ac:dyDescent="0.25"/>
  <cols>
    <col min="1" max="2" width="9.140625" style="109" customWidth="1"/>
    <col min="3" max="3" width="14.28515625" style="109" customWidth="1"/>
    <col min="4" max="4" width="42.85546875" style="109" customWidth="1"/>
    <col min="5" max="5" width="45.140625" style="109" customWidth="1"/>
    <col min="6" max="6" width="24.140625" style="109" customWidth="1"/>
    <col min="7" max="7" width="15.7109375" style="109" customWidth="1"/>
    <col min="8" max="8" width="20" style="109" customWidth="1"/>
    <col min="9" max="16384" width="12.140625" style="109"/>
  </cols>
  <sheetData>
    <row r="1" spans="1:8" ht="54.75" customHeight="1" x14ac:dyDescent="0.25">
      <c r="A1" s="289" t="s">
        <v>432</v>
      </c>
      <c r="B1" s="289"/>
      <c r="C1" s="289"/>
      <c r="D1" s="289"/>
      <c r="E1" s="289"/>
      <c r="F1" s="289"/>
      <c r="G1" s="289"/>
      <c r="H1" s="289"/>
    </row>
    <row r="2" spans="1:8" x14ac:dyDescent="0.25">
      <c r="A2" s="290" t="s">
        <v>1</v>
      </c>
      <c r="B2" s="291"/>
      <c r="C2" s="292" t="str">
        <f>'SO-301'!C2</f>
        <v>NEDRAŽICE - CHODNÍKY A ÚPRAVY VNITŘNÍCH PROSTOR OBCE</v>
      </c>
      <c r="D2" s="293"/>
      <c r="E2" s="294" t="s">
        <v>5</v>
      </c>
      <c r="F2" s="294" t="str">
        <f>'SO-301'!I2</f>
        <v>Obec Kostelec, Kostelec 34, 349 01 Stříbro</v>
      </c>
      <c r="G2" s="291"/>
      <c r="H2" s="295"/>
    </row>
    <row r="3" spans="1:8" ht="15" customHeight="1" x14ac:dyDescent="0.25">
      <c r="A3" s="287"/>
      <c r="B3" s="271"/>
      <c r="C3" s="276"/>
      <c r="D3" s="276"/>
      <c r="E3" s="271"/>
      <c r="F3" s="271"/>
      <c r="G3" s="271"/>
      <c r="H3" s="288"/>
    </row>
    <row r="4" spans="1:8" x14ac:dyDescent="0.25">
      <c r="A4" s="286" t="s">
        <v>7</v>
      </c>
      <c r="B4" s="271"/>
      <c r="C4" s="270" t="str">
        <f>'SO-301'!C4</f>
        <v>SO-301 Kabelový rozvod VO - Etapa-1</v>
      </c>
      <c r="D4" s="271"/>
      <c r="E4" s="270" t="s">
        <v>10</v>
      </c>
      <c r="F4" s="270" t="str">
        <f>'SO-301'!I4</f>
        <v>SET projekt, s.r.o.</v>
      </c>
      <c r="G4" s="271"/>
      <c r="H4" s="288"/>
    </row>
    <row r="5" spans="1:8" ht="15" customHeight="1" x14ac:dyDescent="0.25">
      <c r="A5" s="287"/>
      <c r="B5" s="271"/>
      <c r="C5" s="271"/>
      <c r="D5" s="271"/>
      <c r="E5" s="271"/>
      <c r="F5" s="271"/>
      <c r="G5" s="271"/>
      <c r="H5" s="288"/>
    </row>
    <row r="6" spans="1:8" x14ac:dyDescent="0.25">
      <c r="A6" s="286" t="s">
        <v>12</v>
      </c>
      <c r="B6" s="271"/>
      <c r="C6" s="270" t="str">
        <f>'SO-301'!C6</f>
        <v>Nedražice</v>
      </c>
      <c r="D6" s="271"/>
      <c r="E6" s="270" t="s">
        <v>16</v>
      </c>
      <c r="F6" s="270" t="str">
        <f>'SO-301'!I6</f>
        <v> </v>
      </c>
      <c r="G6" s="271"/>
      <c r="H6" s="288"/>
    </row>
    <row r="7" spans="1:8" ht="15" customHeight="1" x14ac:dyDescent="0.25">
      <c r="A7" s="287"/>
      <c r="B7" s="271"/>
      <c r="C7" s="271"/>
      <c r="D7" s="271"/>
      <c r="E7" s="271"/>
      <c r="F7" s="271"/>
      <c r="G7" s="271"/>
      <c r="H7" s="288"/>
    </row>
    <row r="8" spans="1:8" x14ac:dyDescent="0.25">
      <c r="A8" s="286" t="s">
        <v>22</v>
      </c>
      <c r="B8" s="271"/>
      <c r="C8" s="270" t="str">
        <f>'SO-301'!I8</f>
        <v>Václav Říha</v>
      </c>
      <c r="D8" s="271"/>
      <c r="E8" s="270" t="s">
        <v>20</v>
      </c>
      <c r="F8" s="270" t="str">
        <f>'SO-301'!G8</f>
        <v>08.10.2024</v>
      </c>
      <c r="G8" s="271"/>
      <c r="H8" s="288"/>
    </row>
    <row r="9" spans="1:8" ht="15.75" thickBot="1" x14ac:dyDescent="0.3">
      <c r="A9" s="287"/>
      <c r="B9" s="271"/>
      <c r="C9" s="271"/>
      <c r="D9" s="271"/>
      <c r="E9" s="271"/>
      <c r="F9" s="271"/>
      <c r="G9" s="271"/>
      <c r="H9" s="288"/>
    </row>
    <row r="10" spans="1:8" ht="15.75" thickBot="1" x14ac:dyDescent="0.3">
      <c r="A10" s="143" t="s">
        <v>24</v>
      </c>
      <c r="B10" s="144" t="s">
        <v>433</v>
      </c>
      <c r="C10" s="144" t="s">
        <v>25</v>
      </c>
      <c r="D10" s="330" t="s">
        <v>26</v>
      </c>
      <c r="E10" s="331"/>
      <c r="F10" s="144" t="s">
        <v>27</v>
      </c>
      <c r="G10" s="145" t="s">
        <v>28</v>
      </c>
      <c r="H10" s="146" t="s">
        <v>434</v>
      </c>
    </row>
    <row r="11" spans="1:8" x14ac:dyDescent="0.25">
      <c r="A11" s="170" t="s">
        <v>53</v>
      </c>
      <c r="B11" s="124" t="s">
        <v>1288</v>
      </c>
      <c r="C11" s="124" t="s">
        <v>53</v>
      </c>
      <c r="D11" s="273" t="s">
        <v>1287</v>
      </c>
      <c r="E11" s="273"/>
      <c r="F11" s="124" t="s">
        <v>53</v>
      </c>
      <c r="G11" s="115" t="s">
        <v>53</v>
      </c>
      <c r="H11" s="126" t="s">
        <v>53</v>
      </c>
    </row>
    <row r="12" spans="1:8" x14ac:dyDescent="0.25">
      <c r="A12" s="134" t="s">
        <v>56</v>
      </c>
      <c r="B12" s="135" t="s">
        <v>1288</v>
      </c>
      <c r="C12" s="135" t="s">
        <v>788</v>
      </c>
      <c r="D12" s="271" t="s">
        <v>1289</v>
      </c>
      <c r="E12" s="271"/>
      <c r="F12" s="135" t="s">
        <v>79</v>
      </c>
      <c r="G12" s="131">
        <v>56.05</v>
      </c>
      <c r="H12" s="147">
        <v>0</v>
      </c>
    </row>
    <row r="13" spans="1:8" x14ac:dyDescent="0.25">
      <c r="A13" s="148"/>
      <c r="D13" s="149" t="s">
        <v>1401</v>
      </c>
      <c r="E13" s="328" t="s">
        <v>53</v>
      </c>
      <c r="F13" s="328"/>
      <c r="G13" s="150">
        <v>56.05</v>
      </c>
      <c r="H13" s="151"/>
    </row>
    <row r="14" spans="1:8" x14ac:dyDescent="0.25">
      <c r="A14" s="134" t="s">
        <v>64</v>
      </c>
      <c r="B14" s="135" t="s">
        <v>1288</v>
      </c>
      <c r="C14" s="135" t="s">
        <v>1293</v>
      </c>
      <c r="D14" s="271" t="s">
        <v>1294</v>
      </c>
      <c r="E14" s="271"/>
      <c r="F14" s="135" t="s">
        <v>705</v>
      </c>
      <c r="G14" s="131">
        <v>24</v>
      </c>
      <c r="H14" s="147">
        <v>0</v>
      </c>
    </row>
    <row r="15" spans="1:8" x14ac:dyDescent="0.25">
      <c r="A15" s="148"/>
      <c r="D15" s="149" t="s">
        <v>142</v>
      </c>
      <c r="E15" s="328" t="s">
        <v>53</v>
      </c>
      <c r="F15" s="328"/>
      <c r="G15" s="150">
        <v>24</v>
      </c>
      <c r="H15" s="151"/>
    </row>
    <row r="16" spans="1:8" x14ac:dyDescent="0.25">
      <c r="A16" s="134" t="s">
        <v>68</v>
      </c>
      <c r="B16" s="135" t="s">
        <v>1288</v>
      </c>
      <c r="C16" s="135" t="s">
        <v>1299</v>
      </c>
      <c r="D16" s="271" t="s">
        <v>1300</v>
      </c>
      <c r="E16" s="271"/>
      <c r="F16" s="135" t="s">
        <v>122</v>
      </c>
      <c r="G16" s="131">
        <v>24.8</v>
      </c>
      <c r="H16" s="147">
        <v>0</v>
      </c>
    </row>
    <row r="17" spans="1:8" x14ac:dyDescent="0.25">
      <c r="A17" s="148"/>
      <c r="D17" s="149" t="s">
        <v>1402</v>
      </c>
      <c r="E17" s="328" t="s">
        <v>53</v>
      </c>
      <c r="F17" s="328"/>
      <c r="G17" s="150">
        <v>24.8</v>
      </c>
      <c r="H17" s="151"/>
    </row>
    <row r="18" spans="1:8" x14ac:dyDescent="0.25">
      <c r="A18" s="134" t="s">
        <v>71</v>
      </c>
      <c r="B18" s="135" t="s">
        <v>1288</v>
      </c>
      <c r="C18" s="135" t="s">
        <v>1304</v>
      </c>
      <c r="D18" s="271" t="s">
        <v>1305</v>
      </c>
      <c r="E18" s="271"/>
      <c r="F18" s="135" t="s">
        <v>164</v>
      </c>
      <c r="G18" s="131">
        <v>76</v>
      </c>
      <c r="H18" s="147">
        <v>0</v>
      </c>
    </row>
    <row r="19" spans="1:8" x14ac:dyDescent="0.25">
      <c r="A19" s="148"/>
      <c r="D19" s="149" t="s">
        <v>1403</v>
      </c>
      <c r="E19" s="328" t="s">
        <v>53</v>
      </c>
      <c r="F19" s="328"/>
      <c r="G19" s="150">
        <v>76</v>
      </c>
      <c r="H19" s="151"/>
    </row>
    <row r="20" spans="1:8" x14ac:dyDescent="0.25">
      <c r="A20" s="134" t="s">
        <v>76</v>
      </c>
      <c r="B20" s="135" t="s">
        <v>1288</v>
      </c>
      <c r="C20" s="135" t="s">
        <v>1307</v>
      </c>
      <c r="D20" s="271" t="s">
        <v>1308</v>
      </c>
      <c r="E20" s="271"/>
      <c r="F20" s="135" t="s">
        <v>164</v>
      </c>
      <c r="G20" s="131">
        <v>6</v>
      </c>
      <c r="H20" s="147">
        <v>0</v>
      </c>
    </row>
    <row r="21" spans="1:8" x14ac:dyDescent="0.25">
      <c r="A21" s="148"/>
      <c r="D21" s="149" t="s">
        <v>81</v>
      </c>
      <c r="E21" s="328" t="s">
        <v>53</v>
      </c>
      <c r="F21" s="328"/>
      <c r="G21" s="150">
        <v>6</v>
      </c>
      <c r="H21" s="151"/>
    </row>
    <row r="22" spans="1:8" x14ac:dyDescent="0.25">
      <c r="A22" s="134" t="s">
        <v>81</v>
      </c>
      <c r="B22" s="135" t="s">
        <v>1288</v>
      </c>
      <c r="C22" s="135" t="s">
        <v>1309</v>
      </c>
      <c r="D22" s="271" t="s">
        <v>1310</v>
      </c>
      <c r="E22" s="271"/>
      <c r="F22" s="135" t="s">
        <v>164</v>
      </c>
      <c r="G22" s="131">
        <v>1</v>
      </c>
      <c r="H22" s="147">
        <v>0</v>
      </c>
    </row>
    <row r="23" spans="1:8" x14ac:dyDescent="0.25">
      <c r="A23" s="148"/>
      <c r="D23" s="149" t="s">
        <v>56</v>
      </c>
      <c r="E23" s="328" t="s">
        <v>53</v>
      </c>
      <c r="F23" s="328"/>
      <c r="G23" s="150">
        <v>1</v>
      </c>
      <c r="H23" s="151"/>
    </row>
    <row r="24" spans="1:8" x14ac:dyDescent="0.25">
      <c r="A24" s="134" t="s">
        <v>84</v>
      </c>
      <c r="B24" s="135" t="s">
        <v>1288</v>
      </c>
      <c r="C24" s="135" t="s">
        <v>1311</v>
      </c>
      <c r="D24" s="271" t="s">
        <v>1312</v>
      </c>
      <c r="E24" s="271"/>
      <c r="F24" s="135" t="s">
        <v>164</v>
      </c>
      <c r="G24" s="131">
        <v>15</v>
      </c>
      <c r="H24" s="147">
        <v>0</v>
      </c>
    </row>
    <row r="25" spans="1:8" x14ac:dyDescent="0.25">
      <c r="A25" s="148"/>
      <c r="D25" s="149" t="s">
        <v>111</v>
      </c>
      <c r="E25" s="328" t="s">
        <v>53</v>
      </c>
      <c r="F25" s="328"/>
      <c r="G25" s="150">
        <v>15</v>
      </c>
      <c r="H25" s="151"/>
    </row>
    <row r="26" spans="1:8" x14ac:dyDescent="0.25">
      <c r="A26" s="134" t="s">
        <v>87</v>
      </c>
      <c r="B26" s="135" t="s">
        <v>1288</v>
      </c>
      <c r="C26" s="135" t="s">
        <v>1311</v>
      </c>
      <c r="D26" s="271" t="s">
        <v>1313</v>
      </c>
      <c r="E26" s="271"/>
      <c r="F26" s="135" t="s">
        <v>164</v>
      </c>
      <c r="G26" s="131">
        <v>45</v>
      </c>
      <c r="H26" s="147">
        <v>0</v>
      </c>
    </row>
    <row r="27" spans="1:8" x14ac:dyDescent="0.25">
      <c r="A27" s="148"/>
      <c r="D27" s="149" t="s">
        <v>167</v>
      </c>
      <c r="E27" s="328" t="s">
        <v>53</v>
      </c>
      <c r="F27" s="328"/>
      <c r="G27" s="150">
        <v>45</v>
      </c>
      <c r="H27" s="151"/>
    </row>
    <row r="28" spans="1:8" x14ac:dyDescent="0.25">
      <c r="A28" s="134" t="s">
        <v>90</v>
      </c>
      <c r="B28" s="135" t="s">
        <v>1288</v>
      </c>
      <c r="C28" s="135" t="s">
        <v>1314</v>
      </c>
      <c r="D28" s="271" t="s">
        <v>1315</v>
      </c>
      <c r="E28" s="271"/>
      <c r="F28" s="135" t="s">
        <v>164</v>
      </c>
      <c r="G28" s="131">
        <v>43</v>
      </c>
      <c r="H28" s="147">
        <v>0</v>
      </c>
    </row>
    <row r="29" spans="1:8" x14ac:dyDescent="0.25">
      <c r="A29" s="148"/>
      <c r="D29" s="149" t="s">
        <v>1404</v>
      </c>
      <c r="E29" s="328" t="s">
        <v>53</v>
      </c>
      <c r="F29" s="328"/>
      <c r="G29" s="150">
        <v>43</v>
      </c>
      <c r="H29" s="151"/>
    </row>
    <row r="30" spans="1:8" x14ac:dyDescent="0.25">
      <c r="A30" s="134" t="s">
        <v>93</v>
      </c>
      <c r="B30" s="135" t="s">
        <v>1288</v>
      </c>
      <c r="C30" s="135" t="s">
        <v>1316</v>
      </c>
      <c r="D30" s="271" t="s">
        <v>1317</v>
      </c>
      <c r="E30" s="271"/>
      <c r="F30" s="135" t="s">
        <v>164</v>
      </c>
      <c r="G30" s="131">
        <v>45</v>
      </c>
      <c r="H30" s="147">
        <v>0</v>
      </c>
    </row>
    <row r="31" spans="1:8" x14ac:dyDescent="0.25">
      <c r="A31" s="148"/>
      <c r="D31" s="149" t="s">
        <v>167</v>
      </c>
      <c r="E31" s="328" t="s">
        <v>53</v>
      </c>
      <c r="F31" s="328"/>
      <c r="G31" s="150">
        <v>45</v>
      </c>
      <c r="H31" s="151"/>
    </row>
    <row r="32" spans="1:8" x14ac:dyDescent="0.25">
      <c r="A32" s="134" t="s">
        <v>54</v>
      </c>
      <c r="B32" s="135" t="s">
        <v>1288</v>
      </c>
      <c r="C32" s="135" t="s">
        <v>1318</v>
      </c>
      <c r="D32" s="271" t="s">
        <v>1319</v>
      </c>
      <c r="E32" s="271"/>
      <c r="F32" s="135" t="s">
        <v>67</v>
      </c>
      <c r="G32" s="131">
        <v>1277.5999999999999</v>
      </c>
      <c r="H32" s="147">
        <v>0</v>
      </c>
    </row>
    <row r="33" spans="1:8" x14ac:dyDescent="0.25">
      <c r="A33" s="148"/>
      <c r="D33" s="149" t="s">
        <v>1405</v>
      </c>
      <c r="E33" s="328" t="s">
        <v>53</v>
      </c>
      <c r="F33" s="328"/>
      <c r="G33" s="150">
        <v>1277.5999999999999</v>
      </c>
      <c r="H33" s="151"/>
    </row>
    <row r="34" spans="1:8" x14ac:dyDescent="0.25">
      <c r="A34" s="134" t="s">
        <v>74</v>
      </c>
      <c r="B34" s="135" t="s">
        <v>1288</v>
      </c>
      <c r="C34" s="135" t="s">
        <v>1320</v>
      </c>
      <c r="D34" s="271" t="s">
        <v>1321</v>
      </c>
      <c r="E34" s="271"/>
      <c r="F34" s="135" t="s">
        <v>164</v>
      </c>
      <c r="G34" s="131">
        <v>69</v>
      </c>
      <c r="H34" s="147">
        <v>0</v>
      </c>
    </row>
    <row r="35" spans="1:8" x14ac:dyDescent="0.25">
      <c r="A35" s="148"/>
      <c r="D35" s="149" t="s">
        <v>307</v>
      </c>
      <c r="E35" s="328" t="s">
        <v>53</v>
      </c>
      <c r="F35" s="328"/>
      <c r="G35" s="150">
        <v>69</v>
      </c>
      <c r="H35" s="151"/>
    </row>
    <row r="36" spans="1:8" x14ac:dyDescent="0.25">
      <c r="A36" s="134" t="s">
        <v>96</v>
      </c>
      <c r="B36" s="135" t="s">
        <v>1288</v>
      </c>
      <c r="C36" s="135" t="s">
        <v>1322</v>
      </c>
      <c r="D36" s="271" t="s">
        <v>1323</v>
      </c>
      <c r="E36" s="271"/>
      <c r="F36" s="135" t="s">
        <v>67</v>
      </c>
      <c r="G36" s="131">
        <v>360</v>
      </c>
      <c r="H36" s="147">
        <v>0</v>
      </c>
    </row>
    <row r="37" spans="1:8" x14ac:dyDescent="0.25">
      <c r="A37" s="148"/>
      <c r="D37" s="149" t="s">
        <v>1406</v>
      </c>
      <c r="E37" s="328" t="s">
        <v>53</v>
      </c>
      <c r="F37" s="328"/>
      <c r="G37" s="150">
        <v>360</v>
      </c>
      <c r="H37" s="151"/>
    </row>
    <row r="38" spans="1:8" x14ac:dyDescent="0.25">
      <c r="A38" s="134" t="s">
        <v>108</v>
      </c>
      <c r="B38" s="135" t="s">
        <v>1288</v>
      </c>
      <c r="C38" s="135" t="s">
        <v>1324</v>
      </c>
      <c r="D38" s="271" t="s">
        <v>1325</v>
      </c>
      <c r="E38" s="271"/>
      <c r="F38" s="135" t="s">
        <v>67</v>
      </c>
      <c r="G38" s="131">
        <v>1367</v>
      </c>
      <c r="H38" s="147">
        <v>0</v>
      </c>
    </row>
    <row r="39" spans="1:8" x14ac:dyDescent="0.25">
      <c r="A39" s="148"/>
      <c r="D39" s="149" t="s">
        <v>1407</v>
      </c>
      <c r="E39" s="328" t="s">
        <v>53</v>
      </c>
      <c r="F39" s="328"/>
      <c r="G39" s="150">
        <v>1367</v>
      </c>
      <c r="H39" s="151"/>
    </row>
    <row r="40" spans="1:8" x14ac:dyDescent="0.25">
      <c r="A40" s="134" t="s">
        <v>111</v>
      </c>
      <c r="B40" s="135" t="s">
        <v>1288</v>
      </c>
      <c r="C40" s="135" t="s">
        <v>1326</v>
      </c>
      <c r="D40" s="271" t="s">
        <v>1327</v>
      </c>
      <c r="E40" s="271"/>
      <c r="F40" s="135" t="s">
        <v>67</v>
      </c>
      <c r="G40" s="131">
        <v>1281</v>
      </c>
      <c r="H40" s="147">
        <v>0</v>
      </c>
    </row>
    <row r="41" spans="1:8" x14ac:dyDescent="0.25">
      <c r="A41" s="148"/>
      <c r="D41" s="149" t="s">
        <v>1408</v>
      </c>
      <c r="E41" s="328" t="s">
        <v>53</v>
      </c>
      <c r="F41" s="328"/>
      <c r="G41" s="150">
        <v>1281</v>
      </c>
      <c r="H41" s="151"/>
    </row>
    <row r="42" spans="1:8" x14ac:dyDescent="0.25">
      <c r="A42" s="134" t="s">
        <v>101</v>
      </c>
      <c r="B42" s="135" t="s">
        <v>1288</v>
      </c>
      <c r="C42" s="135" t="s">
        <v>1330</v>
      </c>
      <c r="D42" s="271" t="s">
        <v>1331</v>
      </c>
      <c r="E42" s="271"/>
      <c r="F42" s="135" t="s">
        <v>79</v>
      </c>
      <c r="G42" s="131">
        <v>12.38</v>
      </c>
      <c r="H42" s="147">
        <v>0</v>
      </c>
    </row>
    <row r="43" spans="1:8" x14ac:dyDescent="0.25">
      <c r="A43" s="148"/>
      <c r="D43" s="149" t="s">
        <v>1409</v>
      </c>
      <c r="E43" s="328" t="s">
        <v>53</v>
      </c>
      <c r="F43" s="328"/>
      <c r="G43" s="150">
        <v>12.38</v>
      </c>
      <c r="H43" s="151"/>
    </row>
    <row r="44" spans="1:8" x14ac:dyDescent="0.25">
      <c r="A44" s="134" t="s">
        <v>116</v>
      </c>
      <c r="B44" s="135" t="s">
        <v>1288</v>
      </c>
      <c r="C44" s="135" t="s">
        <v>1333</v>
      </c>
      <c r="D44" s="271" t="s">
        <v>1334</v>
      </c>
      <c r="E44" s="271"/>
      <c r="F44" s="135" t="s">
        <v>164</v>
      </c>
      <c r="G44" s="131">
        <v>7</v>
      </c>
      <c r="H44" s="147">
        <v>0</v>
      </c>
    </row>
    <row r="45" spans="1:8" x14ac:dyDescent="0.25">
      <c r="A45" s="148"/>
      <c r="D45" s="149" t="s">
        <v>1410</v>
      </c>
      <c r="E45" s="328" t="s">
        <v>53</v>
      </c>
      <c r="F45" s="328"/>
      <c r="G45" s="150">
        <v>7</v>
      </c>
      <c r="H45" s="151"/>
    </row>
    <row r="46" spans="1:8" x14ac:dyDescent="0.25">
      <c r="A46" s="134" t="s">
        <v>119</v>
      </c>
      <c r="B46" s="135" t="s">
        <v>1288</v>
      </c>
      <c r="C46" s="135" t="s">
        <v>1335</v>
      </c>
      <c r="D46" s="271" t="s">
        <v>1336</v>
      </c>
      <c r="E46" s="271"/>
      <c r="F46" s="135" t="s">
        <v>164</v>
      </c>
      <c r="G46" s="131">
        <v>43</v>
      </c>
      <c r="H46" s="147">
        <v>0</v>
      </c>
    </row>
    <row r="47" spans="1:8" x14ac:dyDescent="0.25">
      <c r="A47" s="148"/>
      <c r="D47" s="149" t="s">
        <v>208</v>
      </c>
      <c r="E47" s="328" t="s">
        <v>53</v>
      </c>
      <c r="F47" s="328"/>
      <c r="G47" s="150">
        <v>43</v>
      </c>
      <c r="H47" s="151"/>
    </row>
    <row r="48" spans="1:8" x14ac:dyDescent="0.25">
      <c r="A48" s="134" t="s">
        <v>124</v>
      </c>
      <c r="B48" s="135" t="s">
        <v>1288</v>
      </c>
      <c r="C48" s="135" t="s">
        <v>1337</v>
      </c>
      <c r="D48" s="271" t="s">
        <v>1338</v>
      </c>
      <c r="E48" s="271"/>
      <c r="F48" s="135" t="s">
        <v>67</v>
      </c>
      <c r="G48" s="131">
        <v>1226</v>
      </c>
      <c r="H48" s="147">
        <v>0</v>
      </c>
    </row>
    <row r="49" spans="1:8" x14ac:dyDescent="0.25">
      <c r="A49" s="148"/>
      <c r="D49" s="149" t="s">
        <v>1411</v>
      </c>
      <c r="E49" s="328" t="s">
        <v>53</v>
      </c>
      <c r="F49" s="328"/>
      <c r="G49" s="150">
        <v>1226</v>
      </c>
      <c r="H49" s="151"/>
    </row>
    <row r="50" spans="1:8" x14ac:dyDescent="0.25">
      <c r="A50" s="134" t="s">
        <v>128</v>
      </c>
      <c r="B50" s="135" t="s">
        <v>1288</v>
      </c>
      <c r="C50" s="135" t="s">
        <v>1339</v>
      </c>
      <c r="D50" s="271" t="s">
        <v>1340</v>
      </c>
      <c r="E50" s="271"/>
      <c r="F50" s="135" t="s">
        <v>67</v>
      </c>
      <c r="G50" s="131">
        <v>1226</v>
      </c>
      <c r="H50" s="147">
        <v>0</v>
      </c>
    </row>
    <row r="51" spans="1:8" x14ac:dyDescent="0.25">
      <c r="A51" s="148"/>
      <c r="D51" s="149" t="s">
        <v>1412</v>
      </c>
      <c r="E51" s="328" t="s">
        <v>53</v>
      </c>
      <c r="F51" s="328"/>
      <c r="G51" s="150">
        <v>1226</v>
      </c>
      <c r="H51" s="151"/>
    </row>
    <row r="52" spans="1:8" x14ac:dyDescent="0.25">
      <c r="A52" s="134" t="s">
        <v>131</v>
      </c>
      <c r="B52" s="135" t="s">
        <v>1288</v>
      </c>
      <c r="C52" s="135" t="s">
        <v>1341</v>
      </c>
      <c r="D52" s="271" t="s">
        <v>1342</v>
      </c>
      <c r="E52" s="271"/>
      <c r="F52" s="135" t="s">
        <v>67</v>
      </c>
      <c r="G52" s="131">
        <v>158</v>
      </c>
      <c r="H52" s="147">
        <v>0</v>
      </c>
    </row>
    <row r="53" spans="1:8" x14ac:dyDescent="0.25">
      <c r="A53" s="148"/>
      <c r="D53" s="149" t="s">
        <v>928</v>
      </c>
      <c r="E53" s="328" t="s">
        <v>53</v>
      </c>
      <c r="F53" s="328"/>
      <c r="G53" s="150">
        <v>158</v>
      </c>
      <c r="H53" s="151"/>
    </row>
    <row r="54" spans="1:8" x14ac:dyDescent="0.25">
      <c r="A54" s="134" t="s">
        <v>135</v>
      </c>
      <c r="B54" s="135" t="s">
        <v>1288</v>
      </c>
      <c r="C54" s="135" t="s">
        <v>1343</v>
      </c>
      <c r="D54" s="271" t="s">
        <v>1344</v>
      </c>
      <c r="E54" s="271"/>
      <c r="F54" s="135" t="s">
        <v>67</v>
      </c>
      <c r="G54" s="131">
        <v>1226</v>
      </c>
      <c r="H54" s="147">
        <v>0</v>
      </c>
    </row>
    <row r="55" spans="1:8" x14ac:dyDescent="0.25">
      <c r="A55" s="148"/>
      <c r="D55" s="149" t="s">
        <v>1412</v>
      </c>
      <c r="E55" s="328" t="s">
        <v>53</v>
      </c>
      <c r="F55" s="328"/>
      <c r="G55" s="150">
        <v>1226</v>
      </c>
      <c r="H55" s="151"/>
    </row>
    <row r="56" spans="1:8" x14ac:dyDescent="0.25">
      <c r="A56" s="134" t="s">
        <v>139</v>
      </c>
      <c r="B56" s="135" t="s">
        <v>1288</v>
      </c>
      <c r="C56" s="135" t="s">
        <v>1345</v>
      </c>
      <c r="D56" s="271" t="s">
        <v>1346</v>
      </c>
      <c r="E56" s="271"/>
      <c r="F56" s="135" t="s">
        <v>67</v>
      </c>
      <c r="G56" s="131">
        <v>1226</v>
      </c>
      <c r="H56" s="147">
        <v>0</v>
      </c>
    </row>
    <row r="57" spans="1:8" x14ac:dyDescent="0.25">
      <c r="A57" s="148"/>
      <c r="D57" s="149" t="s">
        <v>1412</v>
      </c>
      <c r="E57" s="328" t="s">
        <v>53</v>
      </c>
      <c r="F57" s="328"/>
      <c r="G57" s="150">
        <v>1226</v>
      </c>
      <c r="H57" s="151"/>
    </row>
    <row r="58" spans="1:8" x14ac:dyDescent="0.25">
      <c r="A58" s="134" t="s">
        <v>142</v>
      </c>
      <c r="B58" s="135" t="s">
        <v>1288</v>
      </c>
      <c r="C58" s="135" t="s">
        <v>1347</v>
      </c>
      <c r="D58" s="271" t="s">
        <v>1348</v>
      </c>
      <c r="E58" s="271"/>
      <c r="F58" s="135" t="s">
        <v>59</v>
      </c>
      <c r="G58" s="131">
        <v>30</v>
      </c>
      <c r="H58" s="147">
        <v>0</v>
      </c>
    </row>
    <row r="59" spans="1:8" x14ac:dyDescent="0.25">
      <c r="A59" s="148"/>
      <c r="D59" s="149" t="s">
        <v>1413</v>
      </c>
      <c r="E59" s="328" t="s">
        <v>53</v>
      </c>
      <c r="F59" s="328"/>
      <c r="G59" s="150">
        <v>30</v>
      </c>
      <c r="H59" s="151"/>
    </row>
    <row r="60" spans="1:8" x14ac:dyDescent="0.25">
      <c r="A60" s="134" t="s">
        <v>145</v>
      </c>
      <c r="B60" s="135" t="s">
        <v>1288</v>
      </c>
      <c r="C60" s="135" t="s">
        <v>1349</v>
      </c>
      <c r="D60" s="271" t="s">
        <v>1350</v>
      </c>
      <c r="E60" s="271"/>
      <c r="F60" s="135" t="s">
        <v>79</v>
      </c>
      <c r="G60" s="131">
        <v>56.05</v>
      </c>
      <c r="H60" s="147">
        <v>0</v>
      </c>
    </row>
    <row r="61" spans="1:8" x14ac:dyDescent="0.25">
      <c r="A61" s="148"/>
      <c r="D61" s="149" t="s">
        <v>1414</v>
      </c>
      <c r="E61" s="328" t="s">
        <v>53</v>
      </c>
      <c r="F61" s="328"/>
      <c r="G61" s="150">
        <v>56.05</v>
      </c>
      <c r="H61" s="151"/>
    </row>
    <row r="62" spans="1:8" x14ac:dyDescent="0.25">
      <c r="A62" s="134" t="s">
        <v>150</v>
      </c>
      <c r="B62" s="135" t="s">
        <v>1288</v>
      </c>
      <c r="C62" s="135" t="s">
        <v>1351</v>
      </c>
      <c r="D62" s="271" t="s">
        <v>1352</v>
      </c>
      <c r="E62" s="271"/>
      <c r="F62" s="135" t="s">
        <v>79</v>
      </c>
      <c r="G62" s="131">
        <v>560.5</v>
      </c>
      <c r="H62" s="147">
        <v>0</v>
      </c>
    </row>
    <row r="63" spans="1:8" x14ac:dyDescent="0.25">
      <c r="A63" s="148"/>
      <c r="D63" s="149" t="s">
        <v>1415</v>
      </c>
      <c r="E63" s="328" t="s">
        <v>53</v>
      </c>
      <c r="F63" s="328"/>
      <c r="G63" s="150">
        <v>560.5</v>
      </c>
      <c r="H63" s="151"/>
    </row>
    <row r="64" spans="1:8" x14ac:dyDescent="0.25">
      <c r="A64" s="134" t="s">
        <v>155</v>
      </c>
      <c r="B64" s="135" t="s">
        <v>1288</v>
      </c>
      <c r="C64" s="135" t="s">
        <v>120</v>
      </c>
      <c r="D64" s="271" t="s">
        <v>121</v>
      </c>
      <c r="E64" s="271"/>
      <c r="F64" s="135" t="s">
        <v>122</v>
      </c>
      <c r="G64" s="131">
        <v>100.89</v>
      </c>
      <c r="H64" s="147">
        <v>0</v>
      </c>
    </row>
    <row r="65" spans="1:8" x14ac:dyDescent="0.25">
      <c r="A65" s="148"/>
      <c r="D65" s="149" t="s">
        <v>1416</v>
      </c>
      <c r="E65" s="328" t="s">
        <v>53</v>
      </c>
      <c r="F65" s="328"/>
      <c r="G65" s="150">
        <v>100.89</v>
      </c>
      <c r="H65" s="151"/>
    </row>
    <row r="66" spans="1:8" x14ac:dyDescent="0.25">
      <c r="A66" s="134" t="s">
        <v>158</v>
      </c>
      <c r="B66" s="135" t="s">
        <v>1288</v>
      </c>
      <c r="C66" s="135" t="s">
        <v>1353</v>
      </c>
      <c r="D66" s="271" t="s">
        <v>1354</v>
      </c>
      <c r="E66" s="271"/>
      <c r="F66" s="135" t="s">
        <v>67</v>
      </c>
      <c r="G66" s="131">
        <v>378</v>
      </c>
      <c r="H66" s="147">
        <v>0</v>
      </c>
    </row>
    <row r="67" spans="1:8" x14ac:dyDescent="0.25">
      <c r="A67" s="148"/>
      <c r="D67" s="149" t="s">
        <v>1417</v>
      </c>
      <c r="E67" s="328" t="s">
        <v>53</v>
      </c>
      <c r="F67" s="328"/>
      <c r="G67" s="150">
        <v>378</v>
      </c>
      <c r="H67" s="151"/>
    </row>
    <row r="68" spans="1:8" x14ac:dyDescent="0.25">
      <c r="A68" s="134" t="s">
        <v>161</v>
      </c>
      <c r="B68" s="135" t="s">
        <v>1288</v>
      </c>
      <c r="C68" s="135" t="s">
        <v>1356</v>
      </c>
      <c r="D68" s="271" t="s">
        <v>1357</v>
      </c>
      <c r="E68" s="271"/>
      <c r="F68" s="135" t="s">
        <v>67</v>
      </c>
      <c r="G68" s="131">
        <v>1435.35</v>
      </c>
      <c r="H68" s="147">
        <v>0</v>
      </c>
    </row>
    <row r="69" spans="1:8" x14ac:dyDescent="0.25">
      <c r="A69" s="148"/>
      <c r="D69" s="149" t="s">
        <v>1418</v>
      </c>
      <c r="E69" s="328" t="s">
        <v>53</v>
      </c>
      <c r="F69" s="328"/>
      <c r="G69" s="150">
        <v>1435.35</v>
      </c>
      <c r="H69" s="151"/>
    </row>
    <row r="70" spans="1:8" x14ac:dyDescent="0.25">
      <c r="A70" s="134" t="s">
        <v>165</v>
      </c>
      <c r="B70" s="135" t="s">
        <v>1288</v>
      </c>
      <c r="C70" s="135" t="s">
        <v>1358</v>
      </c>
      <c r="D70" s="271" t="s">
        <v>1359</v>
      </c>
      <c r="E70" s="271"/>
      <c r="F70" s="135" t="s">
        <v>67</v>
      </c>
      <c r="G70" s="131">
        <v>1281</v>
      </c>
      <c r="H70" s="147">
        <v>0</v>
      </c>
    </row>
    <row r="71" spans="1:8" x14ac:dyDescent="0.25">
      <c r="A71" s="148"/>
      <c r="D71" s="149" t="s">
        <v>1408</v>
      </c>
      <c r="E71" s="328" t="s">
        <v>53</v>
      </c>
      <c r="F71" s="328"/>
      <c r="G71" s="150">
        <v>1281</v>
      </c>
      <c r="H71" s="151"/>
    </row>
    <row r="72" spans="1:8" x14ac:dyDescent="0.25">
      <c r="A72" s="134" t="s">
        <v>169</v>
      </c>
      <c r="B72" s="135" t="s">
        <v>1288</v>
      </c>
      <c r="C72" s="135" t="s">
        <v>1360</v>
      </c>
      <c r="D72" s="271" t="s">
        <v>1361</v>
      </c>
      <c r="E72" s="271"/>
      <c r="F72" s="135" t="s">
        <v>164</v>
      </c>
      <c r="G72" s="131">
        <v>43</v>
      </c>
      <c r="H72" s="147">
        <v>0</v>
      </c>
    </row>
    <row r="73" spans="1:8" x14ac:dyDescent="0.25">
      <c r="A73" s="148"/>
      <c r="D73" s="149" t="s">
        <v>208</v>
      </c>
      <c r="E73" s="328" t="s">
        <v>53</v>
      </c>
      <c r="F73" s="328"/>
      <c r="G73" s="150">
        <v>43</v>
      </c>
      <c r="H73" s="151"/>
    </row>
    <row r="74" spans="1:8" x14ac:dyDescent="0.25">
      <c r="A74" s="134" t="s">
        <v>174</v>
      </c>
      <c r="B74" s="135" t="s">
        <v>1288</v>
      </c>
      <c r="C74" s="135" t="s">
        <v>1362</v>
      </c>
      <c r="D74" s="271" t="s">
        <v>1363</v>
      </c>
      <c r="E74" s="271"/>
      <c r="F74" s="135" t="s">
        <v>408</v>
      </c>
      <c r="G74" s="131">
        <v>792.36</v>
      </c>
      <c r="H74" s="147">
        <v>0</v>
      </c>
    </row>
    <row r="75" spans="1:8" x14ac:dyDescent="0.25">
      <c r="A75" s="148"/>
      <c r="D75" s="149" t="s">
        <v>1419</v>
      </c>
      <c r="E75" s="328" t="s">
        <v>53</v>
      </c>
      <c r="F75" s="328"/>
      <c r="G75" s="150">
        <v>792.36</v>
      </c>
      <c r="H75" s="151"/>
    </row>
    <row r="76" spans="1:8" x14ac:dyDescent="0.25">
      <c r="A76" s="134" t="s">
        <v>148</v>
      </c>
      <c r="B76" s="135" t="s">
        <v>1288</v>
      </c>
      <c r="C76" s="135" t="s">
        <v>1364</v>
      </c>
      <c r="D76" s="271" t="s">
        <v>1365</v>
      </c>
      <c r="E76" s="271"/>
      <c r="F76" s="135" t="s">
        <v>164</v>
      </c>
      <c r="G76" s="131">
        <v>5</v>
      </c>
      <c r="H76" s="147">
        <v>0</v>
      </c>
    </row>
    <row r="77" spans="1:8" x14ac:dyDescent="0.25">
      <c r="A77" s="148"/>
      <c r="D77" s="149" t="s">
        <v>76</v>
      </c>
      <c r="E77" s="328" t="s">
        <v>53</v>
      </c>
      <c r="F77" s="328"/>
      <c r="G77" s="150">
        <v>5</v>
      </c>
      <c r="H77" s="151"/>
    </row>
    <row r="78" spans="1:8" x14ac:dyDescent="0.25">
      <c r="A78" s="134" t="s">
        <v>183</v>
      </c>
      <c r="B78" s="135" t="s">
        <v>1288</v>
      </c>
      <c r="C78" s="135" t="s">
        <v>1366</v>
      </c>
      <c r="D78" s="271" t="s">
        <v>1367</v>
      </c>
      <c r="E78" s="271"/>
      <c r="F78" s="135" t="s">
        <v>164</v>
      </c>
      <c r="G78" s="131">
        <v>37</v>
      </c>
      <c r="H78" s="147">
        <v>0</v>
      </c>
    </row>
    <row r="79" spans="1:8" x14ac:dyDescent="0.25">
      <c r="A79" s="148"/>
      <c r="D79" s="149" t="s">
        <v>191</v>
      </c>
      <c r="E79" s="328" t="s">
        <v>53</v>
      </c>
      <c r="F79" s="328"/>
      <c r="G79" s="150">
        <v>37</v>
      </c>
      <c r="H79" s="151"/>
    </row>
    <row r="80" spans="1:8" x14ac:dyDescent="0.25">
      <c r="A80" s="134" t="s">
        <v>186</v>
      </c>
      <c r="B80" s="135" t="s">
        <v>1288</v>
      </c>
      <c r="C80" s="135" t="s">
        <v>1368</v>
      </c>
      <c r="D80" s="271" t="s">
        <v>1369</v>
      </c>
      <c r="E80" s="271"/>
      <c r="F80" s="135" t="s">
        <v>164</v>
      </c>
      <c r="G80" s="131">
        <v>1</v>
      </c>
      <c r="H80" s="147">
        <v>0</v>
      </c>
    </row>
    <row r="81" spans="1:8" x14ac:dyDescent="0.25">
      <c r="A81" s="148"/>
      <c r="D81" s="149" t="s">
        <v>56</v>
      </c>
      <c r="E81" s="328" t="s">
        <v>53</v>
      </c>
      <c r="F81" s="328"/>
      <c r="G81" s="150">
        <v>1</v>
      </c>
      <c r="H81" s="151"/>
    </row>
    <row r="82" spans="1:8" x14ac:dyDescent="0.25">
      <c r="A82" s="134" t="s">
        <v>189</v>
      </c>
      <c r="B82" s="135" t="s">
        <v>1288</v>
      </c>
      <c r="C82" s="135" t="s">
        <v>1370</v>
      </c>
      <c r="D82" s="271" t="s">
        <v>1371</v>
      </c>
      <c r="E82" s="271"/>
      <c r="F82" s="135" t="s">
        <v>164</v>
      </c>
      <c r="G82" s="131">
        <v>43</v>
      </c>
      <c r="H82" s="147">
        <v>0</v>
      </c>
    </row>
    <row r="83" spans="1:8" x14ac:dyDescent="0.25">
      <c r="A83" s="148"/>
      <c r="D83" s="149" t="s">
        <v>208</v>
      </c>
      <c r="E83" s="328" t="s">
        <v>53</v>
      </c>
      <c r="F83" s="328"/>
      <c r="G83" s="150">
        <v>43</v>
      </c>
      <c r="H83" s="151"/>
    </row>
    <row r="84" spans="1:8" x14ac:dyDescent="0.25">
      <c r="A84" s="134" t="s">
        <v>191</v>
      </c>
      <c r="B84" s="135" t="s">
        <v>1288</v>
      </c>
      <c r="C84" s="135" t="s">
        <v>1372</v>
      </c>
      <c r="D84" s="271" t="s">
        <v>1373</v>
      </c>
      <c r="E84" s="271"/>
      <c r="F84" s="135" t="s">
        <v>164</v>
      </c>
      <c r="G84" s="131">
        <v>7</v>
      </c>
      <c r="H84" s="147">
        <v>0</v>
      </c>
    </row>
    <row r="85" spans="1:8" x14ac:dyDescent="0.25">
      <c r="A85" s="148"/>
      <c r="D85" s="149" t="s">
        <v>84</v>
      </c>
      <c r="E85" s="328" t="s">
        <v>53</v>
      </c>
      <c r="F85" s="328"/>
      <c r="G85" s="150">
        <v>7</v>
      </c>
      <c r="H85" s="151"/>
    </row>
    <row r="86" spans="1:8" x14ac:dyDescent="0.25">
      <c r="A86" s="134" t="s">
        <v>194</v>
      </c>
      <c r="B86" s="135" t="s">
        <v>1288</v>
      </c>
      <c r="C86" s="135" t="s">
        <v>1372</v>
      </c>
      <c r="D86" s="271" t="s">
        <v>1374</v>
      </c>
      <c r="E86" s="271"/>
      <c r="F86" s="135" t="s">
        <v>164</v>
      </c>
      <c r="G86" s="131">
        <v>38</v>
      </c>
      <c r="H86" s="147">
        <v>0</v>
      </c>
    </row>
    <row r="87" spans="1:8" x14ac:dyDescent="0.25">
      <c r="A87" s="148"/>
      <c r="D87" s="149" t="s">
        <v>194</v>
      </c>
      <c r="E87" s="328" t="s">
        <v>53</v>
      </c>
      <c r="F87" s="328"/>
      <c r="G87" s="150">
        <v>38</v>
      </c>
      <c r="H87" s="151"/>
    </row>
    <row r="88" spans="1:8" x14ac:dyDescent="0.25">
      <c r="A88" s="134" t="s">
        <v>197</v>
      </c>
      <c r="B88" s="135" t="s">
        <v>1288</v>
      </c>
      <c r="C88" s="135" t="s">
        <v>1375</v>
      </c>
      <c r="D88" s="271" t="s">
        <v>1376</v>
      </c>
      <c r="E88" s="271"/>
      <c r="F88" s="135" t="s">
        <v>164</v>
      </c>
      <c r="G88" s="131">
        <v>6</v>
      </c>
      <c r="H88" s="147">
        <v>0</v>
      </c>
    </row>
    <row r="89" spans="1:8" x14ac:dyDescent="0.25">
      <c r="A89" s="148"/>
      <c r="D89" s="149" t="s">
        <v>81</v>
      </c>
      <c r="E89" s="328" t="s">
        <v>53</v>
      </c>
      <c r="F89" s="328"/>
      <c r="G89" s="150">
        <v>6</v>
      </c>
      <c r="H89" s="151"/>
    </row>
    <row r="90" spans="1:8" x14ac:dyDescent="0.25">
      <c r="A90" s="134" t="s">
        <v>199</v>
      </c>
      <c r="B90" s="135" t="s">
        <v>1288</v>
      </c>
      <c r="C90" s="135" t="s">
        <v>1377</v>
      </c>
      <c r="D90" s="271" t="s">
        <v>1378</v>
      </c>
      <c r="E90" s="271"/>
      <c r="F90" s="135" t="s">
        <v>164</v>
      </c>
      <c r="G90" s="131">
        <v>1</v>
      </c>
      <c r="H90" s="147">
        <v>0</v>
      </c>
    </row>
    <row r="91" spans="1:8" x14ac:dyDescent="0.25">
      <c r="A91" s="148"/>
      <c r="D91" s="149" t="s">
        <v>56</v>
      </c>
      <c r="E91" s="328" t="s">
        <v>53</v>
      </c>
      <c r="F91" s="328"/>
      <c r="G91" s="150">
        <v>1</v>
      </c>
      <c r="H91" s="151"/>
    </row>
    <row r="92" spans="1:8" x14ac:dyDescent="0.25">
      <c r="A92" s="134" t="s">
        <v>201</v>
      </c>
      <c r="B92" s="135" t="s">
        <v>1288</v>
      </c>
      <c r="C92" s="135" t="s">
        <v>1379</v>
      </c>
      <c r="D92" s="271" t="s">
        <v>1380</v>
      </c>
      <c r="E92" s="271"/>
      <c r="F92" s="135" t="s">
        <v>164</v>
      </c>
      <c r="G92" s="131">
        <v>6</v>
      </c>
      <c r="H92" s="147">
        <v>0</v>
      </c>
    </row>
    <row r="93" spans="1:8" x14ac:dyDescent="0.25">
      <c r="A93" s="148"/>
      <c r="D93" s="149" t="s">
        <v>81</v>
      </c>
      <c r="E93" s="328" t="s">
        <v>53</v>
      </c>
      <c r="F93" s="328"/>
      <c r="G93" s="150">
        <v>6</v>
      </c>
      <c r="H93" s="151"/>
    </row>
    <row r="94" spans="1:8" x14ac:dyDescent="0.25">
      <c r="A94" s="134" t="s">
        <v>203</v>
      </c>
      <c r="B94" s="135" t="s">
        <v>1288</v>
      </c>
      <c r="C94" s="135" t="s">
        <v>1381</v>
      </c>
      <c r="D94" s="271" t="s">
        <v>1382</v>
      </c>
      <c r="E94" s="271"/>
      <c r="F94" s="135" t="s">
        <v>164</v>
      </c>
      <c r="G94" s="131">
        <v>9</v>
      </c>
      <c r="H94" s="147">
        <v>0</v>
      </c>
    </row>
    <row r="95" spans="1:8" x14ac:dyDescent="0.25">
      <c r="A95" s="148"/>
      <c r="D95" s="149" t="s">
        <v>90</v>
      </c>
      <c r="E95" s="328" t="s">
        <v>53</v>
      </c>
      <c r="F95" s="328"/>
      <c r="G95" s="150">
        <v>9</v>
      </c>
      <c r="H95" s="151"/>
    </row>
    <row r="96" spans="1:8" x14ac:dyDescent="0.25">
      <c r="A96" s="134" t="s">
        <v>208</v>
      </c>
      <c r="B96" s="135" t="s">
        <v>1288</v>
      </c>
      <c r="C96" s="135" t="s">
        <v>1383</v>
      </c>
      <c r="D96" s="271" t="s">
        <v>1384</v>
      </c>
      <c r="E96" s="271"/>
      <c r="F96" s="135" t="s">
        <v>164</v>
      </c>
      <c r="G96" s="131">
        <v>2</v>
      </c>
      <c r="H96" s="147">
        <v>0</v>
      </c>
    </row>
    <row r="97" spans="1:8" x14ac:dyDescent="0.25">
      <c r="A97" s="148"/>
      <c r="D97" s="149" t="s">
        <v>64</v>
      </c>
      <c r="E97" s="328" t="s">
        <v>53</v>
      </c>
      <c r="F97" s="328"/>
      <c r="G97" s="150">
        <v>2</v>
      </c>
      <c r="H97" s="151"/>
    </row>
    <row r="98" spans="1:8" x14ac:dyDescent="0.25">
      <c r="A98" s="134" t="s">
        <v>212</v>
      </c>
      <c r="B98" s="135" t="s">
        <v>1288</v>
      </c>
      <c r="C98" s="135" t="s">
        <v>1385</v>
      </c>
      <c r="D98" s="271" t="s">
        <v>1386</v>
      </c>
      <c r="E98" s="271"/>
      <c r="F98" s="135" t="s">
        <v>164</v>
      </c>
      <c r="G98" s="131">
        <v>4</v>
      </c>
      <c r="H98" s="147">
        <v>0</v>
      </c>
    </row>
    <row r="99" spans="1:8" x14ac:dyDescent="0.25">
      <c r="A99" s="148"/>
      <c r="D99" s="149" t="s">
        <v>71</v>
      </c>
      <c r="E99" s="328" t="s">
        <v>53</v>
      </c>
      <c r="F99" s="328"/>
      <c r="G99" s="150">
        <v>4</v>
      </c>
      <c r="H99" s="151"/>
    </row>
    <row r="100" spans="1:8" x14ac:dyDescent="0.25">
      <c r="A100" s="134" t="s">
        <v>167</v>
      </c>
      <c r="B100" s="135" t="s">
        <v>1288</v>
      </c>
      <c r="C100" s="135" t="s">
        <v>1387</v>
      </c>
      <c r="D100" s="271" t="s">
        <v>1388</v>
      </c>
      <c r="E100" s="271"/>
      <c r="F100" s="135" t="s">
        <v>164</v>
      </c>
      <c r="G100" s="131">
        <v>3</v>
      </c>
      <c r="H100" s="147">
        <v>0</v>
      </c>
    </row>
    <row r="101" spans="1:8" x14ac:dyDescent="0.25">
      <c r="A101" s="148"/>
      <c r="D101" s="149" t="s">
        <v>68</v>
      </c>
      <c r="E101" s="328" t="s">
        <v>53</v>
      </c>
      <c r="F101" s="328"/>
      <c r="G101" s="150">
        <v>3</v>
      </c>
      <c r="H101" s="151"/>
    </row>
    <row r="102" spans="1:8" x14ac:dyDescent="0.25">
      <c r="A102" s="134" t="s">
        <v>220</v>
      </c>
      <c r="B102" s="135" t="s">
        <v>1288</v>
      </c>
      <c r="C102" s="135" t="s">
        <v>1389</v>
      </c>
      <c r="D102" s="271" t="s">
        <v>1390</v>
      </c>
      <c r="E102" s="271"/>
      <c r="F102" s="135" t="s">
        <v>164</v>
      </c>
      <c r="G102" s="131">
        <v>1</v>
      </c>
      <c r="H102" s="147">
        <v>0</v>
      </c>
    </row>
    <row r="103" spans="1:8" x14ac:dyDescent="0.25">
      <c r="A103" s="148"/>
      <c r="D103" s="149" t="s">
        <v>56</v>
      </c>
      <c r="E103" s="328" t="s">
        <v>53</v>
      </c>
      <c r="F103" s="328"/>
      <c r="G103" s="150">
        <v>1</v>
      </c>
      <c r="H103" s="151"/>
    </row>
    <row r="104" spans="1:8" x14ac:dyDescent="0.25">
      <c r="A104" s="134" t="s">
        <v>223</v>
      </c>
      <c r="B104" s="135" t="s">
        <v>1288</v>
      </c>
      <c r="C104" s="135" t="s">
        <v>1391</v>
      </c>
      <c r="D104" s="271" t="s">
        <v>1392</v>
      </c>
      <c r="E104" s="271"/>
      <c r="F104" s="135" t="s">
        <v>164</v>
      </c>
      <c r="G104" s="131">
        <v>1</v>
      </c>
      <c r="H104" s="147">
        <v>0</v>
      </c>
    </row>
    <row r="105" spans="1:8" x14ac:dyDescent="0.25">
      <c r="A105" s="148"/>
      <c r="D105" s="149" t="s">
        <v>56</v>
      </c>
      <c r="E105" s="328" t="s">
        <v>53</v>
      </c>
      <c r="F105" s="328"/>
      <c r="G105" s="150">
        <v>1</v>
      </c>
      <c r="H105" s="151"/>
    </row>
    <row r="106" spans="1:8" x14ac:dyDescent="0.25">
      <c r="A106" s="134" t="s">
        <v>226</v>
      </c>
      <c r="B106" s="135" t="s">
        <v>1288</v>
      </c>
      <c r="C106" s="135" t="s">
        <v>1393</v>
      </c>
      <c r="D106" s="271" t="s">
        <v>1394</v>
      </c>
      <c r="E106" s="271"/>
      <c r="F106" s="135" t="s">
        <v>164</v>
      </c>
      <c r="G106" s="131">
        <v>1</v>
      </c>
      <c r="H106" s="147">
        <v>0</v>
      </c>
    </row>
    <row r="107" spans="1:8" x14ac:dyDescent="0.25">
      <c r="A107" s="148"/>
      <c r="D107" s="149" t="s">
        <v>56</v>
      </c>
      <c r="E107" s="328" t="s">
        <v>53</v>
      </c>
      <c r="F107" s="328"/>
      <c r="G107" s="150">
        <v>1</v>
      </c>
      <c r="H107" s="151"/>
    </row>
    <row r="108" spans="1:8" x14ac:dyDescent="0.25">
      <c r="A108" s="134" t="s">
        <v>229</v>
      </c>
      <c r="B108" s="135" t="s">
        <v>1288</v>
      </c>
      <c r="C108" s="135" t="s">
        <v>414</v>
      </c>
      <c r="D108" s="271" t="s">
        <v>1395</v>
      </c>
      <c r="E108" s="271"/>
      <c r="F108" s="135" t="s">
        <v>416</v>
      </c>
      <c r="G108" s="131">
        <v>1</v>
      </c>
      <c r="H108" s="147">
        <v>0</v>
      </c>
    </row>
    <row r="109" spans="1:8" x14ac:dyDescent="0.25">
      <c r="A109" s="148"/>
      <c r="D109" s="149" t="s">
        <v>56</v>
      </c>
      <c r="E109" s="328" t="s">
        <v>53</v>
      </c>
      <c r="F109" s="328"/>
      <c r="G109" s="150">
        <v>1</v>
      </c>
      <c r="H109" s="151"/>
    </row>
    <row r="110" spans="1:8" x14ac:dyDescent="0.25">
      <c r="A110" s="134" t="s">
        <v>234</v>
      </c>
      <c r="B110" s="135" t="s">
        <v>1288</v>
      </c>
      <c r="C110" s="135" t="s">
        <v>422</v>
      </c>
      <c r="D110" s="271" t="s">
        <v>420</v>
      </c>
      <c r="E110" s="271"/>
      <c r="F110" s="135" t="s">
        <v>416</v>
      </c>
      <c r="G110" s="131">
        <v>1</v>
      </c>
      <c r="H110" s="147">
        <v>0</v>
      </c>
    </row>
    <row r="111" spans="1:8" x14ac:dyDescent="0.25">
      <c r="A111" s="148"/>
      <c r="D111" s="149" t="s">
        <v>56</v>
      </c>
      <c r="E111" s="328" t="s">
        <v>53</v>
      </c>
      <c r="F111" s="328"/>
      <c r="G111" s="150">
        <v>1</v>
      </c>
      <c r="H111" s="151"/>
    </row>
    <row r="112" spans="1:8" x14ac:dyDescent="0.25">
      <c r="A112" s="134" t="s">
        <v>239</v>
      </c>
      <c r="B112" s="135" t="s">
        <v>1288</v>
      </c>
      <c r="C112" s="135" t="s">
        <v>1398</v>
      </c>
      <c r="D112" s="271" t="s">
        <v>1399</v>
      </c>
      <c r="E112" s="271"/>
      <c r="F112" s="135" t="s">
        <v>416</v>
      </c>
      <c r="G112" s="131">
        <v>1</v>
      </c>
      <c r="H112" s="147">
        <v>0</v>
      </c>
    </row>
    <row r="113" spans="1:8" x14ac:dyDescent="0.25">
      <c r="A113" s="148"/>
      <c r="D113" s="149" t="s">
        <v>56</v>
      </c>
      <c r="E113" s="328" t="s">
        <v>53</v>
      </c>
      <c r="F113" s="328"/>
      <c r="G113" s="150">
        <v>1</v>
      </c>
      <c r="H113" s="151"/>
    </row>
    <row r="114" spans="1:8" x14ac:dyDescent="0.25">
      <c r="A114" s="134" t="s">
        <v>244</v>
      </c>
      <c r="B114" s="135" t="s">
        <v>1288</v>
      </c>
      <c r="C114" s="135" t="s">
        <v>427</v>
      </c>
      <c r="D114" s="271" t="s">
        <v>428</v>
      </c>
      <c r="E114" s="271"/>
      <c r="F114" s="135" t="s">
        <v>416</v>
      </c>
      <c r="G114" s="131">
        <v>1</v>
      </c>
      <c r="H114" s="147">
        <v>0</v>
      </c>
    </row>
    <row r="115" spans="1:8" x14ac:dyDescent="0.25">
      <c r="A115" s="152"/>
      <c r="B115" s="153"/>
      <c r="C115" s="153"/>
      <c r="D115" s="154" t="s">
        <v>619</v>
      </c>
      <c r="E115" s="329" t="s">
        <v>53</v>
      </c>
      <c r="F115" s="329"/>
      <c r="G115" s="155">
        <v>1</v>
      </c>
      <c r="H115" s="156"/>
    </row>
    <row r="117" spans="1:8" x14ac:dyDescent="0.25">
      <c r="A117" s="142" t="s">
        <v>431</v>
      </c>
    </row>
    <row r="118" spans="1:8" ht="12.75" customHeight="1" x14ac:dyDescent="0.25">
      <c r="A118" s="270" t="s">
        <v>53</v>
      </c>
      <c r="B118" s="271"/>
      <c r="C118" s="271"/>
      <c r="D118" s="271"/>
      <c r="E118" s="271"/>
      <c r="F118" s="271"/>
      <c r="G118" s="271"/>
    </row>
  </sheetData>
  <mergeCells count="124"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16:E16"/>
    <mergeCell ref="E17:F17"/>
    <mergeCell ref="D18:E18"/>
    <mergeCell ref="E19:F19"/>
    <mergeCell ref="D20:E20"/>
    <mergeCell ref="E21:F21"/>
    <mergeCell ref="D10:E10"/>
    <mergeCell ref="D11:E11"/>
    <mergeCell ref="D12:E12"/>
    <mergeCell ref="E13:F13"/>
    <mergeCell ref="D14:E14"/>
    <mergeCell ref="E15:F15"/>
    <mergeCell ref="D28:E28"/>
    <mergeCell ref="E29:F29"/>
    <mergeCell ref="D30:E30"/>
    <mergeCell ref="E31:F31"/>
    <mergeCell ref="D32:E32"/>
    <mergeCell ref="E33:F33"/>
    <mergeCell ref="D22:E22"/>
    <mergeCell ref="E23:F23"/>
    <mergeCell ref="D24:E24"/>
    <mergeCell ref="E25:F25"/>
    <mergeCell ref="D26:E26"/>
    <mergeCell ref="E27:F27"/>
    <mergeCell ref="D40:E40"/>
    <mergeCell ref="E41:F41"/>
    <mergeCell ref="D42:E42"/>
    <mergeCell ref="E43:F43"/>
    <mergeCell ref="D44:E44"/>
    <mergeCell ref="E45:F45"/>
    <mergeCell ref="D34:E34"/>
    <mergeCell ref="E35:F35"/>
    <mergeCell ref="D36:E36"/>
    <mergeCell ref="E37:F37"/>
    <mergeCell ref="D38:E38"/>
    <mergeCell ref="E39:F39"/>
    <mergeCell ref="D52:E52"/>
    <mergeCell ref="E53:F53"/>
    <mergeCell ref="D54:E54"/>
    <mergeCell ref="E55:F55"/>
    <mergeCell ref="D56:E56"/>
    <mergeCell ref="E57:F57"/>
    <mergeCell ref="D46:E46"/>
    <mergeCell ref="E47:F47"/>
    <mergeCell ref="D48:E48"/>
    <mergeCell ref="E49:F49"/>
    <mergeCell ref="D50:E50"/>
    <mergeCell ref="E51:F51"/>
    <mergeCell ref="D64:E64"/>
    <mergeCell ref="E65:F65"/>
    <mergeCell ref="D66:E66"/>
    <mergeCell ref="E67:F67"/>
    <mergeCell ref="D68:E68"/>
    <mergeCell ref="E69:F69"/>
    <mergeCell ref="D58:E58"/>
    <mergeCell ref="E59:F59"/>
    <mergeCell ref="D60:E60"/>
    <mergeCell ref="E61:F61"/>
    <mergeCell ref="D62:E62"/>
    <mergeCell ref="E63:F63"/>
    <mergeCell ref="D76:E76"/>
    <mergeCell ref="E77:F77"/>
    <mergeCell ref="D78:E78"/>
    <mergeCell ref="E79:F79"/>
    <mergeCell ref="D80:E80"/>
    <mergeCell ref="E81:F81"/>
    <mergeCell ref="D70:E70"/>
    <mergeCell ref="E71:F71"/>
    <mergeCell ref="D72:E72"/>
    <mergeCell ref="E73:F73"/>
    <mergeCell ref="D74:E74"/>
    <mergeCell ref="E75:F75"/>
    <mergeCell ref="D88:E88"/>
    <mergeCell ref="E89:F89"/>
    <mergeCell ref="D90:E90"/>
    <mergeCell ref="E91:F91"/>
    <mergeCell ref="D92:E92"/>
    <mergeCell ref="E93:F93"/>
    <mergeCell ref="D82:E82"/>
    <mergeCell ref="E83:F83"/>
    <mergeCell ref="D84:E84"/>
    <mergeCell ref="E85:F85"/>
    <mergeCell ref="D86:E86"/>
    <mergeCell ref="E87:F87"/>
    <mergeCell ref="D100:E100"/>
    <mergeCell ref="E101:F101"/>
    <mergeCell ref="D102:E102"/>
    <mergeCell ref="E103:F103"/>
    <mergeCell ref="D104:E104"/>
    <mergeCell ref="E105:F105"/>
    <mergeCell ref="D94:E94"/>
    <mergeCell ref="E95:F95"/>
    <mergeCell ref="D96:E96"/>
    <mergeCell ref="E97:F97"/>
    <mergeCell ref="D98:E98"/>
    <mergeCell ref="E99:F99"/>
    <mergeCell ref="D112:E112"/>
    <mergeCell ref="E113:F113"/>
    <mergeCell ref="D114:E114"/>
    <mergeCell ref="E115:F115"/>
    <mergeCell ref="A118:G118"/>
    <mergeCell ref="D106:E106"/>
    <mergeCell ref="E107:F107"/>
    <mergeCell ref="D108:E108"/>
    <mergeCell ref="E109:F109"/>
    <mergeCell ref="D110:E110"/>
    <mergeCell ref="E111:F111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224" t="s">
        <v>410</v>
      </c>
      <c r="B1" s="225"/>
      <c r="C1" s="225"/>
      <c r="D1" s="225"/>
      <c r="E1" s="225"/>
      <c r="F1" s="225"/>
      <c r="G1" s="225"/>
      <c r="H1" s="225"/>
      <c r="I1" s="225"/>
    </row>
    <row r="2" spans="1:9" x14ac:dyDescent="0.25">
      <c r="A2" s="226" t="s">
        <v>1</v>
      </c>
      <c r="B2" s="227"/>
      <c r="C2" s="228" t="str">
        <f>'SO-101'!C2</f>
        <v>NEDRAŽICE - CHODNÍKY A ÚPRAVY VNITŘNÍCH PROSTOR OBCE</v>
      </c>
      <c r="D2" s="229"/>
      <c r="E2" s="231" t="s">
        <v>5</v>
      </c>
      <c r="F2" s="231" t="str">
        <f>'SO-101'!I2</f>
        <v>Obec Kostelec, Kostelec 34, 349 01 Stříbro</v>
      </c>
      <c r="G2" s="227"/>
      <c r="H2" s="231" t="s">
        <v>479</v>
      </c>
      <c r="I2" s="232" t="s">
        <v>480</v>
      </c>
    </row>
    <row r="3" spans="1:9" ht="15" customHeight="1" x14ac:dyDescent="0.25">
      <c r="A3" s="221"/>
      <c r="B3" s="182"/>
      <c r="C3" s="230"/>
      <c r="D3" s="230"/>
      <c r="E3" s="182"/>
      <c r="F3" s="182"/>
      <c r="G3" s="182"/>
      <c r="H3" s="182"/>
      <c r="I3" s="223"/>
    </row>
    <row r="4" spans="1:9" x14ac:dyDescent="0.25">
      <c r="A4" s="216" t="s">
        <v>7</v>
      </c>
      <c r="B4" s="182"/>
      <c r="C4" s="181" t="str">
        <f>'SO-101'!C4</f>
        <v>SO-101 Chodníky a sjezdy u silnice III/19336</v>
      </c>
      <c r="D4" s="182"/>
      <c r="E4" s="181" t="s">
        <v>10</v>
      </c>
      <c r="F4" s="181" t="str">
        <f>'SO-101'!I4</f>
        <v>ing. Rudolf Moses, Zárečná 1521, 347 01 Tachov</v>
      </c>
      <c r="G4" s="182"/>
      <c r="H4" s="181" t="s">
        <v>479</v>
      </c>
      <c r="I4" s="223" t="s">
        <v>481</v>
      </c>
    </row>
    <row r="5" spans="1:9" ht="15" customHeight="1" x14ac:dyDescent="0.25">
      <c r="A5" s="221"/>
      <c r="B5" s="182"/>
      <c r="C5" s="182"/>
      <c r="D5" s="182"/>
      <c r="E5" s="182"/>
      <c r="F5" s="182"/>
      <c r="G5" s="182"/>
      <c r="H5" s="182"/>
      <c r="I5" s="223"/>
    </row>
    <row r="6" spans="1:9" x14ac:dyDescent="0.25">
      <c r="A6" s="216" t="s">
        <v>12</v>
      </c>
      <c r="B6" s="182"/>
      <c r="C6" s="181" t="str">
        <f>'SO-101'!C6</f>
        <v>Nedražice</v>
      </c>
      <c r="D6" s="182"/>
      <c r="E6" s="181" t="s">
        <v>16</v>
      </c>
      <c r="F6" s="181" t="str">
        <f>'SO-101'!I6</f>
        <v>dle výběr. řízení</v>
      </c>
      <c r="G6" s="182"/>
      <c r="H6" s="181" t="s">
        <v>479</v>
      </c>
      <c r="I6" s="223" t="s">
        <v>482</v>
      </c>
    </row>
    <row r="7" spans="1:9" ht="15" customHeight="1" x14ac:dyDescent="0.25">
      <c r="A7" s="221"/>
      <c r="B7" s="182"/>
      <c r="C7" s="182"/>
      <c r="D7" s="182"/>
      <c r="E7" s="182"/>
      <c r="F7" s="182"/>
      <c r="G7" s="182"/>
      <c r="H7" s="182"/>
      <c r="I7" s="223"/>
    </row>
    <row r="8" spans="1:9" x14ac:dyDescent="0.25">
      <c r="A8" s="216" t="s">
        <v>8</v>
      </c>
      <c r="B8" s="182"/>
      <c r="C8" s="181" t="str">
        <f>'SO-101'!G4</f>
        <v xml:space="preserve"> </v>
      </c>
      <c r="D8" s="182"/>
      <c r="E8" s="181" t="s">
        <v>14</v>
      </c>
      <c r="F8" s="181" t="str">
        <f>'SO-101'!G6</f>
        <v>31.10.2025</v>
      </c>
      <c r="G8" s="182"/>
      <c r="H8" s="182" t="s">
        <v>483</v>
      </c>
      <c r="I8" s="222">
        <v>102</v>
      </c>
    </row>
    <row r="9" spans="1:9" x14ac:dyDescent="0.25">
      <c r="A9" s="221"/>
      <c r="B9" s="182"/>
      <c r="C9" s="182"/>
      <c r="D9" s="182"/>
      <c r="E9" s="182"/>
      <c r="F9" s="182"/>
      <c r="G9" s="182"/>
      <c r="H9" s="182"/>
      <c r="I9" s="223"/>
    </row>
    <row r="10" spans="1:9" x14ac:dyDescent="0.25">
      <c r="A10" s="216" t="s">
        <v>18</v>
      </c>
      <c r="B10" s="182"/>
      <c r="C10" s="181" t="str">
        <f>'SO-101'!C8</f>
        <v>8222931</v>
      </c>
      <c r="D10" s="182"/>
      <c r="E10" s="181" t="s">
        <v>22</v>
      </c>
      <c r="F10" s="181" t="str">
        <f>'SO-101'!I8</f>
        <v>Ing. Moses</v>
      </c>
      <c r="G10" s="182"/>
      <c r="H10" s="182" t="s">
        <v>484</v>
      </c>
      <c r="I10" s="219" t="str">
        <f>'SO-101'!G8</f>
        <v>21.10.2024</v>
      </c>
    </row>
    <row r="11" spans="1:9" x14ac:dyDescent="0.25">
      <c r="A11" s="217"/>
      <c r="B11" s="218"/>
      <c r="C11" s="218"/>
      <c r="D11" s="218"/>
      <c r="E11" s="218"/>
      <c r="F11" s="218"/>
      <c r="G11" s="218"/>
      <c r="H11" s="218"/>
      <c r="I11" s="220"/>
    </row>
    <row r="13" spans="1:9" ht="15.75" x14ac:dyDescent="0.25">
      <c r="A13" s="347" t="s">
        <v>522</v>
      </c>
      <c r="B13" s="347"/>
      <c r="C13" s="347"/>
      <c r="D13" s="347"/>
      <c r="E13" s="347"/>
    </row>
    <row r="14" spans="1:9" x14ac:dyDescent="0.25">
      <c r="A14" s="348" t="s">
        <v>523</v>
      </c>
      <c r="B14" s="349"/>
      <c r="C14" s="349"/>
      <c r="D14" s="349"/>
      <c r="E14" s="350"/>
      <c r="F14" s="101" t="s">
        <v>524</v>
      </c>
      <c r="G14" s="101" t="s">
        <v>525</v>
      </c>
      <c r="H14" s="101" t="s">
        <v>526</v>
      </c>
      <c r="I14" s="101" t="s">
        <v>524</v>
      </c>
    </row>
    <row r="15" spans="1:9" x14ac:dyDescent="0.25">
      <c r="A15" s="332" t="s">
        <v>494</v>
      </c>
      <c r="B15" s="333"/>
      <c r="C15" s="333"/>
      <c r="D15" s="333"/>
      <c r="E15" s="334"/>
      <c r="F15" s="102">
        <v>0</v>
      </c>
      <c r="G15" s="103" t="s">
        <v>53</v>
      </c>
      <c r="H15" s="103" t="s">
        <v>53</v>
      </c>
      <c r="I15" s="102">
        <f>F15</f>
        <v>0</v>
      </c>
    </row>
    <row r="16" spans="1:9" x14ac:dyDescent="0.25">
      <c r="A16" s="332" t="s">
        <v>495</v>
      </c>
      <c r="B16" s="333"/>
      <c r="C16" s="333"/>
      <c r="D16" s="333"/>
      <c r="E16" s="334"/>
      <c r="F16" s="102">
        <v>0</v>
      </c>
      <c r="G16" s="103" t="s">
        <v>53</v>
      </c>
      <c r="H16" s="103" t="s">
        <v>53</v>
      </c>
      <c r="I16" s="102">
        <f>F16</f>
        <v>0</v>
      </c>
    </row>
    <row r="17" spans="1:9" x14ac:dyDescent="0.25">
      <c r="A17" s="335" t="s">
        <v>498</v>
      </c>
      <c r="B17" s="336"/>
      <c r="C17" s="336"/>
      <c r="D17" s="336"/>
      <c r="E17" s="337"/>
      <c r="F17" s="104">
        <v>0</v>
      </c>
      <c r="G17" s="105" t="s">
        <v>53</v>
      </c>
      <c r="H17" s="105" t="s">
        <v>53</v>
      </c>
      <c r="I17" s="104">
        <f>F17</f>
        <v>0</v>
      </c>
    </row>
    <row r="18" spans="1:9" x14ac:dyDescent="0.25">
      <c r="A18" s="338" t="s">
        <v>527</v>
      </c>
      <c r="B18" s="339"/>
      <c r="C18" s="339"/>
      <c r="D18" s="339"/>
      <c r="E18" s="340"/>
      <c r="F18" s="106" t="s">
        <v>53</v>
      </c>
      <c r="G18" s="107" t="s">
        <v>53</v>
      </c>
      <c r="H18" s="107" t="s">
        <v>53</v>
      </c>
      <c r="I18" s="108">
        <f>SUM(I15:I17)</f>
        <v>0</v>
      </c>
    </row>
    <row r="20" spans="1:9" x14ac:dyDescent="0.25">
      <c r="A20" s="348" t="s">
        <v>491</v>
      </c>
      <c r="B20" s="349"/>
      <c r="C20" s="349"/>
      <c r="D20" s="349"/>
      <c r="E20" s="350"/>
      <c r="F20" s="101" t="s">
        <v>524</v>
      </c>
      <c r="G20" s="101" t="s">
        <v>525</v>
      </c>
      <c r="H20" s="101" t="s">
        <v>526</v>
      </c>
      <c r="I20" s="101" t="s">
        <v>524</v>
      </c>
    </row>
    <row r="21" spans="1:9" x14ac:dyDescent="0.25">
      <c r="A21" s="332" t="s">
        <v>420</v>
      </c>
      <c r="B21" s="333"/>
      <c r="C21" s="333"/>
      <c r="D21" s="333"/>
      <c r="E21" s="334"/>
      <c r="F21" s="102">
        <v>0</v>
      </c>
      <c r="G21" s="103" t="s">
        <v>53</v>
      </c>
      <c r="H21" s="103" t="s">
        <v>53</v>
      </c>
      <c r="I21" s="102">
        <f t="shared" ref="I21:I26" si="0">F21</f>
        <v>0</v>
      </c>
    </row>
    <row r="22" spans="1:9" x14ac:dyDescent="0.25">
      <c r="A22" s="332" t="s">
        <v>496</v>
      </c>
      <c r="B22" s="333"/>
      <c r="C22" s="333"/>
      <c r="D22" s="333"/>
      <c r="E22" s="334"/>
      <c r="F22" s="102">
        <v>0</v>
      </c>
      <c r="G22" s="103" t="s">
        <v>53</v>
      </c>
      <c r="H22" s="103" t="s">
        <v>53</v>
      </c>
      <c r="I22" s="102">
        <f t="shared" si="0"/>
        <v>0</v>
      </c>
    </row>
    <row r="23" spans="1:9" x14ac:dyDescent="0.25">
      <c r="A23" s="332" t="s">
        <v>425</v>
      </c>
      <c r="B23" s="333"/>
      <c r="C23" s="333"/>
      <c r="D23" s="333"/>
      <c r="E23" s="334"/>
      <c r="F23" s="102">
        <v>0</v>
      </c>
      <c r="G23" s="103" t="s">
        <v>53</v>
      </c>
      <c r="H23" s="103" t="s">
        <v>53</v>
      </c>
      <c r="I23" s="102">
        <f t="shared" si="0"/>
        <v>0</v>
      </c>
    </row>
    <row r="24" spans="1:9" x14ac:dyDescent="0.25">
      <c r="A24" s="332" t="s">
        <v>499</v>
      </c>
      <c r="B24" s="333"/>
      <c r="C24" s="333"/>
      <c r="D24" s="333"/>
      <c r="E24" s="334"/>
      <c r="F24" s="102">
        <v>0</v>
      </c>
      <c r="G24" s="103" t="s">
        <v>53</v>
      </c>
      <c r="H24" s="103" t="s">
        <v>53</v>
      </c>
      <c r="I24" s="102">
        <f t="shared" si="0"/>
        <v>0</v>
      </c>
    </row>
    <row r="25" spans="1:9" x14ac:dyDescent="0.25">
      <c r="A25" s="332" t="s">
        <v>501</v>
      </c>
      <c r="B25" s="333"/>
      <c r="C25" s="333"/>
      <c r="D25" s="333"/>
      <c r="E25" s="334"/>
      <c r="F25" s="102">
        <v>0</v>
      </c>
      <c r="G25" s="103" t="s">
        <v>53</v>
      </c>
      <c r="H25" s="103" t="s">
        <v>53</v>
      </c>
      <c r="I25" s="102">
        <f t="shared" si="0"/>
        <v>0</v>
      </c>
    </row>
    <row r="26" spans="1:9" x14ac:dyDescent="0.25">
      <c r="A26" s="335" t="s">
        <v>502</v>
      </c>
      <c r="B26" s="336"/>
      <c r="C26" s="336"/>
      <c r="D26" s="336"/>
      <c r="E26" s="337"/>
      <c r="F26" s="104">
        <v>0</v>
      </c>
      <c r="G26" s="105" t="s">
        <v>53</v>
      </c>
      <c r="H26" s="105" t="s">
        <v>53</v>
      </c>
      <c r="I26" s="104">
        <f t="shared" si="0"/>
        <v>0</v>
      </c>
    </row>
    <row r="27" spans="1:9" x14ac:dyDescent="0.25">
      <c r="A27" s="338" t="s">
        <v>528</v>
      </c>
      <c r="B27" s="339"/>
      <c r="C27" s="339"/>
      <c r="D27" s="339"/>
      <c r="E27" s="340"/>
      <c r="F27" s="106" t="s">
        <v>53</v>
      </c>
      <c r="G27" s="107" t="s">
        <v>53</v>
      </c>
      <c r="H27" s="107" t="s">
        <v>53</v>
      </c>
      <c r="I27" s="108">
        <f>SUM(I21:I26)</f>
        <v>0</v>
      </c>
    </row>
    <row r="29" spans="1:9" ht="15.75" x14ac:dyDescent="0.25">
      <c r="A29" s="341" t="s">
        <v>529</v>
      </c>
      <c r="B29" s="342"/>
      <c r="C29" s="342"/>
      <c r="D29" s="342"/>
      <c r="E29" s="343"/>
      <c r="F29" s="344">
        <f>I18+I27</f>
        <v>0</v>
      </c>
      <c r="G29" s="345"/>
      <c r="H29" s="345"/>
      <c r="I29" s="346"/>
    </row>
    <row r="33" spans="1:9" ht="15.75" x14ac:dyDescent="0.25">
      <c r="A33" s="347" t="s">
        <v>530</v>
      </c>
      <c r="B33" s="347"/>
      <c r="C33" s="347"/>
      <c r="D33" s="347"/>
      <c r="E33" s="347"/>
    </row>
    <row r="34" spans="1:9" x14ac:dyDescent="0.25">
      <c r="A34" s="348" t="s">
        <v>531</v>
      </c>
      <c r="B34" s="349"/>
      <c r="C34" s="349"/>
      <c r="D34" s="349"/>
      <c r="E34" s="350"/>
      <c r="F34" s="101" t="s">
        <v>524</v>
      </c>
      <c r="G34" s="101" t="s">
        <v>525</v>
      </c>
      <c r="H34" s="101" t="s">
        <v>526</v>
      </c>
      <c r="I34" s="101" t="s">
        <v>524</v>
      </c>
    </row>
    <row r="35" spans="1:9" x14ac:dyDescent="0.25">
      <c r="A35" s="332" t="s">
        <v>412</v>
      </c>
      <c r="B35" s="333"/>
      <c r="C35" s="333"/>
      <c r="D35" s="333"/>
      <c r="E35" s="334"/>
      <c r="F35" s="102">
        <f>SUM('SO-101'!BM12:BM138)</f>
        <v>0</v>
      </c>
      <c r="G35" s="103" t="s">
        <v>53</v>
      </c>
      <c r="H35" s="103" t="s">
        <v>53</v>
      </c>
      <c r="I35" s="102">
        <f t="shared" ref="I35:I44" si="1">F35</f>
        <v>0</v>
      </c>
    </row>
    <row r="36" spans="1:9" x14ac:dyDescent="0.25">
      <c r="A36" s="332" t="s">
        <v>532</v>
      </c>
      <c r="B36" s="333"/>
      <c r="C36" s="333"/>
      <c r="D36" s="333"/>
      <c r="E36" s="334"/>
      <c r="F36" s="102">
        <f>SUM('SO-101'!BN12:BN138)</f>
        <v>0</v>
      </c>
      <c r="G36" s="103" t="s">
        <v>53</v>
      </c>
      <c r="H36" s="103" t="s">
        <v>53</v>
      </c>
      <c r="I36" s="102">
        <f t="shared" si="1"/>
        <v>0</v>
      </c>
    </row>
    <row r="37" spans="1:9" x14ac:dyDescent="0.25">
      <c r="A37" s="332" t="s">
        <v>420</v>
      </c>
      <c r="B37" s="333"/>
      <c r="C37" s="333"/>
      <c r="D37" s="333"/>
      <c r="E37" s="334"/>
      <c r="F37" s="102">
        <f>SUM('SO-101'!BO12:BO138)</f>
        <v>0</v>
      </c>
      <c r="G37" s="103" t="s">
        <v>53</v>
      </c>
      <c r="H37" s="103" t="s">
        <v>53</v>
      </c>
      <c r="I37" s="102">
        <f t="shared" si="1"/>
        <v>0</v>
      </c>
    </row>
    <row r="38" spans="1:9" x14ac:dyDescent="0.25">
      <c r="A38" s="332" t="s">
        <v>533</v>
      </c>
      <c r="B38" s="333"/>
      <c r="C38" s="333"/>
      <c r="D38" s="333"/>
      <c r="E38" s="334"/>
      <c r="F38" s="102">
        <f>SUM('SO-101'!BP12:BP138)</f>
        <v>0</v>
      </c>
      <c r="G38" s="103" t="s">
        <v>53</v>
      </c>
      <c r="H38" s="103" t="s">
        <v>53</v>
      </c>
      <c r="I38" s="102">
        <f t="shared" si="1"/>
        <v>0</v>
      </c>
    </row>
    <row r="39" spans="1:9" x14ac:dyDescent="0.25">
      <c r="A39" s="332" t="s">
        <v>534</v>
      </c>
      <c r="B39" s="333"/>
      <c r="C39" s="333"/>
      <c r="D39" s="333"/>
      <c r="E39" s="334"/>
      <c r="F39" s="102">
        <f>SUM('SO-101'!BQ12:BQ138)</f>
        <v>0</v>
      </c>
      <c r="G39" s="103" t="s">
        <v>53</v>
      </c>
      <c r="H39" s="103" t="s">
        <v>53</v>
      </c>
      <c r="I39" s="102">
        <f t="shared" si="1"/>
        <v>0</v>
      </c>
    </row>
    <row r="40" spans="1:9" x14ac:dyDescent="0.25">
      <c r="A40" s="332" t="s">
        <v>425</v>
      </c>
      <c r="B40" s="333"/>
      <c r="C40" s="333"/>
      <c r="D40" s="333"/>
      <c r="E40" s="334"/>
      <c r="F40" s="102">
        <f>SUM('SO-101'!BR12:BR138)</f>
        <v>0</v>
      </c>
      <c r="G40" s="103" t="s">
        <v>53</v>
      </c>
      <c r="H40" s="103" t="s">
        <v>53</v>
      </c>
      <c r="I40" s="102">
        <f t="shared" si="1"/>
        <v>0</v>
      </c>
    </row>
    <row r="41" spans="1:9" x14ac:dyDescent="0.25">
      <c r="A41" s="332" t="s">
        <v>499</v>
      </c>
      <c r="B41" s="333"/>
      <c r="C41" s="333"/>
      <c r="D41" s="333"/>
      <c r="E41" s="334"/>
      <c r="F41" s="102">
        <f>SUM('SO-101'!BS12:BS138)</f>
        <v>0</v>
      </c>
      <c r="G41" s="103" t="s">
        <v>53</v>
      </c>
      <c r="H41" s="103" t="s">
        <v>53</v>
      </c>
      <c r="I41" s="102">
        <f t="shared" si="1"/>
        <v>0</v>
      </c>
    </row>
    <row r="42" spans="1:9" x14ac:dyDescent="0.25">
      <c r="A42" s="332" t="s">
        <v>535</v>
      </c>
      <c r="B42" s="333"/>
      <c r="C42" s="333"/>
      <c r="D42" s="333"/>
      <c r="E42" s="334"/>
      <c r="F42" s="102">
        <f>SUM('SO-101'!BT12:BT138)</f>
        <v>0</v>
      </c>
      <c r="G42" s="103" t="s">
        <v>53</v>
      </c>
      <c r="H42" s="103" t="s">
        <v>53</v>
      </c>
      <c r="I42" s="102">
        <f t="shared" si="1"/>
        <v>0</v>
      </c>
    </row>
    <row r="43" spans="1:9" x14ac:dyDescent="0.25">
      <c r="A43" s="332" t="s">
        <v>536</v>
      </c>
      <c r="B43" s="333"/>
      <c r="C43" s="333"/>
      <c r="D43" s="333"/>
      <c r="E43" s="334"/>
      <c r="F43" s="102">
        <f>SUM('SO-101'!BU12:BU138)</f>
        <v>0</v>
      </c>
      <c r="G43" s="103" t="s">
        <v>53</v>
      </c>
      <c r="H43" s="103" t="s">
        <v>53</v>
      </c>
      <c r="I43" s="102">
        <f t="shared" si="1"/>
        <v>0</v>
      </c>
    </row>
    <row r="44" spans="1:9" x14ac:dyDescent="0.25">
      <c r="A44" s="335" t="s">
        <v>537</v>
      </c>
      <c r="B44" s="336"/>
      <c r="C44" s="336"/>
      <c r="D44" s="336"/>
      <c r="E44" s="337"/>
      <c r="F44" s="104">
        <f>SUM('SO-101'!BV12:BV138)</f>
        <v>0</v>
      </c>
      <c r="G44" s="105" t="s">
        <v>53</v>
      </c>
      <c r="H44" s="105" t="s">
        <v>53</v>
      </c>
      <c r="I44" s="104">
        <f t="shared" si="1"/>
        <v>0</v>
      </c>
    </row>
    <row r="45" spans="1:9" x14ac:dyDescent="0.25">
      <c r="A45" s="338" t="s">
        <v>538</v>
      </c>
      <c r="B45" s="339"/>
      <c r="C45" s="339"/>
      <c r="D45" s="339"/>
      <c r="E45" s="340"/>
      <c r="F45" s="106" t="s">
        <v>53</v>
      </c>
      <c r="G45" s="107" t="s">
        <v>53</v>
      </c>
      <c r="H45" s="107" t="s">
        <v>53</v>
      </c>
      <c r="I45" s="108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Souhrnný KL</vt:lpstr>
      <vt:lpstr>SO-101</vt:lpstr>
      <vt:lpstr>SO-101KL</vt:lpstr>
      <vt:lpstr>SO-101VV</vt:lpstr>
      <vt:lpstr>SO-102</vt:lpstr>
      <vt:lpstr>SO-102KL</vt:lpstr>
      <vt:lpstr>SO-102VV</vt:lpstr>
      <vt:lpstr>SO-103</vt:lpstr>
      <vt:lpstr>SO-103KL</vt:lpstr>
      <vt:lpstr>SO-103VV</vt:lpstr>
      <vt:lpstr>SO-201</vt:lpstr>
      <vt:lpstr>SO-201KL</vt:lpstr>
      <vt:lpstr>SO-201VV</vt:lpstr>
      <vt:lpstr>SO-202</vt:lpstr>
      <vt:lpstr>SO-202KL</vt:lpstr>
      <vt:lpstr>SO-202VV</vt:lpstr>
      <vt:lpstr>SO-301</vt:lpstr>
      <vt:lpstr>SO-301KL</vt:lpstr>
      <vt:lpstr>SO-301VV</vt:lpstr>
      <vt:lpstr>VORN</vt:lpstr>
      <vt:lpstr>vorn_sum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Václav Říha</cp:lastModifiedBy>
  <dcterms:created xsi:type="dcterms:W3CDTF">2021-06-10T20:06:38Z</dcterms:created>
  <dcterms:modified xsi:type="dcterms:W3CDTF">2025-01-24T07:32:46Z</dcterms:modified>
</cp:coreProperties>
</file>