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\+Elprocon21+\+EPC+\Nemocnice Plzeň\Klatovská\+Zadávací dokumentace\"/>
    </mc:Choice>
  </mc:AlternateContent>
  <xr:revisionPtr revIDLastSave="0" documentId="13_ncr:1_{95452711-FD03-4735-BC0E-D86C184D0578}" xr6:coauthVersionLast="47" xr6:coauthVersionMax="47" xr10:uidLastSave="{00000000-0000-0000-0000-000000000000}"/>
  <bookViews>
    <workbookView xWindow="25695" yWindow="0" windowWidth="26010" windowHeight="20985" tabRatio="925" firstSheet="3" activeTab="12" xr2:uid="{00000000-000D-0000-FFFF-FFFF00000000}"/>
  </bookViews>
  <sheets>
    <sheet name="1. Monoblok (Obj. č. 1 - 2)" sheetId="6" r:id="rId1"/>
    <sheet name="2. Poliklinika (Obj. č. 3 - 5)" sheetId="32" r:id="rId2"/>
    <sheet name="3. Lékárna, plicní ambulance" sheetId="31" r:id="rId3"/>
    <sheet name="4. NIP, DIOP, OKBH" sheetId="30" r:id="rId4"/>
    <sheet name="5. Nukleární medicína" sheetId="29" r:id="rId5"/>
    <sheet name="6. Patologicko - anatomické odd" sheetId="34" r:id="rId6"/>
    <sheet name="7. Patologie - zázemí" sheetId="33" r:id="rId7"/>
    <sheet name="8. Obj. č. 15" sheetId="35" r:id="rId8"/>
    <sheet name="9. Obj. č. 16" sheetId="36" r:id="rId9"/>
    <sheet name="10. Obj. č. 18" sheetId="38" r:id="rId10"/>
    <sheet name="11. Obj. č. 23" sheetId="37" r:id="rId11"/>
    <sheet name="12. Obj. č. 24" sheetId="40" r:id="rId12"/>
    <sheet name="13. Obj. č. 25" sheetId="39" r:id="rId13"/>
  </sheets>
  <definedNames>
    <definedName name="_xlnm._FilterDatabase" localSheetId="0" hidden="1">'1. Monoblok (Obj. č. 1 - 2)'!$S$2:$S$35</definedName>
    <definedName name="_xlnm._FilterDatabase" localSheetId="9" hidden="1">'10. Obj. č. 18'!$S$2:$S$25</definedName>
    <definedName name="_xlnm._FilterDatabase" localSheetId="10" hidden="1">'11. Obj. č. 23'!$S$2:$S$28</definedName>
    <definedName name="_xlnm._FilterDatabase" localSheetId="11" hidden="1">'12. Obj. č. 24'!$S$2:$S$34</definedName>
    <definedName name="_xlnm._FilterDatabase" localSheetId="12" hidden="1">'13. Obj. č. 25'!$S$2:$S$27</definedName>
    <definedName name="_xlnm._FilterDatabase" localSheetId="1" hidden="1">'2. Poliklinika (Obj. č. 3 - 5)'!$S$2:$S$31</definedName>
    <definedName name="_xlnm._FilterDatabase" localSheetId="2" hidden="1">'3. Lékárna, plicní ambulance'!$S$2:$S$27</definedName>
    <definedName name="_xlnm._FilterDatabase" localSheetId="3" hidden="1">'4. NIP, DIOP, OKBH'!$S$2:$S$28</definedName>
    <definedName name="_xlnm._FilterDatabase" localSheetId="4" hidden="1">'5. Nukleární medicína'!$S$2:$S$29</definedName>
    <definedName name="_xlnm._FilterDatabase" localSheetId="5" hidden="1">'6. Patologicko - anatomické odd'!$S$2:$S$28</definedName>
    <definedName name="_xlnm._FilterDatabase" localSheetId="6" hidden="1">'7. Patologie - zázemí'!$S$2:$S$26</definedName>
    <definedName name="_xlnm._FilterDatabase" localSheetId="7" hidden="1">'8. Obj. č. 15'!$S$2:$S$29</definedName>
    <definedName name="_xlnm._FilterDatabase" localSheetId="8" hidden="1">'9. Obj. č. 16'!$S$2:$S$29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39" l="1"/>
  <c r="F5" i="40"/>
  <c r="H5" i="40"/>
  <c r="J5" i="40" s="1"/>
  <c r="K5" i="40"/>
  <c r="L5" i="40"/>
  <c r="N5" i="40"/>
  <c r="F6" i="40"/>
  <c r="H6" i="40"/>
  <c r="J6" i="40"/>
  <c r="K6" i="40"/>
  <c r="L6" i="40"/>
  <c r="M6" i="40"/>
  <c r="N6" i="40"/>
  <c r="F7" i="40"/>
  <c r="H7" i="40" s="1"/>
  <c r="J7" i="40" s="1"/>
  <c r="K7" i="40"/>
  <c r="L7" i="40"/>
  <c r="M7" i="40"/>
  <c r="N7" i="40"/>
  <c r="F8" i="40"/>
  <c r="H8" i="40"/>
  <c r="J8" i="40"/>
  <c r="K8" i="40"/>
  <c r="L8" i="40"/>
  <c r="N8" i="40"/>
  <c r="F9" i="40"/>
  <c r="H9" i="40" s="1"/>
  <c r="J9" i="40" s="1"/>
  <c r="K9" i="40"/>
  <c r="L9" i="40"/>
  <c r="M9" i="40"/>
  <c r="N9" i="40"/>
  <c r="O9" i="40" s="1"/>
  <c r="F10" i="40"/>
  <c r="H10" i="40"/>
  <c r="J10" i="40" s="1"/>
  <c r="K10" i="40"/>
  <c r="L10" i="40"/>
  <c r="M10" i="40" s="1"/>
  <c r="N10" i="40"/>
  <c r="F11" i="40"/>
  <c r="H11" i="40"/>
  <c r="J11" i="40"/>
  <c r="K11" i="40"/>
  <c r="L11" i="40"/>
  <c r="M11" i="40"/>
  <c r="N11" i="40"/>
  <c r="O11" i="40"/>
  <c r="P11" i="40"/>
  <c r="G6" i="37"/>
  <c r="N13" i="40"/>
  <c r="L13" i="40"/>
  <c r="K13" i="40"/>
  <c r="F13" i="40"/>
  <c r="H13" i="40" s="1"/>
  <c r="J13" i="40" s="1"/>
  <c r="N12" i="40"/>
  <c r="L12" i="40"/>
  <c r="K12" i="40"/>
  <c r="M12" i="40" s="1"/>
  <c r="O12" i="40" s="1"/>
  <c r="F12" i="40"/>
  <c r="H12" i="40" s="1"/>
  <c r="J12" i="40" s="1"/>
  <c r="G14" i="40"/>
  <c r="N4" i="40"/>
  <c r="L4" i="40"/>
  <c r="K4" i="40"/>
  <c r="F4" i="40"/>
  <c r="H4" i="40" s="1"/>
  <c r="N6" i="39"/>
  <c r="L6" i="39"/>
  <c r="K6" i="39"/>
  <c r="M6" i="39" s="1"/>
  <c r="O6" i="39" s="1"/>
  <c r="F6" i="39"/>
  <c r="H6" i="39" s="1"/>
  <c r="J6" i="39" s="1"/>
  <c r="N5" i="39"/>
  <c r="K5" i="39"/>
  <c r="H5" i="39"/>
  <c r="J5" i="39" s="1"/>
  <c r="F5" i="39"/>
  <c r="N4" i="39"/>
  <c r="L4" i="39"/>
  <c r="M4" i="39" s="1"/>
  <c r="K4" i="39"/>
  <c r="F4" i="39"/>
  <c r="H4" i="39" s="1"/>
  <c r="G8" i="36"/>
  <c r="F5" i="36"/>
  <c r="H5" i="36" s="1"/>
  <c r="J5" i="36" s="1"/>
  <c r="K5" i="36"/>
  <c r="L5" i="36"/>
  <c r="N5" i="36"/>
  <c r="N4" i="38"/>
  <c r="L4" i="38"/>
  <c r="K4" i="38"/>
  <c r="M4" i="38" s="1"/>
  <c r="O4" i="38" s="1"/>
  <c r="F4" i="38"/>
  <c r="H4" i="38" s="1"/>
  <c r="J4" i="38" s="1"/>
  <c r="G5" i="38"/>
  <c r="N7" i="37"/>
  <c r="L7" i="37"/>
  <c r="K7" i="37"/>
  <c r="M7" i="37" s="1"/>
  <c r="O7" i="37" s="1"/>
  <c r="F7" i="37"/>
  <c r="H7" i="37" s="1"/>
  <c r="J7" i="37" s="1"/>
  <c r="P7" i="37" s="1"/>
  <c r="N6" i="37"/>
  <c r="L6" i="37"/>
  <c r="K6" i="37"/>
  <c r="H6" i="37"/>
  <c r="J6" i="37" s="1"/>
  <c r="F6" i="37"/>
  <c r="N5" i="37"/>
  <c r="K5" i="37"/>
  <c r="L5" i="37"/>
  <c r="F5" i="37"/>
  <c r="N4" i="37"/>
  <c r="L4" i="37"/>
  <c r="K4" i="37"/>
  <c r="M4" i="37" s="1"/>
  <c r="O4" i="37" s="1"/>
  <c r="F4" i="37"/>
  <c r="H4" i="37" s="1"/>
  <c r="N8" i="36"/>
  <c r="L8" i="36"/>
  <c r="K8" i="36"/>
  <c r="F8" i="36"/>
  <c r="N7" i="36"/>
  <c r="L7" i="36"/>
  <c r="K7" i="36"/>
  <c r="F7" i="36"/>
  <c r="H7" i="36" s="1"/>
  <c r="J7" i="36" s="1"/>
  <c r="N6" i="36"/>
  <c r="K6" i="36"/>
  <c r="G9" i="36"/>
  <c r="F6" i="36"/>
  <c r="N4" i="36"/>
  <c r="L4" i="36"/>
  <c r="K4" i="36"/>
  <c r="F4" i="36"/>
  <c r="H4" i="36" s="1"/>
  <c r="N8" i="35"/>
  <c r="L8" i="35"/>
  <c r="K8" i="35"/>
  <c r="F8" i="35"/>
  <c r="H8" i="35" s="1"/>
  <c r="J8" i="35" s="1"/>
  <c r="N7" i="35"/>
  <c r="L7" i="35"/>
  <c r="K7" i="35"/>
  <c r="M7" i="35" s="1"/>
  <c r="O7" i="35" s="1"/>
  <c r="F7" i="35"/>
  <c r="H7" i="35" s="1"/>
  <c r="J7" i="35" s="1"/>
  <c r="P7" i="35" s="1"/>
  <c r="N6" i="35"/>
  <c r="L6" i="35"/>
  <c r="K6" i="35"/>
  <c r="M6" i="35" s="1"/>
  <c r="O6" i="35" s="1"/>
  <c r="H6" i="35"/>
  <c r="J6" i="35" s="1"/>
  <c r="P6" i="35" s="1"/>
  <c r="F6" i="35"/>
  <c r="N5" i="35"/>
  <c r="K5" i="35"/>
  <c r="G9" i="35"/>
  <c r="F5" i="35"/>
  <c r="N4" i="35"/>
  <c r="L4" i="35"/>
  <c r="M4" i="35" s="1"/>
  <c r="K4" i="35"/>
  <c r="F4" i="35"/>
  <c r="H4" i="35" s="1"/>
  <c r="G8" i="34"/>
  <c r="F5" i="34"/>
  <c r="H5" i="34" s="1"/>
  <c r="J5" i="34" s="1"/>
  <c r="K5" i="34"/>
  <c r="L5" i="34"/>
  <c r="N5" i="34"/>
  <c r="F6" i="34"/>
  <c r="H6" i="34"/>
  <c r="J6" i="34"/>
  <c r="K6" i="34"/>
  <c r="L6" i="34"/>
  <c r="M6" i="34"/>
  <c r="N6" i="34"/>
  <c r="F4" i="34"/>
  <c r="H4" i="34"/>
  <c r="J4" i="34" s="1"/>
  <c r="K4" i="34"/>
  <c r="L4" i="34"/>
  <c r="N4" i="34"/>
  <c r="G5" i="29"/>
  <c r="G7" i="30"/>
  <c r="G4" i="30"/>
  <c r="F5" i="30"/>
  <c r="H5" i="30" s="1"/>
  <c r="J5" i="30" s="1"/>
  <c r="K5" i="30"/>
  <c r="L5" i="30"/>
  <c r="M5" i="30"/>
  <c r="N5" i="30"/>
  <c r="O5" i="30"/>
  <c r="F6" i="30"/>
  <c r="H6" i="30"/>
  <c r="J6" i="30"/>
  <c r="K6" i="30"/>
  <c r="L6" i="30"/>
  <c r="M6" i="30"/>
  <c r="N6" i="30"/>
  <c r="G6" i="31"/>
  <c r="G5" i="31"/>
  <c r="G4" i="31"/>
  <c r="F4" i="31"/>
  <c r="F5" i="31"/>
  <c r="F6" i="31"/>
  <c r="G10" i="32"/>
  <c r="G8" i="32"/>
  <c r="G7" i="32"/>
  <c r="G5" i="32"/>
  <c r="G4" i="32"/>
  <c r="P4" i="38" l="1"/>
  <c r="O6" i="40"/>
  <c r="P6" i="40" s="1"/>
  <c r="O10" i="40"/>
  <c r="P10" i="40" s="1"/>
  <c r="O7" i="40"/>
  <c r="O6" i="34"/>
  <c r="O6" i="30"/>
  <c r="P6" i="30" s="1"/>
  <c r="P9" i="40"/>
  <c r="M8" i="40"/>
  <c r="O8" i="40" s="1"/>
  <c r="P8" i="40" s="1"/>
  <c r="P7" i="40"/>
  <c r="M5" i="40"/>
  <c r="O5" i="40" s="1"/>
  <c r="P5" i="40" s="1"/>
  <c r="M4" i="40"/>
  <c r="M13" i="40"/>
  <c r="O13" i="40" s="1"/>
  <c r="P13" i="40" s="1"/>
  <c r="O4" i="40"/>
  <c r="M6" i="37"/>
  <c r="O6" i="37" s="1"/>
  <c r="P6" i="37" s="1"/>
  <c r="M5" i="37"/>
  <c r="O5" i="37" s="1"/>
  <c r="L8" i="37"/>
  <c r="P12" i="40"/>
  <c r="J4" i="40"/>
  <c r="L14" i="40"/>
  <c r="P6" i="39"/>
  <c r="J4" i="39"/>
  <c r="H7" i="39"/>
  <c r="O4" i="39"/>
  <c r="L5" i="39"/>
  <c r="M5" i="39" s="1"/>
  <c r="G7" i="39"/>
  <c r="H8" i="36"/>
  <c r="J8" i="36" s="1"/>
  <c r="M5" i="36"/>
  <c r="O5" i="36" s="1"/>
  <c r="P5" i="36" s="1"/>
  <c r="M4" i="36"/>
  <c r="O4" i="36" s="1"/>
  <c r="M7" i="36"/>
  <c r="O7" i="36" s="1"/>
  <c r="P7" i="36" s="1"/>
  <c r="M8" i="36"/>
  <c r="O8" i="36" s="1"/>
  <c r="M8" i="35"/>
  <c r="O8" i="35" s="1"/>
  <c r="P8" i="35" s="1"/>
  <c r="O5" i="38"/>
  <c r="L5" i="38"/>
  <c r="M5" i="38"/>
  <c r="J4" i="37"/>
  <c r="M8" i="37"/>
  <c r="G8" i="37"/>
  <c r="H5" i="37"/>
  <c r="J5" i="37" s="1"/>
  <c r="P5" i="37" s="1"/>
  <c r="J4" i="36"/>
  <c r="H6" i="36"/>
  <c r="J6" i="36" s="1"/>
  <c r="L6" i="36"/>
  <c r="L9" i="36" s="1"/>
  <c r="J4" i="35"/>
  <c r="O4" i="35"/>
  <c r="H5" i="35"/>
  <c r="J5" i="35" s="1"/>
  <c r="L5" i="35"/>
  <c r="L9" i="35" s="1"/>
  <c r="M5" i="34"/>
  <c r="O5" i="34" s="1"/>
  <c r="P5" i="34" s="1"/>
  <c r="P6" i="34"/>
  <c r="M4" i="34"/>
  <c r="P5" i="30"/>
  <c r="P8" i="36" l="1"/>
  <c r="O8" i="37"/>
  <c r="H14" i="40"/>
  <c r="J14" i="40"/>
  <c r="P4" i="40"/>
  <c r="O5" i="39"/>
  <c r="M7" i="39"/>
  <c r="P4" i="39"/>
  <c r="J7" i="39"/>
  <c r="L7" i="39"/>
  <c r="H5" i="38"/>
  <c r="J5" i="38"/>
  <c r="P5" i="38" s="1"/>
  <c r="P4" i="37"/>
  <c r="J8" i="37"/>
  <c r="P8" i="37" s="1"/>
  <c r="H8" i="37"/>
  <c r="J9" i="36"/>
  <c r="P4" i="36"/>
  <c r="M6" i="36"/>
  <c r="H9" i="36"/>
  <c r="M5" i="35"/>
  <c r="H9" i="35"/>
  <c r="P4" i="35"/>
  <c r="J9" i="35"/>
  <c r="O4" i="34"/>
  <c r="M14" i="40" l="1"/>
  <c r="O7" i="39"/>
  <c r="P7" i="39" s="1"/>
  <c r="P5" i="39"/>
  <c r="O6" i="36"/>
  <c r="M9" i="36"/>
  <c r="O5" i="35"/>
  <c r="M9" i="35"/>
  <c r="P4" i="34"/>
  <c r="O14" i="40" l="1"/>
  <c r="P14" i="40" s="1"/>
  <c r="O9" i="36"/>
  <c r="P9" i="36" s="1"/>
  <c r="P6" i="36"/>
  <c r="O9" i="35"/>
  <c r="P9" i="35" s="1"/>
  <c r="P5" i="35"/>
  <c r="F5" i="32" l="1"/>
  <c r="H5" i="32"/>
  <c r="J5" i="32" s="1"/>
  <c r="K5" i="32"/>
  <c r="L5" i="32"/>
  <c r="N5" i="32"/>
  <c r="F6" i="32"/>
  <c r="H6" i="32"/>
  <c r="J6" i="32" s="1"/>
  <c r="K6" i="32"/>
  <c r="L6" i="32"/>
  <c r="M6" i="32"/>
  <c r="N6" i="32"/>
  <c r="F7" i="32"/>
  <c r="H7" i="32"/>
  <c r="J7" i="32" s="1"/>
  <c r="K7" i="32"/>
  <c r="L7" i="32"/>
  <c r="M7" i="32" s="1"/>
  <c r="N7" i="32"/>
  <c r="F8" i="32"/>
  <c r="H8" i="32"/>
  <c r="J8" i="32" s="1"/>
  <c r="K8" i="32"/>
  <c r="L8" i="32"/>
  <c r="N8" i="32"/>
  <c r="F9" i="32"/>
  <c r="H9" i="32"/>
  <c r="J9" i="32"/>
  <c r="K9" i="32"/>
  <c r="L9" i="32"/>
  <c r="M9" i="32"/>
  <c r="N9" i="32"/>
  <c r="G12" i="6"/>
  <c r="L12" i="6" s="1"/>
  <c r="M12" i="6" s="1"/>
  <c r="G11" i="6"/>
  <c r="L11" i="6" s="1"/>
  <c r="M11" i="6" s="1"/>
  <c r="G10" i="6"/>
  <c r="H10" i="6" s="1"/>
  <c r="J10" i="6" s="1"/>
  <c r="F5" i="6"/>
  <c r="H5" i="6"/>
  <c r="J5" i="6" s="1"/>
  <c r="K5" i="6"/>
  <c r="L5" i="6"/>
  <c r="N5" i="6"/>
  <c r="F6" i="6"/>
  <c r="H6" i="6"/>
  <c r="J6" i="6" s="1"/>
  <c r="K6" i="6"/>
  <c r="L6" i="6"/>
  <c r="M6" i="6"/>
  <c r="N6" i="6"/>
  <c r="F7" i="6"/>
  <c r="H7" i="6"/>
  <c r="J7" i="6" s="1"/>
  <c r="K7" i="6"/>
  <c r="L7" i="6"/>
  <c r="N7" i="6"/>
  <c r="F8" i="6"/>
  <c r="H8" i="6" s="1"/>
  <c r="J8" i="6" s="1"/>
  <c r="K8" i="6"/>
  <c r="L8" i="6"/>
  <c r="N8" i="6"/>
  <c r="F9" i="6"/>
  <c r="H9" i="6"/>
  <c r="J9" i="6" s="1"/>
  <c r="K9" i="6"/>
  <c r="L9" i="6"/>
  <c r="N9" i="6"/>
  <c r="F10" i="6"/>
  <c r="K10" i="6"/>
  <c r="N10" i="6"/>
  <c r="F11" i="6"/>
  <c r="K11" i="6"/>
  <c r="N11" i="6"/>
  <c r="F12" i="6"/>
  <c r="H12" i="6" s="1"/>
  <c r="J12" i="6" s="1"/>
  <c r="K12" i="6"/>
  <c r="N12" i="6"/>
  <c r="F13" i="6"/>
  <c r="H13" i="6"/>
  <c r="J13" i="6" s="1"/>
  <c r="K13" i="6"/>
  <c r="L13" i="6"/>
  <c r="M13" i="6" s="1"/>
  <c r="N13" i="6"/>
  <c r="F14" i="6"/>
  <c r="H14" i="6" s="1"/>
  <c r="J14" i="6" s="1"/>
  <c r="K14" i="6"/>
  <c r="L14" i="6"/>
  <c r="M14" i="6"/>
  <c r="N14" i="6"/>
  <c r="H4" i="33"/>
  <c r="H5" i="33"/>
  <c r="G9" i="29"/>
  <c r="N4" i="29"/>
  <c r="L4" i="29"/>
  <c r="M4" i="29" s="1"/>
  <c r="K4" i="29"/>
  <c r="H4" i="29"/>
  <c r="J4" i="29" s="1"/>
  <c r="F4" i="29"/>
  <c r="N5" i="31"/>
  <c r="L5" i="31"/>
  <c r="K5" i="31"/>
  <c r="H5" i="31"/>
  <c r="J5" i="31" s="1"/>
  <c r="N7" i="34"/>
  <c r="L7" i="34"/>
  <c r="L8" i="34" s="1"/>
  <c r="K7" i="34"/>
  <c r="F7" i="34"/>
  <c r="H7" i="34" s="1"/>
  <c r="H8" i="34" s="1"/>
  <c r="G6" i="33"/>
  <c r="N5" i="33"/>
  <c r="L5" i="33"/>
  <c r="K5" i="33"/>
  <c r="F5" i="33"/>
  <c r="N4" i="33"/>
  <c r="L4" i="33"/>
  <c r="K4" i="33"/>
  <c r="F4" i="33"/>
  <c r="G11" i="32"/>
  <c r="N10" i="32"/>
  <c r="L10" i="32"/>
  <c r="K10" i="32"/>
  <c r="F10" i="32"/>
  <c r="H10" i="32" s="1"/>
  <c r="J10" i="32" s="1"/>
  <c r="N4" i="32"/>
  <c r="L4" i="32"/>
  <c r="K4" i="32"/>
  <c r="F4" i="32"/>
  <c r="H4" i="32" s="1"/>
  <c r="G7" i="31"/>
  <c r="N6" i="31"/>
  <c r="L6" i="31"/>
  <c r="K6" i="31"/>
  <c r="H6" i="31"/>
  <c r="J6" i="31" s="1"/>
  <c r="N4" i="31"/>
  <c r="L4" i="31"/>
  <c r="K4" i="31"/>
  <c r="H4" i="31"/>
  <c r="G8" i="30"/>
  <c r="N7" i="30"/>
  <c r="L7" i="30"/>
  <c r="K7" i="30"/>
  <c r="F7" i="30"/>
  <c r="H7" i="30" s="1"/>
  <c r="J7" i="30" s="1"/>
  <c r="N4" i="30"/>
  <c r="L4" i="30"/>
  <c r="K4" i="30"/>
  <c r="F4" i="30"/>
  <c r="H4" i="30" s="1"/>
  <c r="J4" i="30" s="1"/>
  <c r="N8" i="29"/>
  <c r="L8" i="29"/>
  <c r="M8" i="29" s="1"/>
  <c r="K8" i="29"/>
  <c r="F8" i="29"/>
  <c r="H8" i="29" s="1"/>
  <c r="J8" i="29" s="1"/>
  <c r="N7" i="29"/>
  <c r="L7" i="29"/>
  <c r="M7" i="29" s="1"/>
  <c r="K7" i="29"/>
  <c r="F7" i="29"/>
  <c r="H7" i="29" s="1"/>
  <c r="J7" i="29" s="1"/>
  <c r="N6" i="29"/>
  <c r="L6" i="29"/>
  <c r="M6" i="29" s="1"/>
  <c r="K6" i="29"/>
  <c r="F6" i="29"/>
  <c r="H6" i="29" s="1"/>
  <c r="J6" i="29" s="1"/>
  <c r="N5" i="29"/>
  <c r="L5" i="29"/>
  <c r="M5" i="29" s="1"/>
  <c r="K5" i="29"/>
  <c r="F5" i="29"/>
  <c r="H5" i="29" s="1"/>
  <c r="O7" i="32" l="1"/>
  <c r="O9" i="32"/>
  <c r="P9" i="32" s="1"/>
  <c r="O6" i="32"/>
  <c r="P6" i="32" s="1"/>
  <c r="O11" i="6"/>
  <c r="O12" i="6"/>
  <c r="O14" i="6"/>
  <c r="P14" i="6" s="1"/>
  <c r="O13" i="6"/>
  <c r="L6" i="33"/>
  <c r="M7" i="34"/>
  <c r="M8" i="34" s="1"/>
  <c r="M9" i="29"/>
  <c r="L9" i="29"/>
  <c r="O4" i="29"/>
  <c r="P4" i="29" s="1"/>
  <c r="H9" i="29"/>
  <c r="M4" i="30"/>
  <c r="M10" i="32"/>
  <c r="M8" i="32"/>
  <c r="O8" i="32" s="1"/>
  <c r="P8" i="32" s="1"/>
  <c r="P7" i="32"/>
  <c r="M5" i="32"/>
  <c r="O5" i="32" s="1"/>
  <c r="P5" i="32" s="1"/>
  <c r="O10" i="32"/>
  <c r="P10" i="32" s="1"/>
  <c r="M4" i="32"/>
  <c r="O4" i="32" s="1"/>
  <c r="P13" i="6"/>
  <c r="P12" i="6"/>
  <c r="H11" i="6"/>
  <c r="J11" i="6" s="1"/>
  <c r="P11" i="6" s="1"/>
  <c r="L10" i="6"/>
  <c r="M9" i="6"/>
  <c r="O9" i="6" s="1"/>
  <c r="M7" i="6"/>
  <c r="O7" i="6" s="1"/>
  <c r="M5" i="6"/>
  <c r="M8" i="6"/>
  <c r="O8" i="6" s="1"/>
  <c r="P8" i="6" s="1"/>
  <c r="P9" i="6"/>
  <c r="M10" i="6"/>
  <c r="O10" i="6" s="1"/>
  <c r="P10" i="6" s="1"/>
  <c r="P7" i="6"/>
  <c r="O5" i="6"/>
  <c r="P5" i="6" s="1"/>
  <c r="O6" i="6"/>
  <c r="P6" i="6" s="1"/>
  <c r="O4" i="30"/>
  <c r="P4" i="30" s="1"/>
  <c r="O8" i="29"/>
  <c r="P8" i="29" s="1"/>
  <c r="J5" i="33"/>
  <c r="M4" i="33"/>
  <c r="M5" i="33"/>
  <c r="O5" i="33" s="1"/>
  <c r="P5" i="33" s="1"/>
  <c r="O6" i="29"/>
  <c r="P6" i="29" s="1"/>
  <c r="O7" i="29"/>
  <c r="P7" i="29" s="1"/>
  <c r="L8" i="30"/>
  <c r="M7" i="30"/>
  <c r="O7" i="30" s="1"/>
  <c r="P7" i="30" s="1"/>
  <c r="M6" i="31"/>
  <c r="O6" i="31" s="1"/>
  <c r="P6" i="31" s="1"/>
  <c r="M5" i="31"/>
  <c r="O5" i="31" s="1"/>
  <c r="P5" i="31" s="1"/>
  <c r="M4" i="31"/>
  <c r="O4" i="31" s="1"/>
  <c r="L7" i="31"/>
  <c r="L11" i="32"/>
  <c r="J7" i="34"/>
  <c r="J8" i="34" s="1"/>
  <c r="O7" i="34"/>
  <c r="O8" i="34" s="1"/>
  <c r="H6" i="33"/>
  <c r="J4" i="33"/>
  <c r="H11" i="32"/>
  <c r="J4" i="32"/>
  <c r="H7" i="31"/>
  <c r="J4" i="31"/>
  <c r="J8" i="30"/>
  <c r="H8" i="30"/>
  <c r="O5" i="29"/>
  <c r="J5" i="29"/>
  <c r="J9" i="29" s="1"/>
  <c r="O8" i="30" l="1"/>
  <c r="P8" i="30" s="1"/>
  <c r="M11" i="32"/>
  <c r="O11" i="32"/>
  <c r="M6" i="33"/>
  <c r="O4" i="33"/>
  <c r="O6" i="33" s="1"/>
  <c r="O9" i="29"/>
  <c r="P9" i="29" s="1"/>
  <c r="M8" i="30"/>
  <c r="O7" i="31"/>
  <c r="M7" i="31"/>
  <c r="P7" i="34"/>
  <c r="P8" i="34" s="1"/>
  <c r="J6" i="33"/>
  <c r="P4" i="32"/>
  <c r="J11" i="32"/>
  <c r="P4" i="31"/>
  <c r="J7" i="31"/>
  <c r="P5" i="29"/>
  <c r="P11" i="32" l="1"/>
  <c r="P6" i="33"/>
  <c r="P4" i="33"/>
  <c r="P7" i="31"/>
  <c r="K4" i="6" l="1"/>
  <c r="G15" i="6" l="1"/>
  <c r="N4" i="6" l="1"/>
  <c r="L4" i="6"/>
  <c r="F4" i="6"/>
  <c r="H4" i="6" s="1"/>
  <c r="J4" i="6" s="1"/>
  <c r="M4" i="6" l="1"/>
  <c r="O4" i="6" s="1"/>
  <c r="P4" i="6" s="1"/>
  <c r="J15" i="6"/>
  <c r="H15" i="6"/>
  <c r="L15" i="6"/>
  <c r="M15" i="6" l="1"/>
  <c r="O15" i="6"/>
  <c r="P15" i="6" s="1"/>
</calcChain>
</file>

<file path=xl/sharedStrings.xml><?xml version="1.0" encoding="utf-8"?>
<sst xmlns="http://schemas.openxmlformats.org/spreadsheetml/2006/main" count="363" uniqueCount="43">
  <si>
    <t>Typ - příkon svítidla</t>
  </si>
  <si>
    <t>Poznámka</t>
  </si>
  <si>
    <t>Celkem</t>
  </si>
  <si>
    <t>Svítidlo
z=zářivkové, ž=žárovkové</t>
  </si>
  <si>
    <t>Počet trubic
(u žárovek dát hodnotu 1)
(ks)</t>
  </si>
  <si>
    <t>Příkon 
(W/ks)</t>
  </si>
  <si>
    <t>Počet svítidel daného typu 
(ks)</t>
  </si>
  <si>
    <t>Počet  provozních hodin
(hod/rok)</t>
  </si>
  <si>
    <t>Spotřeba EE
(kWh/rok)</t>
  </si>
  <si>
    <t>Příkon nového svítidla
(W)</t>
  </si>
  <si>
    <t>Počet svítidel
(ks)</t>
  </si>
  <si>
    <t>Celkový příkon nových svítidel
(kW)</t>
  </si>
  <si>
    <t>Počet provozních hodin osvětlení (hod/rok)</t>
  </si>
  <si>
    <t>Spotřeba EE novým osvětlením
(kWh/rok)</t>
  </si>
  <si>
    <t>z</t>
  </si>
  <si>
    <t>ž</t>
  </si>
  <si>
    <t>Příkon svítidla 
(W/ks)</t>
  </si>
  <si>
    <t>Celkový příkon stávajících svítidel včetně předřadníku
(kW)</t>
  </si>
  <si>
    <t>typ svítidla</t>
  </si>
  <si>
    <t>Úspora EE
(kWh)</t>
  </si>
  <si>
    <t>1. Poliklinika</t>
  </si>
  <si>
    <t>2 x 36 W</t>
  </si>
  <si>
    <t>4 x 18 W</t>
  </si>
  <si>
    <t>60 W</t>
  </si>
  <si>
    <t>2 x 11 W</t>
  </si>
  <si>
    <t>2 x 58 W</t>
  </si>
  <si>
    <t>1 x 58 W</t>
  </si>
  <si>
    <t>1 x 58 W s nouzovým modulem</t>
  </si>
  <si>
    <t>2 x 36 W s nouzovým modulem</t>
  </si>
  <si>
    <t>2 x 58 W s nouzovým modulem</t>
  </si>
  <si>
    <t>4 x 18 W s nouzovým modulem</t>
  </si>
  <si>
    <t>2 x 5,5 W</t>
  </si>
  <si>
    <t>1 x 30 W</t>
  </si>
  <si>
    <t>2 x 10 W</t>
  </si>
  <si>
    <t>4 x 36 W</t>
  </si>
  <si>
    <t>2 x 18 W</t>
  </si>
  <si>
    <t>1 x 36 W</t>
  </si>
  <si>
    <t>1 x 18 W</t>
  </si>
  <si>
    <t>2 x 30 W</t>
  </si>
  <si>
    <t>3 x 36 W</t>
  </si>
  <si>
    <t>2 x 26 W</t>
  </si>
  <si>
    <t>2 x 55 W</t>
  </si>
  <si>
    <t>4 x 24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</si>
</sst>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"/>
    <numFmt numFmtId="165" formatCode="0.0%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Trebuchet MS"/>
      <family val="2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2" borderId="0" xfId="0" applyFont="1" applyFill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44" fontId="7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3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left" vertical="center"/>
    </xf>
    <xf numFmtId="3" fontId="4" fillId="0" borderId="0" xfId="0" applyNumberFormat="1" applyFont="1" applyAlignment="1">
      <alignment horizontal="center" vertical="center"/>
    </xf>
    <xf numFmtId="165" fontId="7" fillId="0" borderId="0" xfId="1" applyNumberFormat="1" applyFont="1"/>
    <xf numFmtId="0" fontId="7" fillId="0" borderId="0" xfId="0" applyFont="1" applyAlignment="1">
      <alignment horizontal="center" vertical="center"/>
    </xf>
    <xf numFmtId="44" fontId="8" fillId="0" borderId="0" xfId="0" applyNumberFormat="1" applyFont="1"/>
    <xf numFmtId="0" fontId="2" fillId="0" borderId="0" xfId="0" applyFont="1" applyAlignment="1">
      <alignment horizontal="center" vertical="center" wrapText="1"/>
    </xf>
    <xf numFmtId="44" fontId="7" fillId="0" borderId="0" xfId="2" applyFont="1" applyBorder="1"/>
    <xf numFmtId="3" fontId="6" fillId="0" borderId="0" xfId="0" applyNumberFormat="1" applyFont="1" applyAlignment="1">
      <alignment horizontal="center" vertical="center" wrapText="1"/>
    </xf>
    <xf numFmtId="3" fontId="8" fillId="0" borderId="0" xfId="0" applyNumberFormat="1" applyFont="1" applyAlignment="1">
      <alignment horizontal="center"/>
    </xf>
    <xf numFmtId="0" fontId="7" fillId="4" borderId="1" xfId="0" applyFont="1" applyFill="1" applyBorder="1" applyAlignment="1">
      <alignment horizontal="center"/>
    </xf>
    <xf numFmtId="164" fontId="6" fillId="4" borderId="1" xfId="0" applyNumberFormat="1" applyFont="1" applyFill="1" applyBorder="1" applyAlignment="1">
      <alignment horizontal="center" vertical="center" wrapText="1"/>
    </xf>
    <xf numFmtId="9" fontId="3" fillId="0" borderId="0" xfId="1" applyFont="1" applyAlignment="1">
      <alignment horizontal="center" wrapText="1"/>
    </xf>
  </cellXfs>
  <cellStyles count="4">
    <cellStyle name="Měna" xfId="2" builtinId="4"/>
    <cellStyle name="Normální" xfId="0" builtinId="0"/>
    <cellStyle name="Normální 3" xfId="3" xr:uid="{B94CA1C7-11AD-44C0-B57D-BA276BE2E950}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AA17"/>
  <sheetViews>
    <sheetView zoomScaleNormal="100" workbookViewId="0">
      <pane ySplit="3" topLeftCell="A4" activePane="bottomLeft" state="frozen"/>
      <selection pane="bottomLeft" activeCell="I28" sqref="I28"/>
    </sheetView>
  </sheetViews>
  <sheetFormatPr defaultColWidth="9.140625" defaultRowHeight="12.75" x14ac:dyDescent="0.2"/>
  <cols>
    <col min="1" max="1" width="4.28515625" style="14" customWidth="1"/>
    <col min="2" max="2" width="26.1406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/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x14ac:dyDescent="0.2">
      <c r="B4" s="7" t="s">
        <v>26</v>
      </c>
      <c r="C4" s="8" t="s">
        <v>14</v>
      </c>
      <c r="D4" s="8">
        <v>1</v>
      </c>
      <c r="E4" s="8">
        <v>58</v>
      </c>
      <c r="F4" s="7">
        <f>D4*E4</f>
        <v>58</v>
      </c>
      <c r="G4" s="9">
        <v>203</v>
      </c>
      <c r="H4" s="10">
        <f>IF(C4="z",F4*(1+$H$2),F4)*G4/1000</f>
        <v>13.975738000000002</v>
      </c>
      <c r="I4" s="11">
        <v>1750</v>
      </c>
      <c r="J4" s="33">
        <f>H4*I4</f>
        <v>24457.541500000003</v>
      </c>
      <c r="K4" s="12">
        <f>T4*W4</f>
        <v>0</v>
      </c>
      <c r="L4" s="13">
        <f t="shared" ref="L4" si="0">G4</f>
        <v>203</v>
      </c>
      <c r="M4" s="10">
        <f>K4*L4/1000</f>
        <v>0</v>
      </c>
      <c r="N4" s="11">
        <f>I4</f>
        <v>1750</v>
      </c>
      <c r="O4" s="11">
        <f>M4*N4</f>
        <v>0</v>
      </c>
      <c r="P4" s="11">
        <f>J4-O4</f>
        <v>24457.541500000003</v>
      </c>
      <c r="Q4" s="9"/>
      <c r="U4" s="29"/>
      <c r="V4" s="29"/>
      <c r="X4" s="26"/>
      <c r="Y4" s="30"/>
      <c r="AA4" s="15"/>
    </row>
    <row r="5" spans="2:27" x14ac:dyDescent="0.2">
      <c r="B5" s="7" t="s">
        <v>27</v>
      </c>
      <c r="C5" s="8" t="s">
        <v>14</v>
      </c>
      <c r="D5" s="8">
        <v>1</v>
      </c>
      <c r="E5" s="8">
        <v>58</v>
      </c>
      <c r="F5" s="7">
        <f t="shared" ref="F5:F14" si="1">D5*E5</f>
        <v>58</v>
      </c>
      <c r="G5" s="9">
        <v>39</v>
      </c>
      <c r="H5" s="10">
        <f t="shared" ref="H5:H14" si="2">IF(C5="z",F5*(1+$H$2),F5)*G5/1000</f>
        <v>2.6849940000000001</v>
      </c>
      <c r="I5" s="11">
        <v>1750</v>
      </c>
      <c r="J5" s="33">
        <f t="shared" ref="J5:J14" si="3">H5*I5</f>
        <v>4698.7395000000006</v>
      </c>
      <c r="K5" s="12">
        <f t="shared" ref="K5:K14" si="4">T5*W5</f>
        <v>0</v>
      </c>
      <c r="L5" s="13">
        <f t="shared" ref="L5:L14" si="5">G5</f>
        <v>39</v>
      </c>
      <c r="M5" s="10">
        <f t="shared" ref="M5:M14" si="6">K5*L5/1000</f>
        <v>0</v>
      </c>
      <c r="N5" s="11">
        <f t="shared" ref="N5:N14" si="7">I5</f>
        <v>1750</v>
      </c>
      <c r="O5" s="11">
        <f t="shared" ref="O5:O14" si="8">M5*N5</f>
        <v>0</v>
      </c>
      <c r="P5" s="11">
        <f t="shared" ref="P5:P14" si="9">J5-O5</f>
        <v>4698.7395000000006</v>
      </c>
      <c r="Q5" s="9"/>
      <c r="U5" s="29"/>
      <c r="V5" s="29"/>
      <c r="X5" s="26"/>
      <c r="Y5" s="30"/>
      <c r="AA5" s="15"/>
    </row>
    <row r="6" spans="2:27" x14ac:dyDescent="0.2">
      <c r="B6" s="7" t="s">
        <v>21</v>
      </c>
      <c r="C6" s="8" t="s">
        <v>14</v>
      </c>
      <c r="D6" s="8">
        <v>2</v>
      </c>
      <c r="E6" s="8">
        <v>36</v>
      </c>
      <c r="F6" s="7">
        <f t="shared" si="1"/>
        <v>72</v>
      </c>
      <c r="G6" s="9">
        <v>42</v>
      </c>
      <c r="H6" s="10">
        <f t="shared" si="2"/>
        <v>3.5894879999999998</v>
      </c>
      <c r="I6" s="11">
        <v>1750</v>
      </c>
      <c r="J6" s="33">
        <f t="shared" si="3"/>
        <v>6281.6039999999994</v>
      </c>
      <c r="K6" s="12">
        <f t="shared" si="4"/>
        <v>0</v>
      </c>
      <c r="L6" s="13">
        <f t="shared" si="5"/>
        <v>42</v>
      </c>
      <c r="M6" s="10">
        <f t="shared" si="6"/>
        <v>0</v>
      </c>
      <c r="N6" s="11">
        <f t="shared" si="7"/>
        <v>1750</v>
      </c>
      <c r="O6" s="11">
        <f t="shared" si="8"/>
        <v>0</v>
      </c>
      <c r="P6" s="11">
        <f t="shared" si="9"/>
        <v>6281.6039999999994</v>
      </c>
      <c r="Q6" s="9"/>
      <c r="U6" s="29"/>
      <c r="V6" s="29"/>
      <c r="X6" s="26"/>
      <c r="Y6" s="30"/>
      <c r="AA6" s="15"/>
    </row>
    <row r="7" spans="2:27" x14ac:dyDescent="0.2">
      <c r="B7" s="7" t="s">
        <v>28</v>
      </c>
      <c r="C7" s="8" t="s">
        <v>14</v>
      </c>
      <c r="D7" s="8">
        <v>2</v>
      </c>
      <c r="E7" s="8">
        <v>36</v>
      </c>
      <c r="F7" s="7">
        <f t="shared" si="1"/>
        <v>72</v>
      </c>
      <c r="G7" s="9">
        <v>41</v>
      </c>
      <c r="H7" s="10">
        <f t="shared" si="2"/>
        <v>3.5040239999999998</v>
      </c>
      <c r="I7" s="11">
        <v>1750</v>
      </c>
      <c r="J7" s="33">
        <f t="shared" si="3"/>
        <v>6132.0419999999995</v>
      </c>
      <c r="K7" s="12">
        <f t="shared" si="4"/>
        <v>0</v>
      </c>
      <c r="L7" s="13">
        <f t="shared" si="5"/>
        <v>41</v>
      </c>
      <c r="M7" s="10">
        <f t="shared" si="6"/>
        <v>0</v>
      </c>
      <c r="N7" s="11">
        <f t="shared" si="7"/>
        <v>1750</v>
      </c>
      <c r="O7" s="11">
        <f t="shared" si="8"/>
        <v>0</v>
      </c>
      <c r="P7" s="11">
        <f t="shared" si="9"/>
        <v>6132.0419999999995</v>
      </c>
      <c r="Q7" s="9"/>
      <c r="U7" s="29"/>
      <c r="V7" s="29"/>
      <c r="X7" s="26"/>
      <c r="Y7" s="30"/>
      <c r="AA7" s="15"/>
    </row>
    <row r="8" spans="2:27" x14ac:dyDescent="0.2">
      <c r="B8" s="7" t="s">
        <v>25</v>
      </c>
      <c r="C8" s="8" t="s">
        <v>14</v>
      </c>
      <c r="D8" s="8">
        <v>2</v>
      </c>
      <c r="E8" s="8">
        <v>58</v>
      </c>
      <c r="F8" s="7">
        <f t="shared" si="1"/>
        <v>116</v>
      </c>
      <c r="G8" s="9">
        <v>22</v>
      </c>
      <c r="H8" s="10">
        <f t="shared" si="2"/>
        <v>3.0292240000000001</v>
      </c>
      <c r="I8" s="11">
        <v>1750</v>
      </c>
      <c r="J8" s="33">
        <f t="shared" si="3"/>
        <v>5301.1419999999998</v>
      </c>
      <c r="K8" s="12">
        <f t="shared" si="4"/>
        <v>0</v>
      </c>
      <c r="L8" s="13">
        <f t="shared" si="5"/>
        <v>22</v>
      </c>
      <c r="M8" s="10">
        <f t="shared" si="6"/>
        <v>0</v>
      </c>
      <c r="N8" s="11">
        <f t="shared" si="7"/>
        <v>1750</v>
      </c>
      <c r="O8" s="11">
        <f t="shared" si="8"/>
        <v>0</v>
      </c>
      <c r="P8" s="11">
        <f t="shared" si="9"/>
        <v>5301.1419999999998</v>
      </c>
      <c r="Q8" s="9"/>
      <c r="U8" s="29"/>
      <c r="V8" s="29"/>
      <c r="X8" s="26"/>
      <c r="Y8" s="30"/>
      <c r="AA8" s="15"/>
    </row>
    <row r="9" spans="2:27" x14ac:dyDescent="0.2">
      <c r="B9" s="7" t="s">
        <v>29</v>
      </c>
      <c r="C9" s="8" t="s">
        <v>14</v>
      </c>
      <c r="D9" s="8">
        <v>2</v>
      </c>
      <c r="E9" s="8">
        <v>58</v>
      </c>
      <c r="F9" s="7">
        <f t="shared" si="1"/>
        <v>116</v>
      </c>
      <c r="G9" s="9">
        <v>14</v>
      </c>
      <c r="H9" s="10">
        <f t="shared" si="2"/>
        <v>1.9276880000000001</v>
      </c>
      <c r="I9" s="11">
        <v>1750</v>
      </c>
      <c r="J9" s="33">
        <f t="shared" si="3"/>
        <v>3373.4540000000002</v>
      </c>
      <c r="K9" s="12">
        <f t="shared" si="4"/>
        <v>0</v>
      </c>
      <c r="L9" s="13">
        <f t="shared" si="5"/>
        <v>14</v>
      </c>
      <c r="M9" s="10">
        <f t="shared" si="6"/>
        <v>0</v>
      </c>
      <c r="N9" s="11">
        <f t="shared" si="7"/>
        <v>1750</v>
      </c>
      <c r="O9" s="11">
        <f t="shared" si="8"/>
        <v>0</v>
      </c>
      <c r="P9" s="11">
        <f t="shared" si="9"/>
        <v>3373.4540000000002</v>
      </c>
      <c r="Q9" s="9"/>
      <c r="U9" s="29"/>
      <c r="V9" s="29"/>
      <c r="X9" s="26"/>
      <c r="Y9" s="30"/>
      <c r="AA9" s="15"/>
    </row>
    <row r="10" spans="2:27" x14ac:dyDescent="0.2">
      <c r="B10" s="7" t="s">
        <v>22</v>
      </c>
      <c r="C10" s="8" t="s">
        <v>14</v>
      </c>
      <c r="D10" s="8">
        <v>4</v>
      </c>
      <c r="E10" s="8">
        <v>18</v>
      </c>
      <c r="F10" s="7">
        <f t="shared" si="1"/>
        <v>72</v>
      </c>
      <c r="G10" s="9">
        <f>2388+26</f>
        <v>2414</v>
      </c>
      <c r="H10" s="10">
        <f t="shared" si="2"/>
        <v>206.31009599999999</v>
      </c>
      <c r="I10" s="11">
        <v>1750</v>
      </c>
      <c r="J10" s="33">
        <f t="shared" si="3"/>
        <v>361042.66800000001</v>
      </c>
      <c r="K10" s="12">
        <f t="shared" si="4"/>
        <v>0</v>
      </c>
      <c r="L10" s="13">
        <f t="shared" si="5"/>
        <v>2414</v>
      </c>
      <c r="M10" s="10">
        <f t="shared" si="6"/>
        <v>0</v>
      </c>
      <c r="N10" s="11">
        <f t="shared" si="7"/>
        <v>1750</v>
      </c>
      <c r="O10" s="11">
        <f t="shared" si="8"/>
        <v>0</v>
      </c>
      <c r="P10" s="11">
        <f t="shared" si="9"/>
        <v>361042.66800000001</v>
      </c>
      <c r="Q10" s="9"/>
      <c r="U10" s="29"/>
      <c r="V10" s="29"/>
      <c r="X10" s="26"/>
      <c r="Y10" s="30"/>
      <c r="AA10" s="15"/>
    </row>
    <row r="11" spans="2:27" x14ac:dyDescent="0.2">
      <c r="B11" s="7" t="s">
        <v>30</v>
      </c>
      <c r="C11" s="8" t="s">
        <v>14</v>
      </c>
      <c r="D11" s="8">
        <v>4</v>
      </c>
      <c r="E11" s="8">
        <v>18</v>
      </c>
      <c r="F11" s="7">
        <f t="shared" si="1"/>
        <v>72</v>
      </c>
      <c r="G11" s="9">
        <f>688+4</f>
        <v>692</v>
      </c>
      <c r="H11" s="10">
        <f t="shared" si="2"/>
        <v>59.141087999999996</v>
      </c>
      <c r="I11" s="11">
        <v>1750</v>
      </c>
      <c r="J11" s="33">
        <f t="shared" si="3"/>
        <v>103496.90399999999</v>
      </c>
      <c r="K11" s="12">
        <f t="shared" si="4"/>
        <v>0</v>
      </c>
      <c r="L11" s="13">
        <f t="shared" si="5"/>
        <v>692</v>
      </c>
      <c r="M11" s="10">
        <f t="shared" si="6"/>
        <v>0</v>
      </c>
      <c r="N11" s="11">
        <f t="shared" si="7"/>
        <v>1750</v>
      </c>
      <c r="O11" s="11">
        <f t="shared" si="8"/>
        <v>0</v>
      </c>
      <c r="P11" s="11">
        <f t="shared" si="9"/>
        <v>103496.90399999999</v>
      </c>
      <c r="Q11" s="9"/>
      <c r="U11" s="29"/>
      <c r="V11" s="29"/>
      <c r="X11" s="26"/>
      <c r="Y11" s="30"/>
      <c r="AA11" s="15"/>
    </row>
    <row r="12" spans="2:27" x14ac:dyDescent="0.2">
      <c r="B12" s="7" t="s">
        <v>31</v>
      </c>
      <c r="C12" s="8" t="s">
        <v>14</v>
      </c>
      <c r="D12" s="8">
        <v>2</v>
      </c>
      <c r="E12" s="8">
        <v>5.5</v>
      </c>
      <c r="F12" s="7">
        <f t="shared" si="1"/>
        <v>11</v>
      </c>
      <c r="G12" s="9">
        <f>304+9</f>
        <v>313</v>
      </c>
      <c r="H12" s="10">
        <f t="shared" si="2"/>
        <v>4.0868409999999997</v>
      </c>
      <c r="I12" s="11">
        <v>1750</v>
      </c>
      <c r="J12" s="33">
        <f t="shared" si="3"/>
        <v>7151.9717499999997</v>
      </c>
      <c r="K12" s="12">
        <f t="shared" si="4"/>
        <v>0</v>
      </c>
      <c r="L12" s="13">
        <f t="shared" si="5"/>
        <v>313</v>
      </c>
      <c r="M12" s="10">
        <f t="shared" si="6"/>
        <v>0</v>
      </c>
      <c r="N12" s="11">
        <f t="shared" si="7"/>
        <v>1750</v>
      </c>
      <c r="O12" s="11">
        <f t="shared" si="8"/>
        <v>0</v>
      </c>
      <c r="P12" s="11">
        <f t="shared" si="9"/>
        <v>7151.9717499999997</v>
      </c>
      <c r="Q12" s="9"/>
      <c r="U12" s="29"/>
      <c r="V12" s="29"/>
      <c r="X12" s="26"/>
      <c r="Y12" s="30"/>
      <c r="AA12" s="15"/>
    </row>
    <row r="13" spans="2:27" x14ac:dyDescent="0.2">
      <c r="B13" s="7" t="s">
        <v>32</v>
      </c>
      <c r="C13" s="8" t="s">
        <v>14</v>
      </c>
      <c r="D13" s="8">
        <v>1</v>
      </c>
      <c r="E13" s="8">
        <v>30</v>
      </c>
      <c r="F13" s="7">
        <f t="shared" si="1"/>
        <v>30</v>
      </c>
      <c r="G13" s="9">
        <v>119</v>
      </c>
      <c r="H13" s="10">
        <f t="shared" si="2"/>
        <v>4.23759</v>
      </c>
      <c r="I13" s="11">
        <v>1750</v>
      </c>
      <c r="J13" s="33">
        <f t="shared" si="3"/>
        <v>7415.7825000000003</v>
      </c>
      <c r="K13" s="12">
        <f t="shared" si="4"/>
        <v>0</v>
      </c>
      <c r="L13" s="13">
        <f t="shared" si="5"/>
        <v>119</v>
      </c>
      <c r="M13" s="10">
        <f t="shared" si="6"/>
        <v>0</v>
      </c>
      <c r="N13" s="11">
        <f t="shared" si="7"/>
        <v>1750</v>
      </c>
      <c r="O13" s="11">
        <f t="shared" si="8"/>
        <v>0</v>
      </c>
      <c r="P13" s="11">
        <f t="shared" si="9"/>
        <v>7415.7825000000003</v>
      </c>
      <c r="Q13" s="9"/>
      <c r="U13" s="29"/>
      <c r="V13" s="29"/>
      <c r="X13" s="26"/>
      <c r="Y13" s="30"/>
      <c r="AA13" s="15"/>
    </row>
    <row r="14" spans="2:27" x14ac:dyDescent="0.2">
      <c r="B14" s="7" t="s">
        <v>33</v>
      </c>
      <c r="C14" s="8" t="s">
        <v>14</v>
      </c>
      <c r="D14" s="8">
        <v>2</v>
      </c>
      <c r="E14" s="8">
        <v>10</v>
      </c>
      <c r="F14" s="7">
        <f t="shared" si="1"/>
        <v>20</v>
      </c>
      <c r="G14" s="9">
        <v>424</v>
      </c>
      <c r="H14" s="10">
        <f t="shared" si="2"/>
        <v>10.065760000000001</v>
      </c>
      <c r="I14" s="11">
        <v>1750</v>
      </c>
      <c r="J14" s="33">
        <f t="shared" si="3"/>
        <v>17615.080000000002</v>
      </c>
      <c r="K14" s="12">
        <f t="shared" si="4"/>
        <v>0</v>
      </c>
      <c r="L14" s="13">
        <f t="shared" si="5"/>
        <v>424</v>
      </c>
      <c r="M14" s="10">
        <f t="shared" si="6"/>
        <v>0</v>
      </c>
      <c r="N14" s="11">
        <f t="shared" si="7"/>
        <v>1750</v>
      </c>
      <c r="O14" s="11">
        <f t="shared" si="8"/>
        <v>0</v>
      </c>
      <c r="P14" s="11">
        <f t="shared" si="9"/>
        <v>17615.080000000002</v>
      </c>
      <c r="Q14" s="9"/>
      <c r="U14" s="29"/>
      <c r="V14" s="29"/>
      <c r="X14" s="26"/>
      <c r="Y14" s="30"/>
      <c r="AA14" s="15"/>
    </row>
    <row r="15" spans="2:27" x14ac:dyDescent="0.2">
      <c r="B15" s="16" t="s">
        <v>2</v>
      </c>
      <c r="C15" s="17"/>
      <c r="D15" s="17"/>
      <c r="E15" s="17"/>
      <c r="F15" s="17"/>
      <c r="G15" s="18">
        <f>SUM(G4:G14)</f>
        <v>4323</v>
      </c>
      <c r="H15" s="19">
        <f>SUM(H4:H14)</f>
        <v>312.55253099999999</v>
      </c>
      <c r="I15" s="17"/>
      <c r="J15" s="20">
        <f>SUM(J4:J14)</f>
        <v>546966.92924999993</v>
      </c>
      <c r="K15" s="17"/>
      <c r="L15" s="21">
        <f>SUM(L4:L14)</f>
        <v>4323</v>
      </c>
      <c r="M15" s="20">
        <f>SUM(M4:M14)</f>
        <v>0</v>
      </c>
      <c r="N15" s="17"/>
      <c r="O15" s="20">
        <f>SUM(O4:O14)</f>
        <v>0</v>
      </c>
      <c r="P15" s="20">
        <f>J15-O15</f>
        <v>546966.92924999993</v>
      </c>
      <c r="Q15" s="18"/>
      <c r="V15" s="29"/>
      <c r="Y15" s="31"/>
      <c r="AA15" s="27"/>
    </row>
    <row r="16" spans="2:27" x14ac:dyDescent="0.2">
      <c r="B16" s="22"/>
      <c r="G16" s="23"/>
      <c r="H16" s="23"/>
      <c r="Q16" s="24"/>
    </row>
    <row r="17" spans="2:17" x14ac:dyDescent="0.2">
      <c r="B17" s="22"/>
      <c r="G17" s="24"/>
      <c r="J17" s="25"/>
      <c r="Q17" s="24"/>
    </row>
  </sheetData>
  <autoFilter ref="S2:S35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58853-9E6A-43E4-881A-25976014BCED}">
  <dimension ref="B2:AA7"/>
  <sheetViews>
    <sheetView zoomScaleNormal="100" workbookViewId="0">
      <pane ySplit="3" topLeftCell="A4" activePane="bottomLeft" state="frozen"/>
      <selection pane="bottomLeft" activeCell="I10" sqref="I10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/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x14ac:dyDescent="0.2">
      <c r="B4" s="7" t="s">
        <v>23</v>
      </c>
      <c r="C4" s="8" t="s">
        <v>15</v>
      </c>
      <c r="D4" s="8">
        <v>1</v>
      </c>
      <c r="E4" s="8">
        <v>60</v>
      </c>
      <c r="F4" s="7">
        <f t="shared" ref="F4" si="0">D4*E4</f>
        <v>60</v>
      </c>
      <c r="G4" s="9">
        <v>19</v>
      </c>
      <c r="H4" s="10">
        <f t="shared" ref="H4" si="1">IF(C4="z",F4*(1+$H$2),F4)*G4/1000</f>
        <v>1.1399999999999999</v>
      </c>
      <c r="I4" s="11">
        <v>500</v>
      </c>
      <c r="J4" s="33">
        <f t="shared" ref="J4" si="2">H4*I4</f>
        <v>570</v>
      </c>
      <c r="K4" s="12">
        <f t="shared" ref="K4" si="3">T4*W4</f>
        <v>0</v>
      </c>
      <c r="L4" s="13">
        <f t="shared" ref="L4" si="4">G4</f>
        <v>19</v>
      </c>
      <c r="M4" s="10">
        <f>K4*L4/1000</f>
        <v>0</v>
      </c>
      <c r="N4" s="11">
        <f t="shared" ref="N4" si="5">I4</f>
        <v>500</v>
      </c>
      <c r="O4" s="11">
        <f t="shared" ref="O4" si="6">M4*N4</f>
        <v>0</v>
      </c>
      <c r="P4" s="11">
        <f t="shared" ref="P4" si="7">J4-O4</f>
        <v>570</v>
      </c>
      <c r="Q4" s="9"/>
      <c r="U4" s="29"/>
      <c r="V4" s="29"/>
      <c r="X4" s="26"/>
      <c r="Y4" s="30"/>
      <c r="AA4" s="15"/>
    </row>
    <row r="5" spans="2:27" x14ac:dyDescent="0.2">
      <c r="B5" s="16" t="s">
        <v>2</v>
      </c>
      <c r="C5" s="17"/>
      <c r="D5" s="17"/>
      <c r="E5" s="17"/>
      <c r="F5" s="17"/>
      <c r="G5" s="18">
        <f>SUM(G4:G4)</f>
        <v>19</v>
      </c>
      <c r="H5" s="18">
        <f>SUM(H4:H4)</f>
        <v>1.1399999999999999</v>
      </c>
      <c r="I5" s="17"/>
      <c r="J5" s="20">
        <f>SUM(J4:J4)</f>
        <v>570</v>
      </c>
      <c r="K5" s="17"/>
      <c r="L5" s="21">
        <f>SUM(L4:L4)</f>
        <v>19</v>
      </c>
      <c r="M5" s="20">
        <f>SUM(M4:M4)</f>
        <v>0</v>
      </c>
      <c r="N5" s="17"/>
      <c r="O5" s="20">
        <f>SUM(O4:O4)</f>
        <v>0</v>
      </c>
      <c r="P5" s="20">
        <f>J5-O5</f>
        <v>570</v>
      </c>
      <c r="Q5" s="18"/>
      <c r="V5" s="29"/>
      <c r="Y5" s="31"/>
      <c r="AA5" s="27"/>
    </row>
    <row r="6" spans="2:27" x14ac:dyDescent="0.2">
      <c r="B6" s="22"/>
      <c r="G6" s="23"/>
      <c r="H6" s="23"/>
      <c r="Q6" s="24"/>
    </row>
    <row r="7" spans="2:27" x14ac:dyDescent="0.2">
      <c r="B7" s="22"/>
      <c r="G7" s="24"/>
      <c r="J7" s="25"/>
      <c r="Q7" s="24"/>
    </row>
  </sheetData>
  <autoFilter ref="S2:S25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0C51B-5E8E-4A9C-8C09-C68B939FFCBF}">
  <dimension ref="B2:AA10"/>
  <sheetViews>
    <sheetView zoomScaleNormal="100" workbookViewId="0">
      <pane ySplit="3" topLeftCell="A4" activePane="bottomLeft" state="frozen"/>
      <selection pane="bottomLeft" activeCell="I12" sqref="I12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/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s="4" customFormat="1" x14ac:dyDescent="0.2">
      <c r="B4" s="7" t="s">
        <v>35</v>
      </c>
      <c r="C4" s="8" t="s">
        <v>14</v>
      </c>
      <c r="D4" s="8">
        <v>2</v>
      </c>
      <c r="E4" s="8">
        <v>18</v>
      </c>
      <c r="F4" s="7">
        <f>D4*E4</f>
        <v>36</v>
      </c>
      <c r="G4" s="9">
        <v>9</v>
      </c>
      <c r="H4" s="10">
        <f>IF(C4="z",F4*(1+$H$2),F4)*G4/1000</f>
        <v>0.38458799999999999</v>
      </c>
      <c r="I4" s="11">
        <v>1300</v>
      </c>
      <c r="J4" s="33">
        <f>H4*I4</f>
        <v>499.96439999999996</v>
      </c>
      <c r="K4" s="12">
        <f>T4*W4</f>
        <v>0</v>
      </c>
      <c r="L4" s="13">
        <f t="shared" ref="L4:L7" si="0">G4</f>
        <v>9</v>
      </c>
      <c r="M4" s="10">
        <f>K4*L4/1000</f>
        <v>0</v>
      </c>
      <c r="N4" s="11">
        <f>I4</f>
        <v>1300</v>
      </c>
      <c r="O4" s="11">
        <f>M4*N4</f>
        <v>0</v>
      </c>
      <c r="P4" s="11">
        <f>J4-O4</f>
        <v>499.96439999999996</v>
      </c>
      <c r="Q4" s="9"/>
      <c r="U4" s="6"/>
      <c r="V4" s="6"/>
      <c r="Y4" s="28"/>
    </row>
    <row r="5" spans="2:27" x14ac:dyDescent="0.2">
      <c r="B5" s="7" t="s">
        <v>21</v>
      </c>
      <c r="C5" s="8" t="s">
        <v>14</v>
      </c>
      <c r="D5" s="8">
        <v>2</v>
      </c>
      <c r="E5" s="8">
        <v>36</v>
      </c>
      <c r="F5" s="7">
        <f>D5*E5</f>
        <v>72</v>
      </c>
      <c r="G5" s="9">
        <v>1</v>
      </c>
      <c r="H5" s="10">
        <f>IF(C5="z",F5*(1+$H$2),F5)*G5/1000</f>
        <v>8.5463999999999998E-2</v>
      </c>
      <c r="I5" s="11">
        <v>1300</v>
      </c>
      <c r="J5" s="33">
        <f>H5*I5</f>
        <v>111.1032</v>
      </c>
      <c r="K5" s="12">
        <f>T5*W5</f>
        <v>0</v>
      </c>
      <c r="L5" s="13">
        <f t="shared" si="0"/>
        <v>1</v>
      </c>
      <c r="M5" s="10">
        <f>K5*L5/1000</f>
        <v>0</v>
      </c>
      <c r="N5" s="11">
        <f>I5</f>
        <v>1300</v>
      </c>
      <c r="O5" s="11">
        <f>M5*N5</f>
        <v>0</v>
      </c>
      <c r="P5" s="11">
        <f>J5-O5</f>
        <v>111.1032</v>
      </c>
      <c r="Q5" s="9"/>
      <c r="U5" s="29"/>
      <c r="V5" s="29"/>
      <c r="X5" s="26"/>
      <c r="Y5" s="30"/>
      <c r="AA5" s="15"/>
    </row>
    <row r="6" spans="2:27" x14ac:dyDescent="0.2">
      <c r="B6" s="7" t="s">
        <v>22</v>
      </c>
      <c r="C6" s="8" t="s">
        <v>14</v>
      </c>
      <c r="D6" s="32">
        <v>4</v>
      </c>
      <c r="E6" s="8">
        <v>18</v>
      </c>
      <c r="F6" s="7">
        <f t="shared" ref="F6" si="1">D6*E6</f>
        <v>72</v>
      </c>
      <c r="G6" s="9">
        <f>51+7</f>
        <v>58</v>
      </c>
      <c r="H6" s="10">
        <f t="shared" ref="H6:H7" si="2">IF(C6="z",F6*(1+$H$2),F6)*G6/1000</f>
        <v>4.956912</v>
      </c>
      <c r="I6" s="11">
        <v>1300</v>
      </c>
      <c r="J6" s="33">
        <f t="shared" ref="J6:J7" si="3">H6*I6</f>
        <v>6443.9856</v>
      </c>
      <c r="K6" s="12">
        <f t="shared" ref="K6:K7" si="4">T6*W6</f>
        <v>0</v>
      </c>
      <c r="L6" s="13">
        <f t="shared" si="0"/>
        <v>58</v>
      </c>
      <c r="M6" s="10">
        <f>K6*L6/1000</f>
        <v>0</v>
      </c>
      <c r="N6" s="11">
        <f t="shared" ref="N6:N7" si="5">I6</f>
        <v>1300</v>
      </c>
      <c r="O6" s="11">
        <f t="shared" ref="O6:O7" si="6">M6*N6</f>
        <v>0</v>
      </c>
      <c r="P6" s="11">
        <f t="shared" ref="P6:P7" si="7">J6-O6</f>
        <v>6443.9856</v>
      </c>
      <c r="Q6" s="9"/>
      <c r="U6" s="29"/>
      <c r="V6" s="29"/>
      <c r="X6" s="26"/>
      <c r="Y6" s="30"/>
      <c r="AA6" s="15"/>
    </row>
    <row r="7" spans="2:27" x14ac:dyDescent="0.2">
      <c r="B7" s="7" t="s">
        <v>34</v>
      </c>
      <c r="C7" s="8" t="s">
        <v>14</v>
      </c>
      <c r="D7" s="8">
        <v>4</v>
      </c>
      <c r="E7" s="8">
        <v>36</v>
      </c>
      <c r="F7" s="7">
        <f>D7*E7</f>
        <v>144</v>
      </c>
      <c r="G7" s="9">
        <v>1</v>
      </c>
      <c r="H7" s="10">
        <f t="shared" si="2"/>
        <v>0.170928</v>
      </c>
      <c r="I7" s="11">
        <v>1300</v>
      </c>
      <c r="J7" s="33">
        <f t="shared" si="3"/>
        <v>222.2064</v>
      </c>
      <c r="K7" s="12">
        <f t="shared" si="4"/>
        <v>0</v>
      </c>
      <c r="L7" s="13">
        <f t="shared" si="0"/>
        <v>1</v>
      </c>
      <c r="M7" s="10">
        <f>K7*L7/1000</f>
        <v>0</v>
      </c>
      <c r="N7" s="11">
        <f t="shared" si="5"/>
        <v>1300</v>
      </c>
      <c r="O7" s="11">
        <f t="shared" si="6"/>
        <v>0</v>
      </c>
      <c r="P7" s="11">
        <f t="shared" si="7"/>
        <v>222.2064</v>
      </c>
      <c r="Q7" s="9"/>
      <c r="U7" s="29"/>
      <c r="V7" s="29"/>
      <c r="X7" s="26"/>
      <c r="Y7" s="30"/>
      <c r="AA7" s="15"/>
    </row>
    <row r="8" spans="2:27" x14ac:dyDescent="0.2">
      <c r="B8" s="16" t="s">
        <v>2</v>
      </c>
      <c r="C8" s="17"/>
      <c r="D8" s="17"/>
      <c r="E8" s="17"/>
      <c r="F8" s="17"/>
      <c r="G8" s="18">
        <f>SUM(G4:G7)</f>
        <v>69</v>
      </c>
      <c r="H8" s="18">
        <f>SUM(H4:H7)</f>
        <v>5.5978919999999999</v>
      </c>
      <c r="I8" s="17"/>
      <c r="J8" s="20">
        <f>SUM(J4:J7)</f>
        <v>7277.2596000000003</v>
      </c>
      <c r="K8" s="17"/>
      <c r="L8" s="21">
        <f>SUM(L4:L7)</f>
        <v>69</v>
      </c>
      <c r="M8" s="20">
        <f>SUM(M4:M7)</f>
        <v>0</v>
      </c>
      <c r="N8" s="17"/>
      <c r="O8" s="20">
        <f>SUM(O5:O7)</f>
        <v>0</v>
      </c>
      <c r="P8" s="20">
        <f>J8-O8</f>
        <v>7277.2596000000003</v>
      </c>
      <c r="Q8" s="18"/>
      <c r="V8" s="29"/>
      <c r="Y8" s="31"/>
      <c r="AA8" s="27"/>
    </row>
    <row r="9" spans="2:27" x14ac:dyDescent="0.2">
      <c r="B9" s="22"/>
      <c r="G9" s="23"/>
      <c r="H9" s="23"/>
      <c r="Q9" s="24"/>
    </row>
    <row r="10" spans="2:27" x14ac:dyDescent="0.2">
      <c r="B10" s="22"/>
      <c r="G10" s="24"/>
      <c r="J10" s="25"/>
      <c r="Q10" s="24"/>
    </row>
  </sheetData>
  <autoFilter ref="S2:S28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3F759-9DA9-406E-9A70-18A934332D7C}">
  <dimension ref="B2:AA16"/>
  <sheetViews>
    <sheetView zoomScaleNormal="100" workbookViewId="0">
      <pane ySplit="3" topLeftCell="A4" activePane="bottomLeft" state="frozen"/>
      <selection pane="bottomLeft" activeCell="J20" sqref="J20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/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s="4" customFormat="1" x14ac:dyDescent="0.2">
      <c r="B4" s="7" t="s">
        <v>36</v>
      </c>
      <c r="C4" s="8" t="s">
        <v>14</v>
      </c>
      <c r="D4" s="8">
        <v>1</v>
      </c>
      <c r="E4" s="8">
        <v>36</v>
      </c>
      <c r="F4" s="7">
        <f>D4*E4</f>
        <v>36</v>
      </c>
      <c r="G4" s="9">
        <v>14</v>
      </c>
      <c r="H4" s="10">
        <f>IF(C4="z",F4*(1+$H$2),F4)*G4/1000</f>
        <v>0.598248</v>
      </c>
      <c r="I4" s="11">
        <v>1100</v>
      </c>
      <c r="J4" s="33">
        <f>H4*I4</f>
        <v>658.07280000000003</v>
      </c>
      <c r="K4" s="12">
        <f>T4*W4</f>
        <v>0</v>
      </c>
      <c r="L4" s="13">
        <f t="shared" ref="L4:L13" si="0">G4</f>
        <v>14</v>
      </c>
      <c r="M4" s="10">
        <f>K4*L4/1000</f>
        <v>0</v>
      </c>
      <c r="N4" s="11">
        <f>I4</f>
        <v>1100</v>
      </c>
      <c r="O4" s="11">
        <f>M4*N4</f>
        <v>0</v>
      </c>
      <c r="P4" s="11">
        <f>J4-O4</f>
        <v>658.07280000000003</v>
      </c>
      <c r="Q4" s="9"/>
      <c r="U4" s="6"/>
      <c r="V4" s="6"/>
      <c r="Y4" s="28"/>
    </row>
    <row r="5" spans="2:27" s="4" customFormat="1" x14ac:dyDescent="0.2">
      <c r="B5" s="7" t="s">
        <v>24</v>
      </c>
      <c r="C5" s="8" t="s">
        <v>14</v>
      </c>
      <c r="D5" s="8">
        <v>2</v>
      </c>
      <c r="E5" s="8">
        <v>11</v>
      </c>
      <c r="F5" s="7">
        <f t="shared" ref="F5:F11" si="1">D5*E5</f>
        <v>22</v>
      </c>
      <c r="G5" s="9">
        <v>6</v>
      </c>
      <c r="H5" s="10">
        <f t="shared" ref="H5:H11" si="2">IF(C5="z",F5*(1+$H$2),F5)*G5/1000</f>
        <v>0.15668399999999999</v>
      </c>
      <c r="I5" s="11">
        <v>1100</v>
      </c>
      <c r="J5" s="33">
        <f t="shared" ref="J5:J11" si="3">H5*I5</f>
        <v>172.35239999999999</v>
      </c>
      <c r="K5" s="12">
        <f t="shared" ref="K5:K11" si="4">T5*W5</f>
        <v>0</v>
      </c>
      <c r="L5" s="13">
        <f t="shared" ref="L5:L11" si="5">G5</f>
        <v>6</v>
      </c>
      <c r="M5" s="10">
        <f t="shared" ref="M5:M11" si="6">K5*L5/1000</f>
        <v>0</v>
      </c>
      <c r="N5" s="11">
        <f t="shared" ref="N5:N11" si="7">I5</f>
        <v>1100</v>
      </c>
      <c r="O5" s="11">
        <f t="shared" ref="O5:O11" si="8">M5*N5</f>
        <v>0</v>
      </c>
      <c r="P5" s="11">
        <f t="shared" ref="P5:P11" si="9">J5-O5</f>
        <v>172.35239999999999</v>
      </c>
      <c r="Q5" s="9"/>
      <c r="U5" s="6"/>
      <c r="V5" s="6"/>
      <c r="Y5" s="28"/>
    </row>
    <row r="6" spans="2:27" s="4" customFormat="1" x14ac:dyDescent="0.2">
      <c r="B6" s="7" t="s">
        <v>35</v>
      </c>
      <c r="C6" s="8" t="s">
        <v>14</v>
      </c>
      <c r="D6" s="8">
        <v>2</v>
      </c>
      <c r="E6" s="8">
        <v>18</v>
      </c>
      <c r="F6" s="7">
        <f t="shared" si="1"/>
        <v>36</v>
      </c>
      <c r="G6" s="9">
        <v>4</v>
      </c>
      <c r="H6" s="10">
        <f t="shared" si="2"/>
        <v>0.170928</v>
      </c>
      <c r="I6" s="11">
        <v>1100</v>
      </c>
      <c r="J6" s="33">
        <f t="shared" si="3"/>
        <v>188.02080000000001</v>
      </c>
      <c r="K6" s="12">
        <f t="shared" si="4"/>
        <v>0</v>
      </c>
      <c r="L6" s="13">
        <f t="shared" si="5"/>
        <v>4</v>
      </c>
      <c r="M6" s="10">
        <f t="shared" si="6"/>
        <v>0</v>
      </c>
      <c r="N6" s="11">
        <f t="shared" si="7"/>
        <v>1100</v>
      </c>
      <c r="O6" s="11">
        <f t="shared" si="8"/>
        <v>0</v>
      </c>
      <c r="P6" s="11">
        <f t="shared" si="9"/>
        <v>188.02080000000001</v>
      </c>
      <c r="Q6" s="9"/>
      <c r="U6" s="6"/>
      <c r="V6" s="6"/>
      <c r="Y6" s="28"/>
    </row>
    <row r="7" spans="2:27" s="4" customFormat="1" x14ac:dyDescent="0.2">
      <c r="B7" s="7" t="s">
        <v>40</v>
      </c>
      <c r="C7" s="8" t="s">
        <v>14</v>
      </c>
      <c r="D7" s="8">
        <v>2</v>
      </c>
      <c r="E7" s="8">
        <v>26</v>
      </c>
      <c r="F7" s="7">
        <f t="shared" si="1"/>
        <v>52</v>
      </c>
      <c r="G7" s="9">
        <v>6</v>
      </c>
      <c r="H7" s="10">
        <f t="shared" si="2"/>
        <v>0.37034400000000006</v>
      </c>
      <c r="I7" s="11">
        <v>1100</v>
      </c>
      <c r="J7" s="33">
        <f t="shared" si="3"/>
        <v>407.37840000000006</v>
      </c>
      <c r="K7" s="12">
        <f t="shared" si="4"/>
        <v>0</v>
      </c>
      <c r="L7" s="13">
        <f t="shared" si="5"/>
        <v>6</v>
      </c>
      <c r="M7" s="10">
        <f t="shared" si="6"/>
        <v>0</v>
      </c>
      <c r="N7" s="11">
        <f t="shared" si="7"/>
        <v>1100</v>
      </c>
      <c r="O7" s="11">
        <f t="shared" si="8"/>
        <v>0</v>
      </c>
      <c r="P7" s="11">
        <f t="shared" si="9"/>
        <v>407.37840000000006</v>
      </c>
      <c r="Q7" s="9"/>
      <c r="U7" s="6"/>
      <c r="V7" s="6"/>
      <c r="Y7" s="28"/>
    </row>
    <row r="8" spans="2:27" x14ac:dyDescent="0.2">
      <c r="B8" s="7" t="s">
        <v>21</v>
      </c>
      <c r="C8" s="8" t="s">
        <v>14</v>
      </c>
      <c r="D8" s="8">
        <v>2</v>
      </c>
      <c r="E8" s="8">
        <v>36</v>
      </c>
      <c r="F8" s="7">
        <f t="shared" si="1"/>
        <v>72</v>
      </c>
      <c r="G8" s="9">
        <v>86</v>
      </c>
      <c r="H8" s="10">
        <f t="shared" si="2"/>
        <v>7.3499039999999995</v>
      </c>
      <c r="I8" s="11">
        <v>1100</v>
      </c>
      <c r="J8" s="33">
        <f t="shared" si="3"/>
        <v>8084.8943999999992</v>
      </c>
      <c r="K8" s="12">
        <f t="shared" si="4"/>
        <v>0</v>
      </c>
      <c r="L8" s="13">
        <f t="shared" si="5"/>
        <v>86</v>
      </c>
      <c r="M8" s="10">
        <f t="shared" si="6"/>
        <v>0</v>
      </c>
      <c r="N8" s="11">
        <f t="shared" si="7"/>
        <v>1100</v>
      </c>
      <c r="O8" s="11">
        <f t="shared" si="8"/>
        <v>0</v>
      </c>
      <c r="P8" s="11">
        <f t="shared" si="9"/>
        <v>8084.8943999999992</v>
      </c>
      <c r="Q8" s="9"/>
      <c r="U8" s="29"/>
      <c r="V8" s="29"/>
      <c r="X8" s="26"/>
      <c r="Y8" s="30"/>
      <c r="AA8" s="15"/>
    </row>
    <row r="9" spans="2:27" x14ac:dyDescent="0.2">
      <c r="B9" s="7" t="s">
        <v>41</v>
      </c>
      <c r="C9" s="8" t="s">
        <v>14</v>
      </c>
      <c r="D9" s="8">
        <v>2</v>
      </c>
      <c r="E9" s="8">
        <v>55</v>
      </c>
      <c r="F9" s="7">
        <f t="shared" si="1"/>
        <v>110</v>
      </c>
      <c r="G9" s="9">
        <v>8</v>
      </c>
      <c r="H9" s="10">
        <f t="shared" si="2"/>
        <v>1.0445599999999999</v>
      </c>
      <c r="I9" s="11">
        <v>1100</v>
      </c>
      <c r="J9" s="33">
        <f t="shared" si="3"/>
        <v>1149.0159999999998</v>
      </c>
      <c r="K9" s="12">
        <f t="shared" si="4"/>
        <v>0</v>
      </c>
      <c r="L9" s="13">
        <f t="shared" si="5"/>
        <v>8</v>
      </c>
      <c r="M9" s="10">
        <f t="shared" si="6"/>
        <v>0</v>
      </c>
      <c r="N9" s="11">
        <f t="shared" si="7"/>
        <v>1100</v>
      </c>
      <c r="O9" s="11">
        <f t="shared" si="8"/>
        <v>0</v>
      </c>
      <c r="P9" s="11">
        <f t="shared" si="9"/>
        <v>1149.0159999999998</v>
      </c>
      <c r="Q9" s="9"/>
      <c r="U9" s="29"/>
      <c r="V9" s="29"/>
      <c r="X9" s="26"/>
      <c r="Y9" s="30"/>
      <c r="AA9" s="15"/>
    </row>
    <row r="10" spans="2:27" x14ac:dyDescent="0.2">
      <c r="B10" s="7" t="s">
        <v>22</v>
      </c>
      <c r="C10" s="8" t="s">
        <v>14</v>
      </c>
      <c r="D10" s="8">
        <v>4</v>
      </c>
      <c r="E10" s="8">
        <v>18</v>
      </c>
      <c r="F10" s="7">
        <f t="shared" si="1"/>
        <v>72</v>
      </c>
      <c r="G10" s="9">
        <v>15</v>
      </c>
      <c r="H10" s="10">
        <f t="shared" si="2"/>
        <v>1.28196</v>
      </c>
      <c r="I10" s="11">
        <v>1100</v>
      </c>
      <c r="J10" s="33">
        <f t="shared" si="3"/>
        <v>1410.1559999999999</v>
      </c>
      <c r="K10" s="12">
        <f t="shared" si="4"/>
        <v>0</v>
      </c>
      <c r="L10" s="13">
        <f t="shared" si="5"/>
        <v>15</v>
      </c>
      <c r="M10" s="10">
        <f t="shared" si="6"/>
        <v>0</v>
      </c>
      <c r="N10" s="11">
        <f t="shared" si="7"/>
        <v>1100</v>
      </c>
      <c r="O10" s="11">
        <f t="shared" si="8"/>
        <v>0</v>
      </c>
      <c r="P10" s="11">
        <f t="shared" si="9"/>
        <v>1410.1559999999999</v>
      </c>
      <c r="Q10" s="9"/>
      <c r="U10" s="29"/>
      <c r="V10" s="29"/>
      <c r="X10" s="26"/>
      <c r="Y10" s="30"/>
      <c r="AA10" s="15"/>
    </row>
    <row r="11" spans="2:27" x14ac:dyDescent="0.2">
      <c r="B11" s="7" t="s">
        <v>42</v>
      </c>
      <c r="C11" s="8" t="s">
        <v>14</v>
      </c>
      <c r="D11" s="8">
        <v>4</v>
      </c>
      <c r="E11" s="8">
        <v>24</v>
      </c>
      <c r="F11" s="7">
        <f t="shared" si="1"/>
        <v>96</v>
      </c>
      <c r="G11" s="9">
        <v>65</v>
      </c>
      <c r="H11" s="10">
        <f t="shared" si="2"/>
        <v>7.4068800000000001</v>
      </c>
      <c r="I11" s="11">
        <v>1100</v>
      </c>
      <c r="J11" s="33">
        <f t="shared" si="3"/>
        <v>8147.5680000000002</v>
      </c>
      <c r="K11" s="12">
        <f t="shared" si="4"/>
        <v>0</v>
      </c>
      <c r="L11" s="13">
        <f t="shared" si="5"/>
        <v>65</v>
      </c>
      <c r="M11" s="10">
        <f t="shared" si="6"/>
        <v>0</v>
      </c>
      <c r="N11" s="11">
        <f t="shared" si="7"/>
        <v>1100</v>
      </c>
      <c r="O11" s="11">
        <f t="shared" si="8"/>
        <v>0</v>
      </c>
      <c r="P11" s="11">
        <f t="shared" si="9"/>
        <v>8147.5680000000002</v>
      </c>
      <c r="Q11" s="9"/>
      <c r="U11" s="29"/>
      <c r="V11" s="29"/>
      <c r="X11" s="26"/>
      <c r="Y11" s="30"/>
      <c r="AA11" s="15"/>
    </row>
    <row r="12" spans="2:27" x14ac:dyDescent="0.2">
      <c r="B12" s="7" t="s">
        <v>34</v>
      </c>
      <c r="C12" s="8" t="s">
        <v>14</v>
      </c>
      <c r="D12" s="8">
        <v>4</v>
      </c>
      <c r="E12" s="8">
        <v>36</v>
      </c>
      <c r="F12" s="7">
        <f>D12*E12</f>
        <v>144</v>
      </c>
      <c r="G12" s="9">
        <v>10</v>
      </c>
      <c r="H12" s="10">
        <f t="shared" ref="H11:H13" si="10">IF(C12="z",F12*(1+$H$2),F12)*G12/1000</f>
        <v>1.7092799999999999</v>
      </c>
      <c r="I12" s="11">
        <v>1100</v>
      </c>
      <c r="J12" s="33">
        <f t="shared" ref="J11:J13" si="11">H12*I12</f>
        <v>1880.2079999999999</v>
      </c>
      <c r="K12" s="12">
        <f t="shared" ref="K11:K13" si="12">T12*W12</f>
        <v>0</v>
      </c>
      <c r="L12" s="13">
        <f t="shared" si="0"/>
        <v>10</v>
      </c>
      <c r="M12" s="10">
        <f>K12*L12/1000</f>
        <v>0</v>
      </c>
      <c r="N12" s="11">
        <f t="shared" ref="N11:N13" si="13">I12</f>
        <v>1100</v>
      </c>
      <c r="O12" s="11">
        <f t="shared" ref="O11:O13" si="14">M12*N12</f>
        <v>0</v>
      </c>
      <c r="P12" s="11">
        <f t="shared" ref="P11:P13" si="15">J12-O12</f>
        <v>1880.2079999999999</v>
      </c>
      <c r="Q12" s="9"/>
      <c r="U12" s="29"/>
      <c r="V12" s="29"/>
      <c r="X12" s="26"/>
      <c r="Y12" s="30"/>
      <c r="AA12" s="15"/>
    </row>
    <row r="13" spans="2:27" x14ac:dyDescent="0.2">
      <c r="B13" s="7" t="s">
        <v>23</v>
      </c>
      <c r="C13" s="8" t="s">
        <v>15</v>
      </c>
      <c r="D13" s="8">
        <v>1</v>
      </c>
      <c r="E13" s="8">
        <v>60</v>
      </c>
      <c r="F13" s="7">
        <f t="shared" ref="F13" si="16">D13*E13</f>
        <v>60</v>
      </c>
      <c r="G13" s="9">
        <v>22</v>
      </c>
      <c r="H13" s="10">
        <f t="shared" si="10"/>
        <v>1.32</v>
      </c>
      <c r="I13" s="11">
        <v>500</v>
      </c>
      <c r="J13" s="33">
        <f t="shared" si="11"/>
        <v>660</v>
      </c>
      <c r="K13" s="12">
        <f t="shared" si="12"/>
        <v>0</v>
      </c>
      <c r="L13" s="13">
        <f t="shared" si="0"/>
        <v>22</v>
      </c>
      <c r="M13" s="10">
        <f>K13*L13/1000</f>
        <v>0</v>
      </c>
      <c r="N13" s="11">
        <f t="shared" si="13"/>
        <v>500</v>
      </c>
      <c r="O13" s="11">
        <f t="shared" si="14"/>
        <v>0</v>
      </c>
      <c r="P13" s="11">
        <f t="shared" si="15"/>
        <v>660</v>
      </c>
      <c r="Q13" s="9"/>
      <c r="U13" s="29"/>
      <c r="V13" s="29"/>
      <c r="X13" s="26"/>
      <c r="Y13" s="30"/>
      <c r="AA13" s="15"/>
    </row>
    <row r="14" spans="2:27" x14ac:dyDescent="0.2">
      <c r="B14" s="16" t="s">
        <v>2</v>
      </c>
      <c r="C14" s="17"/>
      <c r="D14" s="17"/>
      <c r="E14" s="17"/>
      <c r="F14" s="17"/>
      <c r="G14" s="18">
        <f>SUM(G4:G13)</f>
        <v>236</v>
      </c>
      <c r="H14" s="18">
        <f>SUM(H4:H13)</f>
        <v>21.408788000000001</v>
      </c>
      <c r="I14" s="17"/>
      <c r="J14" s="20">
        <f>SUM(J4:J13)</f>
        <v>22757.666799999995</v>
      </c>
      <c r="K14" s="17"/>
      <c r="L14" s="21">
        <f>SUM(L4:L13)</f>
        <v>236</v>
      </c>
      <c r="M14" s="20">
        <f>SUM(M4:M13)</f>
        <v>0</v>
      </c>
      <c r="N14" s="17"/>
      <c r="O14" s="20">
        <f>SUM(O8:O13)</f>
        <v>0</v>
      </c>
      <c r="P14" s="20">
        <f>J14-O14</f>
        <v>22757.666799999995</v>
      </c>
      <c r="Q14" s="18"/>
      <c r="V14" s="29"/>
      <c r="Y14" s="31"/>
      <c r="AA14" s="27"/>
    </row>
    <row r="15" spans="2:27" x14ac:dyDescent="0.2">
      <c r="B15" s="22"/>
      <c r="G15" s="23"/>
      <c r="H15" s="23"/>
      <c r="Q15" s="24"/>
    </row>
    <row r="16" spans="2:27" x14ac:dyDescent="0.2">
      <c r="B16" s="22"/>
      <c r="G16" s="24"/>
      <c r="J16" s="25"/>
      <c r="Q16" s="24"/>
    </row>
  </sheetData>
  <autoFilter ref="S2:S34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AD9C3-5448-4237-9440-6FE73A8A539B}">
  <dimension ref="B2:AA9"/>
  <sheetViews>
    <sheetView tabSelected="1" zoomScaleNormal="100" workbookViewId="0">
      <pane ySplit="3" topLeftCell="A4" activePane="bottomLeft" state="frozen"/>
      <selection pane="bottomLeft" activeCell="I7" sqref="I7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/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s="4" customFormat="1" x14ac:dyDescent="0.2">
      <c r="B4" s="7" t="s">
        <v>36</v>
      </c>
      <c r="C4" s="8" t="s">
        <v>14</v>
      </c>
      <c r="D4" s="8">
        <v>1</v>
      </c>
      <c r="E4" s="8">
        <v>36</v>
      </c>
      <c r="F4" s="7">
        <f>D4*E4</f>
        <v>36</v>
      </c>
      <c r="G4" s="9">
        <v>1</v>
      </c>
      <c r="H4" s="10">
        <f>IF(C4="z",F4*(1+$H$2),F4)*G4/1000</f>
        <v>4.2731999999999999E-2</v>
      </c>
      <c r="I4" s="11">
        <v>1100</v>
      </c>
      <c r="J4" s="33">
        <f>H4*I4</f>
        <v>47.005200000000002</v>
      </c>
      <c r="K4" s="12">
        <f>T4*W4</f>
        <v>0</v>
      </c>
      <c r="L4" s="13">
        <f t="shared" ref="L4:L6" si="0">G4</f>
        <v>1</v>
      </c>
      <c r="M4" s="10">
        <f>K4*L4/1000</f>
        <v>0</v>
      </c>
      <c r="N4" s="11">
        <f>I4</f>
        <v>1100</v>
      </c>
      <c r="O4" s="11">
        <f>M4*N4</f>
        <v>0</v>
      </c>
      <c r="P4" s="11">
        <f>J4-O4</f>
        <v>47.005200000000002</v>
      </c>
      <c r="Q4" s="9"/>
      <c r="U4" s="6"/>
      <c r="V4" s="6"/>
      <c r="Y4" s="28"/>
    </row>
    <row r="5" spans="2:27" x14ac:dyDescent="0.2">
      <c r="B5" s="7" t="s">
        <v>21</v>
      </c>
      <c r="C5" s="8" t="s">
        <v>14</v>
      </c>
      <c r="D5" s="8">
        <v>2</v>
      </c>
      <c r="E5" s="8">
        <v>36</v>
      </c>
      <c r="F5" s="7">
        <f>D5*E5</f>
        <v>72</v>
      </c>
      <c r="G5" s="9">
        <f>9+38</f>
        <v>47</v>
      </c>
      <c r="H5" s="10">
        <f>IF(C5="z",F5*(1+$H$2),F5)*G5/1000</f>
        <v>4.0168080000000002</v>
      </c>
      <c r="I5" s="11">
        <v>1100</v>
      </c>
      <c r="J5" s="33">
        <f>H5*I5</f>
        <v>4418.4888000000001</v>
      </c>
      <c r="K5" s="12">
        <f>T5*W5</f>
        <v>0</v>
      </c>
      <c r="L5" s="13">
        <f t="shared" si="0"/>
        <v>47</v>
      </c>
      <c r="M5" s="10">
        <f>K5*L5/1000</f>
        <v>0</v>
      </c>
      <c r="N5" s="11">
        <f>I5</f>
        <v>1100</v>
      </c>
      <c r="O5" s="11">
        <f>M5*N5</f>
        <v>0</v>
      </c>
      <c r="P5" s="11">
        <f>J5-O5</f>
        <v>4418.4888000000001</v>
      </c>
      <c r="Q5" s="9"/>
      <c r="U5" s="29"/>
      <c r="V5" s="29"/>
      <c r="X5" s="26"/>
      <c r="Y5" s="30"/>
      <c r="AA5" s="15"/>
    </row>
    <row r="6" spans="2:27" x14ac:dyDescent="0.2">
      <c r="B6" s="7" t="s">
        <v>23</v>
      </c>
      <c r="C6" s="8" t="s">
        <v>15</v>
      </c>
      <c r="D6" s="8">
        <v>1</v>
      </c>
      <c r="E6" s="8">
        <v>60</v>
      </c>
      <c r="F6" s="7">
        <f t="shared" ref="F6" si="1">D6*E6</f>
        <v>60</v>
      </c>
      <c r="G6" s="9">
        <v>16</v>
      </c>
      <c r="H6" s="10">
        <f t="shared" ref="H6" si="2">IF(C6="z",F6*(1+$H$2),F6)*G6/1000</f>
        <v>0.96</v>
      </c>
      <c r="I6" s="11">
        <v>126</v>
      </c>
      <c r="J6" s="33">
        <f t="shared" ref="J6" si="3">H6*I6</f>
        <v>120.96</v>
      </c>
      <c r="K6" s="12">
        <f t="shared" ref="K6" si="4">T6*W6</f>
        <v>0</v>
      </c>
      <c r="L6" s="13">
        <f t="shared" si="0"/>
        <v>16</v>
      </c>
      <c r="M6" s="10">
        <f>K6*L6/1000</f>
        <v>0</v>
      </c>
      <c r="N6" s="11">
        <f t="shared" ref="N6" si="5">I6</f>
        <v>126</v>
      </c>
      <c r="O6" s="11">
        <f t="shared" ref="O6" si="6">M6*N6</f>
        <v>0</v>
      </c>
      <c r="P6" s="11">
        <f t="shared" ref="P6" si="7">J6-O6</f>
        <v>120.96</v>
      </c>
      <c r="Q6" s="9"/>
      <c r="U6" s="29"/>
      <c r="V6" s="29"/>
      <c r="X6" s="26"/>
      <c r="Y6" s="30"/>
      <c r="AA6" s="15"/>
    </row>
    <row r="7" spans="2:27" x14ac:dyDescent="0.2">
      <c r="B7" s="16" t="s">
        <v>2</v>
      </c>
      <c r="C7" s="17"/>
      <c r="D7" s="17"/>
      <c r="E7" s="17"/>
      <c r="F7" s="17"/>
      <c r="G7" s="18">
        <f>SUM(G4:G6)</f>
        <v>64</v>
      </c>
      <c r="H7" s="18">
        <f>SUM(H4:H6)</f>
        <v>5.0195400000000001</v>
      </c>
      <c r="I7" s="17"/>
      <c r="J7" s="20">
        <f>SUM(J4:J6)</f>
        <v>4586.4539999999997</v>
      </c>
      <c r="K7" s="17"/>
      <c r="L7" s="21">
        <f>SUM(L4:L6)</f>
        <v>64</v>
      </c>
      <c r="M7" s="20">
        <f>SUM(M4:M6)</f>
        <v>0</v>
      </c>
      <c r="N7" s="17"/>
      <c r="O7" s="20">
        <f>SUM(O5:O6)</f>
        <v>0</v>
      </c>
      <c r="P7" s="20">
        <f>J7-O7</f>
        <v>4586.4539999999997</v>
      </c>
      <c r="Q7" s="18"/>
      <c r="V7" s="29"/>
      <c r="Y7" s="31"/>
      <c r="AA7" s="27"/>
    </row>
    <row r="8" spans="2:27" x14ac:dyDescent="0.2">
      <c r="B8" s="22"/>
      <c r="G8" s="23"/>
      <c r="H8" s="23"/>
      <c r="Q8" s="24"/>
    </row>
    <row r="9" spans="2:27" x14ac:dyDescent="0.2">
      <c r="B9" s="22"/>
      <c r="G9" s="24"/>
      <c r="J9" s="25"/>
      <c r="Q9" s="24"/>
    </row>
  </sheetData>
  <autoFilter ref="S2:S27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2CC53-1690-4F4C-B758-5B93E724AF9E}">
  <dimension ref="B2:AA13"/>
  <sheetViews>
    <sheetView zoomScaleNormal="100" workbookViewId="0">
      <pane ySplit="3" topLeftCell="A4" activePane="bottomLeft" state="frozen"/>
      <selection pane="bottomLeft" activeCell="I20" sqref="I20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/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x14ac:dyDescent="0.2">
      <c r="B4" s="7" t="s">
        <v>37</v>
      </c>
      <c r="C4" s="8" t="s">
        <v>14</v>
      </c>
      <c r="D4" s="8">
        <v>1</v>
      </c>
      <c r="E4" s="8">
        <v>18</v>
      </c>
      <c r="F4" s="7">
        <f>D4*E4</f>
        <v>18</v>
      </c>
      <c r="G4" s="9">
        <f>2+2</f>
        <v>4</v>
      </c>
      <c r="H4" s="10">
        <f>IF(C4="z",F4*(1+$H$2),F4)*G4/1000</f>
        <v>8.5463999999999998E-2</v>
      </c>
      <c r="I4" s="11">
        <v>1100</v>
      </c>
      <c r="J4" s="33">
        <f>H4*I4</f>
        <v>94.010400000000004</v>
      </c>
      <c r="K4" s="12">
        <f>T4*W4</f>
        <v>0</v>
      </c>
      <c r="L4" s="13">
        <f t="shared" ref="L4:L10" si="0">G4</f>
        <v>4</v>
      </c>
      <c r="M4" s="10">
        <f>K4*L4/1000</f>
        <v>0</v>
      </c>
      <c r="N4" s="11">
        <f>I4</f>
        <v>1100</v>
      </c>
      <c r="O4" s="11">
        <f>M4*N4</f>
        <v>0</v>
      </c>
      <c r="P4" s="11">
        <f>J4-O4</f>
        <v>94.010400000000004</v>
      </c>
      <c r="Q4" s="9"/>
      <c r="U4" s="29"/>
      <c r="V4" s="29"/>
      <c r="X4" s="26"/>
      <c r="Y4" s="30"/>
      <c r="AA4" s="15"/>
    </row>
    <row r="5" spans="2:27" x14ac:dyDescent="0.2">
      <c r="B5" s="7" t="s">
        <v>36</v>
      </c>
      <c r="C5" s="8" t="s">
        <v>14</v>
      </c>
      <c r="D5" s="8">
        <v>1</v>
      </c>
      <c r="E5" s="8">
        <v>36</v>
      </c>
      <c r="F5" s="7">
        <f t="shared" ref="F5:F9" si="1">D5*E5</f>
        <v>36</v>
      </c>
      <c r="G5" s="9">
        <f>54+36</f>
        <v>90</v>
      </c>
      <c r="H5" s="10">
        <f t="shared" ref="H5:H9" si="2">IF(C5="z",F5*(1+$H$2),F5)*G5/1000</f>
        <v>3.8458800000000002</v>
      </c>
      <c r="I5" s="11">
        <v>1100</v>
      </c>
      <c r="J5" s="33">
        <f t="shared" ref="J5:J9" si="3">H5*I5</f>
        <v>4230.4679999999998</v>
      </c>
      <c r="K5" s="12">
        <f t="shared" ref="K5:K9" si="4">T5*W5</f>
        <v>0</v>
      </c>
      <c r="L5" s="13">
        <f t="shared" ref="L5:L9" si="5">G5</f>
        <v>90</v>
      </c>
      <c r="M5" s="10">
        <f t="shared" ref="M5:M9" si="6">K5*L5/1000</f>
        <v>0</v>
      </c>
      <c r="N5" s="11">
        <f t="shared" ref="N5:N9" si="7">I5</f>
        <v>1100</v>
      </c>
      <c r="O5" s="11">
        <f t="shared" ref="O5:O9" si="8">M5*N5</f>
        <v>0</v>
      </c>
      <c r="P5" s="11">
        <f t="shared" ref="P5:P9" si="9">J5-O5</f>
        <v>4230.4679999999998</v>
      </c>
      <c r="Q5" s="9"/>
      <c r="U5" s="29"/>
      <c r="V5" s="29"/>
      <c r="X5" s="26"/>
      <c r="Y5" s="30"/>
      <c r="AA5" s="15"/>
    </row>
    <row r="6" spans="2:27" x14ac:dyDescent="0.2">
      <c r="B6" s="7" t="s">
        <v>35</v>
      </c>
      <c r="C6" s="8" t="s">
        <v>14</v>
      </c>
      <c r="D6" s="8">
        <v>2</v>
      </c>
      <c r="E6" s="8">
        <v>18</v>
      </c>
      <c r="F6" s="7">
        <f t="shared" si="1"/>
        <v>36</v>
      </c>
      <c r="G6" s="9">
        <v>19</v>
      </c>
      <c r="H6" s="10">
        <f t="shared" si="2"/>
        <v>0.81190799999999996</v>
      </c>
      <c r="I6" s="11">
        <v>1100</v>
      </c>
      <c r="J6" s="33">
        <f t="shared" si="3"/>
        <v>893.09879999999998</v>
      </c>
      <c r="K6" s="12">
        <f t="shared" si="4"/>
        <v>0</v>
      </c>
      <c r="L6" s="13">
        <f t="shared" si="5"/>
        <v>19</v>
      </c>
      <c r="M6" s="10">
        <f t="shared" si="6"/>
        <v>0</v>
      </c>
      <c r="N6" s="11">
        <f t="shared" si="7"/>
        <v>1100</v>
      </c>
      <c r="O6" s="11">
        <f t="shared" si="8"/>
        <v>0</v>
      </c>
      <c r="P6" s="11">
        <f t="shared" si="9"/>
        <v>893.09879999999998</v>
      </c>
      <c r="Q6" s="9"/>
      <c r="U6" s="29"/>
      <c r="V6" s="29"/>
      <c r="X6" s="26"/>
      <c r="Y6" s="30"/>
      <c r="AA6" s="15"/>
    </row>
    <row r="7" spans="2:27" x14ac:dyDescent="0.2">
      <c r="B7" s="7" t="s">
        <v>21</v>
      </c>
      <c r="C7" s="8" t="s">
        <v>14</v>
      </c>
      <c r="D7" s="8">
        <v>2</v>
      </c>
      <c r="E7" s="8">
        <v>36</v>
      </c>
      <c r="F7" s="7">
        <f t="shared" si="1"/>
        <v>72</v>
      </c>
      <c r="G7" s="9">
        <f>165+250</f>
        <v>415</v>
      </c>
      <c r="H7" s="10">
        <f t="shared" si="2"/>
        <v>35.467559999999999</v>
      </c>
      <c r="I7" s="11">
        <v>1100</v>
      </c>
      <c r="J7" s="33">
        <f t="shared" si="3"/>
        <v>39014.315999999999</v>
      </c>
      <c r="K7" s="12">
        <f t="shared" si="4"/>
        <v>0</v>
      </c>
      <c r="L7" s="13">
        <f t="shared" si="5"/>
        <v>415</v>
      </c>
      <c r="M7" s="10">
        <f t="shared" si="6"/>
        <v>0</v>
      </c>
      <c r="N7" s="11">
        <f t="shared" si="7"/>
        <v>1100</v>
      </c>
      <c r="O7" s="11">
        <f t="shared" si="8"/>
        <v>0</v>
      </c>
      <c r="P7" s="11">
        <f t="shared" si="9"/>
        <v>39014.315999999999</v>
      </c>
      <c r="Q7" s="9"/>
      <c r="U7" s="29"/>
      <c r="V7" s="29"/>
      <c r="X7" s="26"/>
      <c r="Y7" s="30"/>
      <c r="AA7" s="15"/>
    </row>
    <row r="8" spans="2:27" x14ac:dyDescent="0.2">
      <c r="B8" s="7" t="s">
        <v>22</v>
      </c>
      <c r="C8" s="8" t="s">
        <v>14</v>
      </c>
      <c r="D8" s="8">
        <v>4</v>
      </c>
      <c r="E8" s="8">
        <v>18</v>
      </c>
      <c r="F8" s="7">
        <f t="shared" si="1"/>
        <v>72</v>
      </c>
      <c r="G8" s="9">
        <f>10+3</f>
        <v>13</v>
      </c>
      <c r="H8" s="10">
        <f t="shared" si="2"/>
        <v>1.111032</v>
      </c>
      <c r="I8" s="11">
        <v>1100</v>
      </c>
      <c r="J8" s="33">
        <f t="shared" si="3"/>
        <v>1222.1351999999999</v>
      </c>
      <c r="K8" s="12">
        <f t="shared" si="4"/>
        <v>0</v>
      </c>
      <c r="L8" s="13">
        <f t="shared" si="5"/>
        <v>13</v>
      </c>
      <c r="M8" s="10">
        <f t="shared" si="6"/>
        <v>0</v>
      </c>
      <c r="N8" s="11">
        <f t="shared" si="7"/>
        <v>1100</v>
      </c>
      <c r="O8" s="11">
        <f t="shared" si="8"/>
        <v>0</v>
      </c>
      <c r="P8" s="11">
        <f t="shared" si="9"/>
        <v>1222.1351999999999</v>
      </c>
      <c r="Q8" s="9"/>
      <c r="U8" s="29"/>
      <c r="V8" s="29"/>
      <c r="X8" s="26"/>
      <c r="Y8" s="30"/>
      <c r="AA8" s="15"/>
    </row>
    <row r="9" spans="2:27" x14ac:dyDescent="0.2">
      <c r="B9" s="7" t="s">
        <v>34</v>
      </c>
      <c r="C9" s="8" t="s">
        <v>14</v>
      </c>
      <c r="D9" s="8">
        <v>4</v>
      </c>
      <c r="E9" s="8">
        <v>36</v>
      </c>
      <c r="F9" s="7">
        <f t="shared" si="1"/>
        <v>144</v>
      </c>
      <c r="G9" s="9">
        <v>3</v>
      </c>
      <c r="H9" s="10">
        <f t="shared" si="2"/>
        <v>0.51278400000000002</v>
      </c>
      <c r="I9" s="11">
        <v>1100</v>
      </c>
      <c r="J9" s="33">
        <f t="shared" si="3"/>
        <v>564.06240000000003</v>
      </c>
      <c r="K9" s="12">
        <f t="shared" si="4"/>
        <v>0</v>
      </c>
      <c r="L9" s="13">
        <f t="shared" si="5"/>
        <v>3</v>
      </c>
      <c r="M9" s="10">
        <f t="shared" si="6"/>
        <v>0</v>
      </c>
      <c r="N9" s="11">
        <f t="shared" si="7"/>
        <v>1100</v>
      </c>
      <c r="O9" s="11">
        <f t="shared" si="8"/>
        <v>0</v>
      </c>
      <c r="P9" s="11">
        <f t="shared" si="9"/>
        <v>564.06240000000003</v>
      </c>
      <c r="Q9" s="9"/>
      <c r="U9" s="29"/>
      <c r="V9" s="29"/>
      <c r="X9" s="26"/>
      <c r="Y9" s="30"/>
      <c r="AA9" s="15"/>
    </row>
    <row r="10" spans="2:27" x14ac:dyDescent="0.2">
      <c r="B10" s="7" t="s">
        <v>23</v>
      </c>
      <c r="C10" s="8" t="s">
        <v>15</v>
      </c>
      <c r="D10" s="8">
        <v>1</v>
      </c>
      <c r="E10" s="8">
        <v>60</v>
      </c>
      <c r="F10" s="7">
        <f t="shared" ref="F10" si="10">D10*E10</f>
        <v>60</v>
      </c>
      <c r="G10" s="9">
        <f>104+188</f>
        <v>292</v>
      </c>
      <c r="H10" s="10">
        <f t="shared" ref="H5:H10" si="11">IF(C10="z",F10*(1+$H$2),F10)*G10/1000</f>
        <v>17.52</v>
      </c>
      <c r="I10" s="11">
        <v>1100</v>
      </c>
      <c r="J10" s="33">
        <f t="shared" ref="J5:J10" si="12">H10*I10</f>
        <v>19272</v>
      </c>
      <c r="K10" s="12">
        <f t="shared" ref="K5:K10" si="13">T10*W10</f>
        <v>0</v>
      </c>
      <c r="L10" s="13">
        <f t="shared" si="0"/>
        <v>292</v>
      </c>
      <c r="M10" s="10">
        <f t="shared" ref="M5:M10" si="14">K10*L10/1000</f>
        <v>0</v>
      </c>
      <c r="N10" s="11">
        <f t="shared" ref="N5:N10" si="15">I10</f>
        <v>1100</v>
      </c>
      <c r="O10" s="11">
        <f t="shared" ref="O5:O10" si="16">M10*N10</f>
        <v>0</v>
      </c>
      <c r="P10" s="11">
        <f t="shared" ref="P5:P10" si="17">J10-O10</f>
        <v>19272</v>
      </c>
      <c r="Q10" s="9"/>
      <c r="U10" s="29"/>
      <c r="V10" s="29"/>
      <c r="X10" s="26"/>
      <c r="Y10" s="30"/>
      <c r="AA10" s="15"/>
    </row>
    <row r="11" spans="2:27" x14ac:dyDescent="0.2">
      <c r="B11" s="16" t="s">
        <v>2</v>
      </c>
      <c r="C11" s="17"/>
      <c r="D11" s="17"/>
      <c r="E11" s="17"/>
      <c r="F11" s="17"/>
      <c r="G11" s="18">
        <f>SUM(G4:G10)</f>
        <v>836</v>
      </c>
      <c r="H11" s="19">
        <f>SUM(H4:H10)</f>
        <v>59.354628000000005</v>
      </c>
      <c r="I11" s="17"/>
      <c r="J11" s="20">
        <f>SUM(J4:J10)</f>
        <v>65290.090799999998</v>
      </c>
      <c r="K11" s="17"/>
      <c r="L11" s="21">
        <f>SUM(L4:L10)</f>
        <v>836</v>
      </c>
      <c r="M11" s="20">
        <f>SUM(M4:M10)</f>
        <v>0</v>
      </c>
      <c r="N11" s="17"/>
      <c r="O11" s="20">
        <f>SUM(O4:O10)</f>
        <v>0</v>
      </c>
      <c r="P11" s="20">
        <f>J11-O11</f>
        <v>65290.090799999998</v>
      </c>
      <c r="Q11" s="18"/>
      <c r="V11" s="29"/>
      <c r="Y11" s="31"/>
      <c r="AA11" s="27"/>
    </row>
    <row r="12" spans="2:27" x14ac:dyDescent="0.2">
      <c r="B12" s="22"/>
      <c r="G12" s="23"/>
      <c r="H12" s="23"/>
      <c r="Q12" s="24"/>
    </row>
    <row r="13" spans="2:27" x14ac:dyDescent="0.2">
      <c r="B13" s="22"/>
      <c r="G13" s="24"/>
      <c r="J13" s="25"/>
      <c r="Q13" s="24"/>
    </row>
  </sheetData>
  <autoFilter ref="S2:S31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440A2-1275-4D83-B239-6E59390FA4D4}">
  <dimension ref="B2:AA9"/>
  <sheetViews>
    <sheetView zoomScaleNormal="100" workbookViewId="0">
      <pane ySplit="3" topLeftCell="A4" activePane="bottomLeft" state="frozen"/>
      <selection pane="bottomLeft" activeCell="I14" sqref="I14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/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x14ac:dyDescent="0.2">
      <c r="B4" s="7" t="s">
        <v>36</v>
      </c>
      <c r="C4" s="8" t="s">
        <v>14</v>
      </c>
      <c r="D4" s="8">
        <v>1</v>
      </c>
      <c r="E4" s="8">
        <v>11</v>
      </c>
      <c r="F4" s="7">
        <f>D4*E4</f>
        <v>11</v>
      </c>
      <c r="G4" s="9">
        <f>24+26</f>
        <v>50</v>
      </c>
      <c r="H4" s="10">
        <f>IF(C4="z",F4*(1+$H$2),F4)*G4/1000</f>
        <v>0.65285000000000004</v>
      </c>
      <c r="I4" s="11">
        <v>1500</v>
      </c>
      <c r="J4" s="33">
        <f>H4*I4</f>
        <v>979.27500000000009</v>
      </c>
      <c r="K4" s="12">
        <f>T4*W4</f>
        <v>0</v>
      </c>
      <c r="L4" s="13">
        <f t="shared" ref="L4:L6" si="0">G4</f>
        <v>50</v>
      </c>
      <c r="M4" s="10">
        <f>K4*L4/1000</f>
        <v>0</v>
      </c>
      <c r="N4" s="11">
        <f>I4</f>
        <v>1500</v>
      </c>
      <c r="O4" s="11">
        <f>M4*N4</f>
        <v>0</v>
      </c>
      <c r="P4" s="11">
        <f>J4-O4</f>
        <v>979.27500000000009</v>
      </c>
      <c r="Q4" s="9"/>
      <c r="U4" s="29"/>
      <c r="V4" s="29"/>
      <c r="X4" s="26"/>
      <c r="Y4" s="30"/>
      <c r="AA4" s="15"/>
    </row>
    <row r="5" spans="2:27" x14ac:dyDescent="0.2">
      <c r="B5" s="7" t="s">
        <v>21</v>
      </c>
      <c r="C5" s="8" t="s">
        <v>14</v>
      </c>
      <c r="D5" s="8">
        <v>2</v>
      </c>
      <c r="E5" s="8">
        <v>36</v>
      </c>
      <c r="F5" s="7">
        <f>D5*E5</f>
        <v>72</v>
      </c>
      <c r="G5" s="9">
        <f>65</f>
        <v>65</v>
      </c>
      <c r="H5" s="10">
        <f>IF(C5="z",F5*(1+$H$2),F5)*G5/1000</f>
        <v>5.5551599999999999</v>
      </c>
      <c r="I5" s="11">
        <v>1500</v>
      </c>
      <c r="J5" s="33">
        <f>H5*I5</f>
        <v>8332.74</v>
      </c>
      <c r="K5" s="12">
        <f>T5*W5</f>
        <v>0</v>
      </c>
      <c r="L5" s="13">
        <f t="shared" ref="L5" si="1">G5</f>
        <v>65</v>
      </c>
      <c r="M5" s="10">
        <f>K5*L5/1000</f>
        <v>0</v>
      </c>
      <c r="N5" s="11">
        <f>I5</f>
        <v>1500</v>
      </c>
      <c r="O5" s="11">
        <f>M5*N5</f>
        <v>0</v>
      </c>
      <c r="P5" s="11">
        <f>J5-O5</f>
        <v>8332.74</v>
      </c>
      <c r="Q5" s="9"/>
      <c r="U5" s="29"/>
      <c r="V5" s="29"/>
      <c r="X5" s="26"/>
      <c r="Y5" s="30"/>
      <c r="AA5" s="15"/>
    </row>
    <row r="6" spans="2:27" x14ac:dyDescent="0.2">
      <c r="B6" s="7" t="s">
        <v>23</v>
      </c>
      <c r="C6" s="8" t="s">
        <v>15</v>
      </c>
      <c r="D6" s="8">
        <v>1</v>
      </c>
      <c r="E6" s="8">
        <v>60</v>
      </c>
      <c r="F6" s="7">
        <f t="shared" ref="F6" si="2">D6*E6</f>
        <v>60</v>
      </c>
      <c r="G6" s="9">
        <f>26</f>
        <v>26</v>
      </c>
      <c r="H6" s="10">
        <f t="shared" ref="H6" si="3">IF(C6="z",F6*(1+$H$2),F6)*G6/1000</f>
        <v>1.56</v>
      </c>
      <c r="I6" s="11">
        <v>1500</v>
      </c>
      <c r="J6" s="33">
        <f t="shared" ref="J6" si="4">H6*I6</f>
        <v>2340</v>
      </c>
      <c r="K6" s="12">
        <f t="shared" ref="K6" si="5">T6*W6</f>
        <v>0</v>
      </c>
      <c r="L6" s="13">
        <f t="shared" si="0"/>
        <v>26</v>
      </c>
      <c r="M6" s="10">
        <f t="shared" ref="M6" si="6">K6*L6/1000</f>
        <v>0</v>
      </c>
      <c r="N6" s="11">
        <f t="shared" ref="N6" si="7">I6</f>
        <v>1500</v>
      </c>
      <c r="O6" s="11">
        <f t="shared" ref="O6" si="8">M6*N6</f>
        <v>0</v>
      </c>
      <c r="P6" s="11">
        <f t="shared" ref="P6" si="9">J6-O6</f>
        <v>2340</v>
      </c>
      <c r="Q6" s="9"/>
      <c r="U6" s="29"/>
      <c r="V6" s="29"/>
      <c r="X6" s="26"/>
      <c r="Y6" s="30"/>
      <c r="AA6" s="15"/>
    </row>
    <row r="7" spans="2:27" x14ac:dyDescent="0.2">
      <c r="B7" s="16" t="s">
        <v>2</v>
      </c>
      <c r="C7" s="17"/>
      <c r="D7" s="17"/>
      <c r="E7" s="17"/>
      <c r="F7" s="17"/>
      <c r="G7" s="18">
        <f>SUM(G4:G6)</f>
        <v>141</v>
      </c>
      <c r="H7" s="19">
        <f>SUM(H4:H6)</f>
        <v>7.7680100000000003</v>
      </c>
      <c r="I7" s="17"/>
      <c r="J7" s="20">
        <f>SUM(J4:J6)</f>
        <v>11652.014999999999</v>
      </c>
      <c r="K7" s="17"/>
      <c r="L7" s="21">
        <f>SUM(L4:L6)</f>
        <v>141</v>
      </c>
      <c r="M7" s="20">
        <f>SUM(M4:M6)</f>
        <v>0</v>
      </c>
      <c r="N7" s="17"/>
      <c r="O7" s="20">
        <f>SUM(O4:O6)</f>
        <v>0</v>
      </c>
      <c r="P7" s="20">
        <f>J7-O7</f>
        <v>11652.014999999999</v>
      </c>
      <c r="Q7" s="18"/>
      <c r="V7" s="29"/>
      <c r="Y7" s="31"/>
      <c r="AA7" s="27"/>
    </row>
    <row r="8" spans="2:27" x14ac:dyDescent="0.2">
      <c r="B8" s="22"/>
      <c r="G8" s="23"/>
      <c r="H8" s="23"/>
      <c r="Q8" s="24"/>
    </row>
    <row r="9" spans="2:27" x14ac:dyDescent="0.2">
      <c r="B9" s="22"/>
      <c r="G9" s="24"/>
      <c r="J9" s="25"/>
      <c r="Q9" s="24"/>
    </row>
  </sheetData>
  <autoFilter ref="S2:S27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91992-AB36-4C2C-AB0F-AFA8C7FDA0C5}">
  <dimension ref="B2:AA10"/>
  <sheetViews>
    <sheetView zoomScaleNormal="100" workbookViewId="0">
      <pane ySplit="3" topLeftCell="A4" activePane="bottomLeft" state="frozen"/>
      <selection pane="bottomLeft" activeCell="I16" sqref="I16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/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x14ac:dyDescent="0.2">
      <c r="B4" s="7" t="s">
        <v>21</v>
      </c>
      <c r="C4" s="8" t="s">
        <v>14</v>
      </c>
      <c r="D4" s="32">
        <v>2</v>
      </c>
      <c r="E4" s="8">
        <v>36</v>
      </c>
      <c r="F4" s="7">
        <f t="shared" ref="F4" si="0">D4*E4</f>
        <v>72</v>
      </c>
      <c r="G4" s="9">
        <f>36+9</f>
        <v>45</v>
      </c>
      <c r="H4" s="10">
        <f t="shared" ref="H4:H7" si="1">IF(C4="z",F4*(1+$H$2),F4)*G4/1000</f>
        <v>3.8458800000000002</v>
      </c>
      <c r="I4" s="11">
        <v>1100</v>
      </c>
      <c r="J4" s="33">
        <f t="shared" ref="J4:J7" si="2">H4*I4</f>
        <v>4230.4679999999998</v>
      </c>
      <c r="K4" s="12">
        <f t="shared" ref="K4:K7" si="3">T4*W4</f>
        <v>0</v>
      </c>
      <c r="L4" s="13">
        <f t="shared" ref="L4:L7" si="4">G4</f>
        <v>45</v>
      </c>
      <c r="M4" s="10">
        <f t="shared" ref="M4:M7" si="5">K4*L4/1000</f>
        <v>0</v>
      </c>
      <c r="N4" s="11">
        <f t="shared" ref="N4:N7" si="6">I4</f>
        <v>1100</v>
      </c>
      <c r="O4" s="11">
        <f t="shared" ref="O4:O7" si="7">M4*N4</f>
        <v>0</v>
      </c>
      <c r="P4" s="11">
        <f t="shared" ref="P4:P7" si="8">J4-O4</f>
        <v>4230.4679999999998</v>
      </c>
      <c r="Q4" s="9"/>
      <c r="U4" s="29"/>
      <c r="V4" s="29"/>
      <c r="X4" s="26"/>
      <c r="Y4" s="30"/>
      <c r="AA4" s="15"/>
    </row>
    <row r="5" spans="2:27" x14ac:dyDescent="0.2">
      <c r="B5" s="7" t="s">
        <v>22</v>
      </c>
      <c r="C5" s="8" t="s">
        <v>14</v>
      </c>
      <c r="D5" s="32">
        <v>4</v>
      </c>
      <c r="E5" s="8">
        <v>18</v>
      </c>
      <c r="F5" s="7">
        <f t="shared" ref="F5:F6" si="9">D5*E5</f>
        <v>72</v>
      </c>
      <c r="G5" s="9">
        <v>4</v>
      </c>
      <c r="H5" s="10">
        <f t="shared" ref="H5:H6" si="10">IF(C5="z",F5*(1+$H$2),F5)*G5/1000</f>
        <v>0.34185599999999999</v>
      </c>
      <c r="I5" s="11">
        <v>1100</v>
      </c>
      <c r="J5" s="33">
        <f t="shared" ref="J5:J6" si="11">H5*I5</f>
        <v>376.04160000000002</v>
      </c>
      <c r="K5" s="12">
        <f t="shared" ref="K5:K6" si="12">T5*W5</f>
        <v>0</v>
      </c>
      <c r="L5" s="13">
        <f t="shared" ref="L5:L6" si="13">G5</f>
        <v>4</v>
      </c>
      <c r="M5" s="10">
        <f t="shared" ref="M5:M6" si="14">K5*L5/1000</f>
        <v>0</v>
      </c>
      <c r="N5" s="11">
        <f t="shared" ref="N5:N6" si="15">I5</f>
        <v>1100</v>
      </c>
      <c r="O5" s="11">
        <f t="shared" ref="O5:O6" si="16">M5*N5</f>
        <v>0</v>
      </c>
      <c r="P5" s="11">
        <f t="shared" ref="P5:P6" si="17">J5-O5</f>
        <v>376.04160000000002</v>
      </c>
      <c r="Q5" s="9"/>
      <c r="U5" s="29"/>
      <c r="V5" s="29"/>
      <c r="X5" s="26"/>
      <c r="Y5" s="30"/>
      <c r="AA5" s="15"/>
    </row>
    <row r="6" spans="2:27" x14ac:dyDescent="0.2">
      <c r="B6" s="7" t="s">
        <v>34</v>
      </c>
      <c r="C6" s="8" t="s">
        <v>14</v>
      </c>
      <c r="D6" s="32">
        <v>4</v>
      </c>
      <c r="E6" s="8">
        <v>36</v>
      </c>
      <c r="F6" s="7">
        <f t="shared" si="9"/>
        <v>144</v>
      </c>
      <c r="G6" s="9">
        <v>34</v>
      </c>
      <c r="H6" s="10">
        <f t="shared" si="10"/>
        <v>5.8115519999999998</v>
      </c>
      <c r="I6" s="11">
        <v>1100</v>
      </c>
      <c r="J6" s="33">
        <f t="shared" si="11"/>
        <v>6392.7071999999998</v>
      </c>
      <c r="K6" s="12">
        <f t="shared" si="12"/>
        <v>0</v>
      </c>
      <c r="L6" s="13">
        <f t="shared" si="13"/>
        <v>34</v>
      </c>
      <c r="M6" s="10">
        <f t="shared" si="14"/>
        <v>0</v>
      </c>
      <c r="N6" s="11">
        <f t="shared" si="15"/>
        <v>1100</v>
      </c>
      <c r="O6" s="11">
        <f t="shared" si="16"/>
        <v>0</v>
      </c>
      <c r="P6" s="11">
        <f t="shared" si="17"/>
        <v>6392.7071999999998</v>
      </c>
      <c r="Q6" s="9"/>
      <c r="U6" s="29"/>
      <c r="V6" s="29"/>
      <c r="X6" s="26"/>
      <c r="Y6" s="30"/>
      <c r="AA6" s="15"/>
    </row>
    <row r="7" spans="2:27" x14ac:dyDescent="0.2">
      <c r="B7" s="7" t="s">
        <v>23</v>
      </c>
      <c r="C7" s="8" t="s">
        <v>15</v>
      </c>
      <c r="D7" s="8">
        <v>1</v>
      </c>
      <c r="E7" s="8">
        <v>60</v>
      </c>
      <c r="F7" s="7">
        <f t="shared" ref="F7" si="18">D7*E7</f>
        <v>60</v>
      </c>
      <c r="G7" s="9">
        <f>31+32</f>
        <v>63</v>
      </c>
      <c r="H7" s="10">
        <f t="shared" si="1"/>
        <v>3.78</v>
      </c>
      <c r="I7" s="11">
        <v>300</v>
      </c>
      <c r="J7" s="33">
        <f t="shared" si="2"/>
        <v>1134</v>
      </c>
      <c r="K7" s="12">
        <f t="shared" si="3"/>
        <v>0</v>
      </c>
      <c r="L7" s="13">
        <f t="shared" si="4"/>
        <v>63</v>
      </c>
      <c r="M7" s="10">
        <f t="shared" si="5"/>
        <v>0</v>
      </c>
      <c r="N7" s="11">
        <f t="shared" si="6"/>
        <v>300</v>
      </c>
      <c r="O7" s="11">
        <f t="shared" si="7"/>
        <v>0</v>
      </c>
      <c r="P7" s="11">
        <f t="shared" si="8"/>
        <v>1134</v>
      </c>
      <c r="Q7" s="9"/>
      <c r="U7" s="29"/>
      <c r="V7" s="29"/>
      <c r="X7" s="26"/>
      <c r="Y7" s="30"/>
      <c r="AA7" s="15"/>
    </row>
    <row r="8" spans="2:27" x14ac:dyDescent="0.2">
      <c r="B8" s="16" t="s">
        <v>2</v>
      </c>
      <c r="C8" s="17"/>
      <c r="D8" s="17"/>
      <c r="E8" s="17"/>
      <c r="F8" s="17"/>
      <c r="G8" s="18">
        <f>SUM(G4:G7)</f>
        <v>146</v>
      </c>
      <c r="H8" s="19">
        <f>SUM(H4:H7)</f>
        <v>13.779287999999999</v>
      </c>
      <c r="I8" s="17"/>
      <c r="J8" s="20">
        <f>SUM(J4:J7)</f>
        <v>12133.216799999998</v>
      </c>
      <c r="K8" s="17"/>
      <c r="L8" s="21">
        <f>SUM(L4:L7)</f>
        <v>146</v>
      </c>
      <c r="M8" s="20">
        <f>SUM(M4:M7)</f>
        <v>0</v>
      </c>
      <c r="N8" s="17"/>
      <c r="O8" s="20">
        <f>SUM(O4:O7)</f>
        <v>0</v>
      </c>
      <c r="P8" s="20">
        <f>J8-O8</f>
        <v>12133.216799999998</v>
      </c>
      <c r="Q8" s="18"/>
      <c r="V8" s="29"/>
      <c r="Y8" s="31"/>
      <c r="AA8" s="27"/>
    </row>
    <row r="9" spans="2:27" x14ac:dyDescent="0.2">
      <c r="B9" s="22"/>
      <c r="G9" s="23"/>
      <c r="H9" s="23"/>
      <c r="Q9" s="24"/>
    </row>
    <row r="10" spans="2:27" x14ac:dyDescent="0.2">
      <c r="B10" s="22"/>
      <c r="G10" s="24"/>
      <c r="J10" s="25"/>
      <c r="Q10" s="24"/>
    </row>
  </sheetData>
  <autoFilter ref="S2:S28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F1D8C-6A6F-4F07-82C7-C624B4F090E8}">
  <dimension ref="B2:AA11"/>
  <sheetViews>
    <sheetView zoomScaleNormal="100" workbookViewId="0">
      <pane ySplit="3" topLeftCell="A4" activePane="bottomLeft" state="frozen"/>
      <selection pane="bottomLeft" activeCell="J17" sqref="J17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/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s="4" customFormat="1" x14ac:dyDescent="0.2">
      <c r="B4" s="7" t="s">
        <v>38</v>
      </c>
      <c r="C4" s="8" t="s">
        <v>14</v>
      </c>
      <c r="D4" s="8">
        <v>2</v>
      </c>
      <c r="E4" s="8">
        <v>30</v>
      </c>
      <c r="F4" s="7">
        <f>D4*E4</f>
        <v>60</v>
      </c>
      <c r="G4" s="9">
        <v>2</v>
      </c>
      <c r="H4" s="10">
        <f>IF(C4="z",F4*(1+$H$2),F4)*G4/1000</f>
        <v>0.14244000000000001</v>
      </c>
      <c r="I4" s="11">
        <v>400</v>
      </c>
      <c r="J4" s="33">
        <f>H4*I4</f>
        <v>56.976000000000006</v>
      </c>
      <c r="K4" s="12">
        <f>T4*W4</f>
        <v>0</v>
      </c>
      <c r="L4" s="13">
        <f t="shared" ref="L4" si="0">G4</f>
        <v>2</v>
      </c>
      <c r="M4" s="10">
        <f>K4*L4/1000</f>
        <v>0</v>
      </c>
      <c r="N4" s="11">
        <f>I4</f>
        <v>400</v>
      </c>
      <c r="O4" s="11">
        <f>M4*N4</f>
        <v>0</v>
      </c>
      <c r="P4" s="11">
        <f>J4-O4</f>
        <v>56.976000000000006</v>
      </c>
      <c r="Q4" s="9"/>
      <c r="U4" s="6"/>
      <c r="V4" s="6"/>
      <c r="Y4" s="28"/>
    </row>
    <row r="5" spans="2:27" x14ac:dyDescent="0.2">
      <c r="B5" s="7" t="s">
        <v>21</v>
      </c>
      <c r="C5" s="8" t="s">
        <v>14</v>
      </c>
      <c r="D5" s="8">
        <v>2</v>
      </c>
      <c r="E5" s="8">
        <v>36</v>
      </c>
      <c r="F5" s="7">
        <f>D5*E5</f>
        <v>72</v>
      </c>
      <c r="G5" s="9">
        <f>27+9</f>
        <v>36</v>
      </c>
      <c r="H5" s="10">
        <f>IF(C5="z",F5*(1+$H$2),F5)*G5/1000</f>
        <v>3.0767039999999999</v>
      </c>
      <c r="I5" s="11">
        <v>400</v>
      </c>
      <c r="J5" s="33">
        <f>H5*I5</f>
        <v>1230.6815999999999</v>
      </c>
      <c r="K5" s="12">
        <f>T5*W5</f>
        <v>0</v>
      </c>
      <c r="L5" s="13">
        <f t="shared" ref="L5:L8" si="1">G5</f>
        <v>36</v>
      </c>
      <c r="M5" s="10">
        <f>K5*L5/1000</f>
        <v>0</v>
      </c>
      <c r="N5" s="11">
        <f>I5</f>
        <v>400</v>
      </c>
      <c r="O5" s="11">
        <f>M5*N5</f>
        <v>0</v>
      </c>
      <c r="P5" s="11">
        <f>J5-O5</f>
        <v>1230.6815999999999</v>
      </c>
      <c r="Q5" s="9"/>
      <c r="U5" s="29"/>
      <c r="V5" s="29"/>
      <c r="X5" s="26"/>
      <c r="Y5" s="30"/>
      <c r="AA5" s="15"/>
    </row>
    <row r="6" spans="2:27" x14ac:dyDescent="0.2">
      <c r="B6" s="7" t="s">
        <v>22</v>
      </c>
      <c r="C6" s="8" t="s">
        <v>14</v>
      </c>
      <c r="D6" s="32">
        <v>4</v>
      </c>
      <c r="E6" s="8">
        <v>18</v>
      </c>
      <c r="F6" s="7">
        <f t="shared" ref="F6" si="2">D6*E6</f>
        <v>72</v>
      </c>
      <c r="G6" s="9">
        <v>2</v>
      </c>
      <c r="H6" s="10">
        <f t="shared" ref="H6:H8" si="3">IF(C6="z",F6*(1+$H$2),F6)*G6/1000</f>
        <v>0.170928</v>
      </c>
      <c r="I6" s="11">
        <v>400</v>
      </c>
      <c r="J6" s="33">
        <f t="shared" ref="J6:J8" si="4">H6*I6</f>
        <v>68.371200000000002</v>
      </c>
      <c r="K6" s="12">
        <f t="shared" ref="K6:K8" si="5">T6*W6</f>
        <v>0</v>
      </c>
      <c r="L6" s="13">
        <f t="shared" si="1"/>
        <v>2</v>
      </c>
      <c r="M6" s="10">
        <f>K6*L6/1000</f>
        <v>0</v>
      </c>
      <c r="N6" s="11">
        <f t="shared" ref="N6:N8" si="6">I6</f>
        <v>400</v>
      </c>
      <c r="O6" s="11">
        <f t="shared" ref="O6:O8" si="7">M6*N6</f>
        <v>0</v>
      </c>
      <c r="P6" s="11">
        <f t="shared" ref="P6:P8" si="8">J6-O6</f>
        <v>68.371200000000002</v>
      </c>
      <c r="Q6" s="9"/>
      <c r="U6" s="29"/>
      <c r="V6" s="29"/>
      <c r="X6" s="26"/>
      <c r="Y6" s="30"/>
      <c r="AA6" s="15"/>
    </row>
    <row r="7" spans="2:27" x14ac:dyDescent="0.2">
      <c r="B7" s="7" t="s">
        <v>34</v>
      </c>
      <c r="C7" s="8" t="s">
        <v>14</v>
      </c>
      <c r="D7" s="8">
        <v>4</v>
      </c>
      <c r="E7" s="8">
        <v>36</v>
      </c>
      <c r="F7" s="7">
        <f>D7*E7</f>
        <v>144</v>
      </c>
      <c r="G7" s="9">
        <v>11</v>
      </c>
      <c r="H7" s="10">
        <f t="shared" si="3"/>
        <v>1.8802080000000001</v>
      </c>
      <c r="I7" s="11">
        <v>400</v>
      </c>
      <c r="J7" s="33">
        <f t="shared" si="4"/>
        <v>752.08320000000003</v>
      </c>
      <c r="K7" s="12">
        <f t="shared" si="5"/>
        <v>0</v>
      </c>
      <c r="L7" s="13">
        <f t="shared" si="1"/>
        <v>11</v>
      </c>
      <c r="M7" s="10">
        <f>K7*L7/1000</f>
        <v>0</v>
      </c>
      <c r="N7" s="11">
        <f t="shared" si="6"/>
        <v>400</v>
      </c>
      <c r="O7" s="11">
        <f t="shared" si="7"/>
        <v>0</v>
      </c>
      <c r="P7" s="11">
        <f t="shared" si="8"/>
        <v>752.08320000000003</v>
      </c>
      <c r="Q7" s="9"/>
      <c r="U7" s="29"/>
      <c r="V7" s="29"/>
      <c r="X7" s="26"/>
      <c r="Y7" s="30"/>
      <c r="AA7" s="15"/>
    </row>
    <row r="8" spans="2:27" x14ac:dyDescent="0.2">
      <c r="B8" s="7" t="s">
        <v>23</v>
      </c>
      <c r="C8" s="8" t="s">
        <v>15</v>
      </c>
      <c r="D8" s="8">
        <v>1</v>
      </c>
      <c r="E8" s="8">
        <v>60</v>
      </c>
      <c r="F8" s="7">
        <f t="shared" ref="F8" si="9">D8*E8</f>
        <v>60</v>
      </c>
      <c r="G8" s="9">
        <v>29</v>
      </c>
      <c r="H8" s="10">
        <f t="shared" si="3"/>
        <v>1.74</v>
      </c>
      <c r="I8" s="11">
        <v>400</v>
      </c>
      <c r="J8" s="33">
        <f t="shared" si="4"/>
        <v>696</v>
      </c>
      <c r="K8" s="12">
        <f t="shared" si="5"/>
        <v>0</v>
      </c>
      <c r="L8" s="13">
        <f t="shared" si="1"/>
        <v>29</v>
      </c>
      <c r="M8" s="10">
        <f>K8*L8/1000</f>
        <v>0</v>
      </c>
      <c r="N8" s="11">
        <f t="shared" si="6"/>
        <v>400</v>
      </c>
      <c r="O8" s="11">
        <f t="shared" si="7"/>
        <v>0</v>
      </c>
      <c r="P8" s="11">
        <f t="shared" si="8"/>
        <v>696</v>
      </c>
      <c r="Q8" s="9"/>
      <c r="U8" s="29"/>
      <c r="V8" s="29"/>
      <c r="X8" s="26"/>
      <c r="Y8" s="30"/>
      <c r="AA8" s="15"/>
    </row>
    <row r="9" spans="2:27" x14ac:dyDescent="0.2">
      <c r="B9" s="16" t="s">
        <v>2</v>
      </c>
      <c r="C9" s="17"/>
      <c r="D9" s="17"/>
      <c r="E9" s="17"/>
      <c r="F9" s="17"/>
      <c r="G9" s="18">
        <f>SUM(G4:G8)</f>
        <v>80</v>
      </c>
      <c r="H9" s="18">
        <f>SUM(H4:H8)</f>
        <v>7.0102799999999998</v>
      </c>
      <c r="I9" s="17"/>
      <c r="J9" s="20">
        <f>SUM(J4:J8)</f>
        <v>2804.1120000000001</v>
      </c>
      <c r="K9" s="17"/>
      <c r="L9" s="21">
        <f>SUM(L4:L8)</f>
        <v>80</v>
      </c>
      <c r="M9" s="20">
        <f>SUM(M4:M8)</f>
        <v>0</v>
      </c>
      <c r="N9" s="17"/>
      <c r="O9" s="20">
        <f>SUM(O5:O8)</f>
        <v>0</v>
      </c>
      <c r="P9" s="20">
        <f>J9-O9</f>
        <v>2804.1120000000001</v>
      </c>
      <c r="Q9" s="18"/>
      <c r="V9" s="29"/>
      <c r="Y9" s="31"/>
      <c r="AA9" s="27"/>
    </row>
    <row r="10" spans="2:27" x14ac:dyDescent="0.2">
      <c r="B10" s="22"/>
      <c r="G10" s="23"/>
      <c r="H10" s="23"/>
      <c r="Q10" s="24"/>
    </row>
    <row r="11" spans="2:27" x14ac:dyDescent="0.2">
      <c r="B11" s="22"/>
      <c r="G11" s="24"/>
      <c r="J11" s="25"/>
      <c r="Q11" s="24"/>
    </row>
  </sheetData>
  <autoFilter ref="S2:S29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005E2-D71D-46F3-9C56-001F6461D2B9}">
  <dimension ref="B2:AA10"/>
  <sheetViews>
    <sheetView zoomScaleNormal="100" workbookViewId="0">
      <pane ySplit="3" topLeftCell="A4" activePane="bottomLeft" state="frozen"/>
      <selection pane="bottomLeft" activeCell="I13" sqref="I13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/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s="4" customFormat="1" x14ac:dyDescent="0.2">
      <c r="B4" s="7" t="s">
        <v>36</v>
      </c>
      <c r="C4" s="8" t="s">
        <v>14</v>
      </c>
      <c r="D4" s="8">
        <v>1</v>
      </c>
      <c r="E4" s="8">
        <v>36</v>
      </c>
      <c r="F4" s="7">
        <f t="shared" ref="F4:F5" si="0">D4*E4</f>
        <v>36</v>
      </c>
      <c r="G4" s="9">
        <v>3</v>
      </c>
      <c r="H4" s="10">
        <f t="shared" ref="H4:H5" si="1">IF(C4="z",F4*(1+$H$2),F4)*G4/1000</f>
        <v>0.128196</v>
      </c>
      <c r="I4" s="11">
        <v>1500</v>
      </c>
      <c r="J4" s="33">
        <f t="shared" ref="J4:J5" si="2">H4*I4</f>
        <v>192.29400000000001</v>
      </c>
      <c r="K4" s="12">
        <f t="shared" ref="K4:K5" si="3">T4*W4</f>
        <v>0</v>
      </c>
      <c r="L4" s="13">
        <f t="shared" ref="L4:L5" si="4">G4</f>
        <v>3</v>
      </c>
      <c r="M4" s="10">
        <f t="shared" ref="M4:M5" si="5">K4*L4/1000</f>
        <v>0</v>
      </c>
      <c r="N4" s="11">
        <f t="shared" ref="N4:N5" si="6">I4</f>
        <v>1500</v>
      </c>
      <c r="O4" s="11">
        <f t="shared" ref="O4:O5" si="7">M4*N4</f>
        <v>0</v>
      </c>
      <c r="P4" s="11">
        <f t="shared" ref="P4:P5" si="8">J4-O4</f>
        <v>192.29400000000001</v>
      </c>
      <c r="Q4" s="5"/>
      <c r="U4" s="6"/>
      <c r="V4" s="6"/>
      <c r="Y4" s="28"/>
    </row>
    <row r="5" spans="2:27" s="4" customFormat="1" x14ac:dyDescent="0.2">
      <c r="B5" s="7" t="s">
        <v>38</v>
      </c>
      <c r="C5" s="8" t="s">
        <v>14</v>
      </c>
      <c r="D5" s="8">
        <v>2</v>
      </c>
      <c r="E5" s="8">
        <v>30</v>
      </c>
      <c r="F5" s="7">
        <f t="shared" ref="F5:F6" si="9">D5*E5</f>
        <v>60</v>
      </c>
      <c r="G5" s="9">
        <v>3</v>
      </c>
      <c r="H5" s="10">
        <f t="shared" ref="H5:H6" si="10">IF(C5="z",F5*(1+$H$2),F5)*G5/1000</f>
        <v>0.21365999999999999</v>
      </c>
      <c r="I5" s="11">
        <v>1500</v>
      </c>
      <c r="J5" s="33">
        <f t="shared" ref="J5:J6" si="11">H5*I5</f>
        <v>320.49</v>
      </c>
      <c r="K5" s="12">
        <f t="shared" ref="K5:K6" si="12">T5*W5</f>
        <v>0</v>
      </c>
      <c r="L5" s="13">
        <f t="shared" ref="L5:L6" si="13">G5</f>
        <v>3</v>
      </c>
      <c r="M5" s="10">
        <f t="shared" ref="M5:M6" si="14">K5*L5/1000</f>
        <v>0</v>
      </c>
      <c r="N5" s="11">
        <f t="shared" ref="N5:N6" si="15">I5</f>
        <v>1500</v>
      </c>
      <c r="O5" s="11">
        <f t="shared" ref="O5:O6" si="16">M5*N5</f>
        <v>0</v>
      </c>
      <c r="P5" s="11">
        <f t="shared" ref="P5:P6" si="17">J5-O5</f>
        <v>320.49</v>
      </c>
      <c r="Q5" s="5"/>
      <c r="U5" s="6"/>
      <c r="V5" s="6"/>
      <c r="Y5" s="28"/>
    </row>
    <row r="6" spans="2:27" s="4" customFormat="1" x14ac:dyDescent="0.2">
      <c r="B6" s="7" t="s">
        <v>21</v>
      </c>
      <c r="C6" s="8" t="s">
        <v>14</v>
      </c>
      <c r="D6" s="8">
        <v>2</v>
      </c>
      <c r="E6" s="8">
        <v>36</v>
      </c>
      <c r="F6" s="7">
        <f t="shared" si="9"/>
        <v>72</v>
      </c>
      <c r="G6" s="9">
        <v>24</v>
      </c>
      <c r="H6" s="10">
        <f t="shared" si="10"/>
        <v>2.0511360000000001</v>
      </c>
      <c r="I6" s="11">
        <v>1500</v>
      </c>
      <c r="J6" s="33">
        <f t="shared" si="11"/>
        <v>3076.7040000000002</v>
      </c>
      <c r="K6" s="12">
        <f t="shared" si="12"/>
        <v>0</v>
      </c>
      <c r="L6" s="13">
        <f t="shared" si="13"/>
        <v>24</v>
      </c>
      <c r="M6" s="10">
        <f t="shared" si="14"/>
        <v>0</v>
      </c>
      <c r="N6" s="11">
        <f t="shared" si="15"/>
        <v>1500</v>
      </c>
      <c r="O6" s="11">
        <f t="shared" si="16"/>
        <v>0</v>
      </c>
      <c r="P6" s="11">
        <f t="shared" si="17"/>
        <v>3076.7040000000002</v>
      </c>
      <c r="Q6" s="5"/>
      <c r="U6" s="6"/>
      <c r="V6" s="6"/>
      <c r="Y6" s="28"/>
    </row>
    <row r="7" spans="2:27" x14ac:dyDescent="0.2">
      <c r="B7" s="7" t="s">
        <v>23</v>
      </c>
      <c r="C7" s="8" t="s">
        <v>15</v>
      </c>
      <c r="D7" s="8">
        <v>1</v>
      </c>
      <c r="E7" s="8">
        <v>60</v>
      </c>
      <c r="F7" s="7">
        <f>D7*E7</f>
        <v>60</v>
      </c>
      <c r="G7" s="9">
        <v>20</v>
      </c>
      <c r="H7" s="10">
        <f>IF(C7="z",F7*(1+$H$2),F7)*G7/1000</f>
        <v>1.2</v>
      </c>
      <c r="I7" s="11">
        <v>800</v>
      </c>
      <c r="J7" s="33">
        <f>H7*I7</f>
        <v>960</v>
      </c>
      <c r="K7" s="12">
        <f>T7*W7</f>
        <v>0</v>
      </c>
      <c r="L7" s="13">
        <f t="shared" ref="L7" si="18">G7</f>
        <v>20</v>
      </c>
      <c r="M7" s="10">
        <f>K7*L7/1000</f>
        <v>0</v>
      </c>
      <c r="N7" s="11">
        <f>I7</f>
        <v>800</v>
      </c>
      <c r="O7" s="11">
        <f>M7*N7</f>
        <v>0</v>
      </c>
      <c r="P7" s="11">
        <f>J7-O7</f>
        <v>960</v>
      </c>
      <c r="Q7" s="9"/>
      <c r="U7" s="29"/>
      <c r="V7" s="29"/>
      <c r="X7" s="26"/>
      <c r="Y7" s="30"/>
      <c r="AA7" s="15"/>
    </row>
    <row r="8" spans="2:27" x14ac:dyDescent="0.2">
      <c r="B8" s="16" t="s">
        <v>2</v>
      </c>
      <c r="C8" s="17"/>
      <c r="D8" s="17"/>
      <c r="E8" s="17"/>
      <c r="F8" s="17"/>
      <c r="G8" s="18">
        <f>SUM(G4:G7)</f>
        <v>50</v>
      </c>
      <c r="H8" s="18">
        <f>SUM(H4:H7)</f>
        <v>3.5929919999999997</v>
      </c>
      <c r="I8" s="18"/>
      <c r="J8" s="18">
        <f>SUM(J4:J7)</f>
        <v>4549.4880000000003</v>
      </c>
      <c r="K8" s="17"/>
      <c r="L8" s="21">
        <f>SUM(L4:L7)</f>
        <v>50</v>
      </c>
      <c r="M8" s="21">
        <f>SUM(M4:M7)</f>
        <v>0</v>
      </c>
      <c r="N8" s="17"/>
      <c r="O8" s="20">
        <f>SUM(O4:O7)</f>
        <v>0</v>
      </c>
      <c r="P8" s="20">
        <f>SUM(P4:P7)</f>
        <v>4549.4880000000003</v>
      </c>
      <c r="Q8" s="18"/>
      <c r="V8" s="29"/>
      <c r="Y8" s="31"/>
      <c r="AA8" s="27"/>
    </row>
    <row r="9" spans="2:27" x14ac:dyDescent="0.2">
      <c r="B9" s="22"/>
      <c r="G9" s="23"/>
      <c r="H9" s="23"/>
      <c r="Q9" s="24"/>
    </row>
    <row r="10" spans="2:27" x14ac:dyDescent="0.2">
      <c r="B10" s="22"/>
      <c r="G10" s="24"/>
      <c r="J10" s="25"/>
      <c r="Q10" s="24"/>
    </row>
  </sheetData>
  <autoFilter ref="S2:S28" xr:uid="{00000000-0009-0000-0000-000001000000}"/>
  <phoneticPr fontId="10" type="noConversion"/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93092-8D29-453B-BBC0-52A29DC0B245}">
  <dimension ref="B2:AA8"/>
  <sheetViews>
    <sheetView zoomScaleNormal="100" workbookViewId="0">
      <pane ySplit="3" topLeftCell="A4" activePane="bottomLeft" state="frozen"/>
      <selection pane="bottomLeft" activeCell="J11" sqref="J11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 t="s">
        <v>20</v>
      </c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x14ac:dyDescent="0.2">
      <c r="B4" s="7" t="s">
        <v>21</v>
      </c>
      <c r="C4" s="8" t="s">
        <v>14</v>
      </c>
      <c r="D4" s="8">
        <v>2</v>
      </c>
      <c r="E4" s="8">
        <v>36</v>
      </c>
      <c r="F4" s="7">
        <f>D4*E4</f>
        <v>72</v>
      </c>
      <c r="G4" s="9">
        <v>9</v>
      </c>
      <c r="H4" s="10">
        <f>IF(C4="z",F4*(1+$H$2),F4)*G4/1000</f>
        <v>0.76917599999999997</v>
      </c>
      <c r="I4" s="11">
        <v>1500</v>
      </c>
      <c r="J4" s="33">
        <f>H4*I4</f>
        <v>1153.7639999999999</v>
      </c>
      <c r="K4" s="12">
        <f>T4*W4</f>
        <v>0</v>
      </c>
      <c r="L4" s="13">
        <f t="shared" ref="L4:L5" si="0">G4</f>
        <v>9</v>
      </c>
      <c r="M4" s="10">
        <f>K4*L4/1000</f>
        <v>0</v>
      </c>
      <c r="N4" s="11">
        <f>I4</f>
        <v>1500</v>
      </c>
      <c r="O4" s="11">
        <f>M4*N4</f>
        <v>0</v>
      </c>
      <c r="P4" s="11">
        <f>J4-O4</f>
        <v>1153.7639999999999</v>
      </c>
      <c r="Q4" s="9"/>
      <c r="U4" s="29"/>
      <c r="V4" s="29"/>
      <c r="X4" s="26"/>
      <c r="Y4" s="30"/>
      <c r="AA4" s="15"/>
    </row>
    <row r="5" spans="2:27" x14ac:dyDescent="0.2">
      <c r="B5" s="7" t="s">
        <v>23</v>
      </c>
      <c r="C5" s="8" t="s">
        <v>15</v>
      </c>
      <c r="D5" s="8">
        <v>1</v>
      </c>
      <c r="E5" s="8">
        <v>60</v>
      </c>
      <c r="F5" s="7">
        <f t="shared" ref="F5" si="1">D5*E5</f>
        <v>60</v>
      </c>
      <c r="G5" s="9">
        <v>9</v>
      </c>
      <c r="H5" s="10">
        <f t="shared" ref="H5" si="2">IF(C5="z",F5*(1+$H$2),F5)*G5/1000</f>
        <v>0.54</v>
      </c>
      <c r="I5" s="11">
        <v>300</v>
      </c>
      <c r="J5" s="33">
        <f t="shared" ref="J5" si="3">H5*I5</f>
        <v>162</v>
      </c>
      <c r="K5" s="12">
        <f t="shared" ref="K5" si="4">T5*W5</f>
        <v>0</v>
      </c>
      <c r="L5" s="13">
        <f t="shared" si="0"/>
        <v>9</v>
      </c>
      <c r="M5" s="10">
        <f t="shared" ref="M5" si="5">K5*L5/1000</f>
        <v>0</v>
      </c>
      <c r="N5" s="11">
        <f t="shared" ref="N5" si="6">I5</f>
        <v>300</v>
      </c>
      <c r="O5" s="11">
        <f t="shared" ref="O5" si="7">M5*N5</f>
        <v>0</v>
      </c>
      <c r="P5" s="11">
        <f t="shared" ref="P5" si="8">J5-O5</f>
        <v>162</v>
      </c>
      <c r="Q5" s="9"/>
      <c r="U5" s="29"/>
      <c r="V5" s="29"/>
      <c r="X5" s="26"/>
      <c r="Y5" s="30"/>
      <c r="AA5" s="15"/>
    </row>
    <row r="6" spans="2:27" x14ac:dyDescent="0.2">
      <c r="B6" s="16" t="s">
        <v>2</v>
      </c>
      <c r="C6" s="17"/>
      <c r="D6" s="17"/>
      <c r="E6" s="17"/>
      <c r="F6" s="17"/>
      <c r="G6" s="18">
        <f>SUM(G4:G5)</f>
        <v>18</v>
      </c>
      <c r="H6" s="19">
        <f>SUM(H4:H5)</f>
        <v>1.3091759999999999</v>
      </c>
      <c r="I6" s="17"/>
      <c r="J6" s="20">
        <f>SUM(J4:J5)</f>
        <v>1315.7639999999999</v>
      </c>
      <c r="K6" s="17"/>
      <c r="L6" s="21">
        <f>SUM(L4:L5)</f>
        <v>18</v>
      </c>
      <c r="M6" s="20">
        <f>SUM(M4:M5)</f>
        <v>0</v>
      </c>
      <c r="N6" s="17"/>
      <c r="O6" s="20">
        <f>SUM(O4:O5)</f>
        <v>0</v>
      </c>
      <c r="P6" s="20">
        <f>J6-O6</f>
        <v>1315.7639999999999</v>
      </c>
      <c r="Q6" s="18"/>
      <c r="V6" s="29"/>
      <c r="Y6" s="31"/>
      <c r="AA6" s="27"/>
    </row>
    <row r="7" spans="2:27" x14ac:dyDescent="0.2">
      <c r="B7" s="22"/>
      <c r="G7" s="23"/>
      <c r="H7" s="23"/>
      <c r="Q7" s="24"/>
    </row>
    <row r="8" spans="2:27" x14ac:dyDescent="0.2">
      <c r="B8" s="22"/>
      <c r="G8" s="24"/>
      <c r="J8" s="25"/>
      <c r="Q8" s="24"/>
    </row>
  </sheetData>
  <autoFilter ref="S2:S26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F35E3-51C6-419D-BD1A-C563CA59E839}">
  <dimension ref="B2:AA11"/>
  <sheetViews>
    <sheetView zoomScaleNormal="100" workbookViewId="0">
      <pane ySplit="3" topLeftCell="A4" activePane="bottomLeft" state="frozen"/>
      <selection pane="bottomLeft" activeCell="I9" sqref="I9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/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s="4" customFormat="1" x14ac:dyDescent="0.2">
      <c r="B4" s="7" t="s">
        <v>24</v>
      </c>
      <c r="C4" s="8" t="s">
        <v>14</v>
      </c>
      <c r="D4" s="8">
        <v>2</v>
      </c>
      <c r="E4" s="8">
        <v>11</v>
      </c>
      <c r="F4" s="7">
        <f>D4*E4</f>
        <v>22</v>
      </c>
      <c r="G4" s="9">
        <v>5</v>
      </c>
      <c r="H4" s="10">
        <f>IF(C4="z",F4*(1+$H$2),F4)*G4/1000</f>
        <v>0.13056999999999999</v>
      </c>
      <c r="I4" s="11">
        <v>1500</v>
      </c>
      <c r="J4" s="33">
        <f>H4*I4</f>
        <v>195.85499999999999</v>
      </c>
      <c r="K4" s="12">
        <f>T4*W4</f>
        <v>0</v>
      </c>
      <c r="L4" s="13">
        <f t="shared" ref="L4:L8" si="0">G4</f>
        <v>5</v>
      </c>
      <c r="M4" s="10">
        <f>K4*L4/1000</f>
        <v>0</v>
      </c>
      <c r="N4" s="11">
        <f>I4</f>
        <v>1500</v>
      </c>
      <c r="O4" s="11">
        <f>M4*N4</f>
        <v>0</v>
      </c>
      <c r="P4" s="11">
        <f>J4-O4</f>
        <v>195.85499999999999</v>
      </c>
      <c r="Q4" s="9"/>
      <c r="U4" s="6"/>
      <c r="V4" s="6"/>
      <c r="Y4" s="28"/>
    </row>
    <row r="5" spans="2:27" x14ac:dyDescent="0.2">
      <c r="B5" s="7" t="s">
        <v>21</v>
      </c>
      <c r="C5" s="8" t="s">
        <v>14</v>
      </c>
      <c r="D5" s="8">
        <v>2</v>
      </c>
      <c r="E5" s="8">
        <v>36</v>
      </c>
      <c r="F5" s="7">
        <f>D5*E5</f>
        <v>72</v>
      </c>
      <c r="G5" s="9">
        <v>53</v>
      </c>
      <c r="H5" s="10">
        <f>IF(C5="z",F5*(1+$H$2),F5)*G5/1000</f>
        <v>4.5295920000000001</v>
      </c>
      <c r="I5" s="11">
        <v>1500</v>
      </c>
      <c r="J5" s="33">
        <f>H5*I5</f>
        <v>6794.3879999999999</v>
      </c>
      <c r="K5" s="12">
        <f>T5*W5</f>
        <v>0</v>
      </c>
      <c r="L5" s="13">
        <f t="shared" si="0"/>
        <v>53</v>
      </c>
      <c r="M5" s="10">
        <f>K5*L5/1000</f>
        <v>0</v>
      </c>
      <c r="N5" s="11">
        <f>I5</f>
        <v>1500</v>
      </c>
      <c r="O5" s="11">
        <f>M5*N5</f>
        <v>0</v>
      </c>
      <c r="P5" s="11">
        <f>J5-O5</f>
        <v>6794.3879999999999</v>
      </c>
      <c r="Q5" s="9"/>
      <c r="U5" s="29"/>
      <c r="V5" s="29"/>
      <c r="X5" s="26"/>
      <c r="Y5" s="30"/>
      <c r="AA5" s="15"/>
    </row>
    <row r="6" spans="2:27" x14ac:dyDescent="0.2">
      <c r="B6" s="7" t="s">
        <v>25</v>
      </c>
      <c r="C6" s="8" t="s">
        <v>14</v>
      </c>
      <c r="D6" s="32">
        <v>2</v>
      </c>
      <c r="E6" s="8">
        <v>58</v>
      </c>
      <c r="F6" s="7">
        <f t="shared" ref="F6" si="1">D6*E6</f>
        <v>116</v>
      </c>
      <c r="G6" s="9">
        <v>1</v>
      </c>
      <c r="H6" s="10">
        <f t="shared" ref="H6:H8" si="2">IF(C6="z",F6*(1+$H$2),F6)*G6/1000</f>
        <v>0.13769200000000001</v>
      </c>
      <c r="I6" s="11">
        <v>1500</v>
      </c>
      <c r="J6" s="33">
        <f t="shared" ref="J6:J8" si="3">H6*I6</f>
        <v>206.53800000000001</v>
      </c>
      <c r="K6" s="12">
        <f t="shared" ref="K6:K8" si="4">T6*W6</f>
        <v>0</v>
      </c>
      <c r="L6" s="13">
        <f t="shared" si="0"/>
        <v>1</v>
      </c>
      <c r="M6" s="10">
        <f>K6*L6/1000</f>
        <v>0</v>
      </c>
      <c r="N6" s="11">
        <f t="shared" ref="N6:N8" si="5">I6</f>
        <v>1500</v>
      </c>
      <c r="O6" s="11">
        <f t="shared" ref="O6:O8" si="6">M6*N6</f>
        <v>0</v>
      </c>
      <c r="P6" s="11">
        <f t="shared" ref="P6:P8" si="7">J6-O6</f>
        <v>206.53800000000001</v>
      </c>
      <c r="Q6" s="9"/>
      <c r="U6" s="29"/>
      <c r="V6" s="29"/>
      <c r="X6" s="26"/>
      <c r="Y6" s="30"/>
      <c r="AA6" s="15"/>
    </row>
    <row r="7" spans="2:27" x14ac:dyDescent="0.2">
      <c r="B7" s="7" t="s">
        <v>39</v>
      </c>
      <c r="C7" s="8" t="s">
        <v>14</v>
      </c>
      <c r="D7" s="8">
        <v>3</v>
      </c>
      <c r="E7" s="8">
        <v>36</v>
      </c>
      <c r="F7" s="7">
        <f>D7*E7</f>
        <v>108</v>
      </c>
      <c r="G7" s="9">
        <v>7</v>
      </c>
      <c r="H7" s="10">
        <f t="shared" si="2"/>
        <v>0.89737199999999995</v>
      </c>
      <c r="I7" s="11">
        <v>1500</v>
      </c>
      <c r="J7" s="33">
        <f t="shared" si="3"/>
        <v>1346.058</v>
      </c>
      <c r="K7" s="12">
        <f t="shared" si="4"/>
        <v>0</v>
      </c>
      <c r="L7" s="13">
        <f t="shared" si="0"/>
        <v>7</v>
      </c>
      <c r="M7" s="10">
        <f>K7*L7/1000</f>
        <v>0</v>
      </c>
      <c r="N7" s="11">
        <f t="shared" si="5"/>
        <v>1500</v>
      </c>
      <c r="O7" s="11">
        <f t="shared" si="6"/>
        <v>0</v>
      </c>
      <c r="P7" s="11">
        <f t="shared" si="7"/>
        <v>1346.058</v>
      </c>
      <c r="Q7" s="9"/>
      <c r="U7" s="29"/>
      <c r="V7" s="29"/>
      <c r="X7" s="26"/>
      <c r="Y7" s="30"/>
      <c r="AA7" s="15"/>
    </row>
    <row r="8" spans="2:27" x14ac:dyDescent="0.2">
      <c r="B8" s="7" t="s">
        <v>23</v>
      </c>
      <c r="C8" s="8" t="s">
        <v>15</v>
      </c>
      <c r="D8" s="8">
        <v>1</v>
      </c>
      <c r="E8" s="8">
        <v>60</v>
      </c>
      <c r="F8" s="7">
        <f t="shared" ref="F8" si="8">D8*E8</f>
        <v>60</v>
      </c>
      <c r="G8" s="9">
        <v>30</v>
      </c>
      <c r="H8" s="10">
        <f t="shared" si="2"/>
        <v>1.8</v>
      </c>
      <c r="I8" s="11">
        <v>1000</v>
      </c>
      <c r="J8" s="33">
        <f t="shared" si="3"/>
        <v>1800</v>
      </c>
      <c r="K8" s="12">
        <f t="shared" si="4"/>
        <v>0</v>
      </c>
      <c r="L8" s="13">
        <f t="shared" si="0"/>
        <v>30</v>
      </c>
      <c r="M8" s="10">
        <f>K8*L8/1000</f>
        <v>0</v>
      </c>
      <c r="N8" s="11">
        <f t="shared" si="5"/>
        <v>1000</v>
      </c>
      <c r="O8" s="11">
        <f t="shared" si="6"/>
        <v>0</v>
      </c>
      <c r="P8" s="11">
        <f t="shared" si="7"/>
        <v>1800</v>
      </c>
      <c r="Q8" s="9"/>
      <c r="U8" s="29"/>
      <c r="V8" s="29"/>
      <c r="X8" s="26"/>
      <c r="Y8" s="30"/>
      <c r="AA8" s="15"/>
    </row>
    <row r="9" spans="2:27" x14ac:dyDescent="0.2">
      <c r="B9" s="16" t="s">
        <v>2</v>
      </c>
      <c r="C9" s="17"/>
      <c r="D9" s="17"/>
      <c r="E9" s="17"/>
      <c r="F9" s="17"/>
      <c r="G9" s="18">
        <f>SUM(G4:G8)</f>
        <v>96</v>
      </c>
      <c r="H9" s="18">
        <f>SUM(H4:H8)</f>
        <v>7.4952259999999997</v>
      </c>
      <c r="I9" s="17"/>
      <c r="J9" s="20">
        <f>SUM(J4:J8)</f>
        <v>10342.839</v>
      </c>
      <c r="K9" s="17"/>
      <c r="L9" s="21">
        <f>SUM(L4:L8)</f>
        <v>96</v>
      </c>
      <c r="M9" s="20">
        <f>SUM(M4:M8)</f>
        <v>0</v>
      </c>
      <c r="N9" s="17"/>
      <c r="O9" s="20">
        <f>SUM(O5:O8)</f>
        <v>0</v>
      </c>
      <c r="P9" s="20">
        <f>J9-O9</f>
        <v>10342.839</v>
      </c>
      <c r="Q9" s="18"/>
      <c r="V9" s="29"/>
      <c r="Y9" s="31"/>
      <c r="AA9" s="27"/>
    </row>
    <row r="10" spans="2:27" x14ac:dyDescent="0.2">
      <c r="B10" s="22"/>
      <c r="G10" s="23"/>
      <c r="H10" s="23"/>
      <c r="Q10" s="24"/>
    </row>
    <row r="11" spans="2:27" x14ac:dyDescent="0.2">
      <c r="B11" s="22"/>
      <c r="G11" s="24"/>
      <c r="J11" s="25"/>
      <c r="Q11" s="24"/>
    </row>
  </sheetData>
  <autoFilter ref="S2:S29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17C5B-FE39-4E08-A964-685CD382A7CD}">
  <dimension ref="B2:AA11"/>
  <sheetViews>
    <sheetView zoomScaleNormal="100" workbookViewId="0">
      <pane ySplit="3" topLeftCell="A4" activePane="bottomLeft" state="frozen"/>
      <selection pane="bottomLeft" activeCell="I16" sqref="I16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/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s="4" customFormat="1" x14ac:dyDescent="0.2">
      <c r="B4" s="7" t="s">
        <v>24</v>
      </c>
      <c r="C4" s="8" t="s">
        <v>14</v>
      </c>
      <c r="D4" s="8">
        <v>2</v>
      </c>
      <c r="E4" s="8">
        <v>11</v>
      </c>
      <c r="F4" s="7">
        <f>D4*E4</f>
        <v>22</v>
      </c>
      <c r="G4" s="9">
        <v>9</v>
      </c>
      <c r="H4" s="10">
        <f>IF(C4="z",F4*(1+$H$2),F4)*G4/1000</f>
        <v>0.23502600000000001</v>
      </c>
      <c r="I4" s="11">
        <v>1250</v>
      </c>
      <c r="J4" s="33">
        <f>H4*I4</f>
        <v>293.78250000000003</v>
      </c>
      <c r="K4" s="12">
        <f>T4*W4</f>
        <v>0</v>
      </c>
      <c r="L4" s="13">
        <f t="shared" ref="L4:L8" si="0">G4</f>
        <v>9</v>
      </c>
      <c r="M4" s="10">
        <f>K4*L4/1000</f>
        <v>0</v>
      </c>
      <c r="N4" s="11">
        <f>I4</f>
        <v>1250</v>
      </c>
      <c r="O4" s="11">
        <f>M4*N4</f>
        <v>0</v>
      </c>
      <c r="P4" s="11">
        <f>J4-O4</f>
        <v>293.78250000000003</v>
      </c>
      <c r="Q4" s="9"/>
      <c r="U4" s="6"/>
      <c r="V4" s="6"/>
      <c r="Y4" s="28"/>
    </row>
    <row r="5" spans="2:27" s="4" customFormat="1" x14ac:dyDescent="0.2">
      <c r="B5" s="7" t="s">
        <v>21</v>
      </c>
      <c r="C5" s="8" t="s">
        <v>14</v>
      </c>
      <c r="D5" s="8">
        <v>2</v>
      </c>
      <c r="E5" s="8">
        <v>36</v>
      </c>
      <c r="F5" s="7">
        <f>D5*E5</f>
        <v>72</v>
      </c>
      <c r="G5" s="9">
        <v>311</v>
      </c>
      <c r="H5" s="10">
        <f>IF(C5="z",F5*(1+$H$2),F5)*G5/1000</f>
        <v>26.579304</v>
      </c>
      <c r="I5" s="11">
        <v>1250</v>
      </c>
      <c r="J5" s="33">
        <f>H5*I5</f>
        <v>33224.129999999997</v>
      </c>
      <c r="K5" s="12">
        <f>T5*W5</f>
        <v>0</v>
      </c>
      <c r="L5" s="13">
        <f t="shared" ref="L5" si="1">G5</f>
        <v>311</v>
      </c>
      <c r="M5" s="10">
        <f>K5*L5/1000</f>
        <v>0</v>
      </c>
      <c r="N5" s="11">
        <f>I5</f>
        <v>1250</v>
      </c>
      <c r="O5" s="11">
        <f>M5*N5</f>
        <v>0</v>
      </c>
      <c r="P5" s="11">
        <f>J5-O5</f>
        <v>33224.129999999997</v>
      </c>
      <c r="Q5" s="9"/>
      <c r="U5" s="6"/>
      <c r="V5" s="6"/>
      <c r="Y5" s="28"/>
    </row>
    <row r="6" spans="2:27" x14ac:dyDescent="0.2">
      <c r="B6" s="7" t="s">
        <v>22</v>
      </c>
      <c r="C6" s="8" t="s">
        <v>14</v>
      </c>
      <c r="D6" s="8">
        <v>4</v>
      </c>
      <c r="E6" s="8">
        <v>18</v>
      </c>
      <c r="F6" s="7">
        <f>D6*E6</f>
        <v>72</v>
      </c>
      <c r="G6" s="9">
        <v>20</v>
      </c>
      <c r="H6" s="10">
        <f>IF(C6="z",F6*(1+$H$2),F6)*G6/1000</f>
        <v>1.7092799999999999</v>
      </c>
      <c r="I6" s="11">
        <v>1250</v>
      </c>
      <c r="J6" s="33">
        <f>H6*I6</f>
        <v>2136.6</v>
      </c>
      <c r="K6" s="12">
        <f>T6*W6</f>
        <v>0</v>
      </c>
      <c r="L6" s="13">
        <f t="shared" si="0"/>
        <v>20</v>
      </c>
      <c r="M6" s="10">
        <f>K6*L6/1000</f>
        <v>0</v>
      </c>
      <c r="N6" s="11">
        <f>I6</f>
        <v>1250</v>
      </c>
      <c r="O6" s="11">
        <f>M6*N6</f>
        <v>0</v>
      </c>
      <c r="P6" s="11">
        <f>J6-O6</f>
        <v>2136.6</v>
      </c>
      <c r="Q6" s="9"/>
      <c r="U6" s="29"/>
      <c r="V6" s="29"/>
      <c r="X6" s="26"/>
      <c r="Y6" s="30"/>
      <c r="AA6" s="15"/>
    </row>
    <row r="7" spans="2:27" x14ac:dyDescent="0.2">
      <c r="B7" s="7" t="s">
        <v>34</v>
      </c>
      <c r="C7" s="8" t="s">
        <v>14</v>
      </c>
      <c r="D7" s="32">
        <v>4</v>
      </c>
      <c r="E7" s="8">
        <v>36</v>
      </c>
      <c r="F7" s="7">
        <f t="shared" ref="F7" si="2">D7*E7</f>
        <v>144</v>
      </c>
      <c r="G7" s="9">
        <v>20</v>
      </c>
      <c r="H7" s="10">
        <f t="shared" ref="H7:H8" si="3">IF(C7="z",F7*(1+$H$2),F7)*G7/1000</f>
        <v>3.4185599999999998</v>
      </c>
      <c r="I7" s="11">
        <v>1250</v>
      </c>
      <c r="J7" s="33">
        <f t="shared" ref="J7:J8" si="4">H7*I7</f>
        <v>4273.2</v>
      </c>
      <c r="K7" s="12">
        <f t="shared" ref="K7:K8" si="5">T7*W7</f>
        <v>0</v>
      </c>
      <c r="L7" s="13">
        <f t="shared" si="0"/>
        <v>20</v>
      </c>
      <c r="M7" s="10">
        <f>K7*L7/1000</f>
        <v>0</v>
      </c>
      <c r="N7" s="11">
        <f t="shared" ref="N7:N8" si="6">I7</f>
        <v>1250</v>
      </c>
      <c r="O7" s="11">
        <f t="shared" ref="O7:O8" si="7">M7*N7</f>
        <v>0</v>
      </c>
      <c r="P7" s="11">
        <f t="shared" ref="P7:P8" si="8">J7-O7</f>
        <v>4273.2</v>
      </c>
      <c r="Q7" s="9"/>
      <c r="U7" s="29"/>
      <c r="V7" s="29"/>
      <c r="X7" s="26"/>
      <c r="Y7" s="30"/>
      <c r="AA7" s="15"/>
    </row>
    <row r="8" spans="2:27" x14ac:dyDescent="0.2">
      <c r="B8" s="7" t="s">
        <v>23</v>
      </c>
      <c r="C8" s="8" t="s">
        <v>15</v>
      </c>
      <c r="D8" s="8">
        <v>1</v>
      </c>
      <c r="E8" s="8">
        <v>60</v>
      </c>
      <c r="F8" s="7">
        <f t="shared" ref="F8" si="9">D8*E8</f>
        <v>60</v>
      </c>
      <c r="G8" s="9">
        <f>61+13</f>
        <v>74</v>
      </c>
      <c r="H8" s="10">
        <f t="shared" si="3"/>
        <v>4.4400000000000004</v>
      </c>
      <c r="I8" s="11">
        <v>800</v>
      </c>
      <c r="J8" s="33">
        <f t="shared" si="4"/>
        <v>3552.0000000000005</v>
      </c>
      <c r="K8" s="12">
        <f t="shared" si="5"/>
        <v>0</v>
      </c>
      <c r="L8" s="13">
        <f t="shared" si="0"/>
        <v>74</v>
      </c>
      <c r="M8" s="10">
        <f>K8*L8/1000</f>
        <v>0</v>
      </c>
      <c r="N8" s="11">
        <f t="shared" si="6"/>
        <v>800</v>
      </c>
      <c r="O8" s="11">
        <f t="shared" si="7"/>
        <v>0</v>
      </c>
      <c r="P8" s="11">
        <f t="shared" si="8"/>
        <v>3552.0000000000005</v>
      </c>
      <c r="Q8" s="9"/>
      <c r="U8" s="29"/>
      <c r="V8" s="29"/>
      <c r="X8" s="26"/>
      <c r="Y8" s="30"/>
      <c r="AA8" s="15"/>
    </row>
    <row r="9" spans="2:27" x14ac:dyDescent="0.2">
      <c r="B9" s="16" t="s">
        <v>2</v>
      </c>
      <c r="C9" s="17"/>
      <c r="D9" s="17"/>
      <c r="E9" s="17"/>
      <c r="F9" s="17"/>
      <c r="G9" s="18">
        <f>SUM(G4:G8)</f>
        <v>434</v>
      </c>
      <c r="H9" s="18">
        <f>SUM(H4:H8)</f>
        <v>36.382170000000002</v>
      </c>
      <c r="I9" s="17"/>
      <c r="J9" s="20">
        <f>SUM(J4:J8)</f>
        <v>43479.712499999994</v>
      </c>
      <c r="K9" s="17"/>
      <c r="L9" s="21">
        <f>SUM(L4:L8)</f>
        <v>434</v>
      </c>
      <c r="M9" s="20">
        <f>SUM(M4:M8)</f>
        <v>0</v>
      </c>
      <c r="N9" s="17"/>
      <c r="O9" s="20">
        <f>SUM(O6:O8)</f>
        <v>0</v>
      </c>
      <c r="P9" s="20">
        <f>J9-O9</f>
        <v>43479.712499999994</v>
      </c>
      <c r="Q9" s="18"/>
      <c r="V9" s="29"/>
      <c r="Y9" s="31"/>
      <c r="AA9" s="27"/>
    </row>
    <row r="10" spans="2:27" x14ac:dyDescent="0.2">
      <c r="B10" s="22"/>
      <c r="G10" s="23"/>
      <c r="H10" s="23"/>
      <c r="Q10" s="24"/>
    </row>
    <row r="11" spans="2:27" x14ac:dyDescent="0.2">
      <c r="B11" s="22"/>
      <c r="G11" s="24"/>
      <c r="J11" s="25"/>
      <c r="Q11" s="24"/>
    </row>
  </sheetData>
  <autoFilter ref="S2:S29" xr:uid="{00000000-0009-0000-0000-000001000000}"/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07DFC6CC26814B89720741E74B1AF3" ma:contentTypeVersion="13" ma:contentTypeDescription="Vytvoří nový dokument" ma:contentTypeScope="" ma:versionID="4c4a51ae68dceadd687d2d21bbdc672c">
  <xsd:schema xmlns:xsd="http://www.w3.org/2001/XMLSchema" xmlns:xs="http://www.w3.org/2001/XMLSchema" xmlns:p="http://schemas.microsoft.com/office/2006/metadata/properties" xmlns:ns2="c5273776-f8b7-4253-9bca-1c4ca3882633" xmlns:ns3="5d5743e8-b31c-4b14-ba95-a74bc8cf7fa3" targetNamespace="http://schemas.microsoft.com/office/2006/metadata/properties" ma:root="true" ma:fieldsID="423427fabdad2fd452aaa4f33c780201" ns2:_="" ns3:_="">
    <xsd:import namespace="c5273776-f8b7-4253-9bca-1c4ca3882633"/>
    <xsd:import namespace="5d5743e8-b31c-4b14-ba95-a74bc8cf7f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273776-f8b7-4253-9bca-1c4ca38826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11640f84-a659-4676-a53e-ede8ab8410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5743e8-b31c-4b14-ba95-a74bc8cf7fa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5f79294-5499-43ee-98e1-645e6f303164}" ma:internalName="TaxCatchAll" ma:showField="CatchAllData" ma:web="5d5743e8-b31c-4b14-ba95-a74bc8cf7f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CED74A-1E09-497E-B8A0-5C40D6DC6D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0065734-7042-4D2F-8877-EC3BF50E6F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5273776-f8b7-4253-9bca-1c4ca3882633"/>
    <ds:schemaRef ds:uri="5d5743e8-b31c-4b14-ba95-a74bc8cf7f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1. Monoblok (Obj. č. 1 - 2)</vt:lpstr>
      <vt:lpstr>2. Poliklinika (Obj. č. 3 - 5)</vt:lpstr>
      <vt:lpstr>3. Lékárna, plicní ambulance</vt:lpstr>
      <vt:lpstr>4. NIP, DIOP, OKBH</vt:lpstr>
      <vt:lpstr>5. Nukleární medicína</vt:lpstr>
      <vt:lpstr>6. Patologicko - anatomické odd</vt:lpstr>
      <vt:lpstr>7. Patologie - zázemí</vt:lpstr>
      <vt:lpstr>8. Obj. č. 15</vt:lpstr>
      <vt:lpstr>9. Obj. č. 16</vt:lpstr>
      <vt:lpstr>10. Obj. č. 18</vt:lpstr>
      <vt:lpstr>11. Obj. č. 23</vt:lpstr>
      <vt:lpstr>12. Obj. č. 24</vt:lpstr>
      <vt:lpstr>13. Obj. č. 25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Ladislava Blažková</dc:creator>
  <cp:lastModifiedBy>Chmiel Martin</cp:lastModifiedBy>
  <cp:lastPrinted>2021-08-06T06:24:33Z</cp:lastPrinted>
  <dcterms:created xsi:type="dcterms:W3CDTF">2021-07-27T10:46:27Z</dcterms:created>
  <dcterms:modified xsi:type="dcterms:W3CDTF">2024-05-02T08:14:32Z</dcterms:modified>
</cp:coreProperties>
</file>