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450" windowHeight="11160" activeTab="2"/>
  </bookViews>
  <sheets>
    <sheet name="SO101end" sheetId="1" r:id="rId1"/>
    <sheet name="SO.GABIONY, TERRAMESH, TRATIVOD" sheetId="2" r:id="rId2"/>
    <sheet name="SO.101- tabulka PK" sheetId="3" r:id="rId3"/>
    <sheet name="Propustky" sheetId="4" r:id="rId4"/>
    <sheet name="BILANCE" sheetId="5" r:id="rId5"/>
    <sheet name="Propustky_celkem" sheetId="6" r:id="rId6"/>
    <sheet name="_SO.102 -CHODNÍK" sheetId="7" r:id="rId7"/>
    <sheet name="SO.103-DIO" sheetId="8" r:id="rId8"/>
    <sheet name="SO.103-DIO PROP. " sheetId="9" r:id="rId9"/>
    <sheet name="SO.103-DIO SKÁLY" sheetId="10" r:id="rId10"/>
    <sheet name="SO. 202 - ŘÍMSA" sheetId="11" r:id="rId11"/>
    <sheet name="List1" sheetId="12" r:id="rId12"/>
    <sheet name="List2" sheetId="13" r:id="rId13"/>
  </sheets>
  <externalReferences>
    <externalReference r:id="rId16"/>
  </externalReferences>
  <definedNames>
    <definedName name="Excel_BuiltIn_Print_Area_1">#REF!</definedName>
    <definedName name="Excel_BuiltIn_Print_Area_2">#REF!</definedName>
    <definedName name="Excel_BuiltIn_Print_Area_9">#REF!</definedName>
    <definedName name="_xlnm.Print_Titles" localSheetId="5">'Propustky_celkem'!$1:$5</definedName>
    <definedName name="_xlnm.Print_Area" localSheetId="5">'Propustky_celkem'!$A$1:$I$102</definedName>
  </definedNames>
  <calcPr fullCalcOnLoad="1"/>
</workbook>
</file>

<file path=xl/sharedStrings.xml><?xml version="1.0" encoding="utf-8"?>
<sst xmlns="http://schemas.openxmlformats.org/spreadsheetml/2006/main" count="2078" uniqueCount="711">
  <si>
    <t>staničení</t>
  </si>
  <si>
    <t>výkop</t>
  </si>
  <si>
    <t>násyp</t>
  </si>
  <si>
    <t>AZv</t>
  </si>
  <si>
    <t>vzdál.</t>
  </si>
  <si>
    <t>ŠD</t>
  </si>
  <si>
    <t>příč. řezů</t>
  </si>
  <si>
    <t>km</t>
  </si>
  <si>
    <t>m2</t>
  </si>
  <si>
    <t>m</t>
  </si>
  <si>
    <t>m3</t>
  </si>
  <si>
    <t>celkem</t>
  </si>
  <si>
    <t>Celá</t>
  </si>
  <si>
    <t>kce</t>
  </si>
  <si>
    <t>krajnice</t>
  </si>
  <si>
    <t>zemní</t>
  </si>
  <si>
    <t>odstr.</t>
  </si>
  <si>
    <t>Terram</t>
  </si>
  <si>
    <t>vozovky</t>
  </si>
  <si>
    <t>výkopů</t>
  </si>
  <si>
    <t>násypů</t>
  </si>
  <si>
    <t>kam.mat</t>
  </si>
  <si>
    <t>svah</t>
  </si>
  <si>
    <t>pero</t>
  </si>
  <si>
    <t>obsyp</t>
  </si>
  <si>
    <t>V/N</t>
  </si>
  <si>
    <t>VÝKAZ VÝMĚR</t>
  </si>
  <si>
    <t>SCHÉMA</t>
  </si>
  <si>
    <t>A10</t>
  </si>
  <si>
    <t xml:space="preserve">A 15 </t>
  </si>
  <si>
    <t xml:space="preserve">A 15 + fluor.podklad </t>
  </si>
  <si>
    <t>B 1</t>
  </si>
  <si>
    <t>B 20a - 30 km/h</t>
  </si>
  <si>
    <t>B 20a - 50 km/h</t>
  </si>
  <si>
    <t xml:space="preserve"> </t>
  </si>
  <si>
    <t>B 20a - 70 km/h</t>
  </si>
  <si>
    <t>B 21a</t>
  </si>
  <si>
    <t>B 26</t>
  </si>
  <si>
    <t>C 3a</t>
  </si>
  <si>
    <t>C 4b</t>
  </si>
  <si>
    <t>IJ 4b</t>
  </si>
  <si>
    <t>E 3a</t>
  </si>
  <si>
    <t>Z 2 + 3 světla</t>
  </si>
  <si>
    <t>1x</t>
  </si>
  <si>
    <t xml:space="preserve"> C/5</t>
  </si>
  <si>
    <t>35dní</t>
  </si>
  <si>
    <t xml:space="preserve">Z 4 </t>
  </si>
  <si>
    <t>12+3</t>
  </si>
  <si>
    <t>úsek cca 200m</t>
  </si>
  <si>
    <t xml:space="preserve">délka úpravy průměrně </t>
  </si>
  <si>
    <t>příčná čára V5</t>
  </si>
  <si>
    <t>2*3,5= 7m</t>
  </si>
  <si>
    <t>úsek do 50m</t>
  </si>
  <si>
    <t xml:space="preserve"> C/6</t>
  </si>
  <si>
    <t>30dní</t>
  </si>
  <si>
    <t>A 6b</t>
  </si>
  <si>
    <t>SOUČET pro jeden úsek</t>
  </si>
  <si>
    <t>5+3</t>
  </si>
  <si>
    <t>B 26b</t>
  </si>
  <si>
    <t>P 7</t>
  </si>
  <si>
    <t>P 8</t>
  </si>
  <si>
    <t>schéma C/6 upraveno     na extravilán</t>
  </si>
  <si>
    <t>10*3,5</t>
  </si>
  <si>
    <t>SOUČET úseku</t>
  </si>
  <si>
    <t>SSZ - dvoucestné</t>
  </si>
  <si>
    <r>
      <t>SSZ -2</t>
    </r>
    <r>
      <rPr>
        <b/>
        <i/>
        <sz val="10"/>
        <rFont val="Arial"/>
        <family val="2"/>
      </rPr>
      <t>cestné</t>
    </r>
  </si>
  <si>
    <r>
      <t xml:space="preserve">SSZ - </t>
    </r>
    <r>
      <rPr>
        <b/>
        <i/>
        <sz val="10"/>
        <rFont val="Arial"/>
        <family val="2"/>
      </rPr>
      <t>2cestné</t>
    </r>
  </si>
  <si>
    <t>ŠD 100mm</t>
  </si>
  <si>
    <t>zásyp</t>
  </si>
  <si>
    <t>BEZ VÝKOPU PRO OPĚRNOU ZEĎ</t>
  </si>
  <si>
    <t>ODSTRANIT:</t>
  </si>
  <si>
    <t>Asfaltová komunikace:</t>
  </si>
  <si>
    <t>Sjezdy - štěrk:</t>
  </si>
  <si>
    <t>tl. 150 mm</t>
  </si>
  <si>
    <t>Řezání asfaltu:</t>
  </si>
  <si>
    <t>Svodidlo JSNH</t>
  </si>
  <si>
    <t>ZEMNÍ PRÁCE:</t>
  </si>
  <si>
    <t>Výkop:</t>
  </si>
  <si>
    <t>Násyp:</t>
  </si>
  <si>
    <t>Úprava pláně:</t>
  </si>
  <si>
    <t>Úprava parapláně:</t>
  </si>
  <si>
    <t>PLOCHY:</t>
  </si>
  <si>
    <t>Vozovka:</t>
  </si>
  <si>
    <t>z toho celá kce</t>
  </si>
  <si>
    <t>Sjezdy - asfalt:</t>
  </si>
  <si>
    <t>Vozovka BUS:</t>
  </si>
  <si>
    <t>ABS I</t>
  </si>
  <si>
    <t>tl. 40 mm</t>
  </si>
  <si>
    <t>ABVH I</t>
  </si>
  <si>
    <t>Obalované kamenivo hrubozrnné (ACP 22+ 50/70)</t>
  </si>
  <si>
    <t>OKH I</t>
  </si>
  <si>
    <t>tl. 70 mm</t>
  </si>
  <si>
    <t>Štěrkodrť</t>
  </si>
  <si>
    <t>KONSTRUKCE BUS:</t>
  </si>
  <si>
    <t>Dlažba žulová</t>
  </si>
  <si>
    <t>DL II</t>
  </si>
  <si>
    <t>tl. 160 mm</t>
  </si>
  <si>
    <t>Ložná vrstva dlažby</t>
  </si>
  <si>
    <t>L</t>
  </si>
  <si>
    <t>tl. 250 mm</t>
  </si>
  <si>
    <t>PROPUSTEK - sjezdy:</t>
  </si>
  <si>
    <t>dl.</t>
  </si>
  <si>
    <t>OSTATNÍ:</t>
  </si>
  <si>
    <t>Asfaltová zálivka:</t>
  </si>
  <si>
    <t>Čištění příkopů:</t>
  </si>
  <si>
    <t>Zábradlí se svislou výplní</t>
  </si>
  <si>
    <t>Trativod:</t>
  </si>
  <si>
    <t>ks</t>
  </si>
  <si>
    <t>Vodorovné dopravní značení:</t>
  </si>
  <si>
    <t>Svislé dopravní značení - vyměnit:</t>
  </si>
  <si>
    <t>E 2b</t>
  </si>
  <si>
    <t>IS 24a</t>
  </si>
  <si>
    <t>Směrové sloupky:</t>
  </si>
  <si>
    <t>směrové sloupky bílé</t>
  </si>
  <si>
    <t>směrové sloupky červené - sjezdy</t>
  </si>
  <si>
    <t xml:space="preserve"> - odstranění dalších konstrukčních vrstev dle TPK</t>
  </si>
  <si>
    <t xml:space="preserve"> - frézování - celá plocha stávající vozovky</t>
  </si>
  <si>
    <t>PROPUSTKY:</t>
  </si>
  <si>
    <t>SO.101 -REKONSTRUCE SIL. II/169 A II/145 Dlouhá Ves - Radešov</t>
  </si>
  <si>
    <t>VÝKAZ  PLOCH  A  KUBATUR</t>
  </si>
  <si>
    <t>GREEN TERRAMESH</t>
  </si>
  <si>
    <t>postupně dle PP a RZ</t>
  </si>
  <si>
    <t>počet</t>
  </si>
  <si>
    <t>vrstev</t>
  </si>
  <si>
    <t xml:space="preserve">délka </t>
  </si>
  <si>
    <t>kotvení</t>
  </si>
  <si>
    <t>3m</t>
  </si>
  <si>
    <t>délka</t>
  </si>
  <si>
    <t>Asfaltový beton střednězrnný (ACO 11S  PMB 25/55-55)</t>
  </si>
  <si>
    <t>PS-E</t>
  </si>
  <si>
    <t>Asfaltový beton velmi hrubý (ACL 22S  PMB 25/55-55))</t>
  </si>
  <si>
    <t>tl. 90 mm</t>
  </si>
  <si>
    <t>tl. 180 mm</t>
  </si>
  <si>
    <t>Svodidlo JSNH/2</t>
  </si>
  <si>
    <t>TRATIVODY</t>
  </si>
  <si>
    <t>0,7*0,5</t>
  </si>
  <si>
    <t>dno příkopu</t>
  </si>
  <si>
    <t>dorovnání kamenivem do úrovně krajnice viz. TPK</t>
  </si>
  <si>
    <t>dno+zásyp</t>
  </si>
  <si>
    <t>h*š</t>
  </si>
  <si>
    <t>0,6*0,4</t>
  </si>
  <si>
    <t>DN 200</t>
  </si>
  <si>
    <t xml:space="preserve">perforace </t>
  </si>
  <si>
    <t>220 st</t>
  </si>
  <si>
    <t>peroŠD</t>
  </si>
  <si>
    <t>Terram.</t>
  </si>
  <si>
    <t>DLE STÁVAJÍCÍCH</t>
  </si>
  <si>
    <t>P1</t>
  </si>
  <si>
    <t>směrové sloupky bílé - nástavec na svodidla</t>
  </si>
  <si>
    <t>sloupky standard</t>
  </si>
  <si>
    <t>V1a</t>
  </si>
  <si>
    <t>0,125m</t>
  </si>
  <si>
    <t>V2b</t>
  </si>
  <si>
    <t>0,125m          kadence  3/1,5</t>
  </si>
  <si>
    <t>V4</t>
  </si>
  <si>
    <t>0,250m</t>
  </si>
  <si>
    <t>0,250m          kadence  0,5/0,5</t>
  </si>
  <si>
    <t>V11a</t>
  </si>
  <si>
    <t xml:space="preserve">ocelové </t>
  </si>
  <si>
    <t>ocelové</t>
  </si>
  <si>
    <t>bílá !!!</t>
  </si>
  <si>
    <t>nápis BUS</t>
  </si>
  <si>
    <t>V12a</t>
  </si>
  <si>
    <t>žlutá !!!</t>
  </si>
  <si>
    <t>0,125m  ( klíny  zastávkových zálivů)</t>
  </si>
  <si>
    <t>DÉLKA  ÚPRAVY</t>
  </si>
  <si>
    <t>min.2x  v celé délce + napříč</t>
  </si>
  <si>
    <t>80mm</t>
  </si>
  <si>
    <r>
      <t>Postřik spojovací emulzí 0,3 kg/m</t>
    </r>
    <r>
      <rPr>
        <vertAlign val="super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 xml:space="preserve"> (C 60 BP 2)</t>
    </r>
  </si>
  <si>
    <t>Betonová zídka</t>
  </si>
  <si>
    <t>v krajnici</t>
  </si>
  <si>
    <t>26mm</t>
  </si>
  <si>
    <t xml:space="preserve">  +12m  </t>
  </si>
  <si>
    <t>napříč</t>
  </si>
  <si>
    <t>SKLUZ</t>
  </si>
  <si>
    <t xml:space="preserve">VPUSŤ </t>
  </si>
  <si>
    <t>vlevo</t>
  </si>
  <si>
    <t>vpravo</t>
  </si>
  <si>
    <t>ZEMNÍ JÍMKY</t>
  </si>
  <si>
    <t>ŠACHTA</t>
  </si>
  <si>
    <t>výtok z trativodu - LK v rýze</t>
  </si>
  <si>
    <t>Sjezdy - ASF.</t>
  </si>
  <si>
    <t>Bednění po okraji desky</t>
  </si>
  <si>
    <t>NEJSOU NEBO JSOU NAHRAZENY TRATIVODEM</t>
  </si>
  <si>
    <t>VIZ SAMOSTATNÝ LIST</t>
  </si>
  <si>
    <t>ZAŘAZENO  DO   SO.102</t>
  </si>
  <si>
    <t>OSTATNÍ</t>
  </si>
  <si>
    <t xml:space="preserve"> - odstranění dalších konstr. vrstev při budování propustků</t>
  </si>
  <si>
    <t>včetně náběhů,  sloupky 2-4m</t>
  </si>
  <si>
    <t xml:space="preserve">Bet deska z betonu C30/37 XF4 </t>
  </si>
  <si>
    <t>obostr vyztužená KARI sítí KY 49 8/100x8/100</t>
  </si>
  <si>
    <t>m2… kg</t>
  </si>
  <si>
    <t xml:space="preserve">v místě sjezdů </t>
  </si>
  <si>
    <t>plocha  pohledová</t>
  </si>
  <si>
    <t xml:space="preserve">do 2m </t>
  </si>
  <si>
    <t>nad 2m</t>
  </si>
  <si>
    <t xml:space="preserve">celkem      </t>
  </si>
  <si>
    <t>HORN.4</t>
  </si>
  <si>
    <t xml:space="preserve">HORN.3 </t>
  </si>
  <si>
    <t>HORN.5</t>
  </si>
  <si>
    <t>AZV</t>
  </si>
  <si>
    <t xml:space="preserve">KÁCENÍ </t>
  </si>
  <si>
    <t>objemy  podrobně viz doplňková tabulka             pod výpočtem polch a kubatur (TPK)</t>
  </si>
  <si>
    <t>instalace v místě rekonstrukce 5 propustků                                                                          po polovinách  ( tj. přemístění značek do protisměru)</t>
  </si>
  <si>
    <t>Stavba:  II/169 A II/145  DLOUHÁ VES - RADEŠOV, ÚSEK "B"</t>
  </si>
  <si>
    <t>.§§</t>
  </si>
  <si>
    <t>§§</t>
  </si>
  <si>
    <t>TER</t>
  </si>
  <si>
    <t>instalace na 2 úsecích v délce 100m a 250m</t>
  </si>
  <si>
    <t>postupná instalace                                                                                                               možná na 2-3 místech současně                                                                                              ( nelze současně                 s výstavbou  SO.110)                                                   ccca 10úseků</t>
  </si>
  <si>
    <t>postupně přepsat   !!!</t>
  </si>
  <si>
    <t>2915 m</t>
  </si>
  <si>
    <t>125+120+183+101+183+169</t>
  </si>
  <si>
    <t xml:space="preserve">  =4,145-1,230</t>
  </si>
  <si>
    <t>Sjezdy ŠD</t>
  </si>
  <si>
    <t>33+121+17+9+11+30+73</t>
  </si>
  <si>
    <t>25+21+13+46+28</t>
  </si>
  <si>
    <t>SO.103C - DIO pro SO.110</t>
  </si>
  <si>
    <t>3,293  92</t>
  </si>
  <si>
    <t>3,335 26</t>
  </si>
  <si>
    <t>vč.pera</t>
  </si>
  <si>
    <t>trativod</t>
  </si>
  <si>
    <t>hum</t>
  </si>
  <si>
    <t xml:space="preserve"> +BUS</t>
  </si>
  <si>
    <t xml:space="preserve">výměna </t>
  </si>
  <si>
    <t xml:space="preserve"> podloží </t>
  </si>
  <si>
    <t>zeď</t>
  </si>
  <si>
    <t>tr-end</t>
  </si>
  <si>
    <t>BUS</t>
  </si>
  <si>
    <t>BUS/bus</t>
  </si>
  <si>
    <t>podél zastávky</t>
  </si>
  <si>
    <t xml:space="preserve">         kotvící přípravek</t>
  </si>
  <si>
    <t xml:space="preserve">         podkladní deska je součástí  svodidla</t>
  </si>
  <si>
    <t xml:space="preserve">Kotvení svodidla </t>
  </si>
  <si>
    <t>cca á  12m</t>
  </si>
  <si>
    <t>Dilatační spáry</t>
  </si>
  <si>
    <t>římsa - rub</t>
  </si>
  <si>
    <t>ALP+2x Aln</t>
  </si>
  <si>
    <t xml:space="preserve">Izolace </t>
  </si>
  <si>
    <t xml:space="preserve">římsa </t>
  </si>
  <si>
    <t>Chemické kotvy</t>
  </si>
  <si>
    <t>kg</t>
  </si>
  <si>
    <t>KY 49</t>
  </si>
  <si>
    <t>Kari síť</t>
  </si>
  <si>
    <t>R16</t>
  </si>
  <si>
    <t>hmotnost celkem                          (kg)</t>
  </si>
  <si>
    <t>R12</t>
  </si>
  <si>
    <t>celková hmotnost dle profilů           (kg)</t>
  </si>
  <si>
    <t>R10</t>
  </si>
  <si>
    <t>hmotnost  1bm                             (kg/bm)</t>
  </si>
  <si>
    <t>ocel 10 5050</t>
  </si>
  <si>
    <t>Výztuž</t>
  </si>
  <si>
    <t>celková délka dle profilů                 (m)</t>
  </si>
  <si>
    <t>á 15cm</t>
  </si>
  <si>
    <t>vyrovnávka</t>
  </si>
  <si>
    <t>C25/30 XC2</t>
  </si>
  <si>
    <t>římsa</t>
  </si>
  <si>
    <t>C30/37 XF4</t>
  </si>
  <si>
    <t>R16         m</t>
  </si>
  <si>
    <t>R12         m</t>
  </si>
  <si>
    <t>R10         m</t>
  </si>
  <si>
    <t>počet     ks</t>
  </si>
  <si>
    <t>délka        m</t>
  </si>
  <si>
    <t>profil        mm</t>
  </si>
  <si>
    <t>číslo položky</t>
  </si>
  <si>
    <t>Římsa</t>
  </si>
  <si>
    <t>celková délka dle profilů</t>
  </si>
  <si>
    <t>výztuž</t>
  </si>
  <si>
    <t>Bourání stávající římsy</t>
  </si>
  <si>
    <t>SO.202</t>
  </si>
  <si>
    <t>REKONSTRUKCE ŘÍMSY</t>
  </si>
  <si>
    <t>ZEĎ  km 2,745 87 - 2,965 7</t>
  </si>
  <si>
    <t>Římsa  km 2,745 87 - 2,965 7</t>
  </si>
  <si>
    <t>220,1*1,05*0,40</t>
  </si>
  <si>
    <t>220,1*1,05*0,10</t>
  </si>
  <si>
    <t>220,1*0,9*0,5</t>
  </si>
  <si>
    <t>220,1*0,5</t>
  </si>
  <si>
    <t>Stavba:  PD II/169 a  II/145 Dlouhá Ves - Radešov, úsek "B"</t>
  </si>
  <si>
    <t>LEŠENÍ</t>
  </si>
  <si>
    <t>SO.102 - CHODNÍKY U ZASTÁVEK  BUS</t>
  </si>
  <si>
    <t>Poznámka: plochy a délky byly změřeny z výkresů v programu AutoCAD</t>
  </si>
  <si>
    <t>vše v rámci SO.101</t>
  </si>
  <si>
    <t>ZEMNÍ PRÁCE</t>
  </si>
  <si>
    <t>Úprava pláně</t>
  </si>
  <si>
    <t>Úprava parapláně</t>
  </si>
  <si>
    <t>CHODNÍK</t>
  </si>
  <si>
    <t xml:space="preserve">Nátěr dvouvrstvý </t>
  </si>
  <si>
    <t xml:space="preserve"> 2NVA,EK,8-11/4-8</t>
  </si>
  <si>
    <t>tl. 20 mm</t>
  </si>
  <si>
    <t>R  -materiál</t>
  </si>
  <si>
    <t>R - mat</t>
  </si>
  <si>
    <t>Krajnice</t>
  </si>
  <si>
    <t>Betonový obrubník 1000/150/250 do bet.lože</t>
  </si>
  <si>
    <t>ZAŘAZENO  DO SO.101</t>
  </si>
  <si>
    <t>Betonový  obrubník 1000/150/300 do bet.lože</t>
  </si>
  <si>
    <t>Parkový obrubník  500/50/200</t>
  </si>
  <si>
    <t>Zábradlí</t>
  </si>
  <si>
    <r>
      <rPr>
        <b/>
        <sz val="8"/>
        <rFont val="Arial"/>
        <family val="2"/>
      </rPr>
      <t>vybourat</t>
    </r>
    <r>
      <rPr>
        <sz val="8"/>
        <rFont val="Arial"/>
        <family val="2"/>
      </rPr>
      <t xml:space="preserve"> bet.plochu pod čekárnou</t>
    </r>
  </si>
  <si>
    <t>Dopravní značení :</t>
  </si>
  <si>
    <t xml:space="preserve">Přístřešek / čekárna  </t>
  </si>
  <si>
    <t>20m2, tl. 200mm</t>
  </si>
  <si>
    <t xml:space="preserve">Odstranění  svodidla </t>
  </si>
  <si>
    <t>201+15</t>
  </si>
  <si>
    <t>28ks</t>
  </si>
  <si>
    <t>28*1,0*0,4</t>
  </si>
  <si>
    <t>41+40+40+44+40+38</t>
  </si>
  <si>
    <r>
      <t xml:space="preserve">přístřešek  odstranit a </t>
    </r>
    <r>
      <rPr>
        <b/>
        <sz val="8"/>
        <rFont val="Arial"/>
        <family val="2"/>
      </rPr>
      <t>pořídit nové</t>
    </r>
  </si>
  <si>
    <t>47,3+35,9+51+34,5</t>
  </si>
  <si>
    <t>27+26+27+28+26+24</t>
  </si>
  <si>
    <t>6*19+6*3</t>
  </si>
  <si>
    <t>64+60+52+77+65+74</t>
  </si>
  <si>
    <t>IJ 4c</t>
  </si>
  <si>
    <t>A 2b</t>
  </si>
  <si>
    <t>Z3</t>
  </si>
  <si>
    <t>IS 3c</t>
  </si>
  <si>
    <t>IS 21b</t>
  </si>
  <si>
    <t>2*(15+20)+10+10+25+15+15+30+15+25</t>
  </si>
  <si>
    <t>6*(24+26)</t>
  </si>
  <si>
    <t>19+25+27+15+28+22+10+19+17+24+21+31</t>
  </si>
  <si>
    <t>2*2915-258-41+(28+19)</t>
  </si>
  <si>
    <t>690+590+508+314</t>
  </si>
  <si>
    <t>0,250m          kadence  1,5/1,5</t>
  </si>
  <si>
    <t>240+130+31</t>
  </si>
  <si>
    <t>V3a</t>
  </si>
  <si>
    <t xml:space="preserve">0,125m          plná+ 3/1,50 </t>
  </si>
  <si>
    <t>140+150+122</t>
  </si>
  <si>
    <t>2915*2+5*2*6,5</t>
  </si>
  <si>
    <t>120+48+68+18,60+11+20,3+13,8+338+142+38+112</t>
  </si>
  <si>
    <t>z toho 30% sloupky  po 2m</t>
  </si>
  <si>
    <t>Krajník mezi dlažbou a vozovkou</t>
  </si>
  <si>
    <t>63+59+50+77+63+74</t>
  </si>
  <si>
    <t>PROPUSTKY CELKEM</t>
  </si>
  <si>
    <t>SO.101</t>
  </si>
  <si>
    <t>REKONSTRUKCE SIL. II/169 A II/145 DLOUHÁ VES - RADEŠOV</t>
  </si>
  <si>
    <t>popis</t>
  </si>
  <si>
    <t>propustek v km</t>
  </si>
  <si>
    <t>Trouba</t>
  </si>
  <si>
    <t xml:space="preserve"> - Trouba DN 600</t>
  </si>
  <si>
    <t>-</t>
  </si>
  <si>
    <t>TZH 600/2500:</t>
  </si>
  <si>
    <t xml:space="preserve"> - Podkladní prah IZX 12/80:</t>
  </si>
  <si>
    <t xml:space="preserve"> - Obetonování: C 25/30 XF2:</t>
  </si>
  <si>
    <t>tl. 200 mm</t>
  </si>
  <si>
    <r>
      <t>m</t>
    </r>
    <r>
      <rPr>
        <b/>
        <vertAlign val="superscript"/>
        <sz val="9"/>
        <rFont val="Arial"/>
        <family val="2"/>
      </rPr>
      <t>3</t>
    </r>
  </si>
  <si>
    <t xml:space="preserve"> - KARI - síť ø 8/100 x 8/100 (KY 49):</t>
  </si>
  <si>
    <t>obetonování</t>
  </si>
  <si>
    <r>
      <t>m</t>
    </r>
    <r>
      <rPr>
        <b/>
        <vertAlign val="superscript"/>
        <sz val="9"/>
        <rFont val="Arial"/>
        <family val="2"/>
      </rPr>
      <t>2</t>
    </r>
  </si>
  <si>
    <t>bet. lože</t>
  </si>
  <si>
    <t xml:space="preserve"> - Betonové lože C 25/30 XF2:</t>
  </si>
  <si>
    <t>tl. 300 mm</t>
  </si>
  <si>
    <t xml:space="preserve"> - Podkladní beton C 25/30 XF2:</t>
  </si>
  <si>
    <t>tl. 100 mm</t>
  </si>
  <si>
    <t xml:space="preserve"> - Štěrkodrť fr. 16/32:</t>
  </si>
  <si>
    <t xml:space="preserve"> - Bednění</t>
  </si>
  <si>
    <t>Systém ocelových</t>
  </si>
  <si>
    <t>např. HAMCO MULTIPLATE MP 150</t>
  </si>
  <si>
    <t>délců z vlnitého plechu</t>
  </si>
  <si>
    <t>tlamový profil PM 152 x 22 mm</t>
  </si>
  <si>
    <t>1,42 x 1,02 m</t>
  </si>
  <si>
    <t xml:space="preserve"> - Štěrkopískový podsyp</t>
  </si>
  <si>
    <t>tl. 400 - 500 mm</t>
  </si>
  <si>
    <t>Čelo/základ:</t>
  </si>
  <si>
    <t xml:space="preserve"> - Základ - beton C25/30 XF2</t>
  </si>
  <si>
    <t xml:space="preserve"> - Dlažba z lomového kamene</t>
  </si>
  <si>
    <t xml:space="preserve"> - Betonové lože C 25/30 XF2</t>
  </si>
  <si>
    <t>Úhlová zeď:</t>
  </si>
  <si>
    <t xml:space="preserve"> - Úhlová zeď - beton C30/37 XF4</t>
  </si>
  <si>
    <t xml:space="preserve"> - výztuž - ocel B500B</t>
  </si>
  <si>
    <t>t</t>
  </si>
  <si>
    <t xml:space="preserve"> - Podkladní beton C 12/15:</t>
  </si>
  <si>
    <t xml:space="preserve"> - Polystyren</t>
  </si>
  <si>
    <t>Vtoková jímka:</t>
  </si>
  <si>
    <t xml:space="preserve"> - Vtoková jímka - beton C30/37 XF4</t>
  </si>
  <si>
    <t>bet. jímka</t>
  </si>
  <si>
    <t xml:space="preserve"> - Podkladní beton C 25/30 XF2, tl. 150 mm:</t>
  </si>
  <si>
    <t>vtoková jímka</t>
  </si>
  <si>
    <t>dlažba</t>
  </si>
  <si>
    <t xml:space="preserve"> - Dlažba ze žulových kostek</t>
  </si>
  <si>
    <t xml:space="preserve"> - Balvany cca 50 - 60 kg</t>
  </si>
  <si>
    <t>tl. 350 mm</t>
  </si>
  <si>
    <t>- Betonové lože C 25/30 XF2</t>
  </si>
  <si>
    <t xml:space="preserve"> - Štěrkodrť fr. 0/32:</t>
  </si>
  <si>
    <t xml:space="preserve"> - Ocelová mříž 1,2x0,6 m</t>
  </si>
  <si>
    <t xml:space="preserve"> - Česle 1,85x1,3 m</t>
  </si>
  <si>
    <t xml:space="preserve"> - Ocelové stupadlo</t>
  </si>
  <si>
    <t xml:space="preserve"> - Zábradlí ocelové dvoumadlové</t>
  </si>
  <si>
    <t>Koryto:</t>
  </si>
  <si>
    <t>tl. 650 mm</t>
  </si>
  <si>
    <t>tl. 1150 mm</t>
  </si>
  <si>
    <t xml:space="preserve"> - Štěrkodrť fr. 0-32, tl 100 mm</t>
  </si>
  <si>
    <t>koryto</t>
  </si>
  <si>
    <t>podkladní práh</t>
  </si>
  <si>
    <t xml:space="preserve"> - Podkladní práh - beton C25/30 XF2</t>
  </si>
  <si>
    <t xml:space="preserve"> - Zához těřkým lomovým kamenem</t>
  </si>
  <si>
    <r>
      <t xml:space="preserve"> - Separační geotextilie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(GT 35/35)</t>
    </r>
  </si>
  <si>
    <t>Výtok, vtok:</t>
  </si>
  <si>
    <t xml:space="preserve"> - Štěrkodrť fr. 0-32, tl. 100 mm</t>
  </si>
  <si>
    <t>dlažba z LK</t>
  </si>
  <si>
    <t xml:space="preserve"> - Štěrkodrť fr. 0-32, tl. 150 mm</t>
  </si>
  <si>
    <t>bet. práh</t>
  </si>
  <si>
    <t xml:space="preserve"> - Betonový práh C 25/30 XF2</t>
  </si>
  <si>
    <t>Zemní práce:</t>
  </si>
  <si>
    <t xml:space="preserve"> - Bourání betonového čela </t>
  </si>
  <si>
    <t xml:space="preserve"> - Bourání vtokové jímky</t>
  </si>
  <si>
    <t xml:space="preserve"> - Bourání betonové trouby </t>
  </si>
  <si>
    <t>DN 600</t>
  </si>
  <si>
    <t xml:space="preserve"> - Bourání rámového propustku 0,8x0,8 m</t>
  </si>
  <si>
    <t>beton</t>
  </si>
  <si>
    <t xml:space="preserve"> - Bourání obkladu jímky ze žuly</t>
  </si>
  <si>
    <t xml:space="preserve"> - Bourání zábradlí v. 1,1 m</t>
  </si>
  <si>
    <t xml:space="preserve"> - Seříznutí ocelové trouby</t>
  </si>
  <si>
    <t xml:space="preserve"> - Výkop pro propustek</t>
  </si>
  <si>
    <t xml:space="preserve"> - Výkop pro vtokovou jímku</t>
  </si>
  <si>
    <t xml:space="preserve"> - Výkop pro úhlovou zeď</t>
  </si>
  <si>
    <t xml:space="preserve"> - Výkop pro práh</t>
  </si>
  <si>
    <t xml:space="preserve"> - Výkop pro základ</t>
  </si>
  <si>
    <t xml:space="preserve"> - Výkop pro koryto</t>
  </si>
  <si>
    <t xml:space="preserve"> - Výkop pro dlažbu z LK</t>
  </si>
  <si>
    <t xml:space="preserve"> - Zásyp propustku po úroveň pláně</t>
  </si>
  <si>
    <t xml:space="preserve"> - Zásyp vtokové jímky</t>
  </si>
  <si>
    <t xml:space="preserve"> - Zásyp úhlové zdi</t>
  </si>
  <si>
    <t xml:space="preserve"> - Zásyp prahu</t>
  </si>
  <si>
    <t xml:space="preserve"> - Zásyp základu</t>
  </si>
  <si>
    <t>Celá konstr. vozovky:</t>
  </si>
  <si>
    <t>plocha asfaltu</t>
  </si>
  <si>
    <t>Záporové pažení:</t>
  </si>
  <si>
    <t xml:space="preserve">PROPUSTKY </t>
  </si>
  <si>
    <t>km 1,678 87</t>
  </si>
  <si>
    <t xml:space="preserve"> = prodloužení stávajícího propustku</t>
  </si>
  <si>
    <t>úhlová zeď + vtoková jímka</t>
  </si>
  <si>
    <t>Systém ocelových dílců z vlnitého plechu 1,42 x 1,020 m</t>
  </si>
  <si>
    <t>(např. HAMCO - MULTI PLATE MP 150 - tlamový profil PM 152 x 22 mm)</t>
  </si>
  <si>
    <t xml:space="preserve"> - Štěrkopískový podsyp:</t>
  </si>
  <si>
    <t>tl. 400 -500 mm</t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</si>
  <si>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</si>
  <si>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2</t>
    </r>
  </si>
  <si>
    <t>7,5*3,65*0,5</t>
  </si>
  <si>
    <t>3,15*(5,6*0,66+3,4*0,5)+2*(1,46+3,45)/2*3,4+(4+2*(1,46+4,02))*0,4*0,3</t>
  </si>
  <si>
    <t>2 % objemu</t>
  </si>
  <si>
    <t>0,02*35,487*7,85</t>
  </si>
  <si>
    <t>4,65*7,1*0,15</t>
  </si>
  <si>
    <t>11,5*0,5</t>
  </si>
  <si>
    <t>2*3,15*4,06+2*(5,6*0,66+3,4*0,5)+4*(1,46+3,45)/2*3,4+2*(1,46+4,02)*0,8</t>
  </si>
  <si>
    <t>3,15*3,4*0,5+1,85*1,2*0,4+(3,15+1,4+1,6)*2,375*0,5</t>
  </si>
  <si>
    <t>0,02*13,546*7,85</t>
  </si>
  <si>
    <t>4,45*4,75*0,15</t>
  </si>
  <si>
    <t>1,85*1</t>
  </si>
  <si>
    <t>0,6*1,85</t>
  </si>
  <si>
    <t>0,6*1,85*0,35</t>
  </si>
  <si>
    <t xml:space="preserve"> - Štěrkodrť fr. 0-32</t>
  </si>
  <si>
    <t>0,6*1,85*0,1</t>
  </si>
  <si>
    <t>2*(3,15+3,4)*0,5+2*1,85*1,2+(1,9+3,15+2,1+2*1+1,85+2*0,5+0,2)*2,375</t>
  </si>
  <si>
    <t>4*2,6+1,55*2,15+1,9*2,15</t>
  </si>
  <si>
    <t>4*2,6*0,35</t>
  </si>
  <si>
    <t>1,9*2,15*0,65</t>
  </si>
  <si>
    <t>1,55*2,15*1,15</t>
  </si>
  <si>
    <t>4*2,6*0,1</t>
  </si>
  <si>
    <t>2,6*0,7*0,1</t>
  </si>
  <si>
    <t>2,5*0,5*1</t>
  </si>
  <si>
    <t>2*(2,5+0,5)*1</t>
  </si>
  <si>
    <t>odhadem</t>
  </si>
  <si>
    <t>2,7*1*3,3</t>
  </si>
  <si>
    <t>3,3*2,3*2,4-2,6*0,8*1,7</t>
  </si>
  <si>
    <t xml:space="preserve"> - Bourání rámového propustku 0,8x0,8 m - beton</t>
  </si>
  <si>
    <t>9,2*(1,4*1,4-0,8*0,8)</t>
  </si>
  <si>
    <t>2*(2,6+0,8)*1,7+2,6*0,8</t>
  </si>
  <si>
    <t xml:space="preserve"> - Bourání zábradlí</t>
  </si>
  <si>
    <t>v. 1,1 m</t>
  </si>
  <si>
    <t>3+2+2</t>
  </si>
  <si>
    <t>(8,5-3,45-3,9)*4,6*2,6</t>
  </si>
  <si>
    <t>6,05*5*3</t>
  </si>
  <si>
    <t>6,65*8,01*4</t>
  </si>
  <si>
    <t>3,1*1,1*1,1</t>
  </si>
  <si>
    <t>4*2,9*0,75</t>
  </si>
  <si>
    <t>(8,5-3,45-3,9)*(4,6*2,2-2,3)</t>
  </si>
  <si>
    <t>6,05*5*2,6-(3,15*3,4*0,5-3,15*1,9*1,85)-2,95*2,3</t>
  </si>
  <si>
    <t>6,65*8,01*3,6-(3,15*(5,6*0,66+2,99*0,5)+2,15*(1,46+3,45)/2*2,49)</t>
  </si>
  <si>
    <t>3,1*1,1*1,1-2,5*0,5*1,1</t>
  </si>
  <si>
    <t xml:space="preserve"> - Zásyp koryta</t>
  </si>
  <si>
    <t>7,5*3</t>
  </si>
  <si>
    <t>2*5*8,4</t>
  </si>
  <si>
    <t>km 2,087 70</t>
  </si>
  <si>
    <t>šikmá čela</t>
  </si>
  <si>
    <t>Trouba TZH 600/2500:</t>
  </si>
  <si>
    <t>2*7</t>
  </si>
  <si>
    <t>16,3*(1,2*1-3,14*0,4*0,4)</t>
  </si>
  <si>
    <t>16,2*(2*0,95+1,1)</t>
  </si>
  <si>
    <t>2*13,3*1,1</t>
  </si>
  <si>
    <t>13,3*1,2*0,3</t>
  </si>
  <si>
    <t>13,3*1,45*0,1</t>
  </si>
  <si>
    <t>13,3*1,65*0,1</t>
  </si>
  <si>
    <t>2*(16,3*1,3+2*1,2*1,3)</t>
  </si>
  <si>
    <t>2*2*1,5*0,8</t>
  </si>
  <si>
    <t>2*2,6*2,1*0,15</t>
  </si>
  <si>
    <t>2*2,5*2*0,10</t>
  </si>
  <si>
    <t>(5+4)*2</t>
  </si>
  <si>
    <t>(5+4)*2*0,1</t>
  </si>
  <si>
    <t>2*2*(2*0,8+1,5*0,8)</t>
  </si>
  <si>
    <t>2*2*1</t>
  </si>
  <si>
    <t>2*2*1*0,1</t>
  </si>
  <si>
    <t>2*1*0,4*0,1</t>
  </si>
  <si>
    <t>2*1*0,4*0,6</t>
  </si>
  <si>
    <t>1,5*0,7*1,5+1*0,7*1,6</t>
  </si>
  <si>
    <t xml:space="preserve"> - Bourání betonové trouby DN 600</t>
  </si>
  <si>
    <t>16,3*2,4*2,25</t>
  </si>
  <si>
    <t>2*2,9*2,4*0,8</t>
  </si>
  <si>
    <t>2*2*1*0,4</t>
  </si>
  <si>
    <t>16,3*(2,4*1,8-1,2*1,5)</t>
  </si>
  <si>
    <t>2*(2,9*2,4*0,8-2*1,5*0,8)</t>
  </si>
  <si>
    <t>8,02*3</t>
  </si>
  <si>
    <t>2*5*7,2</t>
  </si>
  <si>
    <t>km 2,824 56</t>
  </si>
  <si>
    <t xml:space="preserve"> = úprava čela stávajícího propustku</t>
  </si>
  <si>
    <t>šikme čelo</t>
  </si>
  <si>
    <t>3,7*2</t>
  </si>
  <si>
    <t>3,7*2*0,1</t>
  </si>
  <si>
    <t>2*0,7*0,9</t>
  </si>
  <si>
    <t xml:space="preserve"> - Seříznutí ocelové trouby DN 600</t>
  </si>
  <si>
    <t>3,7*2*0,4</t>
  </si>
  <si>
    <t>km 3,752 75</t>
  </si>
  <si>
    <t>Terramesh + vtoková jímka</t>
  </si>
  <si>
    <t>2*5</t>
  </si>
  <si>
    <t>10,65*(1,2*1-3,14*0,4*0,4)</t>
  </si>
  <si>
    <t>10,55*(2*0,95+1,1)</t>
  </si>
  <si>
    <t>2*10,55*1,1</t>
  </si>
  <si>
    <t>10,55*1,2*0,3</t>
  </si>
  <si>
    <t>9,25*1,45*0,1</t>
  </si>
  <si>
    <t>9,25*1,65*0,1</t>
  </si>
  <si>
    <t>2*10,65*1,3+1,2*1,3</t>
  </si>
  <si>
    <t>2*1,5*0,56</t>
  </si>
  <si>
    <t>2,6*2,1*0,15</t>
  </si>
  <si>
    <t>2,5*2*0,10</t>
  </si>
  <si>
    <t>2*(2*0,8+1,5*0,8)</t>
  </si>
  <si>
    <t>1,85*1,4*2,15-1,2*0,8*1,85-0,3*3,14*0,4*0,4</t>
  </si>
  <si>
    <t>4*1,7*2,05+2*1,3*1,95+2*0,9*1,95+1,7*1,3+1,3*0,9</t>
  </si>
  <si>
    <t>2,3*1,9*0,15</t>
  </si>
  <si>
    <t>1,2*0,8*0,15</t>
  </si>
  <si>
    <t>1,2*0,8</t>
  </si>
  <si>
    <t>2,2*1,9*0,1</t>
  </si>
  <si>
    <t>2*((1,8+1,4)*2,15+(1,2+0,8)*1,85)</t>
  </si>
  <si>
    <t>2,7*2,2</t>
  </si>
  <si>
    <t>2,7*2,2*0,35</t>
  </si>
  <si>
    <t>2,7*2,2*0,1</t>
  </si>
  <si>
    <t>2,2*0,9*0,1</t>
  </si>
  <si>
    <t>2,2*0,7*1,1</t>
  </si>
  <si>
    <t>2,2*3</t>
  </si>
  <si>
    <r>
      <t xml:space="preserve"> - Separační geotextilie 200 g/m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 xml:space="preserve"> (GT 35/35)</t>
    </r>
  </si>
  <si>
    <t>3,2*3</t>
  </si>
  <si>
    <t>2*3,2*1,1+2*0,7*1,1</t>
  </si>
  <si>
    <t>2,9*0,7*1,9+2*0,7*1,4</t>
  </si>
  <si>
    <t>(10,95-1,55)*2,3*1,95</t>
  </si>
  <si>
    <t>3,2*3,35*2,35</t>
  </si>
  <si>
    <t>2,8*1,5*1,1</t>
  </si>
  <si>
    <t>2,5*2,2*0,75</t>
  </si>
  <si>
    <t>(10,95-1,55)*(2,3*1,7-1,2*1,5)</t>
  </si>
  <si>
    <t>3,2*3,35*2,1-1,8*1,4*1,85-1,25*1,2*1,5</t>
  </si>
  <si>
    <t>2,8*1,5*1,1-2,2*0,7*1,1</t>
  </si>
  <si>
    <t>6,7*3</t>
  </si>
  <si>
    <t>2*5*6,6</t>
  </si>
  <si>
    <t>881+(260+132)*0,45</t>
  </si>
  <si>
    <t>(260+132+386)*0,25</t>
  </si>
  <si>
    <t>23+8+37</t>
  </si>
  <si>
    <t xml:space="preserve">nad propustkem </t>
  </si>
  <si>
    <t>Obrubníkový knoflík  dle délky obrub</t>
  </si>
  <si>
    <t>2915*2+5*2*6,5 +65</t>
  </si>
  <si>
    <t>km 1,230-2,400</t>
  </si>
  <si>
    <t>km  2,400-3,650</t>
  </si>
  <si>
    <t>km 3,650-4,145</t>
  </si>
  <si>
    <t>tl. 60 mm</t>
  </si>
  <si>
    <t>tl. 80 mm</t>
  </si>
  <si>
    <t>D</t>
  </si>
  <si>
    <t>A</t>
  </si>
  <si>
    <t>B</t>
  </si>
  <si>
    <t>E</t>
  </si>
  <si>
    <t>C</t>
  </si>
  <si>
    <t>!!</t>
  </si>
  <si>
    <t>F</t>
  </si>
  <si>
    <t>ACO 11S  PMB 25/55-55</t>
  </si>
  <si>
    <t>PSE</t>
  </si>
  <si>
    <t>ACL 22S  PMB 25/55-55</t>
  </si>
  <si>
    <t>ACP 22+ 50/70</t>
  </si>
  <si>
    <t>stromy  listnaté</t>
  </si>
  <si>
    <t>keře</t>
  </si>
  <si>
    <r>
      <rPr>
        <b/>
        <sz val="10"/>
        <rFont val="Arial"/>
        <family val="2"/>
      </rPr>
      <t>nelesní zeleň</t>
    </r>
    <r>
      <rPr>
        <sz val="10"/>
        <rFont val="Arial"/>
        <family val="2"/>
      </rPr>
      <t xml:space="preserve">  …..dle dendrologie</t>
    </r>
  </si>
  <si>
    <t>pozemky PUPFLu</t>
  </si>
  <si>
    <t>0,0750 ha</t>
  </si>
  <si>
    <t xml:space="preserve">              střední  porost do 300mm</t>
  </si>
  <si>
    <t xml:space="preserve">plocha </t>
  </si>
  <si>
    <t>km 1,645 50 - 1,752</t>
  </si>
  <si>
    <t>km 2,965 97 - 3,010</t>
  </si>
  <si>
    <t>km 3,010      - 3,025</t>
  </si>
  <si>
    <t>km 3,025      - 3,060 75</t>
  </si>
  <si>
    <t>km 3,355      - 3,420</t>
  </si>
  <si>
    <t>km 3,460      - 3,580</t>
  </si>
  <si>
    <t>km 3,580      - 3,665 30</t>
  </si>
  <si>
    <t>km 3,420      - 3,460</t>
  </si>
  <si>
    <t>km 3,674 60 - 3,720</t>
  </si>
  <si>
    <t>km 3,720     -  3,805</t>
  </si>
  <si>
    <t>km 3,847 60 - 3,896 50</t>
  </si>
  <si>
    <t>km 4,093 35 - 4,145</t>
  </si>
  <si>
    <t>km 1,770</t>
  </si>
  <si>
    <t>km 2,610</t>
  </si>
  <si>
    <t>příčná vyústění</t>
  </si>
  <si>
    <t>2x2x1</t>
  </si>
  <si>
    <t xml:space="preserve">" skluz" </t>
  </si>
  <si>
    <t>zrcadlo obd</t>
  </si>
  <si>
    <t>sloup ??</t>
  </si>
  <si>
    <t>není</t>
  </si>
  <si>
    <t>drenážní kontrolní</t>
  </si>
  <si>
    <t>přechody pod silnicí</t>
  </si>
  <si>
    <t>Dn 250</t>
  </si>
  <si>
    <t>15+12+12</t>
  </si>
  <si>
    <t>39m</t>
  </si>
  <si>
    <t>3výtoky</t>
  </si>
  <si>
    <t>rýha 8*0,8*0,8</t>
  </si>
  <si>
    <t>výplň ŠD</t>
  </si>
  <si>
    <t xml:space="preserve"> =15,4m3</t>
  </si>
  <si>
    <t>km 2,112 - 2,180 vlevo</t>
  </si>
  <si>
    <t>km 1,685 -1,810 vlevo</t>
  </si>
  <si>
    <t>km 2,102 - 2,200 vpravo</t>
  </si>
  <si>
    <t>0,5*0,5</t>
  </si>
  <si>
    <t>km 2,605 - 2,808 40</t>
  </si>
  <si>
    <t>km 2,990 50 -3,31330 vlevo</t>
  </si>
  <si>
    <t>vyústění do svahů</t>
  </si>
  <si>
    <t xml:space="preserve">  +15m  </t>
  </si>
  <si>
    <t>km 3,993 - 4,145 vlevo</t>
  </si>
  <si>
    <t>0,5*0,4</t>
  </si>
  <si>
    <t>km 3,851 - 3,904 vpravo</t>
  </si>
  <si>
    <t>km 3,323 - 3,926 70 vl.</t>
  </si>
  <si>
    <t>km 3,005 71 - 3,074 60 vpravo  BUS</t>
  </si>
  <si>
    <t>0,5*05</t>
  </si>
  <si>
    <t xml:space="preserve"> =8387 *0,4</t>
  </si>
  <si>
    <t xml:space="preserve"> =8387 *0,6</t>
  </si>
  <si>
    <t>celkem vč. AZ</t>
  </si>
  <si>
    <t xml:space="preserve"> - Ocelové zábradlí</t>
  </si>
  <si>
    <t xml:space="preserve"> - Ocelová mříž 1,2x0,6 m ( česle)</t>
  </si>
  <si>
    <t>průměrná</t>
  </si>
  <si>
    <t>délka okraje</t>
  </si>
  <si>
    <t>nová konstrukce</t>
  </si>
  <si>
    <t>tl. 50 mm</t>
  </si>
  <si>
    <t>50+90</t>
  </si>
  <si>
    <t>most</t>
  </si>
  <si>
    <t>50+60</t>
  </si>
  <si>
    <t>50+80</t>
  </si>
  <si>
    <t>KONSTRUKCE VOZOVKY -  km 1,230 - 2,400</t>
  </si>
  <si>
    <t>8018+220*0,01</t>
  </si>
  <si>
    <t>8018+220*0,08</t>
  </si>
  <si>
    <t>8018+220*0,20</t>
  </si>
  <si>
    <t>KONSTRUKCE VOZOVKY -  km 2,400 - 3,650</t>
  </si>
  <si>
    <t>8464+635*0,01</t>
  </si>
  <si>
    <t>8464+635*0,08</t>
  </si>
  <si>
    <t>8464+635*0,20</t>
  </si>
  <si>
    <t>2135+635*0,20</t>
  </si>
  <si>
    <t>2135+635*0,40</t>
  </si>
  <si>
    <t>2135+635*0,60</t>
  </si>
  <si>
    <t>3650+220*0,01</t>
  </si>
  <si>
    <t>3650+220*0,08</t>
  </si>
  <si>
    <t>3650+220*0,20</t>
  </si>
  <si>
    <t>877+220*0,20</t>
  </si>
  <si>
    <t>877+220*0,40</t>
  </si>
  <si>
    <t>877+220*0,60</t>
  </si>
  <si>
    <t>humus</t>
  </si>
  <si>
    <t>SO.103 - DIO trasa</t>
  </si>
  <si>
    <t>SO.103B - DIO pro opravu propustků</t>
  </si>
  <si>
    <t xml:space="preserve"> =2647*0,3</t>
  </si>
  <si>
    <t xml:space="preserve"> =2647*0,4</t>
  </si>
  <si>
    <t>km 1,230-1,330</t>
  </si>
  <si>
    <t xml:space="preserve">  +4m</t>
  </si>
  <si>
    <t>výměna  pásnice km 1,330-1,645 50</t>
  </si>
  <si>
    <t>km 1,230 - 1,270</t>
  </si>
  <si>
    <t>km 1,270 - 1,285</t>
  </si>
  <si>
    <t>délka :</t>
  </si>
  <si>
    <t>plocha svahu:</t>
  </si>
  <si>
    <t>PŘIDAT KM 1,230- 1,330</t>
  </si>
  <si>
    <t xml:space="preserve">1188+2030+1911+2352+2345+2096+1456+1993+852+2781+3152                                                          </t>
  </si>
  <si>
    <t>podklad</t>
  </si>
  <si>
    <t>854+220*0,20</t>
  </si>
  <si>
    <t>854+220*0,40</t>
  </si>
  <si>
    <t>854+220*0,60</t>
  </si>
  <si>
    <t>908,4m3</t>
  </si>
  <si>
    <t>VÝKOP  CELKEM</t>
  </si>
  <si>
    <t>NÁSYPY CELKEM</t>
  </si>
  <si>
    <t>Terr.</t>
  </si>
  <si>
    <t>ZK</t>
  </si>
  <si>
    <t>zásyp dle R</t>
  </si>
  <si>
    <t xml:space="preserve">PŘEBYTEK VÝKOPŮ </t>
  </si>
  <si>
    <t>4610 m2</t>
  </si>
  <si>
    <t>881+(260+132)*0,35</t>
  </si>
  <si>
    <t>1018*2+(260+132+386)*1</t>
  </si>
  <si>
    <t>Pohledová plocha</t>
  </si>
  <si>
    <t xml:space="preserve"> Pohledová plocha ve 2.eetapách</t>
  </si>
  <si>
    <t xml:space="preserve">   =2*8*2,5</t>
  </si>
  <si>
    <t xml:space="preserve">   =40</t>
  </si>
  <si>
    <t>TABULKA BILANCE ZEMNÍCH PRACÍ</t>
  </si>
  <si>
    <t xml:space="preserve"> - komunikace</t>
  </si>
  <si>
    <t xml:space="preserve"> - podkladní vrstvy vozovky</t>
  </si>
  <si>
    <t>Ohumusování:</t>
  </si>
  <si>
    <t xml:space="preserve"> -Terramesh</t>
  </si>
  <si>
    <t xml:space="preserve"> - Terramesh</t>
  </si>
  <si>
    <t>Sejmutí  ornice:</t>
  </si>
  <si>
    <t xml:space="preserve"> - v rovině</t>
  </si>
  <si>
    <t xml:space="preserve"> - ve svahu </t>
  </si>
  <si>
    <t xml:space="preserve"> - skalní výrub</t>
  </si>
  <si>
    <t xml:space="preserve"> - zemní krajnice </t>
  </si>
  <si>
    <t xml:space="preserve"> - zásyp - frézovaná</t>
  </si>
  <si>
    <t xml:space="preserve"> - propustky, trativod</t>
  </si>
  <si>
    <t xml:space="preserve"> - živičné vrstvy vozovky (frézování)</t>
  </si>
  <si>
    <t xml:space="preserve"> - komunikace vč.AZ</t>
  </si>
  <si>
    <t xml:space="preserve"> - výměna podloží</t>
  </si>
  <si>
    <t xml:space="preserve"> - zásyp - zemina</t>
  </si>
  <si>
    <t>krajnice  - kamenivo  nákup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</si>
</sst>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#,##0.0"/>
    <numFmt numFmtId="167" formatCode="0.0000"/>
    <numFmt numFmtId="168" formatCode="0.000"/>
    <numFmt numFmtId="169" formatCode="#,##0.000"/>
  </numFmts>
  <fonts count="9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b/>
      <u val="doub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17"/>
      <name val="Arial CE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vertAlign val="superscript"/>
      <sz val="9"/>
      <color indexed="17"/>
      <name val="Arial"/>
      <family val="2"/>
    </font>
    <font>
      <sz val="9"/>
      <color indexed="8"/>
      <name val="Calibri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9"/>
      <color indexed="17"/>
      <name val="Arial"/>
      <family val="2"/>
    </font>
    <font>
      <vertAlign val="superscript"/>
      <sz val="9"/>
      <name val="Arial"/>
      <family val="2"/>
    </font>
    <font>
      <sz val="16"/>
      <color indexed="10"/>
      <name val="Arial"/>
      <family val="2"/>
    </font>
    <font>
      <b/>
      <sz val="9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20"/>
      <color indexed="9"/>
      <name val="Arial"/>
      <family val="2"/>
    </font>
    <font>
      <sz val="2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20"/>
      <color theme="0"/>
      <name val="Arial"/>
      <family val="2"/>
    </font>
    <font>
      <sz val="20"/>
      <color theme="0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8" fillId="19" borderId="0" applyNumberFormat="0" applyBorder="0" applyAlignment="0" applyProtection="0"/>
    <xf numFmtId="0" fontId="7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85" fillId="0" borderId="7" applyNumberFormat="0" applyFill="0" applyAlignment="0" applyProtection="0"/>
    <xf numFmtId="0" fontId="86" fillId="2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4" borderId="8" applyNumberFormat="0" applyAlignment="0" applyProtection="0"/>
    <xf numFmtId="0" fontId="89" fillId="25" borderId="8" applyNumberFormat="0" applyAlignment="0" applyProtection="0"/>
    <xf numFmtId="0" fontId="90" fillId="25" borderId="9" applyNumberFormat="0" applyAlignment="0" applyProtection="0"/>
    <xf numFmtId="0" fontId="91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</cellStyleXfs>
  <cellXfs count="81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165" fontId="0" fillId="0" borderId="13" xfId="0" applyNumberFormat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165" fontId="0" fillId="32" borderId="32" xfId="0" applyNumberFormat="1" applyFont="1" applyFill="1" applyBorder="1" applyAlignment="1">
      <alignment horizontal="center"/>
    </xf>
    <xf numFmtId="165" fontId="0" fillId="32" borderId="33" xfId="0" applyNumberFormat="1" applyFont="1" applyFill="1" applyBorder="1" applyAlignment="1">
      <alignment horizontal="center"/>
    </xf>
    <xf numFmtId="165" fontId="0" fillId="32" borderId="34" xfId="0" applyNumberFormat="1" applyFont="1" applyFill="1" applyBorder="1" applyAlignment="1">
      <alignment horizontal="center"/>
    </xf>
    <xf numFmtId="165" fontId="0" fillId="32" borderId="35" xfId="0" applyNumberFormat="1" applyFill="1" applyBorder="1" applyAlignment="1">
      <alignment horizontal="center"/>
    </xf>
    <xf numFmtId="165" fontId="0" fillId="32" borderId="24" xfId="0" applyNumberFormat="1" applyFill="1" applyBorder="1" applyAlignment="1">
      <alignment horizontal="center"/>
    </xf>
    <xf numFmtId="165" fontId="5" fillId="32" borderId="24" xfId="0" applyNumberFormat="1" applyFont="1" applyFill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165" fontId="0" fillId="0" borderId="41" xfId="0" applyNumberFormat="1" applyBorder="1" applyAlignment="1">
      <alignment horizontal="center"/>
    </xf>
    <xf numFmtId="165" fontId="6" fillId="0" borderId="42" xfId="0" applyNumberFormat="1" applyFont="1" applyFill="1" applyBorder="1" applyAlignment="1">
      <alignment horizontal="center"/>
    </xf>
    <xf numFmtId="165" fontId="6" fillId="0" borderId="43" xfId="0" applyNumberFormat="1" applyFon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0" fillId="0" borderId="45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0" borderId="46" xfId="0" applyNumberFormat="1" applyFont="1" applyFill="1" applyBorder="1" applyAlignment="1">
      <alignment horizontal="center"/>
    </xf>
    <xf numFmtId="165" fontId="0" fillId="0" borderId="4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5" fontId="0" fillId="32" borderId="48" xfId="0" applyNumberFormat="1" applyFont="1" applyFill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5" fontId="0" fillId="32" borderId="52" xfId="0" applyNumberFormat="1" applyFill="1" applyBorder="1" applyAlignment="1">
      <alignment horizontal="center"/>
    </xf>
    <xf numFmtId="165" fontId="0" fillId="0" borderId="51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55" xfId="0" applyNumberFormat="1" applyFont="1" applyBorder="1" applyAlignment="1">
      <alignment horizontal="center"/>
    </xf>
    <xf numFmtId="165" fontId="0" fillId="0" borderId="56" xfId="0" applyNumberFormat="1" applyFont="1" applyBorder="1" applyAlignment="1">
      <alignment horizontal="center"/>
    </xf>
    <xf numFmtId="165" fontId="0" fillId="0" borderId="57" xfId="0" applyNumberFormat="1" applyFont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44" xfId="0" applyNumberFormat="1" applyFont="1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58" xfId="0" applyNumberFormat="1" applyFont="1" applyFill="1" applyBorder="1" applyAlignment="1">
      <alignment horizontal="center"/>
    </xf>
    <xf numFmtId="165" fontId="0" fillId="0" borderId="59" xfId="0" applyNumberFormat="1" applyFill="1" applyBorder="1" applyAlignment="1">
      <alignment horizontal="center"/>
    </xf>
    <xf numFmtId="165" fontId="0" fillId="0" borderId="60" xfId="0" applyNumberFormat="1" applyFont="1" applyFill="1" applyBorder="1" applyAlignment="1">
      <alignment horizontal="center"/>
    </xf>
    <xf numFmtId="165" fontId="0" fillId="0" borderId="61" xfId="0" applyNumberFormat="1" applyFont="1" applyFill="1" applyBorder="1" applyAlignment="1">
      <alignment horizontal="center"/>
    </xf>
    <xf numFmtId="165" fontId="0" fillId="0" borderId="62" xfId="0" applyNumberFormat="1" applyFont="1" applyBorder="1" applyAlignment="1">
      <alignment horizontal="center"/>
    </xf>
    <xf numFmtId="165" fontId="0" fillId="0" borderId="63" xfId="0" applyNumberForma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1" fontId="5" fillId="0" borderId="65" xfId="0" applyNumberFormat="1" applyFont="1" applyFill="1" applyBorder="1" applyAlignment="1">
      <alignment horizontal="center"/>
    </xf>
    <xf numFmtId="1" fontId="5" fillId="0" borderId="66" xfId="0" applyNumberFormat="1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4" fontId="35" fillId="0" borderId="25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1" fillId="0" borderId="0" xfId="47" applyFill="1">
      <alignment/>
      <protection/>
    </xf>
    <xf numFmtId="0" fontId="7" fillId="0" borderId="0" xfId="46" applyFont="1" applyFill="1">
      <alignment/>
      <protection/>
    </xf>
    <xf numFmtId="0" fontId="1" fillId="0" borderId="0" xfId="47">
      <alignment/>
      <protection/>
    </xf>
    <xf numFmtId="0" fontId="1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0" fontId="11" fillId="0" borderId="0" xfId="46" applyFont="1" applyFill="1">
      <alignment/>
      <protection/>
    </xf>
    <xf numFmtId="0" fontId="1" fillId="0" borderId="0" xfId="46" applyFont="1" applyFill="1">
      <alignment/>
      <protection/>
    </xf>
    <xf numFmtId="0" fontId="12" fillId="0" borderId="0" xfId="47" applyFont="1" applyAlignment="1">
      <alignment horizontal="justify"/>
      <protection/>
    </xf>
    <xf numFmtId="0" fontId="1" fillId="0" borderId="0" xfId="47" applyFill="1" applyAlignment="1">
      <alignment horizontal="center"/>
      <protection/>
    </xf>
    <xf numFmtId="0" fontId="1" fillId="0" borderId="67" xfId="47" applyBorder="1">
      <alignment/>
      <protection/>
    </xf>
    <xf numFmtId="0" fontId="8" fillId="0" borderId="67" xfId="47" applyFont="1" applyBorder="1" applyAlignment="1">
      <alignment horizontal="center"/>
      <protection/>
    </xf>
    <xf numFmtId="0" fontId="1" fillId="0" borderId="68" xfId="47" applyBorder="1">
      <alignment/>
      <protection/>
    </xf>
    <xf numFmtId="0" fontId="8" fillId="0" borderId="68" xfId="47" applyFont="1" applyBorder="1" applyAlignment="1">
      <alignment horizontal="center"/>
      <protection/>
    </xf>
    <xf numFmtId="0" fontId="8" fillId="0" borderId="68" xfId="47" applyFont="1" applyBorder="1">
      <alignment/>
      <protection/>
    </xf>
    <xf numFmtId="0" fontId="1" fillId="0" borderId="0" xfId="47" applyAlignment="1">
      <alignment/>
      <protection/>
    </xf>
    <xf numFmtId="0" fontId="13" fillId="33" borderId="68" xfId="47" applyFont="1" applyFill="1" applyBorder="1" applyAlignment="1">
      <alignment horizontal="right" vertical="center"/>
      <protection/>
    </xf>
    <xf numFmtId="0" fontId="8" fillId="33" borderId="68" xfId="47" applyFont="1" applyFill="1" applyBorder="1" applyAlignment="1">
      <alignment horizontal="center"/>
      <protection/>
    </xf>
    <xf numFmtId="0" fontId="8" fillId="33" borderId="60" xfId="47" applyFont="1" applyFill="1" applyBorder="1" applyAlignment="1">
      <alignment horizontal="center"/>
      <protection/>
    </xf>
    <xf numFmtId="0" fontId="1" fillId="0" borderId="68" xfId="47" applyFont="1" applyBorder="1" applyAlignment="1">
      <alignment horizontal="left" vertical="center"/>
      <protection/>
    </xf>
    <xf numFmtId="0" fontId="14" fillId="0" borderId="68" xfId="47" applyFont="1" applyBorder="1" applyAlignment="1">
      <alignment horizontal="right" vertical="center"/>
      <protection/>
    </xf>
    <xf numFmtId="0" fontId="1" fillId="0" borderId="68" xfId="47" applyFont="1" applyBorder="1" applyAlignment="1">
      <alignment horizontal="left"/>
      <protection/>
    </xf>
    <xf numFmtId="0" fontId="14" fillId="0" borderId="68" xfId="47" applyFont="1" applyBorder="1" applyAlignment="1">
      <alignment horizontal="center" vertical="center"/>
      <protection/>
    </xf>
    <xf numFmtId="0" fontId="1" fillId="0" borderId="68" xfId="47" applyBorder="1" applyAlignment="1">
      <alignment wrapText="1"/>
      <protection/>
    </xf>
    <xf numFmtId="0" fontId="1" fillId="33" borderId="68" xfId="47" applyFill="1" applyBorder="1">
      <alignment/>
      <protection/>
    </xf>
    <xf numFmtId="0" fontId="1" fillId="0" borderId="68" xfId="47" applyFill="1" applyBorder="1">
      <alignment/>
      <protection/>
    </xf>
    <xf numFmtId="0" fontId="1" fillId="4" borderId="68" xfId="47" applyFill="1" applyBorder="1">
      <alignment/>
      <protection/>
    </xf>
    <xf numFmtId="0" fontId="1" fillId="4" borderId="68" xfId="47" applyFont="1" applyFill="1" applyBorder="1">
      <alignment/>
      <protection/>
    </xf>
    <xf numFmtId="0" fontId="1" fillId="0" borderId="0" xfId="47" applyAlignment="1">
      <alignment horizontal="center"/>
      <protection/>
    </xf>
    <xf numFmtId="0" fontId="8" fillId="0" borderId="68" xfId="47" applyFont="1" applyBorder="1" applyAlignment="1">
      <alignment horizontal="left" vertical="center"/>
      <protection/>
    </xf>
    <xf numFmtId="0" fontId="36" fillId="0" borderId="68" xfId="47" applyFont="1" applyBorder="1">
      <alignment/>
      <protection/>
    </xf>
    <xf numFmtId="0" fontId="8" fillId="0" borderId="32" xfId="47" applyFont="1" applyBorder="1" applyAlignment="1">
      <alignment horizontal="center"/>
      <protection/>
    </xf>
    <xf numFmtId="0" fontId="8" fillId="0" borderId="48" xfId="47" applyFont="1" applyBorder="1" applyAlignment="1">
      <alignment horizontal="center"/>
      <protection/>
    </xf>
    <xf numFmtId="0" fontId="36" fillId="0" borderId="48" xfId="47" applyFont="1" applyBorder="1" applyAlignment="1">
      <alignment horizontal="center"/>
      <protection/>
    </xf>
    <xf numFmtId="0" fontId="8" fillId="33" borderId="48" xfId="47" applyFont="1" applyFill="1" applyBorder="1" applyAlignment="1">
      <alignment horizontal="center"/>
      <protection/>
    </xf>
    <xf numFmtId="0" fontId="1" fillId="0" borderId="48" xfId="47" applyFont="1" applyFill="1" applyBorder="1" applyAlignment="1">
      <alignment horizontal="center"/>
      <protection/>
    </xf>
    <xf numFmtId="0" fontId="1" fillId="32" borderId="48" xfId="47" applyFont="1" applyFill="1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1" fillId="33" borderId="48" xfId="47" applyFont="1" applyFill="1" applyBorder="1" applyAlignment="1">
      <alignment horizontal="center"/>
      <protection/>
    </xf>
    <xf numFmtId="0" fontId="1" fillId="4" borderId="48" xfId="47" applyFont="1" applyFill="1" applyBorder="1" applyAlignment="1">
      <alignment horizontal="center"/>
      <protection/>
    </xf>
    <xf numFmtId="0" fontId="8" fillId="4" borderId="48" xfId="47" applyFont="1" applyFill="1" applyBorder="1" applyAlignment="1">
      <alignment horizontal="center"/>
      <protection/>
    </xf>
    <xf numFmtId="0" fontId="1" fillId="0" borderId="48" xfId="47" applyBorder="1" applyAlignment="1">
      <alignment/>
      <protection/>
    </xf>
    <xf numFmtId="0" fontId="1" fillId="33" borderId="24" xfId="47" applyFont="1" applyFill="1" applyBorder="1" applyAlignment="1">
      <alignment horizontal="center"/>
      <protection/>
    </xf>
    <xf numFmtId="0" fontId="1" fillId="33" borderId="24" xfId="47" applyFill="1" applyBorder="1">
      <alignment/>
      <protection/>
    </xf>
    <xf numFmtId="0" fontId="8" fillId="0" borderId="69" xfId="47" applyFont="1" applyBorder="1">
      <alignment/>
      <protection/>
    </xf>
    <xf numFmtId="0" fontId="8" fillId="0" borderId="70" xfId="47" applyFont="1" applyBorder="1" applyAlignment="1">
      <alignment horizontal="center"/>
      <protection/>
    </xf>
    <xf numFmtId="0" fontId="37" fillId="0" borderId="68" xfId="47" applyFont="1" applyBorder="1" applyAlignment="1">
      <alignment horizontal="center"/>
      <protection/>
    </xf>
    <xf numFmtId="0" fontId="1" fillId="0" borderId="32" xfId="47" applyFont="1" applyFill="1" applyBorder="1" applyAlignment="1">
      <alignment horizontal="center"/>
      <protection/>
    </xf>
    <xf numFmtId="0" fontId="1" fillId="0" borderId="32" xfId="47" applyBorder="1">
      <alignment/>
      <protection/>
    </xf>
    <xf numFmtId="0" fontId="1" fillId="0" borderId="48" xfId="47" applyBorder="1">
      <alignment/>
      <protection/>
    </xf>
    <xf numFmtId="0" fontId="36" fillId="0" borderId="48" xfId="47" applyFont="1" applyBorder="1">
      <alignment/>
      <protection/>
    </xf>
    <xf numFmtId="0" fontId="13" fillId="0" borderId="48" xfId="47" applyFont="1" applyBorder="1" applyAlignment="1">
      <alignment horizontal="right" vertical="center"/>
      <protection/>
    </xf>
    <xf numFmtId="0" fontId="13" fillId="33" borderId="48" xfId="47" applyFont="1" applyFill="1" applyBorder="1" applyAlignment="1">
      <alignment horizontal="right" vertical="center"/>
      <protection/>
    </xf>
    <xf numFmtId="0" fontId="1" fillId="0" borderId="48" xfId="47" applyFont="1" applyBorder="1" applyAlignment="1">
      <alignment horizontal="left" vertical="center"/>
      <protection/>
    </xf>
    <xf numFmtId="0" fontId="14" fillId="0" borderId="48" xfId="47" applyFont="1" applyBorder="1" applyAlignment="1">
      <alignment horizontal="right" vertical="center"/>
      <protection/>
    </xf>
    <xf numFmtId="0" fontId="1" fillId="0" borderId="48" xfId="47" applyFont="1" applyBorder="1" applyAlignment="1">
      <alignment horizontal="left"/>
      <protection/>
    </xf>
    <xf numFmtId="0" fontId="14" fillId="0" borderId="48" xfId="47" applyFont="1" applyBorder="1" applyAlignment="1">
      <alignment horizontal="center" vertical="center"/>
      <protection/>
    </xf>
    <xf numFmtId="0" fontId="1" fillId="0" borderId="48" xfId="47" applyBorder="1" applyAlignment="1">
      <alignment wrapText="1"/>
      <protection/>
    </xf>
    <xf numFmtId="0" fontId="1" fillId="33" borderId="48" xfId="47" applyFill="1" applyBorder="1">
      <alignment/>
      <protection/>
    </xf>
    <xf numFmtId="0" fontId="8" fillId="0" borderId="48" xfId="47" applyFont="1" applyBorder="1">
      <alignment/>
      <protection/>
    </xf>
    <xf numFmtId="0" fontId="1" fillId="0" borderId="48" xfId="47" applyFill="1" applyBorder="1">
      <alignment/>
      <protection/>
    </xf>
    <xf numFmtId="0" fontId="1" fillId="4" borderId="48" xfId="47" applyFill="1" applyBorder="1">
      <alignment/>
      <protection/>
    </xf>
    <xf numFmtId="0" fontId="1" fillId="4" borderId="48" xfId="47" applyFont="1" applyFill="1" applyBorder="1">
      <alignment/>
      <protection/>
    </xf>
    <xf numFmtId="165" fontId="0" fillId="0" borderId="27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35" borderId="0" xfId="0" applyNumberFormat="1" applyFill="1" applyAlignment="1">
      <alignment/>
    </xf>
    <xf numFmtId="165" fontId="3" fillId="35" borderId="0" xfId="0" applyNumberFormat="1" applyFont="1" applyFill="1" applyAlignment="1">
      <alignment horizontal="center"/>
    </xf>
    <xf numFmtId="165" fontId="0" fillId="35" borderId="0" xfId="0" applyNumberFormat="1" applyFill="1" applyBorder="1" applyAlignment="1">
      <alignment horizontal="center"/>
    </xf>
    <xf numFmtId="165" fontId="0" fillId="35" borderId="16" xfId="0" applyNumberFormat="1" applyFont="1" applyFill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165" fontId="0" fillId="35" borderId="21" xfId="0" applyNumberFormat="1" applyFont="1" applyFill="1" applyBorder="1" applyAlignment="1">
      <alignment horizontal="center"/>
    </xf>
    <xf numFmtId="165" fontId="0" fillId="35" borderId="27" xfId="0" applyNumberFormat="1" applyFill="1" applyBorder="1" applyAlignment="1">
      <alignment horizontal="center"/>
    </xf>
    <xf numFmtId="165" fontId="0" fillId="35" borderId="28" xfId="0" applyNumberFormat="1" applyFill="1" applyBorder="1" applyAlignment="1">
      <alignment horizontal="center"/>
    </xf>
    <xf numFmtId="165" fontId="5" fillId="35" borderId="13" xfId="0" applyNumberFormat="1" applyFont="1" applyFill="1" applyBorder="1" applyAlignment="1">
      <alignment horizontal="center"/>
    </xf>
    <xf numFmtId="165" fontId="0" fillId="35" borderId="13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165" fontId="0" fillId="35" borderId="0" xfId="0" applyNumberFormat="1" applyFont="1" applyFill="1" applyBorder="1" applyAlignment="1">
      <alignment horizontal="center"/>
    </xf>
    <xf numFmtId="165" fontId="2" fillId="35" borderId="0" xfId="0" applyNumberFormat="1" applyFont="1" applyFill="1" applyBorder="1" applyAlignment="1">
      <alignment horizontal="center"/>
    </xf>
    <xf numFmtId="0" fontId="1" fillId="0" borderId="0" xfId="48" applyFont="1" applyFill="1" applyBorder="1">
      <alignment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48" applyFont="1" applyFill="1">
      <alignment/>
      <protection/>
    </xf>
    <xf numFmtId="0" fontId="1" fillId="0" borderId="0" xfId="48" applyFont="1" applyFill="1" applyAlignment="1">
      <alignment horizontal="center"/>
      <protection/>
    </xf>
    <xf numFmtId="0" fontId="21" fillId="0" borderId="0" xfId="48" applyFont="1" applyFill="1">
      <alignment/>
      <protection/>
    </xf>
    <xf numFmtId="0" fontId="19" fillId="0" borderId="0" xfId="48" applyFont="1" applyFill="1">
      <alignment/>
      <protection/>
    </xf>
    <xf numFmtId="0" fontId="21" fillId="0" borderId="0" xfId="48" applyFont="1" applyFill="1" applyBorder="1">
      <alignment/>
      <protection/>
    </xf>
    <xf numFmtId="0" fontId="19" fillId="0" borderId="0" xfId="48" applyFont="1" applyFill="1" applyAlignment="1">
      <alignment horizontal="left"/>
      <protection/>
    </xf>
    <xf numFmtId="0" fontId="19" fillId="0" borderId="0" xfId="48" applyFont="1" applyFill="1" applyBorder="1" applyAlignment="1">
      <alignment horizontal="left"/>
      <protection/>
    </xf>
    <xf numFmtId="0" fontId="19" fillId="0" borderId="0" xfId="48" applyFont="1" applyFill="1" applyAlignment="1">
      <alignment horizontal="right"/>
      <protection/>
    </xf>
    <xf numFmtId="0" fontId="19" fillId="0" borderId="0" xfId="48" applyFont="1" applyFill="1" applyBorder="1">
      <alignment/>
      <protection/>
    </xf>
    <xf numFmtId="0" fontId="19" fillId="0" borderId="0" xfId="48" applyFont="1" applyFill="1" applyBorder="1" applyAlignment="1">
      <alignment horizontal="right"/>
      <protection/>
    </xf>
    <xf numFmtId="0" fontId="7" fillId="36" borderId="0" xfId="48" applyFont="1" applyFill="1" applyBorder="1">
      <alignment/>
      <protection/>
    </xf>
    <xf numFmtId="0" fontId="19" fillId="36" borderId="0" xfId="48" applyFont="1" applyFill="1" applyBorder="1">
      <alignment/>
      <protection/>
    </xf>
    <xf numFmtId="0" fontId="19" fillId="36" borderId="0" xfId="48" applyFont="1" applyFill="1">
      <alignment/>
      <protection/>
    </xf>
    <xf numFmtId="0" fontId="7" fillId="0" borderId="0" xfId="48" applyFont="1" applyFill="1" applyBorder="1">
      <alignment/>
      <protection/>
    </xf>
    <xf numFmtId="49" fontId="22" fillId="0" borderId="0" xfId="48" applyNumberFormat="1" applyFont="1" applyFill="1" applyBorder="1" applyAlignment="1">
      <alignment horizontal="left"/>
      <protection/>
    </xf>
    <xf numFmtId="0" fontId="8" fillId="0" borderId="0" xfId="48" applyFont="1" applyFill="1" applyBorder="1">
      <alignment/>
      <protection/>
    </xf>
    <xf numFmtId="0" fontId="23" fillId="0" borderId="0" xfId="48" applyFont="1" applyFill="1" applyBorder="1">
      <alignment/>
      <protection/>
    </xf>
    <xf numFmtId="0" fontId="19" fillId="36" borderId="0" xfId="48" applyFont="1" applyFill="1" applyBorder="1" applyAlignment="1">
      <alignment horizontal="left"/>
      <protection/>
    </xf>
    <xf numFmtId="0" fontId="1" fillId="37" borderId="0" xfId="48" applyFont="1" applyFill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19" fillId="0" borderId="0" xfId="48" applyFont="1" applyFill="1" applyAlignment="1">
      <alignment horizontal="center"/>
      <protection/>
    </xf>
    <xf numFmtId="0" fontId="21" fillId="36" borderId="0" xfId="48" applyFont="1" applyFill="1" applyBorder="1" applyAlignment="1">
      <alignment horizontal="right"/>
      <protection/>
    </xf>
    <xf numFmtId="165" fontId="21" fillId="0" borderId="0" xfId="48" applyNumberFormat="1" applyFont="1" applyFill="1" applyBorder="1">
      <alignment/>
      <protection/>
    </xf>
    <xf numFmtId="0" fontId="24" fillId="0" borderId="0" xfId="48" applyFont="1" applyFill="1" applyBorder="1">
      <alignment/>
      <protection/>
    </xf>
    <xf numFmtId="0" fontId="17" fillId="0" borderId="0" xfId="48">
      <alignment/>
      <protection/>
    </xf>
    <xf numFmtId="0" fontId="20" fillId="37" borderId="0" xfId="48" applyFont="1" applyFill="1" applyBorder="1">
      <alignment/>
      <protection/>
    </xf>
    <xf numFmtId="165" fontId="3" fillId="0" borderId="0" xfId="0" applyNumberFormat="1" applyFont="1" applyFill="1" applyAlignment="1">
      <alignment horizontal="center"/>
    </xf>
    <xf numFmtId="0" fontId="8" fillId="0" borderId="0" xfId="47" applyFont="1">
      <alignment/>
      <protection/>
    </xf>
    <xf numFmtId="0" fontId="8" fillId="0" borderId="0" xfId="47" applyFont="1" applyFill="1" applyAlignment="1">
      <alignment horizontal="left"/>
      <protection/>
    </xf>
    <xf numFmtId="0" fontId="1" fillId="0" borderId="0" xfId="47" applyAlignment="1">
      <alignment horizontal="right"/>
      <protection/>
    </xf>
    <xf numFmtId="16" fontId="1" fillId="0" borderId="0" xfId="47" applyNumberFormat="1" applyFill="1">
      <alignment/>
      <protection/>
    </xf>
    <xf numFmtId="0" fontId="8" fillId="0" borderId="0" xfId="47" applyFont="1" applyAlignment="1">
      <alignment horizontal="center"/>
      <protection/>
    </xf>
    <xf numFmtId="0" fontId="8" fillId="0" borderId="0" xfId="47" applyFont="1" applyFill="1">
      <alignment/>
      <protection/>
    </xf>
    <xf numFmtId="0" fontId="1" fillId="0" borderId="0" xfId="47" applyAlignment="1">
      <alignment horizontal="left"/>
      <protection/>
    </xf>
    <xf numFmtId="0" fontId="26" fillId="0" borderId="0" xfId="48" applyFont="1">
      <alignment/>
      <protection/>
    </xf>
    <xf numFmtId="0" fontId="0" fillId="0" borderId="0" xfId="48" applyFont="1" applyFill="1">
      <alignment/>
      <protection/>
    </xf>
    <xf numFmtId="0" fontId="0" fillId="36" borderId="0" xfId="48" applyFont="1" applyFill="1">
      <alignment/>
      <protection/>
    </xf>
    <xf numFmtId="0" fontId="0" fillId="0" borderId="0" xfId="48" applyFont="1" applyFill="1" applyAlignment="1">
      <alignment horizontal="right"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horizontal="right"/>
      <protection/>
    </xf>
    <xf numFmtId="0" fontId="0" fillId="36" borderId="0" xfId="48" applyFont="1" applyFill="1" applyBorder="1" applyAlignment="1">
      <alignment horizontal="right"/>
      <protection/>
    </xf>
    <xf numFmtId="0" fontId="28" fillId="0" borderId="0" xfId="48" applyFont="1" applyFill="1" applyBorder="1" applyAlignment="1">
      <alignment horizontal="right"/>
      <protection/>
    </xf>
    <xf numFmtId="0" fontId="0" fillId="37" borderId="0" xfId="48" applyFont="1" applyFill="1" applyBorder="1" applyAlignment="1">
      <alignment horizontal="right"/>
      <protection/>
    </xf>
    <xf numFmtId="0" fontId="0" fillId="36" borderId="0" xfId="48" applyFont="1" applyFill="1" applyAlignment="1">
      <alignment horizontal="right"/>
      <protection/>
    </xf>
    <xf numFmtId="0" fontId="0" fillId="0" borderId="0" xfId="48" applyFont="1" applyFill="1" applyBorder="1" applyAlignment="1">
      <alignment horizontal="left"/>
      <protection/>
    </xf>
    <xf numFmtId="0" fontId="25" fillId="0" borderId="0" xfId="48" applyFont="1" applyFill="1">
      <alignment/>
      <protection/>
    </xf>
    <xf numFmtId="0" fontId="29" fillId="0" borderId="0" xfId="46" applyFont="1" applyFill="1">
      <alignment/>
      <protection/>
    </xf>
    <xf numFmtId="0" fontId="30" fillId="0" borderId="0" xfId="46" applyFont="1" applyFill="1">
      <alignment/>
      <protection/>
    </xf>
    <xf numFmtId="0" fontId="30" fillId="0" borderId="0" xfId="48" applyFont="1" applyFill="1">
      <alignment/>
      <protection/>
    </xf>
    <xf numFmtId="0" fontId="30" fillId="0" borderId="0" xfId="48" applyFont="1" applyFill="1" applyBorder="1" applyAlignment="1">
      <alignment horizontal="left"/>
      <protection/>
    </xf>
    <xf numFmtId="0" fontId="29" fillId="36" borderId="0" xfId="48" applyFont="1" applyFill="1" applyBorder="1">
      <alignment/>
      <protection/>
    </xf>
    <xf numFmtId="0" fontId="30" fillId="0" borderId="0" xfId="48" applyFont="1" applyFill="1" applyBorder="1">
      <alignment/>
      <protection/>
    </xf>
    <xf numFmtId="0" fontId="31" fillId="0" borderId="0" xfId="48" applyFont="1" applyFill="1" applyBorder="1">
      <alignment/>
      <protection/>
    </xf>
    <xf numFmtId="0" fontId="25" fillId="0" borderId="0" xfId="48" applyFont="1" applyFill="1" applyBorder="1">
      <alignment/>
      <protection/>
    </xf>
    <xf numFmtId="0" fontId="29" fillId="36" borderId="0" xfId="48" applyFont="1" applyFill="1" applyBorder="1" applyAlignment="1">
      <alignment horizontal="left"/>
      <protection/>
    </xf>
    <xf numFmtId="0" fontId="25" fillId="37" borderId="0" xfId="48" applyFont="1" applyFill="1" applyBorder="1" applyAlignment="1">
      <alignment horizontal="left"/>
      <protection/>
    </xf>
    <xf numFmtId="0" fontId="31" fillId="0" borderId="0" xfId="48" applyFont="1" applyFill="1">
      <alignment/>
      <protection/>
    </xf>
    <xf numFmtId="0" fontId="30" fillId="36" borderId="0" xfId="48" applyFont="1" applyFill="1" applyBorder="1">
      <alignment/>
      <protection/>
    </xf>
    <xf numFmtId="0" fontId="33" fillId="0" borderId="0" xfId="48" applyFont="1">
      <alignment/>
      <protection/>
    </xf>
    <xf numFmtId="0" fontId="30" fillId="38" borderId="0" xfId="48" applyFont="1" applyFill="1" applyBorder="1">
      <alignment/>
      <protection/>
    </xf>
    <xf numFmtId="0" fontId="8" fillId="38" borderId="0" xfId="48" applyFont="1" applyFill="1" applyBorder="1">
      <alignment/>
      <protection/>
    </xf>
    <xf numFmtId="0" fontId="19" fillId="38" borderId="0" xfId="48" applyFont="1" applyFill="1" applyBorder="1">
      <alignment/>
      <protection/>
    </xf>
    <xf numFmtId="0" fontId="0" fillId="38" borderId="0" xfId="48" applyFont="1" applyFill="1" applyBorder="1" applyAlignment="1">
      <alignment horizontal="right"/>
      <protection/>
    </xf>
    <xf numFmtId="2" fontId="0" fillId="0" borderId="0" xfId="48" applyNumberFormat="1" applyFont="1" applyFill="1" applyAlignment="1">
      <alignment horizontal="right"/>
      <protection/>
    </xf>
    <xf numFmtId="165" fontId="0" fillId="0" borderId="71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" fontId="5" fillId="33" borderId="65" xfId="0" applyNumberFormat="1" applyFont="1" applyFill="1" applyBorder="1" applyAlignment="1">
      <alignment horizontal="center"/>
    </xf>
    <xf numFmtId="0" fontId="1" fillId="0" borderId="0" xfId="47" applyFill="1" applyAlignment="1">
      <alignment horizontal="left"/>
      <protection/>
    </xf>
    <xf numFmtId="0" fontId="1" fillId="0" borderId="0" xfId="47" applyFill="1" applyAlignment="1">
      <alignment horizontal="right"/>
      <protection/>
    </xf>
    <xf numFmtId="0" fontId="7" fillId="0" borderId="0" xfId="47" applyFont="1">
      <alignment/>
      <protection/>
    </xf>
    <xf numFmtId="0" fontId="0" fillId="0" borderId="0" xfId="48" applyFont="1" applyFill="1" applyAlignment="1">
      <alignment horizontal="center"/>
      <protection/>
    </xf>
    <xf numFmtId="166" fontId="18" fillId="0" borderId="0" xfId="48" applyNumberFormat="1" applyFont="1" applyFill="1" applyBorder="1" applyAlignment="1">
      <alignment horizontal="right"/>
      <protection/>
    </xf>
    <xf numFmtId="166" fontId="18" fillId="0" borderId="0" xfId="48" applyNumberFormat="1" applyFont="1" applyFill="1" applyAlignment="1">
      <alignment horizontal="right"/>
      <protection/>
    </xf>
    <xf numFmtId="165" fontId="8" fillId="0" borderId="0" xfId="48" applyNumberFormat="1" applyFont="1" applyFill="1" applyAlignment="1">
      <alignment horizontal="right"/>
      <protection/>
    </xf>
    <xf numFmtId="0" fontId="19" fillId="37" borderId="0" xfId="48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65" fontId="2" fillId="0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5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1" fontId="5" fillId="4" borderId="65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8" fontId="1" fillId="0" borderId="0" xfId="47" applyNumberFormat="1" applyFill="1" applyAlignment="1">
      <alignment horizontal="right"/>
      <protection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48" applyFont="1">
      <alignment/>
      <protection/>
    </xf>
    <xf numFmtId="0" fontId="17" fillId="0" borderId="0" xfId="48" applyFill="1">
      <alignment/>
      <protection/>
    </xf>
    <xf numFmtId="0" fontId="17" fillId="0" borderId="0" xfId="48" applyFill="1" applyAlignment="1">
      <alignment horizontal="right"/>
      <protection/>
    </xf>
    <xf numFmtId="0" fontId="27" fillId="0" borderId="0" xfId="48" applyFont="1" applyFill="1">
      <alignment/>
      <protection/>
    </xf>
    <xf numFmtId="166" fontId="2" fillId="0" borderId="0" xfId="48" applyNumberFormat="1" applyFont="1" applyFill="1" applyBorder="1" applyAlignment="1">
      <alignment horizontal="right"/>
      <protection/>
    </xf>
    <xf numFmtId="0" fontId="25" fillId="0" borderId="0" xfId="0" applyFont="1" applyFill="1" applyAlignment="1">
      <alignment/>
    </xf>
    <xf numFmtId="166" fontId="8" fillId="39" borderId="0" xfId="48" applyNumberFormat="1" applyFont="1" applyFill="1" applyBorder="1" applyAlignment="1">
      <alignment horizontal="right"/>
      <protection/>
    </xf>
    <xf numFmtId="0" fontId="19" fillId="39" borderId="0" xfId="48" applyFont="1" applyFill="1" applyBorder="1" applyAlignment="1">
      <alignment horizontal="left"/>
      <protection/>
    </xf>
    <xf numFmtId="165" fontId="0" fillId="0" borderId="44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65" fontId="0" fillId="0" borderId="39" xfId="0" applyNumberFormat="1" applyFill="1" applyBorder="1" applyAlignment="1">
      <alignment horizontal="center"/>
    </xf>
    <xf numFmtId="165" fontId="0" fillId="0" borderId="36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0" fillId="39" borderId="27" xfId="0" applyNumberFormat="1" applyFill="1" applyBorder="1" applyAlignment="1">
      <alignment horizontal="center"/>
    </xf>
    <xf numFmtId="165" fontId="0" fillId="40" borderId="26" xfId="0" applyNumberFormat="1" applyFill="1" applyBorder="1" applyAlignment="1">
      <alignment horizontal="center"/>
    </xf>
    <xf numFmtId="165" fontId="0" fillId="40" borderId="27" xfId="0" applyNumberFormat="1" applyFill="1" applyBorder="1" applyAlignment="1">
      <alignment horizontal="center"/>
    </xf>
    <xf numFmtId="2" fontId="0" fillId="41" borderId="26" xfId="0" applyNumberFormat="1" applyFill="1" applyBorder="1" applyAlignment="1">
      <alignment horizontal="center"/>
    </xf>
    <xf numFmtId="2" fontId="0" fillId="41" borderId="26" xfId="0" applyNumberFormat="1" applyFont="1" applyFill="1" applyBorder="1" applyAlignment="1">
      <alignment horizontal="center"/>
    </xf>
    <xf numFmtId="165" fontId="0" fillId="0" borderId="71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41" borderId="26" xfId="0" applyNumberFormat="1" applyFill="1" applyBorder="1" applyAlignment="1">
      <alignment horizontal="center"/>
    </xf>
    <xf numFmtId="165" fontId="0" fillId="39" borderId="31" xfId="0" applyNumberFormat="1" applyFill="1" applyBorder="1" applyAlignment="1">
      <alignment horizontal="center"/>
    </xf>
    <xf numFmtId="165" fontId="92" fillId="42" borderId="27" xfId="0" applyNumberFormat="1" applyFont="1" applyFill="1" applyBorder="1" applyAlignment="1">
      <alignment horizontal="center"/>
    </xf>
    <xf numFmtId="165" fontId="0" fillId="39" borderId="26" xfId="0" applyNumberForma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65" fontId="0" fillId="35" borderId="27" xfId="0" applyNumberFormat="1" applyFont="1" applyFill="1" applyBorder="1" applyAlignment="1">
      <alignment horizontal="center"/>
    </xf>
    <xf numFmtId="165" fontId="0" fillId="41" borderId="0" xfId="0" applyNumberFormat="1" applyFill="1" applyBorder="1" applyAlignment="1">
      <alignment horizontal="center"/>
    </xf>
    <xf numFmtId="165" fontId="0" fillId="35" borderId="29" xfId="0" applyNumberFormat="1" applyFill="1" applyBorder="1" applyAlignment="1">
      <alignment horizontal="center"/>
    </xf>
    <xf numFmtId="165" fontId="0" fillId="35" borderId="40" xfId="0" applyNumberFormat="1" applyFill="1" applyBorder="1" applyAlignment="1">
      <alignment horizontal="center"/>
    </xf>
    <xf numFmtId="165" fontId="0" fillId="35" borderId="26" xfId="0" applyNumberFormat="1" applyFill="1" applyBorder="1" applyAlignment="1">
      <alignment horizontal="center"/>
    </xf>
    <xf numFmtId="165" fontId="6" fillId="0" borderId="72" xfId="0" applyNumberFormat="1" applyFont="1" applyFill="1" applyBorder="1" applyAlignment="1">
      <alignment horizontal="center"/>
    </xf>
    <xf numFmtId="165" fontId="6" fillId="0" borderId="73" xfId="0" applyNumberFormat="1" applyFont="1" applyFill="1" applyBorder="1" applyAlignment="1">
      <alignment horizontal="center"/>
    </xf>
    <xf numFmtId="165" fontId="6" fillId="0" borderId="74" xfId="0" applyNumberFormat="1" applyFont="1" applyFill="1" applyBorder="1" applyAlignment="1">
      <alignment horizontal="center"/>
    </xf>
    <xf numFmtId="165" fontId="6" fillId="0" borderId="75" xfId="0" applyNumberFormat="1" applyFont="1" applyFill="1" applyBorder="1" applyAlignment="1">
      <alignment horizontal="center"/>
    </xf>
    <xf numFmtId="165" fontId="0" fillId="32" borderId="24" xfId="0" applyNumberFormat="1" applyFont="1" applyFill="1" applyBorder="1" applyAlignment="1">
      <alignment horizontal="center"/>
    </xf>
    <xf numFmtId="0" fontId="0" fillId="0" borderId="76" xfId="0" applyBorder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77" xfId="0" applyFont="1" applyFill="1" applyBorder="1" applyAlignment="1">
      <alignment/>
    </xf>
    <xf numFmtId="165" fontId="8" fillId="0" borderId="77" xfId="0" applyNumberFormat="1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77" xfId="0" applyFont="1" applyFill="1" applyBorder="1" applyAlignment="1">
      <alignment horizontal="right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165" fontId="0" fillId="0" borderId="86" xfId="0" applyNumberFormat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65" fontId="2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165" fontId="8" fillId="39" borderId="0" xfId="0" applyNumberFormat="1" applyFont="1" applyFill="1" applyBorder="1" applyAlignment="1">
      <alignment/>
    </xf>
    <xf numFmtId="0" fontId="2" fillId="39" borderId="0" xfId="0" applyFont="1" applyFill="1" applyAlignment="1">
      <alignment/>
    </xf>
    <xf numFmtId="165" fontId="8" fillId="39" borderId="77" xfId="0" applyNumberFormat="1" applyFont="1" applyFill="1" applyBorder="1" applyAlignment="1">
      <alignment/>
    </xf>
    <xf numFmtId="165" fontId="0" fillId="44" borderId="26" xfId="0" applyNumberFormat="1" applyFill="1" applyBorder="1" applyAlignment="1">
      <alignment horizontal="center"/>
    </xf>
    <xf numFmtId="165" fontId="0" fillId="44" borderId="27" xfId="0" applyNumberFormat="1" applyFill="1" applyBorder="1" applyAlignment="1">
      <alignment horizontal="center"/>
    </xf>
    <xf numFmtId="164" fontId="0" fillId="44" borderId="25" xfId="0" applyNumberFormat="1" applyFill="1" applyBorder="1" applyAlignment="1">
      <alignment horizontal="center"/>
    </xf>
    <xf numFmtId="0" fontId="1" fillId="0" borderId="0" xfId="47" applyFill="1" applyAlignment="1">
      <alignment horizontal="left" vertical="center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 applyAlignment="1">
      <alignment horizontal="center"/>
      <protection/>
    </xf>
    <xf numFmtId="0" fontId="19" fillId="0" borderId="0" xfId="46" applyFont="1" applyFill="1">
      <alignment/>
      <protection/>
    </xf>
    <xf numFmtId="0" fontId="7" fillId="0" borderId="0" xfId="46" applyFont="1" applyFill="1" applyBorder="1">
      <alignment/>
      <protection/>
    </xf>
    <xf numFmtId="0" fontId="8" fillId="0" borderId="0" xfId="46" applyFont="1" applyFill="1" applyBorder="1">
      <alignment/>
      <protection/>
    </xf>
    <xf numFmtId="0" fontId="21" fillId="0" borderId="0" xfId="46" applyFont="1" applyFill="1">
      <alignment/>
      <protection/>
    </xf>
    <xf numFmtId="0" fontId="19" fillId="0" borderId="0" xfId="46" applyFont="1" applyFill="1" applyBorder="1" applyAlignment="1">
      <alignment horizontal="right"/>
      <protection/>
    </xf>
    <xf numFmtId="165" fontId="21" fillId="0" borderId="0" xfId="46" applyNumberFormat="1" applyFont="1" applyFill="1" applyBorder="1">
      <alignment/>
      <protection/>
    </xf>
    <xf numFmtId="0" fontId="21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9" fillId="0" borderId="0" xfId="46" applyFont="1" applyFill="1" applyAlignment="1">
      <alignment horizontal="right"/>
      <protection/>
    </xf>
    <xf numFmtId="165" fontId="21" fillId="0" borderId="0" xfId="46" applyNumberFormat="1" applyFont="1" applyFill="1" applyBorder="1" applyAlignment="1">
      <alignment horizontal="right"/>
      <protection/>
    </xf>
    <xf numFmtId="0" fontId="1" fillId="0" borderId="0" xfId="46" applyFont="1" applyFill="1" applyBorder="1">
      <alignment/>
      <protection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0" fontId="1" fillId="0" borderId="0" xfId="46" applyFont="1" applyFill="1" applyBorder="1" applyAlignment="1">
      <alignment horizontal="center"/>
      <protection/>
    </xf>
    <xf numFmtId="0" fontId="19" fillId="0" borderId="0" xfId="46" applyFont="1" applyFill="1" applyBorder="1">
      <alignment/>
      <protection/>
    </xf>
    <xf numFmtId="165" fontId="19" fillId="0" borderId="0" xfId="46" applyNumberFormat="1" applyFont="1" applyFill="1" applyBorder="1">
      <alignment/>
      <protection/>
    </xf>
    <xf numFmtId="165" fontId="19" fillId="0" borderId="0" xfId="46" applyNumberFormat="1" applyFont="1" applyFill="1">
      <alignment/>
      <protection/>
    </xf>
    <xf numFmtId="0" fontId="7" fillId="0" borderId="0" xfId="46" applyFont="1" applyFill="1" applyBorder="1" applyAlignment="1">
      <alignment horizontal="left"/>
      <protection/>
    </xf>
    <xf numFmtId="165" fontId="21" fillId="0" borderId="0" xfId="46" applyNumberFormat="1" applyFont="1" applyFill="1">
      <alignment/>
      <protection/>
    </xf>
    <xf numFmtId="0" fontId="19" fillId="0" borderId="0" xfId="46" applyFont="1" applyFill="1" applyBorder="1" applyAlignment="1">
      <alignment horizontal="center"/>
      <protection/>
    </xf>
    <xf numFmtId="1" fontId="21" fillId="0" borderId="0" xfId="46" applyNumberFormat="1" applyFont="1" applyFill="1">
      <alignment/>
      <protection/>
    </xf>
    <xf numFmtId="0" fontId="19" fillId="0" borderId="0" xfId="46" applyFont="1" applyFill="1" applyAlignment="1">
      <alignment horizontal="center"/>
      <protection/>
    </xf>
    <xf numFmtId="0" fontId="25" fillId="0" borderId="0" xfId="46" applyFont="1" applyFill="1">
      <alignment/>
      <protection/>
    </xf>
    <xf numFmtId="164" fontId="38" fillId="0" borderId="0" xfId="46" applyNumberFormat="1" applyFont="1">
      <alignment/>
      <protection/>
    </xf>
    <xf numFmtId="165" fontId="19" fillId="0" borderId="0" xfId="46" applyNumberFormat="1" applyFont="1" applyAlignment="1">
      <alignment horizontal="left"/>
      <protection/>
    </xf>
    <xf numFmtId="165" fontId="19" fillId="0" borderId="0" xfId="46" applyNumberFormat="1" applyFont="1">
      <alignment/>
      <protection/>
    </xf>
    <xf numFmtId="165" fontId="38" fillId="0" borderId="0" xfId="46" applyNumberFormat="1" applyFont="1" applyAlignment="1">
      <alignment horizontal="right"/>
      <protection/>
    </xf>
    <xf numFmtId="165" fontId="38" fillId="0" borderId="0" xfId="46" applyNumberFormat="1" applyFont="1">
      <alignment/>
      <protection/>
    </xf>
    <xf numFmtId="0" fontId="1" fillId="0" borderId="0" xfId="47" applyFont="1" applyFill="1">
      <alignment/>
      <protection/>
    </xf>
    <xf numFmtId="0" fontId="25" fillId="0" borderId="0" xfId="47" applyFont="1" applyFill="1">
      <alignment/>
      <protection/>
    </xf>
    <xf numFmtId="165" fontId="8" fillId="0" borderId="0" xfId="48" applyNumberFormat="1" applyFont="1" applyFill="1" applyBorder="1" applyAlignment="1">
      <alignment horizontal="right"/>
      <protection/>
    </xf>
    <xf numFmtId="0" fontId="8" fillId="0" borderId="0" xfId="47" applyFont="1" applyFill="1" applyAlignment="1">
      <alignment horizontal="right"/>
      <protection/>
    </xf>
    <xf numFmtId="166" fontId="2" fillId="45" borderId="0" xfId="48" applyNumberFormat="1" applyFont="1" applyFill="1" applyBorder="1" applyAlignment="1">
      <alignment horizontal="right"/>
      <protection/>
    </xf>
    <xf numFmtId="0" fontId="8" fillId="0" borderId="0" xfId="48" applyFont="1" applyFill="1" applyAlignment="1">
      <alignment horizontal="right"/>
      <protection/>
    </xf>
    <xf numFmtId="0" fontId="21" fillId="0" borderId="0" xfId="48" applyFont="1" applyFill="1" applyAlignment="1">
      <alignment horizontal="left"/>
      <protection/>
    </xf>
    <xf numFmtId="0" fontId="25" fillId="0" borderId="0" xfId="47" applyFont="1">
      <alignment/>
      <protection/>
    </xf>
    <xf numFmtId="0" fontId="40" fillId="0" borderId="0" xfId="47" applyFont="1" applyAlignment="1">
      <alignment vertical="center"/>
      <protection/>
    </xf>
    <xf numFmtId="164" fontId="25" fillId="0" borderId="32" xfId="47" applyNumberFormat="1" applyFont="1" applyBorder="1" applyAlignment="1">
      <alignment horizontal="center"/>
      <protection/>
    </xf>
    <xf numFmtId="0" fontId="25" fillId="0" borderId="87" xfId="47" applyFont="1" applyBorder="1" applyAlignment="1">
      <alignment horizontal="center"/>
      <protection/>
    </xf>
    <xf numFmtId="0" fontId="25" fillId="0" borderId="88" xfId="47" applyFont="1" applyBorder="1" applyAlignment="1">
      <alignment horizontal="center"/>
      <protection/>
    </xf>
    <xf numFmtId="0" fontId="25" fillId="0" borderId="89" xfId="47" applyFont="1" applyBorder="1" applyAlignment="1">
      <alignment horizontal="center"/>
      <protection/>
    </xf>
    <xf numFmtId="164" fontId="25" fillId="0" borderId="90" xfId="47" applyNumberFormat="1" applyFont="1" applyBorder="1" applyAlignment="1">
      <alignment horizontal="center"/>
      <protection/>
    </xf>
    <xf numFmtId="164" fontId="25" fillId="0" borderId="91" xfId="47" applyNumberFormat="1" applyFont="1" applyBorder="1" applyAlignment="1">
      <alignment horizontal="center"/>
      <protection/>
    </xf>
    <xf numFmtId="164" fontId="30" fillId="0" borderId="92" xfId="47" applyNumberFormat="1" applyFont="1" applyBorder="1" applyAlignment="1">
      <alignment horizontal="center"/>
      <protection/>
    </xf>
    <xf numFmtId="0" fontId="25" fillId="0" borderId="87" xfId="47" applyFont="1" applyBorder="1">
      <alignment/>
      <protection/>
    </xf>
    <xf numFmtId="0" fontId="25" fillId="0" borderId="89" xfId="47" applyFont="1" applyBorder="1">
      <alignment/>
      <protection/>
    </xf>
    <xf numFmtId="0" fontId="30" fillId="0" borderId="93" xfId="47" applyFont="1" applyFill="1" applyBorder="1">
      <alignment/>
      <protection/>
    </xf>
    <xf numFmtId="0" fontId="25" fillId="0" borderId="94" xfId="47" applyFont="1" applyFill="1" applyBorder="1">
      <alignment/>
      <protection/>
    </xf>
    <xf numFmtId="0" fontId="25" fillId="0" borderId="95" xfId="47" applyFont="1" applyFill="1" applyBorder="1" applyAlignment="1">
      <alignment horizontal="right"/>
      <protection/>
    </xf>
    <xf numFmtId="168" fontId="25" fillId="0" borderId="93" xfId="47" applyNumberFormat="1" applyFont="1" applyFill="1" applyBorder="1" applyAlignment="1">
      <alignment horizontal="right"/>
      <protection/>
    </xf>
    <xf numFmtId="168" fontId="25" fillId="0" borderId="96" xfId="47" applyNumberFormat="1" applyFont="1" applyFill="1" applyBorder="1" applyAlignment="1">
      <alignment horizontal="right"/>
      <protection/>
    </xf>
    <xf numFmtId="168" fontId="30" fillId="0" borderId="48" xfId="47" applyNumberFormat="1" applyFont="1" applyFill="1" applyBorder="1">
      <alignment/>
      <protection/>
    </xf>
    <xf numFmtId="0" fontId="30" fillId="0" borderId="0" xfId="47" applyFont="1" applyFill="1" applyBorder="1">
      <alignment/>
      <protection/>
    </xf>
    <xf numFmtId="0" fontId="25" fillId="0" borderId="93" xfId="47" applyFont="1" applyFill="1" applyBorder="1" applyAlignment="1">
      <alignment horizontal="right"/>
      <protection/>
    </xf>
    <xf numFmtId="0" fontId="25" fillId="0" borderId="95" xfId="47" applyFont="1" applyFill="1" applyBorder="1">
      <alignment/>
      <protection/>
    </xf>
    <xf numFmtId="0" fontId="30" fillId="0" borderId="0" xfId="47" applyFont="1" applyFill="1">
      <alignment/>
      <protection/>
    </xf>
    <xf numFmtId="0" fontId="41" fillId="0" borderId="0" xfId="47" applyFont="1" applyFill="1">
      <alignment/>
      <protection/>
    </xf>
    <xf numFmtId="0" fontId="25" fillId="0" borderId="0" xfId="47" applyFont="1" applyFill="1" applyAlignment="1">
      <alignment horizontal="left"/>
      <protection/>
    </xf>
    <xf numFmtId="0" fontId="30" fillId="0" borderId="17" xfId="47" applyFont="1" applyFill="1" applyBorder="1">
      <alignment/>
      <protection/>
    </xf>
    <xf numFmtId="0" fontId="25" fillId="0" borderId="75" xfId="47" applyFont="1" applyFill="1" applyBorder="1">
      <alignment/>
      <protection/>
    </xf>
    <xf numFmtId="0" fontId="25" fillId="0" borderId="73" xfId="47" applyFont="1" applyFill="1" applyBorder="1" applyAlignment="1">
      <alignment horizontal="right"/>
      <protection/>
    </xf>
    <xf numFmtId="1" fontId="25" fillId="32" borderId="97" xfId="47" applyNumberFormat="1" applyFont="1" applyFill="1" applyBorder="1" applyAlignment="1">
      <alignment horizontal="right"/>
      <protection/>
    </xf>
    <xf numFmtId="1" fontId="25" fillId="32" borderId="98" xfId="47" applyNumberFormat="1" applyFont="1" applyFill="1" applyBorder="1" applyAlignment="1">
      <alignment horizontal="right"/>
      <protection/>
    </xf>
    <xf numFmtId="1" fontId="30" fillId="32" borderId="70" xfId="47" applyNumberFormat="1" applyFont="1" applyFill="1" applyBorder="1">
      <alignment/>
      <protection/>
    </xf>
    <xf numFmtId="0" fontId="25" fillId="0" borderId="97" xfId="47" applyFont="1" applyFill="1" applyBorder="1" applyAlignment="1">
      <alignment horizontal="right"/>
      <protection/>
    </xf>
    <xf numFmtId="0" fontId="25" fillId="0" borderId="73" xfId="47" applyFont="1" applyFill="1" applyBorder="1">
      <alignment/>
      <protection/>
    </xf>
    <xf numFmtId="0" fontId="41" fillId="0" borderId="99" xfId="47" applyFont="1" applyFill="1" applyBorder="1">
      <alignment/>
      <protection/>
    </xf>
    <xf numFmtId="0" fontId="25" fillId="0" borderId="81" xfId="47" applyFont="1" applyFill="1" applyBorder="1" applyAlignment="1">
      <alignment horizontal="right"/>
      <protection/>
    </xf>
    <xf numFmtId="1" fontId="41" fillId="0" borderId="83" xfId="47" applyNumberFormat="1" applyFont="1" applyFill="1" applyBorder="1" applyAlignment="1">
      <alignment horizontal="right"/>
      <protection/>
    </xf>
    <xf numFmtId="1" fontId="41" fillId="0" borderId="82" xfId="47" applyNumberFormat="1" applyFont="1" applyFill="1" applyBorder="1" applyAlignment="1">
      <alignment horizontal="right"/>
      <protection/>
    </xf>
    <xf numFmtId="1" fontId="42" fillId="0" borderId="100" xfId="47" applyNumberFormat="1" applyFont="1" applyFill="1" applyBorder="1">
      <alignment/>
      <protection/>
    </xf>
    <xf numFmtId="0" fontId="42" fillId="0" borderId="0" xfId="47" applyFont="1" applyFill="1" applyBorder="1">
      <alignment/>
      <protection/>
    </xf>
    <xf numFmtId="0" fontId="25" fillId="0" borderId="83" xfId="47" applyFont="1" applyFill="1" applyBorder="1" applyAlignment="1">
      <alignment horizontal="right"/>
      <protection/>
    </xf>
    <xf numFmtId="0" fontId="41" fillId="0" borderId="81" xfId="47" applyFont="1" applyFill="1" applyBorder="1">
      <alignment/>
      <protection/>
    </xf>
    <xf numFmtId="0" fontId="42" fillId="0" borderId="0" xfId="47" applyFont="1" applyFill="1">
      <alignment/>
      <protection/>
    </xf>
    <xf numFmtId="0" fontId="41" fillId="0" borderId="0" xfId="47" applyFont="1" applyFill="1" applyAlignment="1">
      <alignment horizontal="left"/>
      <protection/>
    </xf>
    <xf numFmtId="0" fontId="25" fillId="0" borderId="99" xfId="47" applyFont="1" applyFill="1" applyBorder="1">
      <alignment/>
      <protection/>
    </xf>
    <xf numFmtId="168" fontId="25" fillId="0" borderId="83" xfId="47" applyNumberFormat="1" applyFont="1" applyFill="1" applyBorder="1" applyAlignment="1">
      <alignment horizontal="right"/>
      <protection/>
    </xf>
    <xf numFmtId="168" fontId="25" fillId="0" borderId="82" xfId="47" applyNumberFormat="1" applyFont="1" applyFill="1" applyBorder="1" applyAlignment="1">
      <alignment horizontal="right"/>
      <protection/>
    </xf>
    <xf numFmtId="168" fontId="30" fillId="0" borderId="100" xfId="47" applyNumberFormat="1" applyFont="1" applyFill="1" applyBorder="1">
      <alignment/>
      <protection/>
    </xf>
    <xf numFmtId="0" fontId="25" fillId="0" borderId="81" xfId="47" applyFont="1" applyFill="1" applyBorder="1">
      <alignment/>
      <protection/>
    </xf>
    <xf numFmtId="0" fontId="44" fillId="0" borderId="0" xfId="47" applyFont="1" applyFill="1">
      <alignment/>
      <protection/>
    </xf>
    <xf numFmtId="0" fontId="25" fillId="0" borderId="101" xfId="47" applyFont="1" applyFill="1" applyBorder="1">
      <alignment/>
      <protection/>
    </xf>
    <xf numFmtId="0" fontId="25" fillId="0" borderId="102" xfId="47" applyFont="1" applyFill="1" applyBorder="1" applyAlignment="1">
      <alignment horizontal="right"/>
      <protection/>
    </xf>
    <xf numFmtId="168" fontId="25" fillId="0" borderId="103" xfId="47" applyNumberFormat="1" applyFont="1" applyFill="1" applyBorder="1" applyAlignment="1">
      <alignment horizontal="right"/>
      <protection/>
    </xf>
    <xf numFmtId="168" fontId="25" fillId="0" borderId="101" xfId="47" applyNumberFormat="1" applyFont="1" applyFill="1" applyBorder="1" applyAlignment="1">
      <alignment horizontal="right"/>
      <protection/>
    </xf>
    <xf numFmtId="168" fontId="30" fillId="0" borderId="104" xfId="47" applyNumberFormat="1" applyFont="1" applyFill="1" applyBorder="1">
      <alignment/>
      <protection/>
    </xf>
    <xf numFmtId="0" fontId="25" fillId="0" borderId="103" xfId="47" applyFont="1" applyFill="1" applyBorder="1" applyAlignment="1">
      <alignment horizontal="right"/>
      <protection/>
    </xf>
    <xf numFmtId="0" fontId="25" fillId="0" borderId="102" xfId="47" applyFont="1" applyFill="1" applyBorder="1">
      <alignment/>
      <protection/>
    </xf>
    <xf numFmtId="0" fontId="25" fillId="0" borderId="44" xfId="47" applyFont="1" applyFill="1" applyBorder="1">
      <alignment/>
      <protection/>
    </xf>
    <xf numFmtId="168" fontId="25" fillId="32" borderId="97" xfId="47" applyNumberFormat="1" applyFont="1" applyFill="1" applyBorder="1" applyAlignment="1">
      <alignment horizontal="right"/>
      <protection/>
    </xf>
    <xf numFmtId="168" fontId="25" fillId="32" borderId="98" xfId="47" applyNumberFormat="1" applyFont="1" applyFill="1" applyBorder="1" applyAlignment="1">
      <alignment horizontal="right"/>
      <protection/>
    </xf>
    <xf numFmtId="168" fontId="30" fillId="32" borderId="70" xfId="47" applyNumberFormat="1" applyFont="1" applyFill="1" applyBorder="1">
      <alignment/>
      <protection/>
    </xf>
    <xf numFmtId="0" fontId="25" fillId="0" borderId="49" xfId="47" applyFont="1" applyFill="1" applyBorder="1">
      <alignment/>
      <protection/>
    </xf>
    <xf numFmtId="0" fontId="25" fillId="0" borderId="98" xfId="47" applyFont="1" applyFill="1" applyBorder="1">
      <alignment/>
      <protection/>
    </xf>
    <xf numFmtId="0" fontId="25" fillId="0" borderId="105" xfId="47" applyFont="1" applyFill="1" applyBorder="1">
      <alignment/>
      <protection/>
    </xf>
    <xf numFmtId="0" fontId="30" fillId="0" borderId="97" xfId="47" applyFont="1" applyFill="1" applyBorder="1">
      <alignment/>
      <protection/>
    </xf>
    <xf numFmtId="0" fontId="30" fillId="46" borderId="17" xfId="47" applyFont="1" applyFill="1" applyBorder="1">
      <alignment/>
      <protection/>
    </xf>
    <xf numFmtId="0" fontId="25" fillId="46" borderId="105" xfId="47" applyFont="1" applyFill="1" applyBorder="1">
      <alignment/>
      <protection/>
    </xf>
    <xf numFmtId="0" fontId="25" fillId="46" borderId="102" xfId="47" applyFont="1" applyFill="1" applyBorder="1" applyAlignment="1">
      <alignment horizontal="right"/>
      <protection/>
    </xf>
    <xf numFmtId="168" fontId="25" fillId="46" borderId="103" xfId="47" applyNumberFormat="1" applyFont="1" applyFill="1" applyBorder="1" applyAlignment="1">
      <alignment horizontal="right"/>
      <protection/>
    </xf>
    <xf numFmtId="168" fontId="25" fillId="46" borderId="101" xfId="47" applyNumberFormat="1" applyFont="1" applyFill="1" applyBorder="1" applyAlignment="1">
      <alignment horizontal="right"/>
      <protection/>
    </xf>
    <xf numFmtId="168" fontId="30" fillId="46" borderId="104" xfId="47" applyNumberFormat="1" applyFont="1" applyFill="1" applyBorder="1">
      <alignment/>
      <protection/>
    </xf>
    <xf numFmtId="0" fontId="25" fillId="46" borderId="103" xfId="47" applyFont="1" applyFill="1" applyBorder="1" applyAlignment="1">
      <alignment horizontal="right"/>
      <protection/>
    </xf>
    <xf numFmtId="0" fontId="25" fillId="46" borderId="102" xfId="47" applyFont="1" applyFill="1" applyBorder="1">
      <alignment/>
      <protection/>
    </xf>
    <xf numFmtId="0" fontId="30" fillId="0" borderId="103" xfId="47" applyFont="1" applyFill="1" applyBorder="1">
      <alignment/>
      <protection/>
    </xf>
    <xf numFmtId="168" fontId="25" fillId="0" borderId="97" xfId="47" applyNumberFormat="1" applyFont="1" applyFill="1" applyBorder="1" applyAlignment="1">
      <alignment horizontal="right"/>
      <protection/>
    </xf>
    <xf numFmtId="168" fontId="25" fillId="0" borderId="98" xfId="47" applyNumberFormat="1" applyFont="1" applyFill="1" applyBorder="1" applyAlignment="1">
      <alignment horizontal="right"/>
      <protection/>
    </xf>
    <xf numFmtId="168" fontId="30" fillId="0" borderId="70" xfId="47" applyNumberFormat="1" applyFont="1" applyFill="1" applyBorder="1">
      <alignment/>
      <protection/>
    </xf>
    <xf numFmtId="0" fontId="30" fillId="47" borderId="83" xfId="47" applyFont="1" applyFill="1" applyBorder="1">
      <alignment/>
      <protection/>
    </xf>
    <xf numFmtId="0" fontId="25" fillId="47" borderId="99" xfId="47" applyFont="1" applyFill="1" applyBorder="1">
      <alignment/>
      <protection/>
    </xf>
    <xf numFmtId="0" fontId="25" fillId="47" borderId="81" xfId="47" applyFont="1" applyFill="1" applyBorder="1" applyAlignment="1">
      <alignment horizontal="right"/>
      <protection/>
    </xf>
    <xf numFmtId="168" fontId="25" fillId="47" borderId="83" xfId="47" applyNumberFormat="1" applyFont="1" applyFill="1" applyBorder="1" applyAlignment="1">
      <alignment horizontal="right"/>
      <protection/>
    </xf>
    <xf numFmtId="168" fontId="25" fillId="47" borderId="82" xfId="47" applyNumberFormat="1" applyFont="1" applyFill="1" applyBorder="1" applyAlignment="1">
      <alignment horizontal="right"/>
      <protection/>
    </xf>
    <xf numFmtId="168" fontId="30" fillId="47" borderId="100" xfId="47" applyNumberFormat="1" applyFont="1" applyFill="1" applyBorder="1">
      <alignment/>
      <protection/>
    </xf>
    <xf numFmtId="0" fontId="25" fillId="47" borderId="83" xfId="47" applyFont="1" applyFill="1" applyBorder="1" applyAlignment="1">
      <alignment horizontal="right"/>
      <protection/>
    </xf>
    <xf numFmtId="0" fontId="25" fillId="47" borderId="81" xfId="47" applyFont="1" applyFill="1" applyBorder="1">
      <alignment/>
      <protection/>
    </xf>
    <xf numFmtId="0" fontId="30" fillId="47" borderId="103" xfId="47" applyFont="1" applyFill="1" applyBorder="1">
      <alignment/>
      <protection/>
    </xf>
    <xf numFmtId="0" fontId="25" fillId="0" borderId="82" xfId="47" applyFont="1" applyFill="1" applyBorder="1">
      <alignment/>
      <protection/>
    </xf>
    <xf numFmtId="0" fontId="1" fillId="0" borderId="81" xfId="47" applyFont="1" applyFill="1" applyBorder="1" applyAlignment="1">
      <alignment horizontal="right"/>
      <protection/>
    </xf>
    <xf numFmtId="0" fontId="1" fillId="0" borderId="83" xfId="47" applyFont="1" applyFill="1" applyBorder="1" applyAlignment="1">
      <alignment horizontal="right"/>
      <protection/>
    </xf>
    <xf numFmtId="168" fontId="25" fillId="0" borderId="17" xfId="47" applyNumberFormat="1" applyFont="1" applyFill="1" applyBorder="1" applyAlignment="1">
      <alignment horizontal="right"/>
      <protection/>
    </xf>
    <xf numFmtId="168" fontId="25" fillId="0" borderId="44" xfId="47" applyNumberFormat="1" applyFont="1" applyFill="1" applyBorder="1" applyAlignment="1">
      <alignment horizontal="right"/>
      <protection/>
    </xf>
    <xf numFmtId="0" fontId="25" fillId="0" borderId="17" xfId="47" applyFont="1" applyFill="1" applyBorder="1" applyAlignment="1">
      <alignment horizontal="right"/>
      <protection/>
    </xf>
    <xf numFmtId="0" fontId="25" fillId="0" borderId="99" xfId="47" applyFont="1" applyFill="1" applyBorder="1" applyAlignment="1">
      <alignment vertical="center"/>
      <protection/>
    </xf>
    <xf numFmtId="0" fontId="25" fillId="0" borderId="81" xfId="47" applyFont="1" applyFill="1" applyBorder="1" applyAlignment="1">
      <alignment vertical="center"/>
      <protection/>
    </xf>
    <xf numFmtId="168" fontId="25" fillId="0" borderId="83" xfId="47" applyNumberFormat="1" applyFont="1" applyFill="1" applyBorder="1" applyAlignment="1">
      <alignment horizontal="right" vertical="center"/>
      <protection/>
    </xf>
    <xf numFmtId="168" fontId="25" fillId="0" borderId="82" xfId="47" applyNumberFormat="1" applyFont="1" applyFill="1" applyBorder="1" applyAlignment="1">
      <alignment horizontal="right" vertical="center"/>
      <protection/>
    </xf>
    <xf numFmtId="0" fontId="25" fillId="0" borderId="83" xfId="47" applyFont="1" applyFill="1" applyBorder="1" applyAlignment="1">
      <alignment vertical="center"/>
      <protection/>
    </xf>
    <xf numFmtId="0" fontId="25" fillId="0" borderId="105" xfId="47" applyFont="1" applyFill="1" applyBorder="1" applyAlignment="1">
      <alignment vertical="center"/>
      <protection/>
    </xf>
    <xf numFmtId="0" fontId="25" fillId="0" borderId="102" xfId="47" applyFont="1" applyFill="1" applyBorder="1" applyAlignment="1">
      <alignment horizontal="right" vertical="center"/>
      <protection/>
    </xf>
    <xf numFmtId="168" fontId="25" fillId="0" borderId="103" xfId="47" applyNumberFormat="1" applyFont="1" applyFill="1" applyBorder="1" applyAlignment="1">
      <alignment horizontal="right" vertical="center"/>
      <protection/>
    </xf>
    <xf numFmtId="168" fontId="25" fillId="0" borderId="101" xfId="47" applyNumberFormat="1" applyFont="1" applyFill="1" applyBorder="1" applyAlignment="1">
      <alignment horizontal="right" vertical="center"/>
      <protection/>
    </xf>
    <xf numFmtId="0" fontId="25" fillId="0" borderId="103" xfId="47" applyFont="1" applyFill="1" applyBorder="1" applyAlignment="1">
      <alignment horizontal="right" vertical="center"/>
      <protection/>
    </xf>
    <xf numFmtId="0" fontId="25" fillId="0" borderId="102" xfId="47" applyFont="1" applyFill="1" applyBorder="1" applyAlignment="1">
      <alignment vertical="center"/>
      <protection/>
    </xf>
    <xf numFmtId="0" fontId="25" fillId="0" borderId="99" xfId="47" applyFont="1" applyFill="1" applyBorder="1" applyAlignment="1">
      <alignment horizontal="left"/>
      <protection/>
    </xf>
    <xf numFmtId="1" fontId="25" fillId="0" borderId="83" xfId="47" applyNumberFormat="1" applyFont="1" applyFill="1" applyBorder="1" applyAlignment="1">
      <alignment horizontal="right"/>
      <protection/>
    </xf>
    <xf numFmtId="1" fontId="25" fillId="0" borderId="82" xfId="47" applyNumberFormat="1" applyFont="1" applyFill="1" applyBorder="1" applyAlignment="1">
      <alignment horizontal="right"/>
      <protection/>
    </xf>
    <xf numFmtId="1" fontId="30" fillId="0" borderId="100" xfId="47" applyNumberFormat="1" applyFont="1" applyFill="1" applyBorder="1">
      <alignment/>
      <protection/>
    </xf>
    <xf numFmtId="0" fontId="25" fillId="0" borderId="81" xfId="47" applyFont="1" applyFill="1" applyBorder="1" applyAlignment="1">
      <alignment horizontal="left"/>
      <protection/>
    </xf>
    <xf numFmtId="0" fontId="30" fillId="0" borderId="103" xfId="47" applyFont="1" applyFill="1" applyBorder="1" applyAlignment="1">
      <alignment horizontal="left" vertical="center"/>
      <protection/>
    </xf>
    <xf numFmtId="0" fontId="25" fillId="0" borderId="0" xfId="47" applyFont="1" applyFill="1" applyAlignment="1">
      <alignment vertical="center"/>
      <protection/>
    </xf>
    <xf numFmtId="0" fontId="30" fillId="0" borderId="17" xfId="47" applyFont="1" applyFill="1" applyBorder="1" applyAlignment="1">
      <alignment horizontal="left" vertical="center"/>
      <protection/>
    </xf>
    <xf numFmtId="0" fontId="25" fillId="0" borderId="101" xfId="47" applyFont="1" applyFill="1" applyBorder="1" applyAlignment="1">
      <alignment vertical="center"/>
      <protection/>
    </xf>
    <xf numFmtId="0" fontId="25" fillId="0" borderId="44" xfId="47" applyFont="1" applyFill="1" applyBorder="1" applyAlignment="1">
      <alignment vertical="center"/>
      <protection/>
    </xf>
    <xf numFmtId="0" fontId="25" fillId="0" borderId="49" xfId="47" applyFont="1" applyFill="1" applyBorder="1" applyAlignment="1">
      <alignment vertical="center"/>
      <protection/>
    </xf>
    <xf numFmtId="0" fontId="25" fillId="0" borderId="98" xfId="47" applyFont="1" applyFill="1" applyBorder="1" applyAlignment="1">
      <alignment vertical="center"/>
      <protection/>
    </xf>
    <xf numFmtId="0" fontId="25" fillId="0" borderId="73" xfId="47" applyFont="1" applyFill="1" applyBorder="1" applyAlignment="1">
      <alignment vertical="center"/>
      <protection/>
    </xf>
    <xf numFmtId="168" fontId="25" fillId="32" borderId="97" xfId="47" applyNumberFormat="1" applyFont="1" applyFill="1" applyBorder="1" applyAlignment="1">
      <alignment horizontal="right" vertical="center"/>
      <protection/>
    </xf>
    <xf numFmtId="168" fontId="25" fillId="32" borderId="98" xfId="47" applyNumberFormat="1" applyFont="1" applyFill="1" applyBorder="1" applyAlignment="1">
      <alignment horizontal="right" vertical="center"/>
      <protection/>
    </xf>
    <xf numFmtId="0" fontId="30" fillId="0" borderId="97" xfId="47" applyFont="1" applyFill="1" applyBorder="1" applyAlignment="1">
      <alignment horizontal="left" vertical="center"/>
      <protection/>
    </xf>
    <xf numFmtId="0" fontId="30" fillId="47" borderId="83" xfId="47" applyFont="1" applyFill="1" applyBorder="1" applyAlignment="1">
      <alignment horizontal="left" vertical="center"/>
      <protection/>
    </xf>
    <xf numFmtId="0" fontId="25" fillId="47" borderId="0" xfId="47" applyFont="1" applyFill="1" applyBorder="1">
      <alignment/>
      <protection/>
    </xf>
    <xf numFmtId="0" fontId="1" fillId="0" borderId="82" xfId="47" applyFill="1" applyBorder="1" applyAlignment="1">
      <alignment vertical="center"/>
      <protection/>
    </xf>
    <xf numFmtId="0" fontId="1" fillId="0" borderId="81" xfId="47" applyFill="1" applyBorder="1" applyAlignment="1">
      <alignment vertical="center"/>
      <protection/>
    </xf>
    <xf numFmtId="0" fontId="1" fillId="0" borderId="101" xfId="47" applyFill="1" applyBorder="1" applyAlignment="1">
      <alignment vertical="center"/>
      <protection/>
    </xf>
    <xf numFmtId="0" fontId="1" fillId="0" borderId="102" xfId="47" applyFill="1" applyBorder="1" applyAlignment="1">
      <alignment vertical="center"/>
      <protection/>
    </xf>
    <xf numFmtId="0" fontId="1" fillId="0" borderId="44" xfId="47" applyFill="1" applyBorder="1" applyAlignment="1">
      <alignment vertical="center"/>
      <protection/>
    </xf>
    <xf numFmtId="0" fontId="1" fillId="0" borderId="49" xfId="47" applyFill="1" applyBorder="1" applyAlignment="1">
      <alignment vertical="center"/>
      <protection/>
    </xf>
    <xf numFmtId="0" fontId="1" fillId="0" borderId="98" xfId="47" applyFill="1" applyBorder="1" applyAlignment="1">
      <alignment vertical="center"/>
      <protection/>
    </xf>
    <xf numFmtId="0" fontId="1" fillId="0" borderId="73" xfId="47" applyFill="1" applyBorder="1" applyAlignment="1">
      <alignment vertical="center"/>
      <protection/>
    </xf>
    <xf numFmtId="0" fontId="25" fillId="0" borderId="103" xfId="47" applyFont="1" applyFill="1" applyBorder="1" applyAlignment="1">
      <alignment vertical="center"/>
      <protection/>
    </xf>
    <xf numFmtId="0" fontId="25" fillId="47" borderId="82" xfId="47" applyFont="1" applyFill="1" applyBorder="1">
      <alignment/>
      <protection/>
    </xf>
    <xf numFmtId="0" fontId="25" fillId="47" borderId="81" xfId="47" applyFont="1" applyFill="1" applyBorder="1" applyAlignment="1">
      <alignment vertical="center"/>
      <protection/>
    </xf>
    <xf numFmtId="168" fontId="25" fillId="47" borderId="83" xfId="47" applyNumberFormat="1" applyFont="1" applyFill="1" applyBorder="1" applyAlignment="1">
      <alignment horizontal="right" vertical="center"/>
      <protection/>
    </xf>
    <xf numFmtId="168" fontId="25" fillId="47" borderId="106" xfId="47" applyNumberFormat="1" applyFont="1" applyFill="1" applyBorder="1" applyAlignment="1">
      <alignment horizontal="right" vertical="center"/>
      <protection/>
    </xf>
    <xf numFmtId="168" fontId="25" fillId="47" borderId="82" xfId="47" applyNumberFormat="1" applyFont="1" applyFill="1" applyBorder="1" applyAlignment="1">
      <alignment horizontal="right" vertical="center"/>
      <protection/>
    </xf>
    <xf numFmtId="0" fontId="25" fillId="47" borderId="83" xfId="47" applyFont="1" applyFill="1" applyBorder="1" applyAlignment="1">
      <alignment vertical="center"/>
      <protection/>
    </xf>
    <xf numFmtId="0" fontId="1" fillId="0" borderId="81" xfId="47" applyFont="1" applyFill="1" applyBorder="1">
      <alignment/>
      <protection/>
    </xf>
    <xf numFmtId="0" fontId="1" fillId="0" borderId="83" xfId="47" applyFont="1" applyFill="1" applyBorder="1">
      <alignment/>
      <protection/>
    </xf>
    <xf numFmtId="0" fontId="25" fillId="0" borderId="0" xfId="47" applyFont="1" applyFill="1" applyBorder="1">
      <alignment/>
      <protection/>
    </xf>
    <xf numFmtId="0" fontId="25" fillId="0" borderId="17" xfId="47" applyFont="1" applyFill="1" applyBorder="1" applyAlignment="1">
      <alignment horizontal="center" vertical="center"/>
      <protection/>
    </xf>
    <xf numFmtId="0" fontId="25" fillId="0" borderId="99" xfId="47" applyFont="1" applyFill="1" applyBorder="1" applyAlignment="1">
      <alignment horizontal="left" vertical="center"/>
      <protection/>
    </xf>
    <xf numFmtId="0" fontId="25" fillId="0" borderId="81" xfId="47" applyFont="1" applyFill="1" applyBorder="1" applyAlignment="1">
      <alignment horizontal="left" vertical="center"/>
      <protection/>
    </xf>
    <xf numFmtId="0" fontId="25" fillId="47" borderId="83" xfId="47" applyFont="1" applyFill="1" applyBorder="1" applyAlignment="1">
      <alignment horizontal="center" vertical="center"/>
      <protection/>
    </xf>
    <xf numFmtId="0" fontId="30" fillId="0" borderId="83" xfId="47" applyFont="1" applyFill="1" applyBorder="1" applyAlignment="1">
      <alignment horizontal="left" vertical="center" wrapText="1"/>
      <protection/>
    </xf>
    <xf numFmtId="0" fontId="30" fillId="0" borderId="80" xfId="47" applyFont="1" applyFill="1" applyBorder="1" applyAlignment="1">
      <alignment horizontal="left" vertical="center" wrapText="1"/>
      <protection/>
    </xf>
    <xf numFmtId="0" fontId="25" fillId="0" borderId="107" xfId="47" applyFont="1" applyFill="1" applyBorder="1">
      <alignment/>
      <protection/>
    </xf>
    <xf numFmtId="0" fontId="25" fillId="0" borderId="78" xfId="47" applyFont="1" applyFill="1" applyBorder="1" applyAlignment="1">
      <alignment horizontal="right"/>
      <protection/>
    </xf>
    <xf numFmtId="168" fontId="25" fillId="0" borderId="80" xfId="47" applyNumberFormat="1" applyFont="1" applyFill="1" applyBorder="1" applyAlignment="1">
      <alignment horizontal="right"/>
      <protection/>
    </xf>
    <xf numFmtId="168" fontId="25" fillId="0" borderId="79" xfId="47" applyNumberFormat="1" applyFont="1" applyFill="1" applyBorder="1" applyAlignment="1">
      <alignment horizontal="right"/>
      <protection/>
    </xf>
    <xf numFmtId="168" fontId="30" fillId="0" borderId="108" xfId="47" applyNumberFormat="1" applyFont="1" applyFill="1" applyBorder="1">
      <alignment/>
      <protection/>
    </xf>
    <xf numFmtId="0" fontId="25" fillId="0" borderId="80" xfId="47" applyFont="1" applyFill="1" applyBorder="1" applyAlignment="1">
      <alignment horizontal="right"/>
      <protection/>
    </xf>
    <xf numFmtId="0" fontId="25" fillId="0" borderId="78" xfId="47" applyFont="1" applyFill="1" applyBorder="1">
      <alignment/>
      <protection/>
    </xf>
    <xf numFmtId="0" fontId="46" fillId="0" borderId="0" xfId="47" applyFont="1" applyFill="1">
      <alignment/>
      <protection/>
    </xf>
    <xf numFmtId="0" fontId="1" fillId="0" borderId="0" xfId="47" applyFont="1">
      <alignment/>
      <protection/>
    </xf>
    <xf numFmtId="0" fontId="13" fillId="0" borderId="0" xfId="47" applyFont="1">
      <alignment/>
      <protection/>
    </xf>
    <xf numFmtId="0" fontId="1" fillId="0" borderId="0" xfId="47" applyAlignment="1">
      <alignment vertical="center"/>
      <protection/>
    </xf>
    <xf numFmtId="0" fontId="1" fillId="0" borderId="0" xfId="47" applyFont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1" fillId="0" borderId="0" xfId="47" applyFill="1" applyAlignment="1">
      <alignment vertical="center"/>
      <protection/>
    </xf>
    <xf numFmtId="0" fontId="30" fillId="48" borderId="0" xfId="47" applyFont="1" applyFill="1" applyAlignment="1">
      <alignment vertical="center"/>
      <protection/>
    </xf>
    <xf numFmtId="0" fontId="8" fillId="48" borderId="0" xfId="47" applyFont="1" applyFill="1" applyAlignment="1">
      <alignment vertical="center"/>
      <protection/>
    </xf>
    <xf numFmtId="0" fontId="1" fillId="48" borderId="0" xfId="47" applyFill="1" applyAlignment="1">
      <alignment vertical="center"/>
      <protection/>
    </xf>
    <xf numFmtId="0" fontId="1" fillId="48" borderId="0" xfId="47" applyFont="1" applyFill="1" applyAlignment="1">
      <alignment vertical="center"/>
      <protection/>
    </xf>
    <xf numFmtId="0" fontId="25" fillId="48" borderId="0" xfId="47" applyFont="1" applyFill="1" applyAlignment="1">
      <alignment vertical="center"/>
      <protection/>
    </xf>
    <xf numFmtId="0" fontId="47" fillId="0" borderId="0" xfId="47" applyFont="1" applyFill="1" applyAlignment="1">
      <alignment vertical="center"/>
      <protection/>
    </xf>
    <xf numFmtId="0" fontId="1" fillId="0" borderId="0" xfId="47" applyFont="1" applyFill="1" applyAlignment="1">
      <alignment vertical="center"/>
      <protection/>
    </xf>
    <xf numFmtId="0" fontId="30" fillId="0" borderId="0" xfId="47" applyFont="1" applyFill="1" applyAlignment="1">
      <alignment vertic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>
      <alignment/>
      <protection/>
    </xf>
    <xf numFmtId="0" fontId="25" fillId="0" borderId="0" xfId="47" applyFont="1" applyFill="1" applyBorder="1" applyAlignment="1">
      <alignment horizontal="right"/>
      <protection/>
    </xf>
    <xf numFmtId="168" fontId="8" fillId="0" borderId="0" xfId="47" applyNumberFormat="1" applyFont="1" applyFill="1" applyBorder="1">
      <alignment/>
      <protection/>
    </xf>
    <xf numFmtId="0" fontId="8" fillId="0" borderId="0" xfId="47" applyFont="1" applyFill="1" applyBorder="1">
      <alignment/>
      <protection/>
    </xf>
    <xf numFmtId="0" fontId="19" fillId="0" borderId="0" xfId="47" applyFont="1" applyFill="1" applyAlignment="1">
      <alignment horizontal="left"/>
      <protection/>
    </xf>
    <xf numFmtId="0" fontId="21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right"/>
      <protection/>
    </xf>
    <xf numFmtId="165" fontId="21" fillId="0" borderId="0" xfId="47" applyNumberFormat="1" applyFont="1" applyFill="1" applyBorder="1">
      <alignment/>
      <protection/>
    </xf>
    <xf numFmtId="168" fontId="8" fillId="0" borderId="0" xfId="47" applyNumberFormat="1" applyFont="1" applyFill="1">
      <alignment/>
      <protection/>
    </xf>
    <xf numFmtId="168" fontId="1" fillId="0" borderId="0" xfId="47" applyNumberFormat="1" applyFont="1" applyFill="1">
      <alignment/>
      <protection/>
    </xf>
    <xf numFmtId="0" fontId="49" fillId="0" borderId="0" xfId="47" applyFont="1" applyFill="1">
      <alignment/>
      <protection/>
    </xf>
    <xf numFmtId="168" fontId="1" fillId="0" borderId="0" xfId="47" applyNumberFormat="1" applyFont="1" applyFill="1" applyAlignment="1">
      <alignment horizontal="right"/>
      <protection/>
    </xf>
    <xf numFmtId="0" fontId="1" fillId="0" borderId="0" xfId="47" applyFont="1" applyFill="1" applyBorder="1" applyAlignment="1">
      <alignment horizontal="right"/>
      <protection/>
    </xf>
    <xf numFmtId="168" fontId="8" fillId="0" borderId="0" xfId="47" applyNumberFormat="1" applyFont="1" applyFill="1" applyAlignment="1">
      <alignment vertical="center"/>
      <protection/>
    </xf>
    <xf numFmtId="168" fontId="50" fillId="0" borderId="0" xfId="47" applyNumberFormat="1" applyFont="1" applyFill="1" applyAlignment="1">
      <alignment vertical="center"/>
      <protection/>
    </xf>
    <xf numFmtId="0" fontId="25" fillId="0" borderId="0" xfId="47" applyFont="1" applyFill="1" applyBorder="1" applyAlignment="1">
      <alignment horizontal="left"/>
      <protection/>
    </xf>
    <xf numFmtId="1" fontId="8" fillId="0" borderId="0" xfId="47" applyNumberFormat="1" applyFont="1" applyFill="1" applyBorder="1">
      <alignment/>
      <protection/>
    </xf>
    <xf numFmtId="0" fontId="30" fillId="0" borderId="0" xfId="47" applyFont="1" applyFill="1" applyAlignment="1">
      <alignment horizontal="left" vertical="center"/>
      <protection/>
    </xf>
    <xf numFmtId="168" fontId="1" fillId="0" borderId="0" xfId="47" applyNumberFormat="1" applyFont="1" applyFill="1" applyAlignment="1">
      <alignment vertical="center"/>
      <protection/>
    </xf>
    <xf numFmtId="0" fontId="25" fillId="0" borderId="0" xfId="47" applyFont="1" applyFill="1" applyAlignment="1">
      <alignment horizontal="center" vertical="center"/>
      <protection/>
    </xf>
    <xf numFmtId="0" fontId="25" fillId="0" borderId="0" xfId="47" applyFont="1" applyFill="1" applyAlignment="1">
      <alignment horizontal="left" vertical="center"/>
      <protection/>
    </xf>
    <xf numFmtId="0" fontId="41" fillId="0" borderId="0" xfId="47" applyFont="1" applyFill="1" applyBorder="1">
      <alignment/>
      <protection/>
    </xf>
    <xf numFmtId="0" fontId="41" fillId="0" borderId="0" xfId="47" applyFont="1" applyFill="1" applyBorder="1" applyAlignment="1">
      <alignment horizontal="right"/>
      <protection/>
    </xf>
    <xf numFmtId="1" fontId="36" fillId="0" borderId="0" xfId="47" applyNumberFormat="1" applyFont="1" applyFill="1" applyBorder="1">
      <alignment/>
      <protection/>
    </xf>
    <xf numFmtId="0" fontId="36" fillId="0" borderId="0" xfId="47" applyFont="1" applyFill="1" applyBorder="1">
      <alignment/>
      <protection/>
    </xf>
    <xf numFmtId="168" fontId="51" fillId="0" borderId="0" xfId="47" applyNumberFormat="1" applyFont="1" applyFill="1">
      <alignment/>
      <protection/>
    </xf>
    <xf numFmtId="0" fontId="36" fillId="0" borderId="0" xfId="47" applyFont="1" applyFill="1">
      <alignment/>
      <protection/>
    </xf>
    <xf numFmtId="168" fontId="8" fillId="0" borderId="0" xfId="47" applyNumberFormat="1" applyFont="1" applyFill="1" applyAlignment="1">
      <alignment horizontal="right"/>
      <protection/>
    </xf>
    <xf numFmtId="166" fontId="39" fillId="0" borderId="0" xfId="48" applyNumberFormat="1" applyFont="1" applyFill="1" applyAlignment="1">
      <alignment horizontal="right"/>
      <protection/>
    </xf>
    <xf numFmtId="1" fontId="8" fillId="0" borderId="0" xfId="48" applyNumberFormat="1" applyFont="1" applyFill="1" applyAlignment="1">
      <alignment horizontal="right"/>
      <protection/>
    </xf>
    <xf numFmtId="166" fontId="2" fillId="39" borderId="0" xfId="48" applyNumberFormat="1" applyFont="1" applyFill="1" applyBorder="1" applyAlignment="1">
      <alignment horizontal="right"/>
      <protection/>
    </xf>
    <xf numFmtId="0" fontId="21" fillId="0" borderId="0" xfId="48" applyFont="1" applyFill="1" applyBorder="1" applyAlignment="1">
      <alignment horizontal="right"/>
      <protection/>
    </xf>
    <xf numFmtId="165" fontId="21" fillId="0" borderId="0" xfId="46" applyNumberFormat="1" applyFont="1" applyFill="1" applyAlignment="1">
      <alignment horizontal="right"/>
      <protection/>
    </xf>
    <xf numFmtId="0" fontId="8" fillId="0" borderId="0" xfId="48" applyFont="1" applyFill="1" applyBorder="1" applyAlignment="1">
      <alignment horizontal="right"/>
      <protection/>
    </xf>
    <xf numFmtId="166" fontId="34" fillId="0" borderId="0" xfId="48" applyNumberFormat="1" applyFont="1" applyFill="1" applyBorder="1" applyAlignment="1">
      <alignment horizontal="right"/>
      <protection/>
    </xf>
    <xf numFmtId="166" fontId="2" fillId="0" borderId="0" xfId="48" applyNumberFormat="1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166" fontId="30" fillId="0" borderId="0" xfId="48" applyNumberFormat="1" applyFont="1" applyFill="1" applyAlignment="1">
      <alignment horizontal="right"/>
      <protection/>
    </xf>
    <xf numFmtId="0" fontId="30" fillId="0" borderId="0" xfId="48" applyFont="1" applyFill="1" applyAlignment="1">
      <alignment horizontal="right"/>
      <protection/>
    </xf>
    <xf numFmtId="0" fontId="25" fillId="0" borderId="0" xfId="48" applyFont="1" applyFill="1" applyAlignment="1">
      <alignment horizontal="left"/>
      <protection/>
    </xf>
    <xf numFmtId="168" fontId="30" fillId="39" borderId="104" xfId="47" applyNumberFormat="1" applyFont="1" applyFill="1" applyBorder="1">
      <alignment/>
      <protection/>
    </xf>
    <xf numFmtId="169" fontId="2" fillId="39" borderId="0" xfId="48" applyNumberFormat="1" applyFont="1" applyFill="1" applyBorder="1" applyAlignment="1">
      <alignment horizontal="right"/>
      <protection/>
    </xf>
    <xf numFmtId="166" fontId="2" fillId="44" borderId="0" xfId="48" applyNumberFormat="1" applyFont="1" applyFill="1" applyBorder="1" applyAlignment="1">
      <alignment horizontal="right"/>
      <protection/>
    </xf>
    <xf numFmtId="49" fontId="22" fillId="0" borderId="0" xfId="48" applyNumberFormat="1" applyFont="1" applyFill="1" applyBorder="1" applyAlignment="1">
      <alignment/>
      <protection/>
    </xf>
    <xf numFmtId="0" fontId="93" fillId="0" borderId="0" xfId="46" applyFont="1" applyFill="1">
      <alignment/>
      <protection/>
    </xf>
    <xf numFmtId="0" fontId="94" fillId="0" borderId="0" xfId="46" applyFont="1" applyFill="1">
      <alignment/>
      <protection/>
    </xf>
    <xf numFmtId="0" fontId="94" fillId="0" borderId="0" xfId="46" applyFont="1" applyFill="1" applyAlignment="1">
      <alignment horizontal="right"/>
      <protection/>
    </xf>
    <xf numFmtId="165" fontId="95" fillId="0" borderId="0" xfId="46" applyNumberFormat="1" applyFont="1" applyFill="1" applyAlignment="1">
      <alignment horizontal="right"/>
      <protection/>
    </xf>
    <xf numFmtId="0" fontId="95" fillId="0" borderId="0" xfId="46" applyFont="1" applyFill="1">
      <alignment/>
      <protection/>
    </xf>
    <xf numFmtId="0" fontId="8" fillId="0" borderId="0" xfId="48" applyFont="1" applyFill="1" applyAlignment="1">
      <alignment horizontal="center"/>
      <protection/>
    </xf>
    <xf numFmtId="0" fontId="28" fillId="41" borderId="0" xfId="48" applyFont="1" applyFill="1" applyBorder="1" applyAlignment="1">
      <alignment horizontal="right"/>
      <protection/>
    </xf>
    <xf numFmtId="0" fontId="2" fillId="41" borderId="0" xfId="48" applyFont="1" applyFill="1" applyBorder="1" applyAlignment="1">
      <alignment horizontal="left"/>
      <protection/>
    </xf>
    <xf numFmtId="0" fontId="8" fillId="41" borderId="0" xfId="48" applyFont="1" applyFill="1" applyAlignment="1">
      <alignment horizontal="left"/>
      <protection/>
    </xf>
    <xf numFmtId="164" fontId="0" fillId="9" borderId="25" xfId="0" applyNumberFormat="1" applyFill="1" applyBorder="1" applyAlignment="1">
      <alignment horizontal="center"/>
    </xf>
    <xf numFmtId="0" fontId="0" fillId="41" borderId="0" xfId="0" applyFill="1" applyAlignment="1">
      <alignment/>
    </xf>
    <xf numFmtId="168" fontId="1" fillId="0" borderId="0" xfId="47" applyNumberFormat="1" applyFill="1" applyAlignment="1">
      <alignment/>
      <protection/>
    </xf>
    <xf numFmtId="0" fontId="1" fillId="0" borderId="0" xfId="47" applyFill="1" applyAlignment="1">
      <alignment/>
      <protection/>
    </xf>
    <xf numFmtId="0" fontId="8" fillId="0" borderId="0" xfId="48" applyFont="1" applyFill="1">
      <alignment/>
      <protection/>
    </xf>
    <xf numFmtId="0" fontId="1" fillId="39" borderId="0" xfId="48" applyFont="1" applyFill="1">
      <alignment/>
      <protection/>
    </xf>
    <xf numFmtId="0" fontId="1" fillId="39" borderId="0" xfId="47" applyFill="1">
      <alignment/>
      <protection/>
    </xf>
    <xf numFmtId="166" fontId="34" fillId="0" borderId="0" xfId="48" applyNumberFormat="1" applyFont="1" applyFill="1" applyAlignment="1">
      <alignment horizontal="right"/>
      <protection/>
    </xf>
    <xf numFmtId="165" fontId="1" fillId="0" borderId="0" xfId="47" applyNumberFormat="1">
      <alignment/>
      <protection/>
    </xf>
    <xf numFmtId="3" fontId="2" fillId="0" borderId="0" xfId="0" applyNumberFormat="1" applyFont="1" applyAlignment="1">
      <alignment vertical="top" wrapText="1"/>
    </xf>
    <xf numFmtId="3" fontId="0" fillId="4" borderId="0" xfId="0" applyNumberFormat="1" applyFont="1" applyFill="1" applyAlignment="1">
      <alignment vertical="top" wrapText="1"/>
    </xf>
    <xf numFmtId="3" fontId="0" fillId="0" borderId="0" xfId="0" applyNumberFormat="1" applyFont="1" applyAlignment="1">
      <alignment vertical="top" wrapText="1"/>
    </xf>
    <xf numFmtId="165" fontId="8" fillId="0" borderId="0" xfId="47" applyNumberFormat="1" applyFont="1">
      <alignment/>
      <protection/>
    </xf>
    <xf numFmtId="0" fontId="0" fillId="0" borderId="0" xfId="0" applyAlignment="1">
      <alignment horizontal="left" vertical="center" wrapText="1"/>
    </xf>
    <xf numFmtId="165" fontId="0" fillId="0" borderId="0" xfId="0" applyNumberFormat="1" applyFill="1" applyAlignment="1">
      <alignment horizontal="center"/>
    </xf>
    <xf numFmtId="0" fontId="1" fillId="0" borderId="0" xfId="48" applyFont="1" applyFill="1" applyAlignment="1">
      <alignment horizontal="right"/>
      <protection/>
    </xf>
    <xf numFmtId="0" fontId="8" fillId="0" borderId="0" xfId="48" applyFont="1" applyFill="1" applyAlignment="1">
      <alignment horizontal="left"/>
      <protection/>
    </xf>
    <xf numFmtId="0" fontId="1" fillId="0" borderId="0" xfId="48" applyFont="1" applyFill="1" applyAlignment="1">
      <alignment horizontal="left"/>
      <protection/>
    </xf>
    <xf numFmtId="165" fontId="19" fillId="0" borderId="0" xfId="48" applyNumberFormat="1" applyFont="1" applyFill="1" applyBorder="1" applyAlignment="1">
      <alignment horizontal="right"/>
      <protection/>
    </xf>
    <xf numFmtId="0" fontId="34" fillId="0" borderId="0" xfId="48" applyFont="1" applyFill="1" applyBorder="1" applyAlignment="1">
      <alignment horizontal="right"/>
      <protection/>
    </xf>
    <xf numFmtId="0" fontId="28" fillId="39" borderId="0" xfId="48" applyFont="1" applyFill="1" applyBorder="1" applyAlignment="1">
      <alignment horizontal="right"/>
      <protection/>
    </xf>
    <xf numFmtId="165" fontId="19" fillId="39" borderId="0" xfId="48" applyNumberFormat="1" applyFont="1" applyFill="1" applyBorder="1" applyAlignment="1">
      <alignment horizontal="right"/>
      <protection/>
    </xf>
    <xf numFmtId="0" fontId="19" fillId="39" borderId="0" xfId="48" applyFont="1" applyFill="1" applyBorder="1" applyAlignment="1">
      <alignment horizontal="right"/>
      <protection/>
    </xf>
    <xf numFmtId="0" fontId="19" fillId="7" borderId="0" xfId="48" applyFont="1" applyFill="1" applyBorder="1" applyAlignment="1">
      <alignment horizontal="right"/>
      <protection/>
    </xf>
    <xf numFmtId="165" fontId="19" fillId="7" borderId="0" xfId="48" applyNumberFormat="1" applyFont="1" applyFill="1" applyBorder="1" applyAlignment="1">
      <alignment horizontal="right"/>
      <protection/>
    </xf>
    <xf numFmtId="165" fontId="19" fillId="49" borderId="0" xfId="48" applyNumberFormat="1" applyFont="1" applyFill="1" applyBorder="1" applyAlignment="1">
      <alignment horizontal="right"/>
      <protection/>
    </xf>
    <xf numFmtId="0" fontId="19" fillId="49" borderId="0" xfId="48" applyFont="1" applyFill="1" applyBorder="1" applyAlignment="1">
      <alignment horizontal="right"/>
      <protection/>
    </xf>
    <xf numFmtId="165" fontId="19" fillId="50" borderId="0" xfId="48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3" fontId="0" fillId="41" borderId="0" xfId="0" applyNumberFormat="1" applyFont="1" applyFill="1" applyAlignment="1">
      <alignment vertical="top" wrapText="1"/>
    </xf>
    <xf numFmtId="1" fontId="5" fillId="41" borderId="66" xfId="0" applyNumberFormat="1" applyFont="1" applyFill="1" applyBorder="1" applyAlignment="1">
      <alignment horizontal="center"/>
    </xf>
    <xf numFmtId="0" fontId="20" fillId="51" borderId="0" xfId="48" applyFont="1" applyFill="1" applyBorder="1">
      <alignment/>
      <protection/>
    </xf>
    <xf numFmtId="0" fontId="21" fillId="44" borderId="0" xfId="48" applyFont="1" applyFill="1" applyBorder="1">
      <alignment/>
      <protection/>
    </xf>
    <xf numFmtId="0" fontId="19" fillId="44" borderId="0" xfId="48" applyFont="1" applyFill="1">
      <alignment/>
      <protection/>
    </xf>
    <xf numFmtId="166" fontId="2" fillId="12" borderId="0" xfId="48" applyNumberFormat="1" applyFont="1" applyFill="1" applyBorder="1" applyAlignment="1">
      <alignment horizontal="right"/>
      <protection/>
    </xf>
    <xf numFmtId="0" fontId="21" fillId="12" borderId="0" xfId="48" applyFont="1" applyFill="1" applyBorder="1">
      <alignment/>
      <protection/>
    </xf>
    <xf numFmtId="0" fontId="1" fillId="12" borderId="0" xfId="48" applyFont="1" applyFill="1" applyBorder="1">
      <alignment/>
      <protection/>
    </xf>
    <xf numFmtId="0" fontId="19" fillId="12" borderId="0" xfId="48" applyFont="1" applyFill="1" applyAlignment="1">
      <alignment horizontal="left"/>
      <protection/>
    </xf>
    <xf numFmtId="0" fontId="19" fillId="12" borderId="0" xfId="48" applyFont="1" applyFill="1" applyBorder="1" applyAlignment="1">
      <alignment horizontal="left"/>
      <protection/>
    </xf>
    <xf numFmtId="0" fontId="8" fillId="12" borderId="0" xfId="47" applyFont="1" applyFill="1">
      <alignment/>
      <protection/>
    </xf>
    <xf numFmtId="0" fontId="1" fillId="12" borderId="0" xfId="47" applyFill="1">
      <alignment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0" fontId="1" fillId="8" borderId="0" xfId="48" applyFont="1" applyFill="1" applyAlignment="1">
      <alignment horizontal="center"/>
      <protection/>
    </xf>
    <xf numFmtId="0" fontId="1" fillId="8" borderId="0" xfId="48" applyFont="1" applyFill="1">
      <alignment/>
      <protection/>
    </xf>
    <xf numFmtId="165" fontId="0" fillId="32" borderId="48" xfId="0" applyNumberFormat="1" applyFill="1" applyBorder="1" applyAlignment="1">
      <alignment horizontal="center"/>
    </xf>
    <xf numFmtId="165" fontId="0" fillId="39" borderId="5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8" borderId="0" xfId="48" applyFont="1" applyFill="1" applyAlignment="1">
      <alignment horizontal="center"/>
      <protection/>
    </xf>
    <xf numFmtId="0" fontId="19" fillId="8" borderId="0" xfId="48" applyFont="1" applyFill="1">
      <alignment/>
      <protection/>
    </xf>
    <xf numFmtId="0" fontId="0" fillId="8" borderId="0" xfId="48" applyFont="1" applyFill="1" applyAlignment="1">
      <alignment horizontal="right"/>
      <protection/>
    </xf>
    <xf numFmtId="165" fontId="8" fillId="8" borderId="0" xfId="48" applyNumberFormat="1" applyFont="1" applyFill="1" applyAlignment="1">
      <alignment horizontal="right"/>
      <protection/>
    </xf>
    <xf numFmtId="0" fontId="8" fillId="7" borderId="0" xfId="47" applyFont="1" applyFill="1">
      <alignment/>
      <protection/>
    </xf>
    <xf numFmtId="166" fontId="0" fillId="0" borderId="0" xfId="0" applyNumberFormat="1" applyFont="1" applyAlignment="1">
      <alignment vertical="top" wrapText="1"/>
    </xf>
    <xf numFmtId="168" fontId="25" fillId="0" borderId="0" xfId="47" applyNumberFormat="1" applyFont="1">
      <alignment/>
      <protection/>
    </xf>
    <xf numFmtId="165" fontId="8" fillId="0" borderId="0" xfId="47" applyNumberFormat="1" applyFont="1" applyFill="1">
      <alignment/>
      <protection/>
    </xf>
    <xf numFmtId="168" fontId="30" fillId="44" borderId="104" xfId="47" applyNumberFormat="1" applyFont="1" applyFill="1" applyBorder="1">
      <alignment/>
      <protection/>
    </xf>
    <xf numFmtId="168" fontId="30" fillId="0" borderId="0" xfId="47" applyNumberFormat="1" applyFont="1" applyFill="1" applyBorder="1">
      <alignment/>
      <protection/>
    </xf>
    <xf numFmtId="0" fontId="30" fillId="39" borderId="0" xfId="47" applyFont="1" applyFill="1" applyBorder="1">
      <alignment/>
      <protection/>
    </xf>
    <xf numFmtId="0" fontId="30" fillId="39" borderId="0" xfId="47" applyFont="1" applyFill="1">
      <alignment/>
      <protection/>
    </xf>
    <xf numFmtId="0" fontId="53" fillId="0" borderId="0" xfId="49" applyNumberFormat="1" applyFont="1" applyFill="1" applyBorder="1" applyAlignment="1" applyProtection="1">
      <alignment horizontal="left" vertical="center"/>
      <protection/>
    </xf>
    <xf numFmtId="0" fontId="15" fillId="0" borderId="82" xfId="49" applyNumberFormat="1" applyFont="1" applyFill="1" applyBorder="1" applyAlignment="1" applyProtection="1">
      <alignment horizontal="left" vertical="center" wrapText="1"/>
      <protection/>
    </xf>
    <xf numFmtId="0" fontId="1" fillId="0" borderId="82" xfId="49" applyBorder="1" applyAlignment="1">
      <alignment horizontal="center" vertical="center"/>
      <protection/>
    </xf>
    <xf numFmtId="0" fontId="8" fillId="0" borderId="82" xfId="49" applyNumberFormat="1" applyFont="1" applyFill="1" applyBorder="1" applyAlignment="1" applyProtection="1">
      <alignment vertical="center" wrapText="1"/>
      <protection/>
    </xf>
    <xf numFmtId="165" fontId="8" fillId="0" borderId="82" xfId="49" applyNumberFormat="1" applyFont="1" applyFill="1" applyBorder="1" applyAlignment="1" applyProtection="1">
      <alignment horizontal="right" vertical="center"/>
      <protection/>
    </xf>
    <xf numFmtId="165" fontId="8" fillId="0" borderId="82" xfId="49" applyNumberFormat="1" applyFont="1" applyFill="1" applyBorder="1" applyAlignment="1" applyProtection="1">
      <alignment horizontal="right" vertical="center" wrapText="1"/>
      <protection/>
    </xf>
    <xf numFmtId="0" fontId="1" fillId="0" borderId="82" xfId="49" applyNumberFormat="1" applyFont="1" applyFill="1" applyBorder="1" applyAlignment="1" applyProtection="1">
      <alignment vertical="center" wrapText="1"/>
      <protection/>
    </xf>
    <xf numFmtId="165" fontId="1" fillId="0" borderId="82" xfId="49" applyNumberFormat="1" applyFont="1" applyFill="1" applyBorder="1" applyAlignment="1" applyProtection="1">
      <alignment horizontal="right" vertical="center" wrapText="1"/>
      <protection/>
    </xf>
    <xf numFmtId="0" fontId="1" fillId="0" borderId="82" xfId="49" applyNumberFormat="1" applyFont="1" applyFill="1" applyBorder="1" applyAlignment="1" applyProtection="1">
      <alignment vertical="center" wrapText="1"/>
      <protection/>
    </xf>
    <xf numFmtId="165" fontId="1" fillId="0" borderId="82" xfId="49" applyNumberFormat="1" applyFont="1" applyFill="1" applyBorder="1" applyAlignment="1" applyProtection="1">
      <alignment horizontal="right" vertical="center" wrapText="1"/>
      <protection/>
    </xf>
    <xf numFmtId="165" fontId="1" fillId="0" borderId="82" xfId="49" applyNumberFormat="1" applyFont="1" applyFill="1" applyBorder="1" applyAlignment="1" applyProtection="1">
      <alignment horizontal="right" vertical="center"/>
      <protection/>
    </xf>
    <xf numFmtId="0" fontId="1" fillId="0" borderId="82" xfId="49" applyFont="1" applyBorder="1" applyAlignment="1">
      <alignment horizontal="center" vertical="center"/>
      <protection/>
    </xf>
    <xf numFmtId="165" fontId="1" fillId="0" borderId="82" xfId="49" applyNumberFormat="1" applyFont="1" applyFill="1" applyBorder="1" applyAlignment="1" applyProtection="1">
      <alignment horizontal="right" vertical="center"/>
      <protection/>
    </xf>
    <xf numFmtId="165" fontId="25" fillId="0" borderId="82" xfId="49" applyNumberFormat="1" applyFont="1" applyFill="1" applyBorder="1" applyAlignment="1" applyProtection="1">
      <alignment horizontal="center" vertical="center" wrapText="1"/>
      <protection/>
    </xf>
    <xf numFmtId="165" fontId="25" fillId="0" borderId="82" xfId="49" applyNumberFormat="1" applyFont="1" applyFill="1" applyBorder="1" applyAlignment="1" applyProtection="1">
      <alignment horizontal="center" vertical="center"/>
      <protection/>
    </xf>
    <xf numFmtId="0" fontId="1" fillId="0" borderId="98" xfId="49" applyNumberFormat="1" applyFont="1" applyFill="1" applyBorder="1" applyAlignment="1" applyProtection="1">
      <alignment vertical="center" wrapText="1"/>
      <protection/>
    </xf>
    <xf numFmtId="165" fontId="1" fillId="0" borderId="98" xfId="49" applyNumberFormat="1" applyFont="1" applyFill="1" applyBorder="1" applyAlignment="1" applyProtection="1">
      <alignment horizontal="right" vertical="center"/>
      <protection/>
    </xf>
    <xf numFmtId="165" fontId="25" fillId="0" borderId="98" xfId="49" applyNumberFormat="1" applyFont="1" applyFill="1" applyBorder="1" applyAlignment="1" applyProtection="1">
      <alignment horizontal="center" vertical="center"/>
      <protection/>
    </xf>
    <xf numFmtId="0" fontId="1" fillId="0" borderId="91" xfId="49" applyNumberFormat="1" applyFont="1" applyFill="1" applyBorder="1" applyAlignment="1" applyProtection="1">
      <alignment vertical="center" wrapText="1"/>
      <protection/>
    </xf>
    <xf numFmtId="165" fontId="8" fillId="0" borderId="91" xfId="49" applyNumberFormat="1" applyFont="1" applyFill="1" applyBorder="1" applyAlignment="1" applyProtection="1">
      <alignment horizontal="right" vertical="center" wrapText="1"/>
      <protection/>
    </xf>
    <xf numFmtId="165" fontId="25" fillId="0" borderId="91" xfId="49" applyNumberFormat="1" applyFont="1" applyFill="1" applyBorder="1" applyAlignment="1" applyProtection="1">
      <alignment horizontal="center" vertical="center" wrapText="1"/>
      <protection/>
    </xf>
    <xf numFmtId="165" fontId="25" fillId="0" borderId="101" xfId="49" applyNumberFormat="1" applyFont="1" applyFill="1" applyBorder="1" applyAlignment="1" applyProtection="1">
      <alignment horizontal="center" vertical="center" wrapText="1"/>
      <protection/>
    </xf>
    <xf numFmtId="0" fontId="1" fillId="0" borderId="98" xfId="49" applyNumberFormat="1" applyFont="1" applyFill="1" applyBorder="1" applyAlignment="1" applyProtection="1">
      <alignment vertical="center" wrapText="1"/>
      <protection/>
    </xf>
    <xf numFmtId="165" fontId="8" fillId="0" borderId="98" xfId="49" applyNumberFormat="1" applyFont="1" applyFill="1" applyBorder="1" applyAlignment="1" applyProtection="1">
      <alignment horizontal="right" vertical="center" wrapText="1"/>
      <protection/>
    </xf>
    <xf numFmtId="165" fontId="25" fillId="0" borderId="98" xfId="49" applyNumberFormat="1" applyFont="1" applyFill="1" applyBorder="1" applyAlignment="1" applyProtection="1">
      <alignment horizontal="center" vertical="center" wrapText="1"/>
      <protection/>
    </xf>
    <xf numFmtId="0" fontId="1" fillId="0" borderId="101" xfId="49" applyNumberFormat="1" applyFont="1" applyFill="1" applyBorder="1" applyAlignment="1" applyProtection="1">
      <alignment vertical="center" wrapText="1"/>
      <protection/>
    </xf>
    <xf numFmtId="165" fontId="1" fillId="0" borderId="101" xfId="49" applyNumberFormat="1" applyFont="1" applyFill="1" applyBorder="1" applyAlignment="1" applyProtection="1">
      <alignment horizontal="right" vertical="center"/>
      <protection/>
    </xf>
    <xf numFmtId="0" fontId="1" fillId="0" borderId="86" xfId="49" applyNumberFormat="1" applyFont="1" applyFill="1" applyBorder="1" applyAlignment="1" applyProtection="1">
      <alignment vertical="center" wrapText="1"/>
      <protection/>
    </xf>
    <xf numFmtId="165" fontId="1" fillId="0" borderId="85" xfId="49" applyNumberFormat="1" applyFont="1" applyFill="1" applyBorder="1" applyAlignment="1" applyProtection="1">
      <alignment horizontal="right" vertical="center" wrapText="1"/>
      <protection/>
    </xf>
    <xf numFmtId="165" fontId="25" fillId="0" borderId="84" xfId="49" applyNumberFormat="1" applyFont="1" applyFill="1" applyBorder="1" applyAlignment="1" applyProtection="1">
      <alignment horizontal="center" vertical="center" wrapText="1"/>
      <protection/>
    </xf>
    <xf numFmtId="0" fontId="1" fillId="0" borderId="80" xfId="49" applyNumberFormat="1" applyFont="1" applyFill="1" applyBorder="1" applyAlignment="1" applyProtection="1">
      <alignment vertical="center" wrapText="1"/>
      <protection/>
    </xf>
    <xf numFmtId="165" fontId="1" fillId="0" borderId="79" xfId="49" applyNumberFormat="1" applyFont="1" applyFill="1" applyBorder="1" applyAlignment="1" applyProtection="1">
      <alignment horizontal="right" vertical="center" wrapText="1"/>
      <protection/>
    </xf>
    <xf numFmtId="165" fontId="25" fillId="0" borderId="78" xfId="49" applyNumberFormat="1" applyFont="1" applyFill="1" applyBorder="1" applyAlignment="1" applyProtection="1">
      <alignment horizontal="center" vertical="center" wrapText="1"/>
      <protection/>
    </xf>
    <xf numFmtId="0" fontId="8" fillId="0" borderId="101" xfId="49" applyNumberFormat="1" applyFont="1" applyFill="1" applyBorder="1" applyAlignment="1" applyProtection="1">
      <alignment vertical="center" wrapText="1"/>
      <protection/>
    </xf>
    <xf numFmtId="165" fontId="8" fillId="0" borderId="101" xfId="49" applyNumberFormat="1" applyFont="1" applyFill="1" applyBorder="1" applyAlignment="1" applyProtection="1">
      <alignment horizontal="right" vertical="center"/>
      <protection/>
    </xf>
    <xf numFmtId="165" fontId="1" fillId="0" borderId="101" xfId="49" applyNumberFormat="1" applyFont="1" applyFill="1" applyBorder="1" applyAlignment="1" applyProtection="1">
      <alignment horizontal="right" vertical="center"/>
      <protection/>
    </xf>
    <xf numFmtId="0" fontId="1" fillId="0" borderId="86" xfId="49" applyNumberFormat="1" applyFont="1" applyFill="1" applyBorder="1" applyAlignment="1" applyProtection="1">
      <alignment vertical="center" wrapText="1"/>
      <protection/>
    </xf>
    <xf numFmtId="0" fontId="96" fillId="0" borderId="0" xfId="48" applyFont="1" applyFill="1" applyAlignment="1">
      <alignment horizontal="center" vertical="center"/>
      <protection/>
    </xf>
    <xf numFmtId="0" fontId="97" fillId="0" borderId="0" xfId="0" applyFont="1" applyAlignment="1">
      <alignment horizontal="center" vertical="center"/>
    </xf>
    <xf numFmtId="0" fontId="1" fillId="0" borderId="0" xfId="4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9" fillId="0" borderId="0" xfId="48" applyFont="1" applyFill="1" applyAlignment="1">
      <alignment horizontal="left" wrapText="1"/>
      <protection/>
    </xf>
    <xf numFmtId="0" fontId="0" fillId="0" borderId="0" xfId="0" applyAlignment="1">
      <alignment/>
    </xf>
    <xf numFmtId="165" fontId="2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6" fontId="2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5" fillId="0" borderId="19" xfId="47" applyFont="1" applyBorder="1" applyAlignment="1">
      <alignment horizontal="center"/>
      <protection/>
    </xf>
    <xf numFmtId="0" fontId="25" fillId="0" borderId="109" xfId="47" applyFont="1" applyBorder="1" applyAlignment="1">
      <alignment horizontal="center"/>
      <protection/>
    </xf>
    <xf numFmtId="0" fontId="25" fillId="0" borderId="110" xfId="47" applyFont="1" applyBorder="1" applyAlignment="1">
      <alignment horizontal="center"/>
      <protection/>
    </xf>
    <xf numFmtId="0" fontId="25" fillId="0" borderId="86" xfId="47" applyFont="1" applyBorder="1" applyAlignment="1">
      <alignment horizontal="center"/>
      <protection/>
    </xf>
    <xf numFmtId="0" fontId="25" fillId="0" borderId="85" xfId="47" applyFont="1" applyBorder="1" applyAlignment="1">
      <alignment horizontal="center"/>
      <protection/>
    </xf>
    <xf numFmtId="0" fontId="25" fillId="0" borderId="67" xfId="47" applyFont="1" applyBorder="1" applyAlignment="1">
      <alignment horizontal="center"/>
      <protection/>
    </xf>
    <xf numFmtId="0" fontId="25" fillId="0" borderId="43" xfId="47" applyFont="1" applyBorder="1" applyAlignment="1">
      <alignment horizontal="center"/>
      <protection/>
    </xf>
    <xf numFmtId="0" fontId="8" fillId="0" borderId="43" xfId="47" applyFont="1" applyBorder="1" applyAlignment="1">
      <alignment horizontal="center" wrapText="1"/>
      <protection/>
    </xf>
    <xf numFmtId="0" fontId="1" fillId="0" borderId="60" xfId="46" applyBorder="1" applyAlignment="1">
      <alignment horizontal="center" wrapText="1"/>
      <protection/>
    </xf>
    <xf numFmtId="0" fontId="15" fillId="0" borderId="48" xfId="47" applyFont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7" fillId="0" borderId="32" xfId="47" applyFont="1" applyBorder="1" applyAlignment="1">
      <alignment horizontal="center" vertical="center" wrapText="1"/>
      <protection/>
    </xf>
    <xf numFmtId="0" fontId="35" fillId="0" borderId="48" xfId="0" applyFont="1" applyBorder="1" applyAlignment="1">
      <alignment horizontal="center" vertical="center" wrapText="1"/>
    </xf>
    <xf numFmtId="0" fontId="15" fillId="0" borderId="32" xfId="47" applyFont="1" applyBorder="1" applyAlignment="1">
      <alignment horizontal="center" vertical="center" textRotation="90" wrapText="1"/>
      <protection/>
    </xf>
    <xf numFmtId="0" fontId="12" fillId="0" borderId="48" xfId="46" applyFont="1" applyBorder="1" applyAlignment="1">
      <alignment horizontal="center" vertical="center" textRotation="90" wrapText="1"/>
      <protection/>
    </xf>
    <xf numFmtId="0" fontId="16" fillId="0" borderId="4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111" xfId="0" applyFont="1" applyFill="1" applyBorder="1" applyAlignment="1">
      <alignment horizontal="left" vertical="center"/>
    </xf>
    <xf numFmtId="0" fontId="0" fillId="0" borderId="112" xfId="0" applyFont="1" applyFill="1" applyBorder="1" applyAlignment="1">
      <alignment horizontal="left" vertical="center"/>
    </xf>
    <xf numFmtId="0" fontId="0" fillId="0" borderId="11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114" xfId="0" applyFont="1" applyFill="1" applyBorder="1" applyAlignment="1">
      <alignment horizontal="left" vertical="center"/>
    </xf>
    <xf numFmtId="0" fontId="2" fillId="0" borderId="115" xfId="0" applyFont="1" applyFill="1" applyBorder="1" applyAlignment="1">
      <alignment horizontal="left" vertical="center"/>
    </xf>
    <xf numFmtId="165" fontId="2" fillId="0" borderId="64" xfId="0" applyNumberFormat="1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6" xfId="0" applyFont="1" applyFill="1" applyBorder="1" applyAlignment="1">
      <alignment horizontal="left" vertical="center"/>
    </xf>
    <xf numFmtId="0" fontId="0" fillId="0" borderId="117" xfId="0" applyFont="1" applyFill="1" applyBorder="1" applyAlignment="1">
      <alignment horizontal="left" vertical="center"/>
    </xf>
    <xf numFmtId="0" fontId="0" fillId="0" borderId="118" xfId="0" applyFont="1" applyFill="1" applyBorder="1" applyAlignment="1">
      <alignment horizontal="left" vertical="center"/>
    </xf>
    <xf numFmtId="0" fontId="0" fillId="0" borderId="119" xfId="0" applyFont="1" applyFill="1" applyBorder="1" applyAlignment="1">
      <alignment horizontal="left" vertical="center"/>
    </xf>
    <xf numFmtId="0" fontId="0" fillId="0" borderId="120" xfId="0" applyFont="1" applyFill="1" applyBorder="1" applyAlignment="1">
      <alignment horizontal="left" vertical="center"/>
    </xf>
    <xf numFmtId="0" fontId="0" fillId="0" borderId="121" xfId="0" applyFont="1" applyFill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Plesna_CENY_kraj_prac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_rozpracovanych_zakazek\Dlouha_Ves_Radesov\usek_B_C_2016\usek_B\DSP_usek_B\V&#221;KAZ%20V&#221;M&#282;R\VV_Propustky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ustky"/>
      <sheetName val="Propustky_celkem"/>
    </sheetNames>
    <sheetDataSet>
      <sheetData sheetId="0">
        <row r="6">
          <cell r="F6">
            <v>8.5</v>
          </cell>
        </row>
        <row r="8">
          <cell r="F8">
            <v>13.6875</v>
          </cell>
          <cell r="H8">
            <v>27.375</v>
          </cell>
        </row>
        <row r="10">
          <cell r="F10">
            <v>35.4866</v>
          </cell>
        </row>
        <row r="11">
          <cell r="F11">
            <v>5.5713962</v>
          </cell>
        </row>
        <row r="12">
          <cell r="F12">
            <v>4.95225</v>
          </cell>
        </row>
        <row r="13">
          <cell r="F13">
            <v>5.75</v>
          </cell>
        </row>
        <row r="14">
          <cell r="F14">
            <v>78.526</v>
          </cell>
        </row>
        <row r="16">
          <cell r="F16">
            <v>13.546125</v>
          </cell>
        </row>
        <row r="17">
          <cell r="F17">
            <v>2.126741625</v>
          </cell>
        </row>
        <row r="18">
          <cell r="F18">
            <v>3.170625</v>
          </cell>
        </row>
        <row r="19">
          <cell r="F19">
            <v>1.85</v>
          </cell>
        </row>
        <row r="20">
          <cell r="F20">
            <v>1.11</v>
          </cell>
        </row>
        <row r="21">
          <cell r="F21">
            <v>0.3885</v>
          </cell>
        </row>
        <row r="22">
          <cell r="F22">
            <v>0.11100000000000002</v>
          </cell>
          <cell r="H22">
            <v>1.11</v>
          </cell>
        </row>
        <row r="23">
          <cell r="F23">
            <v>39.964999999999996</v>
          </cell>
        </row>
        <row r="25">
          <cell r="F25">
            <v>1.6</v>
          </cell>
        </row>
        <row r="27">
          <cell r="F27">
            <v>17.8175</v>
          </cell>
        </row>
        <row r="28">
          <cell r="F28">
            <v>3.6399999999999997</v>
          </cell>
        </row>
        <row r="29">
          <cell r="F29">
            <v>2.65525</v>
          </cell>
        </row>
        <row r="30">
          <cell r="F30">
            <v>3.832375</v>
          </cell>
        </row>
        <row r="32">
          <cell r="F32">
            <v>1.04</v>
          </cell>
          <cell r="H32">
            <v>10.4</v>
          </cell>
        </row>
        <row r="33">
          <cell r="F33">
            <v>0.182</v>
          </cell>
          <cell r="H33">
            <v>1.8199999999999998</v>
          </cell>
        </row>
        <row r="34">
          <cell r="F34">
            <v>1.25</v>
          </cell>
        </row>
        <row r="35">
          <cell r="F35">
            <v>6</v>
          </cell>
        </row>
        <row r="37">
          <cell r="F37">
            <v>8.91</v>
          </cell>
        </row>
        <row r="38">
          <cell r="F38">
            <v>14.679999999999998</v>
          </cell>
        </row>
        <row r="39">
          <cell r="F39">
            <v>12.143999999999995</v>
          </cell>
        </row>
        <row r="40">
          <cell r="F40">
            <v>13.64</v>
          </cell>
        </row>
        <row r="41">
          <cell r="F41">
            <v>7</v>
          </cell>
        </row>
        <row r="43">
          <cell r="F43">
            <v>13.753999999999998</v>
          </cell>
        </row>
        <row r="44">
          <cell r="F44">
            <v>90.75</v>
          </cell>
        </row>
        <row r="45">
          <cell r="F45">
            <v>213.066</v>
          </cell>
        </row>
        <row r="46">
          <cell r="F46">
            <v>3.751000000000001</v>
          </cell>
        </row>
        <row r="47">
          <cell r="F47">
            <v>8.7</v>
          </cell>
        </row>
        <row r="49">
          <cell r="F49">
            <v>8.992999999999999</v>
          </cell>
        </row>
        <row r="50">
          <cell r="F50">
            <v>77.58225</v>
          </cell>
        </row>
        <row r="51">
          <cell r="F51">
            <v>162.2649075</v>
          </cell>
        </row>
        <row r="52">
          <cell r="F52">
            <v>2.376000000000001</v>
          </cell>
        </row>
        <row r="55">
          <cell r="F55">
            <v>22.5</v>
          </cell>
        </row>
        <row r="62">
          <cell r="F62">
            <v>16.3</v>
          </cell>
          <cell r="H62">
            <v>7</v>
          </cell>
        </row>
        <row r="63">
          <cell r="F63">
            <v>14</v>
          </cell>
        </row>
        <row r="64">
          <cell r="F64">
            <v>11.370879999999998</v>
          </cell>
        </row>
        <row r="65">
          <cell r="F65">
            <v>48.599999999999994</v>
          </cell>
          <cell r="H65">
            <v>383.94</v>
          </cell>
        </row>
        <row r="66">
          <cell r="F66">
            <v>29.260000000000005</v>
          </cell>
          <cell r="H66">
            <v>231.15400000000005</v>
          </cell>
        </row>
        <row r="67">
          <cell r="F67">
            <v>4.788</v>
          </cell>
        </row>
        <row r="68">
          <cell r="F68">
            <v>1.9285</v>
          </cell>
        </row>
        <row r="69">
          <cell r="F69">
            <v>2.1945</v>
          </cell>
          <cell r="H69">
            <v>19.799999999999997</v>
          </cell>
        </row>
        <row r="70">
          <cell r="F70">
            <v>48.620000000000005</v>
          </cell>
        </row>
        <row r="72">
          <cell r="F72">
            <v>4.800000000000001</v>
          </cell>
        </row>
        <row r="73">
          <cell r="F73">
            <v>1.6380000000000001</v>
          </cell>
        </row>
        <row r="74">
          <cell r="F74">
            <v>1</v>
          </cell>
          <cell r="H74">
            <v>10</v>
          </cell>
        </row>
        <row r="75">
          <cell r="F75">
            <v>18</v>
          </cell>
        </row>
        <row r="76">
          <cell r="F76">
            <v>1.8</v>
          </cell>
        </row>
        <row r="77">
          <cell r="F77">
            <v>11.200000000000001</v>
          </cell>
        </row>
        <row r="79">
          <cell r="F79">
            <v>4</v>
          </cell>
        </row>
        <row r="80">
          <cell r="F80">
            <v>0.4</v>
          </cell>
        </row>
        <row r="82">
          <cell r="F82">
            <v>0.4</v>
          </cell>
          <cell r="H82">
            <v>4</v>
          </cell>
        </row>
        <row r="83">
          <cell r="F83">
            <v>0.08000000000000002</v>
          </cell>
          <cell r="H83">
            <v>0.8</v>
          </cell>
        </row>
        <row r="84">
          <cell r="F84">
            <v>0.48</v>
          </cell>
        </row>
        <row r="86">
          <cell r="F86">
            <v>2.6949999999999994</v>
          </cell>
        </row>
        <row r="87">
          <cell r="F87">
            <v>10.2</v>
          </cell>
        </row>
        <row r="89">
          <cell r="F89">
            <v>88.02</v>
          </cell>
        </row>
        <row r="90">
          <cell r="F90">
            <v>11.136000000000001</v>
          </cell>
        </row>
        <row r="91">
          <cell r="F91">
            <v>1.6</v>
          </cell>
        </row>
        <row r="93">
          <cell r="F93">
            <v>41.07600000000001</v>
          </cell>
        </row>
        <row r="94">
          <cell r="F94">
            <v>6.336</v>
          </cell>
        </row>
        <row r="96">
          <cell r="F96">
            <v>24.06</v>
          </cell>
        </row>
        <row r="103">
          <cell r="F103">
            <v>7.4</v>
          </cell>
        </row>
        <row r="104">
          <cell r="F104">
            <v>0.7400000000000001</v>
          </cell>
        </row>
        <row r="106">
          <cell r="F106">
            <v>1.26</v>
          </cell>
        </row>
        <row r="107">
          <cell r="F107">
            <v>1</v>
          </cell>
        </row>
        <row r="109">
          <cell r="F109">
            <v>2.9600000000000004</v>
          </cell>
        </row>
        <row r="114">
          <cell r="F114">
            <v>10.95</v>
          </cell>
          <cell r="H114">
            <v>5</v>
          </cell>
        </row>
        <row r="115">
          <cell r="F115">
            <v>10</v>
          </cell>
        </row>
        <row r="116">
          <cell r="F116">
            <v>7.429439999999999</v>
          </cell>
        </row>
        <row r="117">
          <cell r="F117">
            <v>32.849999999999994</v>
          </cell>
          <cell r="H117">
            <v>259.515</v>
          </cell>
        </row>
        <row r="118">
          <cell r="F118">
            <v>23.210000000000004</v>
          </cell>
          <cell r="H118">
            <v>183.35900000000004</v>
          </cell>
        </row>
        <row r="119">
          <cell r="F119">
            <v>3.798</v>
          </cell>
        </row>
        <row r="120">
          <cell r="F120">
            <v>1.34125</v>
          </cell>
        </row>
        <row r="121">
          <cell r="F121">
            <v>1.52625</v>
          </cell>
          <cell r="H121">
            <v>15.2625</v>
          </cell>
        </row>
        <row r="122">
          <cell r="F122">
            <v>29.25</v>
          </cell>
        </row>
        <row r="124">
          <cell r="F124">
            <v>2.4000000000000004</v>
          </cell>
        </row>
        <row r="125">
          <cell r="F125">
            <v>0.8190000000000001</v>
          </cell>
        </row>
        <row r="126">
          <cell r="F126">
            <v>0.5</v>
          </cell>
          <cell r="H126">
            <v>5</v>
          </cell>
        </row>
        <row r="127">
          <cell r="F127">
            <v>5.6000000000000005</v>
          </cell>
        </row>
        <row r="129">
          <cell r="F129">
            <v>3.6417799999999994</v>
          </cell>
        </row>
        <row r="130">
          <cell r="F130">
            <v>25.9</v>
          </cell>
          <cell r="H130">
            <v>204.60999999999999</v>
          </cell>
        </row>
        <row r="132">
          <cell r="F132">
            <v>0.6554999999999999</v>
          </cell>
        </row>
        <row r="133">
          <cell r="F133">
            <v>0.144</v>
          </cell>
        </row>
        <row r="134">
          <cell r="F134">
            <v>0.96</v>
          </cell>
        </row>
        <row r="135">
          <cell r="F135">
            <v>0.418</v>
          </cell>
          <cell r="H135">
            <v>4.18</v>
          </cell>
        </row>
        <row r="136">
          <cell r="F136">
            <v>21.16</v>
          </cell>
        </row>
        <row r="137">
          <cell r="F137">
            <v>1</v>
          </cell>
        </row>
        <row r="138">
          <cell r="F138">
            <v>5</v>
          </cell>
        </row>
        <row r="140">
          <cell r="F140">
            <v>5.940000000000001</v>
          </cell>
        </row>
        <row r="141">
          <cell r="F141">
            <v>2.079</v>
          </cell>
        </row>
        <row r="143">
          <cell r="F143">
            <v>0.5940000000000002</v>
          </cell>
          <cell r="H143">
            <v>5.940000000000001</v>
          </cell>
        </row>
        <row r="144">
          <cell r="F144">
            <v>0.19800000000000004</v>
          </cell>
          <cell r="H144">
            <v>1.9800000000000002</v>
          </cell>
        </row>
        <row r="145">
          <cell r="F145">
            <v>1.6940000000000002</v>
          </cell>
        </row>
        <row r="146">
          <cell r="F146">
            <v>6.6000000000000005</v>
          </cell>
        </row>
        <row r="147">
          <cell r="F147">
            <v>9.600000000000001</v>
          </cell>
        </row>
        <row r="148">
          <cell r="F148">
            <v>8.580000000000002</v>
          </cell>
        </row>
        <row r="150">
          <cell r="F150">
            <v>5.816999999999999</v>
          </cell>
        </row>
        <row r="151">
          <cell r="F151">
            <v>9.5</v>
          </cell>
        </row>
        <row r="153">
          <cell r="F153">
            <v>42.158999999999985</v>
          </cell>
        </row>
        <row r="154">
          <cell r="F154">
            <v>25.192000000000004</v>
          </cell>
        </row>
        <row r="155">
          <cell r="F155">
            <v>4.619999999999999</v>
          </cell>
        </row>
        <row r="156">
          <cell r="F156">
            <v>4.125</v>
          </cell>
        </row>
        <row r="158">
          <cell r="F158">
            <v>19.833999999999996</v>
          </cell>
        </row>
        <row r="159">
          <cell r="F159">
            <v>15.600000000000005</v>
          </cell>
        </row>
        <row r="160">
          <cell r="F160">
            <v>2.9259999999999993</v>
          </cell>
        </row>
        <row r="163">
          <cell r="F163">
            <v>20.1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A154"/>
  <sheetViews>
    <sheetView zoomScalePageLayoutView="0" workbookViewId="0" topLeftCell="A34">
      <selection activeCell="L41" sqref="L41"/>
    </sheetView>
  </sheetViews>
  <sheetFormatPr defaultColWidth="9.00390625" defaultRowHeight="12.75"/>
  <cols>
    <col min="1" max="1" width="4.25390625" style="253" customWidth="1"/>
    <col min="2" max="2" width="9.125" style="287" customWidth="1"/>
    <col min="3" max="3" width="29.25390625" style="253" customWidth="1"/>
    <col min="4" max="4" width="19.75390625" style="253" customWidth="1"/>
    <col min="5" max="5" width="11.375" style="263" bestFit="1" customWidth="1"/>
    <col min="6" max="6" width="8.875" style="301" customWidth="1"/>
    <col min="7" max="7" width="7.75390625" style="320" customWidth="1"/>
    <col min="8" max="8" width="11.25390625" style="320" bestFit="1" customWidth="1"/>
    <col min="9" max="9" width="2.00390625" style="253" customWidth="1"/>
    <col min="10" max="10" width="16.00390625" style="253" customWidth="1"/>
    <col min="11" max="11" width="9.125" style="253" customWidth="1"/>
    <col min="12" max="12" width="24.625" style="253" customWidth="1"/>
    <col min="13" max="14" width="9.125" style="253" customWidth="1"/>
    <col min="15" max="15" width="14.125" style="253" customWidth="1"/>
    <col min="16" max="16" width="14.00390625" style="253" bestFit="1" customWidth="1"/>
    <col min="17" max="17" width="17.875" style="253" customWidth="1"/>
    <col min="18" max="18" width="14.875" style="253" customWidth="1"/>
    <col min="19" max="19" width="13.00390625" style="253" customWidth="1"/>
    <col min="20" max="20" width="14.375" style="253" customWidth="1"/>
    <col min="21" max="16384" width="9.125" style="253" customWidth="1"/>
  </cols>
  <sheetData>
    <row r="1" ht="15">
      <c r="B1" s="275" t="s">
        <v>204</v>
      </c>
    </row>
    <row r="2" spans="2:11" ht="15">
      <c r="B2" s="276" t="s">
        <v>118</v>
      </c>
      <c r="F2" s="635" t="s">
        <v>165</v>
      </c>
      <c r="G2" s="321"/>
      <c r="H2" s="322" t="s">
        <v>211</v>
      </c>
      <c r="J2" s="319" t="s">
        <v>213</v>
      </c>
      <c r="K2" s="253">
        <f>4145-1230</f>
        <v>2915</v>
      </c>
    </row>
    <row r="3" ht="15">
      <c r="B3" s="276"/>
    </row>
    <row r="4" spans="2:21" s="229" customFormat="1" ht="12.75">
      <c r="B4" s="288" t="s">
        <v>70</v>
      </c>
      <c r="C4" s="289"/>
      <c r="D4" s="290"/>
      <c r="E4" s="291"/>
      <c r="F4" s="300"/>
      <c r="G4" s="233"/>
      <c r="H4" s="227"/>
      <c r="I4" s="227"/>
      <c r="J4" s="227"/>
      <c r="K4" s="227"/>
      <c r="L4" s="228"/>
      <c r="O4" s="757" t="s">
        <v>210</v>
      </c>
      <c r="P4" s="758"/>
      <c r="Q4" s="758"/>
      <c r="R4" s="758"/>
      <c r="S4" s="758"/>
      <c r="T4" s="758"/>
      <c r="U4" s="758"/>
    </row>
    <row r="5" spans="2:21" s="229" customFormat="1" ht="12.75">
      <c r="B5" s="277" t="s">
        <v>71</v>
      </c>
      <c r="C5" s="232"/>
      <c r="D5" s="232"/>
      <c r="E5" s="264"/>
      <c r="F5" s="300"/>
      <c r="G5" s="233"/>
      <c r="H5" s="227"/>
      <c r="I5" s="227"/>
      <c r="J5" s="234"/>
      <c r="K5" s="235"/>
      <c r="L5" s="228"/>
      <c r="O5" s="758"/>
      <c r="P5" s="758"/>
      <c r="Q5" s="758"/>
      <c r="R5" s="758"/>
      <c r="S5" s="758"/>
      <c r="T5" s="758"/>
      <c r="U5" s="758"/>
    </row>
    <row r="6" spans="2:21" s="229" customFormat="1" ht="24.75" customHeight="1">
      <c r="B6" s="274"/>
      <c r="C6" s="229" t="s">
        <v>116</v>
      </c>
      <c r="D6" s="232"/>
      <c r="E6" s="266" t="s">
        <v>167</v>
      </c>
      <c r="F6" s="645">
        <f>1188+2030+1911+2352+2345+2096+1456+1993+852+2781+3152</f>
        <v>22156</v>
      </c>
      <c r="G6" s="233" t="s">
        <v>8</v>
      </c>
      <c r="H6" s="761" t="s">
        <v>674</v>
      </c>
      <c r="I6" s="762"/>
      <c r="J6" s="762"/>
      <c r="K6" s="762"/>
      <c r="L6" s="234"/>
      <c r="N6" s="234"/>
      <c r="O6" s="758"/>
      <c r="P6" s="758"/>
      <c r="Q6" s="758"/>
      <c r="R6" s="758"/>
      <c r="S6" s="758"/>
      <c r="T6" s="758"/>
      <c r="U6" s="758"/>
    </row>
    <row r="7" spans="2:21" s="229" customFormat="1" ht="12.75">
      <c r="B7" s="274"/>
      <c r="C7" s="229" t="s">
        <v>115</v>
      </c>
      <c r="D7" s="232"/>
      <c r="E7" s="292" t="s">
        <v>171</v>
      </c>
      <c r="F7" s="649">
        <f>'SO.101- tabulka PK'!AA139</f>
        <v>4676.3179999999975</v>
      </c>
      <c r="G7" s="233" t="s">
        <v>8</v>
      </c>
      <c r="H7" s="227"/>
      <c r="I7" s="227"/>
      <c r="J7" s="234"/>
      <c r="K7" s="235"/>
      <c r="L7" s="230"/>
      <c r="O7" s="758"/>
      <c r="P7" s="758"/>
      <c r="Q7" s="758"/>
      <c r="R7" s="758"/>
      <c r="S7" s="758"/>
      <c r="T7" s="758"/>
      <c r="U7" s="758"/>
    </row>
    <row r="8" spans="2:21" s="229" customFormat="1" ht="12.75">
      <c r="B8" s="274"/>
      <c r="C8" s="229" t="s">
        <v>187</v>
      </c>
      <c r="D8" s="232"/>
      <c r="E8" s="292" t="s">
        <v>171</v>
      </c>
      <c r="F8" s="648">
        <v>66.66</v>
      </c>
      <c r="G8" s="233" t="s">
        <v>8</v>
      </c>
      <c r="H8" s="227"/>
      <c r="I8" s="227"/>
      <c r="J8" s="234"/>
      <c r="K8" s="235"/>
      <c r="L8" s="230"/>
      <c r="O8" s="758"/>
      <c r="P8" s="758"/>
      <c r="Q8" s="758"/>
      <c r="R8" s="758"/>
      <c r="S8" s="758"/>
      <c r="T8" s="758"/>
      <c r="U8" s="758"/>
    </row>
    <row r="9" spans="2:12" s="229" customFormat="1" ht="12.75">
      <c r="B9" s="278" t="s">
        <v>72</v>
      </c>
      <c r="C9" s="237"/>
      <c r="D9" s="237"/>
      <c r="E9" s="267"/>
      <c r="F9" s="323">
        <f>25+21+13+46+28</f>
        <v>133</v>
      </c>
      <c r="G9" s="233" t="s">
        <v>8</v>
      </c>
      <c r="H9" s="227"/>
      <c r="I9" s="227"/>
      <c r="J9" s="234" t="s">
        <v>216</v>
      </c>
      <c r="K9" s="235"/>
      <c r="L9" s="228"/>
    </row>
    <row r="10" spans="2:12" s="229" customFormat="1" ht="12.75">
      <c r="B10" s="278" t="s">
        <v>181</v>
      </c>
      <c r="C10" s="237"/>
      <c r="D10" s="237"/>
      <c r="E10" s="267"/>
      <c r="F10" s="645">
        <f>33+121+17+9+11+30+73</f>
        <v>294</v>
      </c>
      <c r="G10" s="233" t="s">
        <v>8</v>
      </c>
      <c r="H10" s="227"/>
      <c r="I10" s="227"/>
      <c r="J10" s="234" t="s">
        <v>215</v>
      </c>
      <c r="K10" s="235"/>
      <c r="L10" s="228"/>
    </row>
    <row r="11" spans="2:12" s="229" customFormat="1" ht="12.75">
      <c r="B11" s="277" t="s">
        <v>169</v>
      </c>
      <c r="C11" s="232"/>
      <c r="D11" s="229" t="s">
        <v>170</v>
      </c>
      <c r="E11" s="266"/>
      <c r="F11" s="323">
        <v>0</v>
      </c>
      <c r="G11" s="233" t="s">
        <v>8</v>
      </c>
      <c r="H11" s="227"/>
      <c r="I11" s="227"/>
      <c r="J11" s="232"/>
      <c r="K11" s="235"/>
      <c r="L11" s="228"/>
    </row>
    <row r="12" spans="2:12" s="229" customFormat="1" ht="12.75">
      <c r="B12" s="278"/>
      <c r="C12" s="237"/>
      <c r="D12" s="237"/>
      <c r="E12" s="267"/>
      <c r="F12" s="323"/>
      <c r="G12" s="233"/>
      <c r="H12" s="227"/>
      <c r="I12" s="227"/>
      <c r="J12" s="234"/>
      <c r="K12" s="235"/>
      <c r="L12" s="228"/>
    </row>
    <row r="13" spans="2:12" s="229" customFormat="1" ht="12.75">
      <c r="B13" s="278" t="s">
        <v>74</v>
      </c>
      <c r="C13" s="237"/>
      <c r="D13" s="237" t="s">
        <v>166</v>
      </c>
      <c r="E13" s="267"/>
      <c r="F13" s="440">
        <f>2915*2+5*2*6.5+65</f>
        <v>5960</v>
      </c>
      <c r="G13" s="233" t="s">
        <v>9</v>
      </c>
      <c r="H13" s="227"/>
      <c r="I13" s="227"/>
      <c r="J13" s="646" t="s">
        <v>564</v>
      </c>
      <c r="K13" s="235"/>
      <c r="L13" s="228"/>
    </row>
    <row r="14" spans="2:12" s="229" customFormat="1" ht="12.75">
      <c r="B14" s="278" t="s">
        <v>75</v>
      </c>
      <c r="C14" s="237"/>
      <c r="D14" s="237"/>
      <c r="E14" s="267"/>
      <c r="F14" s="694">
        <v>68</v>
      </c>
      <c r="G14" s="695" t="s">
        <v>9</v>
      </c>
      <c r="H14" s="696"/>
      <c r="I14" s="696"/>
      <c r="J14" s="697" t="s">
        <v>561</v>
      </c>
      <c r="K14" s="698" t="s">
        <v>667</v>
      </c>
      <c r="L14" s="228"/>
    </row>
    <row r="15" spans="2:12" s="229" customFormat="1" ht="12.75">
      <c r="B15" s="278"/>
      <c r="C15" s="237"/>
      <c r="D15" s="237" t="s">
        <v>668</v>
      </c>
      <c r="E15" s="267"/>
      <c r="F15" s="694">
        <v>315.5</v>
      </c>
      <c r="G15" s="695" t="s">
        <v>9</v>
      </c>
      <c r="H15" s="696"/>
      <c r="I15" s="696"/>
      <c r="J15" s="697"/>
      <c r="K15" s="698"/>
      <c r="L15" s="228"/>
    </row>
    <row r="16" spans="2:12" s="229" customFormat="1" ht="12.75">
      <c r="B16" s="278" t="s">
        <v>296</v>
      </c>
      <c r="C16" s="237" t="s">
        <v>562</v>
      </c>
      <c r="D16" s="237"/>
      <c r="E16" s="267"/>
      <c r="F16" s="323">
        <v>7</v>
      </c>
      <c r="G16" s="233" t="s">
        <v>9</v>
      </c>
      <c r="H16" s="227"/>
      <c r="I16" s="227"/>
      <c r="J16" s="234"/>
      <c r="K16" s="235"/>
      <c r="L16" s="228"/>
    </row>
    <row r="17" spans="2:12" s="229" customFormat="1" ht="6" customHeight="1">
      <c r="B17" s="278"/>
      <c r="C17" s="237"/>
      <c r="D17" s="237"/>
      <c r="E17" s="267"/>
      <c r="F17" s="300"/>
      <c r="G17" s="233"/>
      <c r="H17" s="227"/>
      <c r="I17" s="227"/>
      <c r="J17" s="234"/>
      <c r="K17" s="235"/>
      <c r="L17" s="228"/>
    </row>
    <row r="18" spans="2:12" s="229" customFormat="1" ht="12.75">
      <c r="B18" s="279" t="s">
        <v>76</v>
      </c>
      <c r="C18" s="239"/>
      <c r="D18" s="240"/>
      <c r="E18" s="269"/>
      <c r="F18" s="300"/>
      <c r="G18" s="233"/>
      <c r="H18" s="232"/>
      <c r="I18" s="227"/>
      <c r="J18" s="234"/>
      <c r="K18" s="235"/>
      <c r="L18" s="228"/>
    </row>
    <row r="19" spans="2:12" s="229" customFormat="1" ht="12.75">
      <c r="B19" s="277" t="s">
        <v>77</v>
      </c>
      <c r="C19" s="242"/>
      <c r="D19" s="759" t="s">
        <v>202</v>
      </c>
      <c r="E19" s="760"/>
      <c r="F19" s="760"/>
      <c r="G19" s="233" t="s">
        <v>10</v>
      </c>
      <c r="H19" s="232"/>
      <c r="I19" s="227"/>
      <c r="J19" s="234"/>
      <c r="K19" s="243"/>
      <c r="L19" s="228"/>
    </row>
    <row r="20" spans="2:12" s="229" customFormat="1" ht="12.75">
      <c r="B20" s="277"/>
      <c r="C20" s="242"/>
      <c r="D20" s="760"/>
      <c r="E20" s="760"/>
      <c r="F20" s="760"/>
      <c r="G20" s="233"/>
      <c r="H20" s="232"/>
      <c r="I20" s="227"/>
      <c r="J20" s="234"/>
      <c r="K20" s="243"/>
      <c r="L20" s="228"/>
    </row>
    <row r="21" spans="2:12" s="229" customFormat="1" ht="12.75">
      <c r="B21" s="277" t="s">
        <v>78</v>
      </c>
      <c r="C21" s="244"/>
      <c r="D21" s="760"/>
      <c r="E21" s="760"/>
      <c r="F21" s="760"/>
      <c r="G21" s="233" t="s">
        <v>10</v>
      </c>
      <c r="H21" s="227"/>
      <c r="I21" s="227"/>
      <c r="J21" s="234"/>
      <c r="K21" s="243"/>
      <c r="L21" s="228"/>
    </row>
    <row r="22" spans="2:12" s="229" customFormat="1" ht="12.75">
      <c r="B22" s="277"/>
      <c r="C22" s="244"/>
      <c r="D22" s="760"/>
      <c r="E22" s="760"/>
      <c r="F22" s="760"/>
      <c r="G22" s="233"/>
      <c r="H22" s="227"/>
      <c r="I22" s="227"/>
      <c r="J22" s="234"/>
      <c r="K22" s="243"/>
      <c r="L22" s="228"/>
    </row>
    <row r="23" spans="2:12" s="229" customFormat="1" ht="12.75">
      <c r="B23" s="277" t="s">
        <v>79</v>
      </c>
      <c r="C23" s="244"/>
      <c r="D23" s="760"/>
      <c r="E23" s="760"/>
      <c r="F23" s="760"/>
      <c r="G23" s="233" t="s">
        <v>8</v>
      </c>
      <c r="H23" s="227"/>
      <c r="I23" s="227"/>
      <c r="J23" s="234"/>
      <c r="K23" s="650"/>
      <c r="L23" s="228"/>
    </row>
    <row r="24" spans="2:12" s="229" customFormat="1" ht="12.75">
      <c r="B24" s="277" t="s">
        <v>80</v>
      </c>
      <c r="C24" s="244"/>
      <c r="D24" s="760"/>
      <c r="E24" s="760"/>
      <c r="F24" s="760"/>
      <c r="G24" s="233" t="s">
        <v>8</v>
      </c>
      <c r="H24" s="227"/>
      <c r="I24" s="227"/>
      <c r="J24" s="234"/>
      <c r="K24" s="243"/>
      <c r="L24" s="228"/>
    </row>
    <row r="25" spans="2:12" s="229" customFormat="1" ht="3" customHeight="1">
      <c r="B25" s="277"/>
      <c r="C25" s="244"/>
      <c r="D25" s="237"/>
      <c r="E25" s="268"/>
      <c r="F25" s="300"/>
      <c r="G25" s="233"/>
      <c r="H25" s="227"/>
      <c r="I25" s="227"/>
      <c r="J25" s="234"/>
      <c r="K25" s="235"/>
      <c r="L25" s="228"/>
    </row>
    <row r="26" spans="2:12" s="229" customFormat="1" ht="5.25" customHeight="1">
      <c r="B26" s="277"/>
      <c r="C26" s="244"/>
      <c r="D26" s="237"/>
      <c r="E26" s="268"/>
      <c r="F26" s="300"/>
      <c r="G26" s="233"/>
      <c r="H26" s="227"/>
      <c r="I26" s="227"/>
      <c r="J26" s="234"/>
      <c r="K26" s="235"/>
      <c r="L26" s="228"/>
    </row>
    <row r="27" spans="2:12" s="229" customFormat="1" ht="12.75">
      <c r="B27" s="298" t="s">
        <v>178</v>
      </c>
      <c r="D27" s="174" t="s">
        <v>600</v>
      </c>
      <c r="E27" s="145"/>
      <c r="F27" s="438">
        <v>4</v>
      </c>
      <c r="G27" s="296" t="s">
        <v>10</v>
      </c>
      <c r="H27" s="227"/>
      <c r="I27" s="227"/>
      <c r="J27" s="155" t="s">
        <v>603</v>
      </c>
      <c r="K27" s="235"/>
      <c r="L27" s="228"/>
    </row>
    <row r="28" spans="2:12" s="229" customFormat="1" ht="12.75">
      <c r="B28" s="147"/>
      <c r="D28" s="174" t="s">
        <v>601</v>
      </c>
      <c r="E28" s="145"/>
      <c r="F28" s="438">
        <v>4</v>
      </c>
      <c r="G28" s="145" t="s">
        <v>10</v>
      </c>
      <c r="H28" s="227"/>
      <c r="I28" s="227"/>
      <c r="J28" s="155" t="s">
        <v>603</v>
      </c>
      <c r="K28" s="235"/>
      <c r="L28" s="228"/>
    </row>
    <row r="29" spans="2:12" s="229" customFormat="1" ht="12.75">
      <c r="B29" s="147"/>
      <c r="D29" s="174" t="s">
        <v>602</v>
      </c>
      <c r="E29" s="145" t="s">
        <v>604</v>
      </c>
      <c r="F29" s="438">
        <v>3</v>
      </c>
      <c r="G29" s="145" t="s">
        <v>107</v>
      </c>
      <c r="H29" s="227"/>
      <c r="I29" s="227"/>
      <c r="J29" s="155"/>
      <c r="K29" s="235"/>
      <c r="L29" s="228"/>
    </row>
    <row r="30" spans="2:12" s="229" customFormat="1" ht="1.5" customHeight="1">
      <c r="B30" s="147"/>
      <c r="C30" s="174"/>
      <c r="D30" s="155"/>
      <c r="E30" s="145"/>
      <c r="F30" s="438"/>
      <c r="G30" s="261"/>
      <c r="H30" s="227"/>
      <c r="I30" s="227"/>
      <c r="J30" s="234"/>
      <c r="K30" s="235"/>
      <c r="L30" s="228"/>
    </row>
    <row r="31" spans="2:11" s="229" customFormat="1" ht="12.75">
      <c r="B31" s="298" t="s">
        <v>201</v>
      </c>
      <c r="C31" s="229" t="s">
        <v>584</v>
      </c>
      <c r="D31" s="147" t="s">
        <v>585</v>
      </c>
      <c r="E31" s="316"/>
      <c r="G31" s="261"/>
      <c r="H31" s="227"/>
      <c r="I31" s="227"/>
      <c r="J31" s="155"/>
      <c r="K31" s="235"/>
    </row>
    <row r="32" spans="3:11" s="229" customFormat="1" ht="12.75">
      <c r="C32" s="147" t="s">
        <v>586</v>
      </c>
      <c r="E32" s="155"/>
      <c r="F32" s="261">
        <v>26</v>
      </c>
      <c r="G32" s="261" t="s">
        <v>107</v>
      </c>
      <c r="H32" s="227"/>
      <c r="I32" s="227"/>
      <c r="J32" s="234"/>
      <c r="K32" s="235"/>
    </row>
    <row r="33" spans="2:11" s="229" customFormat="1" ht="6" customHeight="1">
      <c r="B33" s="147"/>
      <c r="C33" s="174"/>
      <c r="D33" s="155"/>
      <c r="E33" s="145"/>
      <c r="F33" s="438"/>
      <c r="G33" s="261"/>
      <c r="H33" s="227"/>
      <c r="I33" s="227"/>
      <c r="J33" s="234"/>
      <c r="K33" s="235"/>
    </row>
    <row r="34" spans="2:11" s="229" customFormat="1" ht="12.75">
      <c r="B34" s="147"/>
      <c r="C34" s="147" t="s">
        <v>583</v>
      </c>
      <c r="D34" s="662" t="s">
        <v>581</v>
      </c>
      <c r="F34" s="636">
        <v>10</v>
      </c>
      <c r="G34" s="261" t="s">
        <v>107</v>
      </c>
      <c r="H34" s="227"/>
      <c r="I34" s="227"/>
      <c r="J34" s="234"/>
      <c r="K34" s="235"/>
    </row>
    <row r="35" spans="2:11" s="229" customFormat="1" ht="12.75">
      <c r="B35" s="147"/>
      <c r="C35" s="147"/>
      <c r="D35" s="663" t="s">
        <v>582</v>
      </c>
      <c r="E35" s="145"/>
      <c r="F35" s="636">
        <f>1092*1.5</f>
        <v>1638</v>
      </c>
      <c r="G35" s="712" t="s">
        <v>8</v>
      </c>
      <c r="H35" s="227"/>
      <c r="I35" s="227"/>
      <c r="J35" s="234"/>
      <c r="K35" s="235"/>
    </row>
    <row r="36" spans="2:11" s="229" customFormat="1" ht="12.75">
      <c r="B36" s="279" t="s">
        <v>81</v>
      </c>
      <c r="C36" s="239"/>
      <c r="D36" s="240"/>
      <c r="E36" s="269"/>
      <c r="F36" s="300"/>
      <c r="G36" s="233"/>
      <c r="H36" s="232"/>
      <c r="I36" s="232"/>
      <c r="J36" s="235"/>
      <c r="K36" s="235"/>
    </row>
    <row r="37" spans="2:11" s="229" customFormat="1" ht="12.75">
      <c r="B37" s="280" t="s">
        <v>82</v>
      </c>
      <c r="C37" s="237"/>
      <c r="D37" s="237"/>
      <c r="E37" s="268"/>
      <c r="F37" s="325">
        <f>N54+P54+R54</f>
        <v>20025</v>
      </c>
      <c r="G37" s="233" t="s">
        <v>8</v>
      </c>
      <c r="H37" s="237"/>
      <c r="I37" s="237"/>
      <c r="J37" s="326"/>
      <c r="K37" s="243"/>
    </row>
    <row r="38" spans="2:11" s="229" customFormat="1" ht="12.75">
      <c r="B38" s="280"/>
      <c r="C38" s="237"/>
      <c r="D38" s="237" t="s">
        <v>83</v>
      </c>
      <c r="E38" s="268"/>
      <c r="F38" s="323">
        <f>N55+P55+R55</f>
        <v>3916</v>
      </c>
      <c r="G38" s="233" t="s">
        <v>8</v>
      </c>
      <c r="H38" s="237"/>
      <c r="I38" s="237"/>
      <c r="J38" s="326"/>
      <c r="K38" s="243"/>
    </row>
    <row r="39" spans="2:11" s="229" customFormat="1" ht="12.75">
      <c r="B39" s="280" t="s">
        <v>84</v>
      </c>
      <c r="C39" s="237"/>
      <c r="D39" s="237"/>
      <c r="E39" s="268"/>
      <c r="F39" s="637">
        <f>33+121+17+9+11+30+73</f>
        <v>294</v>
      </c>
      <c r="G39" s="233" t="s">
        <v>8</v>
      </c>
      <c r="H39" s="237"/>
      <c r="I39" s="237"/>
      <c r="J39" s="326" t="s">
        <v>215</v>
      </c>
      <c r="K39" s="235"/>
    </row>
    <row r="40" spans="2:11" s="229" customFormat="1" ht="12.75">
      <c r="B40" s="280" t="s">
        <v>214</v>
      </c>
      <c r="C40" s="237"/>
      <c r="D40" s="237"/>
      <c r="E40" s="268"/>
      <c r="F40" s="637">
        <f>F9</f>
        <v>133</v>
      </c>
      <c r="G40" s="233" t="s">
        <v>8</v>
      </c>
      <c r="H40" s="237"/>
      <c r="I40" s="237"/>
      <c r="J40" s="326" t="s">
        <v>216</v>
      </c>
      <c r="K40" s="235"/>
    </row>
    <row r="41" spans="2:11" s="229" customFormat="1" ht="12.75">
      <c r="B41" s="280" t="s">
        <v>85</v>
      </c>
      <c r="C41" s="237"/>
      <c r="D41" s="237"/>
      <c r="E41" s="268"/>
      <c r="F41" s="637">
        <f>125+120+183+101+183+169</f>
        <v>881</v>
      </c>
      <c r="G41" s="233" t="s">
        <v>8</v>
      </c>
      <c r="H41" s="237"/>
      <c r="I41" s="237"/>
      <c r="J41" s="326" t="s">
        <v>212</v>
      </c>
      <c r="K41" s="235"/>
    </row>
    <row r="42" spans="2:11" s="229" customFormat="1" ht="12.75">
      <c r="B42" s="274"/>
      <c r="C42" s="232"/>
      <c r="D42" s="232"/>
      <c r="E42" s="264"/>
      <c r="F42" s="301"/>
      <c r="G42" s="231"/>
      <c r="H42" s="232"/>
      <c r="J42" s="234"/>
      <c r="K42" s="235"/>
    </row>
    <row r="43" spans="2:18" s="229" customFormat="1" ht="12.75">
      <c r="B43" s="282"/>
      <c r="C43" s="237"/>
      <c r="D43" s="237"/>
      <c r="E43" s="268"/>
      <c r="F43" s="300"/>
      <c r="G43" s="233"/>
      <c r="H43" s="232"/>
      <c r="I43" s="232"/>
      <c r="J43" s="235"/>
      <c r="K43" s="235"/>
      <c r="N43" s="229">
        <v>2996</v>
      </c>
      <c r="P43" s="229">
        <v>1109</v>
      </c>
      <c r="R43" s="229">
        <v>3438</v>
      </c>
    </row>
    <row r="44" spans="2:18" s="229" customFormat="1" ht="12.75">
      <c r="B44" s="283" t="s">
        <v>644</v>
      </c>
      <c r="C44" s="246"/>
      <c r="D44" s="240"/>
      <c r="E44" s="269"/>
      <c r="F44" s="323">
        <f>N54</f>
        <v>8018</v>
      </c>
      <c r="G44" s="233" t="s">
        <v>8</v>
      </c>
      <c r="H44" s="232"/>
      <c r="I44" s="232"/>
      <c r="J44" s="234"/>
      <c r="K44" s="235"/>
      <c r="N44" s="229">
        <v>569</v>
      </c>
      <c r="P44" s="229">
        <v>1985</v>
      </c>
      <c r="R44" s="229">
        <v>105</v>
      </c>
    </row>
    <row r="45" spans="2:16" s="229" customFormat="1" ht="12.75">
      <c r="B45" s="281" t="s">
        <v>128</v>
      </c>
      <c r="C45" s="245"/>
      <c r="D45" s="245" t="s">
        <v>86</v>
      </c>
      <c r="E45" s="680" t="s">
        <v>639</v>
      </c>
      <c r="F45" s="681">
        <f>8018+220*0.01</f>
        <v>8020.2</v>
      </c>
      <c r="G45" s="233" t="s">
        <v>8</v>
      </c>
      <c r="H45" s="237"/>
      <c r="I45" s="232"/>
      <c r="J45" s="235" t="s">
        <v>645</v>
      </c>
      <c r="K45" s="235"/>
      <c r="N45" s="229">
        <v>1478</v>
      </c>
      <c r="P45" s="229">
        <v>1933</v>
      </c>
    </row>
    <row r="46" spans="2:16" s="229" customFormat="1" ht="13.5">
      <c r="B46" s="281" t="s">
        <v>168</v>
      </c>
      <c r="C46" s="245"/>
      <c r="D46" s="245" t="s">
        <v>129</v>
      </c>
      <c r="E46" s="270"/>
      <c r="F46" s="684">
        <f>8018+220*0.08</f>
        <v>8035.6</v>
      </c>
      <c r="G46" s="233" t="s">
        <v>8</v>
      </c>
      <c r="H46" s="232"/>
      <c r="I46" s="232"/>
      <c r="J46" s="235" t="s">
        <v>646</v>
      </c>
      <c r="K46" s="243"/>
      <c r="N46" s="229">
        <v>2057</v>
      </c>
      <c r="P46" s="229">
        <v>829</v>
      </c>
    </row>
    <row r="47" spans="2:17" s="229" customFormat="1" ht="12.75">
      <c r="B47" s="281" t="s">
        <v>130</v>
      </c>
      <c r="C47" s="245"/>
      <c r="D47" s="245" t="s">
        <v>88</v>
      </c>
      <c r="E47" s="270" t="s">
        <v>131</v>
      </c>
      <c r="F47" s="678">
        <f>8018+220*0.08</f>
        <v>8035.6</v>
      </c>
      <c r="G47" s="233" t="s">
        <v>8</v>
      </c>
      <c r="H47" s="232"/>
      <c r="I47" s="232"/>
      <c r="J47" s="235" t="s">
        <v>646</v>
      </c>
      <c r="K47" s="235"/>
      <c r="N47" s="229">
        <v>918</v>
      </c>
      <c r="P47" s="665">
        <v>791</v>
      </c>
      <c r="Q47" s="229" t="s">
        <v>641</v>
      </c>
    </row>
    <row r="48" spans="2:16" s="229" customFormat="1" ht="13.5">
      <c r="B48" s="281" t="s">
        <v>168</v>
      </c>
      <c r="C48" s="245"/>
      <c r="D48" s="245" t="s">
        <v>129</v>
      </c>
      <c r="E48" s="270"/>
      <c r="F48" s="684">
        <f>8018+220*0.2</f>
        <v>8062</v>
      </c>
      <c r="G48" s="233" t="s">
        <v>8</v>
      </c>
      <c r="H48" s="232"/>
      <c r="I48" s="232"/>
      <c r="J48" s="235" t="s">
        <v>647</v>
      </c>
      <c r="K48" s="227"/>
      <c r="N48" s="229">
        <v>0</v>
      </c>
      <c r="P48" s="229">
        <v>1817</v>
      </c>
    </row>
    <row r="49" spans="2:18" s="229" customFormat="1" ht="12.75">
      <c r="B49" s="281" t="s">
        <v>89</v>
      </c>
      <c r="C49" s="245"/>
      <c r="D49" s="245" t="s">
        <v>90</v>
      </c>
      <c r="E49" s="270" t="s">
        <v>91</v>
      </c>
      <c r="F49" s="678">
        <f>854+220*0.2</f>
        <v>898</v>
      </c>
      <c r="G49" s="233" t="s">
        <v>8</v>
      </c>
      <c r="H49" s="232"/>
      <c r="I49" s="232"/>
      <c r="J49" s="235" t="s">
        <v>676</v>
      </c>
      <c r="K49" s="227"/>
      <c r="N49" s="664">
        <f>SUM(N43:N48)</f>
        <v>8018</v>
      </c>
      <c r="P49" s="664">
        <f>SUM(P43:P48)</f>
        <v>8464</v>
      </c>
      <c r="R49" s="664">
        <f>SUM(R43:R47)</f>
        <v>3543</v>
      </c>
    </row>
    <row r="50" spans="2:11" s="229" customFormat="1" ht="12.75">
      <c r="B50" s="281" t="s">
        <v>92</v>
      </c>
      <c r="C50" s="245"/>
      <c r="D50" s="245" t="s">
        <v>5</v>
      </c>
      <c r="E50" s="270" t="s">
        <v>73</v>
      </c>
      <c r="F50" s="685">
        <f>854+220*0.4</f>
        <v>942</v>
      </c>
      <c r="G50" s="233" t="s">
        <v>8</v>
      </c>
      <c r="H50" s="232"/>
      <c r="I50" s="232"/>
      <c r="J50" s="235" t="s">
        <v>677</v>
      </c>
      <c r="K50" s="243"/>
    </row>
    <row r="51" spans="2:11" s="229" customFormat="1" ht="12.75">
      <c r="B51" s="281" t="s">
        <v>92</v>
      </c>
      <c r="C51" s="245"/>
      <c r="D51" s="245" t="s">
        <v>5</v>
      </c>
      <c r="E51" s="270" t="s">
        <v>73</v>
      </c>
      <c r="F51" s="685">
        <f>854+220*0.6</f>
        <v>986</v>
      </c>
      <c r="G51" s="233" t="s">
        <v>8</v>
      </c>
      <c r="H51" s="232"/>
      <c r="I51" s="232"/>
      <c r="J51" s="235" t="s">
        <v>678</v>
      </c>
      <c r="K51" s="235"/>
    </row>
    <row r="52" spans="2:18" s="229" customFormat="1" ht="12.75">
      <c r="B52" s="282"/>
      <c r="C52" s="237"/>
      <c r="D52" s="237"/>
      <c r="E52" s="268"/>
      <c r="F52" s="437"/>
      <c r="G52" s="233"/>
      <c r="H52" s="232"/>
      <c r="I52" s="232"/>
      <c r="J52" s="235"/>
      <c r="K52" s="235"/>
      <c r="N52" s="229" t="s">
        <v>565</v>
      </c>
      <c r="P52" s="229" t="s">
        <v>566</v>
      </c>
      <c r="R52" s="229" t="s">
        <v>567</v>
      </c>
    </row>
    <row r="53" spans="2:11" s="229" customFormat="1" ht="12.75">
      <c r="B53" s="283" t="s">
        <v>648</v>
      </c>
      <c r="C53" s="246"/>
      <c r="D53" s="240"/>
      <c r="E53" s="269"/>
      <c r="F53" s="323">
        <f>P54</f>
        <v>8464</v>
      </c>
      <c r="G53" s="233" t="s">
        <v>8</v>
      </c>
      <c r="H53" s="232"/>
      <c r="I53" s="232"/>
      <c r="J53" s="235"/>
      <c r="K53" s="235"/>
    </row>
    <row r="54" spans="2:20" s="229" customFormat="1" ht="12.75">
      <c r="B54" s="281" t="s">
        <v>128</v>
      </c>
      <c r="C54" s="245"/>
      <c r="D54" s="245" t="s">
        <v>86</v>
      </c>
      <c r="E54" s="680" t="s">
        <v>639</v>
      </c>
      <c r="F54" s="681">
        <f>8464+635*0.01</f>
        <v>8470.35</v>
      </c>
      <c r="G54" s="233" t="s">
        <v>8</v>
      </c>
      <c r="H54" s="232"/>
      <c r="I54" s="232"/>
      <c r="J54" s="235" t="s">
        <v>649</v>
      </c>
      <c r="K54" s="235"/>
      <c r="L54" s="675" t="s">
        <v>587</v>
      </c>
      <c r="N54" s="656">
        <f>N49</f>
        <v>8018</v>
      </c>
      <c r="O54" s="676" t="s">
        <v>8</v>
      </c>
      <c r="P54" s="656">
        <f>P49</f>
        <v>8464</v>
      </c>
      <c r="Q54" s="676" t="s">
        <v>8</v>
      </c>
      <c r="R54" s="656">
        <v>3543</v>
      </c>
      <c r="S54" s="676" t="s">
        <v>8</v>
      </c>
      <c r="T54" s="229">
        <f>SUM(N54:S54)</f>
        <v>20025</v>
      </c>
    </row>
    <row r="55" spans="2:20" s="229" customFormat="1" ht="13.5">
      <c r="B55" s="281" t="s">
        <v>168</v>
      </c>
      <c r="C55" s="245"/>
      <c r="D55" s="245" t="s">
        <v>129</v>
      </c>
      <c r="E55" s="270"/>
      <c r="F55" s="683">
        <f>8464+635*0.08</f>
        <v>8514.8</v>
      </c>
      <c r="G55" s="233" t="s">
        <v>8</v>
      </c>
      <c r="H55" s="232"/>
      <c r="I55" s="232"/>
      <c r="J55" s="235" t="s">
        <v>650</v>
      </c>
      <c r="K55" s="243"/>
      <c r="L55" s="230" t="s">
        <v>638</v>
      </c>
      <c r="N55" s="708">
        <v>854</v>
      </c>
      <c r="O55" s="676" t="s">
        <v>8</v>
      </c>
      <c r="P55" s="656">
        <v>2185</v>
      </c>
      <c r="Q55" s="676" t="s">
        <v>8</v>
      </c>
      <c r="R55" s="656">
        <v>877</v>
      </c>
      <c r="S55" s="676" t="s">
        <v>8</v>
      </c>
      <c r="T55" s="229">
        <f>SUM(N55:T55)</f>
        <v>3768</v>
      </c>
    </row>
    <row r="56" spans="2:19" s="229" customFormat="1" ht="12.75">
      <c r="B56" s="281" t="s">
        <v>130</v>
      </c>
      <c r="C56" s="245"/>
      <c r="D56" s="245" t="s">
        <v>88</v>
      </c>
      <c r="E56" s="270" t="s">
        <v>568</v>
      </c>
      <c r="F56" s="238">
        <f>8464+635*0.08</f>
        <v>8514.8</v>
      </c>
      <c r="G56" s="233" t="s">
        <v>8</v>
      </c>
      <c r="H56" s="232"/>
      <c r="I56" s="232"/>
      <c r="J56" s="235" t="s">
        <v>650</v>
      </c>
      <c r="K56" s="235"/>
      <c r="L56" s="675" t="s">
        <v>637</v>
      </c>
      <c r="N56" s="656">
        <v>220</v>
      </c>
      <c r="O56" s="677" t="s">
        <v>9</v>
      </c>
      <c r="P56" s="230">
        <v>635</v>
      </c>
      <c r="Q56" s="677" t="s">
        <v>9</v>
      </c>
      <c r="R56" s="656">
        <v>220</v>
      </c>
      <c r="S56" s="677" t="s">
        <v>9</v>
      </c>
    </row>
    <row r="57" spans="2:18" s="229" customFormat="1" ht="13.5">
      <c r="B57" s="281" t="s">
        <v>168</v>
      </c>
      <c r="C57" s="245"/>
      <c r="D57" s="245" t="s">
        <v>129</v>
      </c>
      <c r="E57" s="270"/>
      <c r="F57" s="684">
        <f>8464+635*0.2</f>
        <v>8591</v>
      </c>
      <c r="G57" s="233" t="s">
        <v>8</v>
      </c>
      <c r="H57" s="232"/>
      <c r="I57" s="232"/>
      <c r="J57" s="235" t="s">
        <v>651</v>
      </c>
      <c r="K57" s="235"/>
      <c r="N57" s="230" t="s">
        <v>640</v>
      </c>
      <c r="P57" s="230" t="s">
        <v>642</v>
      </c>
      <c r="Q57" s="230"/>
      <c r="R57" s="230" t="s">
        <v>643</v>
      </c>
    </row>
    <row r="58" spans="2:11" s="229" customFormat="1" ht="12.75">
      <c r="B58" s="281" t="s">
        <v>89</v>
      </c>
      <c r="C58" s="245"/>
      <c r="D58" s="245" t="s">
        <v>90</v>
      </c>
      <c r="E58" s="270" t="s">
        <v>91</v>
      </c>
      <c r="F58" s="678">
        <f>2135+635*0.2</f>
        <v>2262</v>
      </c>
      <c r="G58" s="233" t="s">
        <v>8</v>
      </c>
      <c r="H58" s="232"/>
      <c r="I58" s="232"/>
      <c r="J58" s="235" t="s">
        <v>652</v>
      </c>
      <c r="K58" s="235"/>
    </row>
    <row r="59" spans="2:18" s="229" customFormat="1" ht="12.75">
      <c r="B59" s="281" t="s">
        <v>92</v>
      </c>
      <c r="C59" s="245"/>
      <c r="D59" s="245" t="s">
        <v>5</v>
      </c>
      <c r="E59" s="270" t="s">
        <v>73</v>
      </c>
      <c r="F59" s="685">
        <f>2135+635*0.4</f>
        <v>2389</v>
      </c>
      <c r="G59" s="233" t="s">
        <v>8</v>
      </c>
      <c r="H59" s="232"/>
      <c r="I59" s="232"/>
      <c r="J59" s="235" t="s">
        <v>653</v>
      </c>
      <c r="K59" s="235"/>
      <c r="N59" s="656" t="s">
        <v>571</v>
      </c>
      <c r="P59" s="656" t="s">
        <v>576</v>
      </c>
      <c r="R59" s="656" t="s">
        <v>570</v>
      </c>
    </row>
    <row r="60" spans="2:18" s="229" customFormat="1" ht="12.75">
      <c r="B60" s="281" t="s">
        <v>92</v>
      </c>
      <c r="C60" s="245"/>
      <c r="D60" s="245" t="s">
        <v>5</v>
      </c>
      <c r="E60" s="679" t="s">
        <v>342</v>
      </c>
      <c r="F60" s="687">
        <f>2135+635*0.6</f>
        <v>2516</v>
      </c>
      <c r="G60" s="233" t="s">
        <v>8</v>
      </c>
      <c r="H60" s="232"/>
      <c r="I60" s="232"/>
      <c r="J60" s="235" t="s">
        <v>654</v>
      </c>
      <c r="K60" s="235"/>
      <c r="L60" s="281" t="s">
        <v>577</v>
      </c>
      <c r="N60" s="657" t="s">
        <v>639</v>
      </c>
      <c r="P60" s="657" t="s">
        <v>639</v>
      </c>
      <c r="R60" s="657" t="s">
        <v>639</v>
      </c>
    </row>
    <row r="61" spans="2:18" s="229" customFormat="1" ht="12.75">
      <c r="B61" s="282"/>
      <c r="C61" s="237"/>
      <c r="D61" s="237"/>
      <c r="E61" s="268"/>
      <c r="F61" s="437"/>
      <c r="G61" s="233"/>
      <c r="H61" s="232"/>
      <c r="I61" s="232"/>
      <c r="J61" s="235"/>
      <c r="K61" s="235"/>
      <c r="L61" s="281" t="s">
        <v>578</v>
      </c>
      <c r="N61" s="659" t="s">
        <v>572</v>
      </c>
      <c r="P61" s="659" t="s">
        <v>574</v>
      </c>
      <c r="R61" s="658" t="s">
        <v>573</v>
      </c>
    </row>
    <row r="62" spans="2:18" s="229" customFormat="1" ht="12.75">
      <c r="B62" s="283" t="s">
        <v>648</v>
      </c>
      <c r="C62" s="246"/>
      <c r="D62" s="240"/>
      <c r="E62" s="269"/>
      <c r="F62" s="323">
        <f>R54</f>
        <v>3543</v>
      </c>
      <c r="G62" s="233" t="s">
        <v>8</v>
      </c>
      <c r="H62" s="232"/>
      <c r="I62" s="232"/>
      <c r="J62" s="235"/>
      <c r="K62" s="235"/>
      <c r="L62" s="281" t="s">
        <v>579</v>
      </c>
      <c r="N62" s="657" t="s">
        <v>131</v>
      </c>
      <c r="P62" s="657" t="s">
        <v>568</v>
      </c>
      <c r="R62" s="657" t="s">
        <v>569</v>
      </c>
    </row>
    <row r="63" spans="2:18" s="229" customFormat="1" ht="12.75">
      <c r="B63" s="281" t="s">
        <v>128</v>
      </c>
      <c r="C63" s="245"/>
      <c r="D63" s="245" t="s">
        <v>86</v>
      </c>
      <c r="E63" s="680" t="s">
        <v>639</v>
      </c>
      <c r="F63" s="682">
        <f>3650+220*0.01</f>
        <v>3652.2</v>
      </c>
      <c r="G63" s="233" t="s">
        <v>8</v>
      </c>
      <c r="H63" s="232"/>
      <c r="I63" s="232"/>
      <c r="J63" s="235" t="s">
        <v>655</v>
      </c>
      <c r="K63" s="235"/>
      <c r="L63" s="281" t="s">
        <v>578</v>
      </c>
      <c r="N63" s="270"/>
      <c r="P63" s="270"/>
      <c r="R63" s="270"/>
    </row>
    <row r="64" spans="2:18" s="229" customFormat="1" ht="13.5">
      <c r="B64" s="281" t="s">
        <v>168</v>
      </c>
      <c r="C64" s="245"/>
      <c r="D64" s="245" t="s">
        <v>129</v>
      </c>
      <c r="E64" s="270"/>
      <c r="F64" s="683">
        <f>3650+220*0.08</f>
        <v>3667.6</v>
      </c>
      <c r="G64" s="233" t="s">
        <v>8</v>
      </c>
      <c r="H64" s="232"/>
      <c r="I64" s="232"/>
      <c r="J64" s="235" t="s">
        <v>656</v>
      </c>
      <c r="K64" s="235"/>
      <c r="L64" s="281" t="s">
        <v>580</v>
      </c>
      <c r="M64" s="677"/>
      <c r="N64" s="270" t="s">
        <v>91</v>
      </c>
      <c r="P64" s="270" t="s">
        <v>91</v>
      </c>
      <c r="R64" s="270" t="s">
        <v>91</v>
      </c>
    </row>
    <row r="65" spans="2:18" s="229" customFormat="1" ht="12.75">
      <c r="B65" s="281" t="s">
        <v>130</v>
      </c>
      <c r="C65" s="245"/>
      <c r="D65" s="245" t="s">
        <v>88</v>
      </c>
      <c r="E65" s="270" t="s">
        <v>569</v>
      </c>
      <c r="F65" s="238">
        <f>3650+220*0.08</f>
        <v>3667.6</v>
      </c>
      <c r="G65" s="233" t="s">
        <v>8</v>
      </c>
      <c r="H65" s="232"/>
      <c r="I65" s="232"/>
      <c r="J65" s="235" t="s">
        <v>656</v>
      </c>
      <c r="K65" s="235"/>
      <c r="L65" s="281" t="s">
        <v>5</v>
      </c>
      <c r="M65" s="677"/>
      <c r="N65" s="270" t="s">
        <v>73</v>
      </c>
      <c r="P65" s="270" t="s">
        <v>73</v>
      </c>
      <c r="R65" s="270" t="s">
        <v>73</v>
      </c>
    </row>
    <row r="66" spans="2:18" s="229" customFormat="1" ht="13.5">
      <c r="B66" s="281" t="s">
        <v>168</v>
      </c>
      <c r="C66" s="245"/>
      <c r="D66" s="245" t="s">
        <v>129</v>
      </c>
      <c r="E66" s="270"/>
      <c r="F66" s="683">
        <f>3650+220*0.2</f>
        <v>3694</v>
      </c>
      <c r="G66" s="233" t="s">
        <v>8</v>
      </c>
      <c r="H66" s="232"/>
      <c r="I66" s="232"/>
      <c r="J66" s="235" t="s">
        <v>657</v>
      </c>
      <c r="K66" s="235"/>
      <c r="L66" s="281" t="s">
        <v>5</v>
      </c>
      <c r="M66" s="677"/>
      <c r="N66" s="270" t="s">
        <v>73</v>
      </c>
      <c r="P66" s="270" t="s">
        <v>342</v>
      </c>
      <c r="Q66" s="229" t="s">
        <v>575</v>
      </c>
      <c r="R66" s="270" t="s">
        <v>73</v>
      </c>
    </row>
    <row r="67" spans="2:11" s="229" customFormat="1" ht="12.75">
      <c r="B67" s="281" t="s">
        <v>89</v>
      </c>
      <c r="C67" s="245"/>
      <c r="D67" s="245" t="s">
        <v>90</v>
      </c>
      <c r="E67" s="270" t="s">
        <v>91</v>
      </c>
      <c r="F67" s="238">
        <f>877+220*0.2</f>
        <v>921</v>
      </c>
      <c r="G67" s="233" t="s">
        <v>8</v>
      </c>
      <c r="H67" s="232"/>
      <c r="I67" s="232"/>
      <c r="J67" s="235" t="s">
        <v>658</v>
      </c>
      <c r="K67" s="235"/>
    </row>
    <row r="68" spans="2:12" s="229" customFormat="1" ht="12.75">
      <c r="B68" s="281" t="s">
        <v>92</v>
      </c>
      <c r="C68" s="245"/>
      <c r="D68" s="245" t="s">
        <v>5</v>
      </c>
      <c r="E68" s="270" t="s">
        <v>73</v>
      </c>
      <c r="F68" s="686">
        <f>877+220*0.4</f>
        <v>965</v>
      </c>
      <c r="G68" s="233" t="s">
        <v>8</v>
      </c>
      <c r="H68" s="232"/>
      <c r="I68" s="232"/>
      <c r="J68" s="235" t="s">
        <v>659</v>
      </c>
      <c r="K68" s="235"/>
      <c r="L68" s="230"/>
    </row>
    <row r="69" spans="2:14" s="229" customFormat="1" ht="12.75">
      <c r="B69" s="281" t="s">
        <v>92</v>
      </c>
      <c r="C69" s="245"/>
      <c r="D69" s="245" t="s">
        <v>5</v>
      </c>
      <c r="E69" s="270" t="s">
        <v>73</v>
      </c>
      <c r="F69" s="686">
        <f>877+220*0.6</f>
        <v>1009</v>
      </c>
      <c r="G69" s="233" t="s">
        <v>8</v>
      </c>
      <c r="H69" s="232"/>
      <c r="I69" s="232"/>
      <c r="J69" s="235" t="s">
        <v>660</v>
      </c>
      <c r="K69" s="235"/>
      <c r="L69" s="703" t="s">
        <v>673</v>
      </c>
      <c r="M69" s="704" t="s">
        <v>675</v>
      </c>
      <c r="N69" s="703">
        <v>148</v>
      </c>
    </row>
    <row r="70" spans="2:12" s="229" customFormat="1" ht="12.75">
      <c r="B70" s="281"/>
      <c r="C70" s="245"/>
      <c r="D70" s="245"/>
      <c r="E70" s="270"/>
      <c r="F70" s="437"/>
      <c r="G70" s="233"/>
      <c r="H70" s="232"/>
      <c r="I70" s="232"/>
      <c r="J70" s="235"/>
      <c r="K70" s="235"/>
      <c r="L70" s="230"/>
    </row>
    <row r="71" spans="2:12" s="229" customFormat="1" ht="2.25" customHeight="1">
      <c r="B71" s="282"/>
      <c r="C71" s="237"/>
      <c r="D71" s="237"/>
      <c r="E71" s="268"/>
      <c r="F71" s="300"/>
      <c r="G71" s="233"/>
      <c r="H71" s="232"/>
      <c r="I71" s="232"/>
      <c r="J71" s="234"/>
      <c r="K71" s="235"/>
      <c r="L71" s="230"/>
    </row>
    <row r="72" spans="2:12" s="229" customFormat="1" ht="12.75">
      <c r="B72" s="279" t="s">
        <v>93</v>
      </c>
      <c r="C72" s="239"/>
      <c r="D72" s="240"/>
      <c r="E72" s="269"/>
      <c r="F72" s="644">
        <f>F41</f>
        <v>881</v>
      </c>
      <c r="G72" s="233" t="s">
        <v>8</v>
      </c>
      <c r="H72" s="232"/>
      <c r="I72" s="232"/>
      <c r="J72" s="234" t="s">
        <v>212</v>
      </c>
      <c r="K72" s="235"/>
      <c r="L72" s="230"/>
    </row>
    <row r="73" spans="2:12" s="229" customFormat="1" ht="12.75">
      <c r="B73" s="281" t="s">
        <v>94</v>
      </c>
      <c r="C73" s="245"/>
      <c r="D73" s="245" t="s">
        <v>95</v>
      </c>
      <c r="E73" s="270" t="s">
        <v>96</v>
      </c>
      <c r="F73" s="323">
        <v>881</v>
      </c>
      <c r="G73" s="233" t="s">
        <v>8</v>
      </c>
      <c r="H73" s="237"/>
      <c r="I73" s="232"/>
      <c r="J73" s="234"/>
      <c r="K73" s="235"/>
      <c r="L73" s="230"/>
    </row>
    <row r="74" spans="2:12" s="229" customFormat="1" ht="12.75">
      <c r="B74" s="281" t="s">
        <v>97</v>
      </c>
      <c r="C74" s="245"/>
      <c r="D74" s="245" t="s">
        <v>98</v>
      </c>
      <c r="E74" s="270" t="s">
        <v>87</v>
      </c>
      <c r="F74" s="323">
        <v>881</v>
      </c>
      <c r="G74" s="233" t="s">
        <v>8</v>
      </c>
      <c r="H74" s="232"/>
      <c r="I74" s="232"/>
      <c r="J74" s="234"/>
      <c r="K74" s="235"/>
      <c r="L74" s="230"/>
    </row>
    <row r="75" spans="2:12" s="229" customFormat="1" ht="12.75">
      <c r="B75" s="281" t="s">
        <v>189</v>
      </c>
      <c r="C75" s="245"/>
      <c r="D75" s="245"/>
      <c r="E75" s="270" t="s">
        <v>99</v>
      </c>
      <c r="F75" s="323">
        <f>881+(260+132)*0.35</f>
        <v>1018.2</v>
      </c>
      <c r="G75" s="233" t="s">
        <v>10</v>
      </c>
      <c r="H75" s="232"/>
      <c r="I75" s="232"/>
      <c r="J75" s="234" t="s">
        <v>687</v>
      </c>
      <c r="K75" s="235"/>
      <c r="L75" s="230"/>
    </row>
    <row r="76" spans="2:12" s="229" customFormat="1" ht="12.75">
      <c r="B76" s="281"/>
      <c r="C76" s="245" t="s">
        <v>190</v>
      </c>
      <c r="D76" s="245"/>
      <c r="E76" s="270"/>
      <c r="F76" s="645">
        <f>1018*2+(260+132+386)*1</f>
        <v>2814</v>
      </c>
      <c r="G76" s="233" t="s">
        <v>191</v>
      </c>
      <c r="H76" s="441">
        <f>F76*7.9</f>
        <v>22230.600000000002</v>
      </c>
      <c r="I76" s="232"/>
      <c r="J76" s="234" t="s">
        <v>688</v>
      </c>
      <c r="K76" s="235"/>
      <c r="L76" s="230"/>
    </row>
    <row r="77" spans="2:12" s="229" customFormat="1" ht="12.75">
      <c r="B77" s="281" t="s">
        <v>92</v>
      </c>
      <c r="C77" s="245"/>
      <c r="D77" s="245" t="s">
        <v>5</v>
      </c>
      <c r="E77" s="270" t="s">
        <v>132</v>
      </c>
      <c r="F77" s="645">
        <f>881+(260+132)*0.45</f>
        <v>1057.4</v>
      </c>
      <c r="G77" s="233" t="s">
        <v>8</v>
      </c>
      <c r="H77" s="232"/>
      <c r="I77" s="232"/>
      <c r="J77" s="234" t="s">
        <v>559</v>
      </c>
      <c r="K77" s="235"/>
      <c r="L77" s="230"/>
    </row>
    <row r="78" spans="2:12" s="229" customFormat="1" ht="12.75">
      <c r="B78" s="274"/>
      <c r="E78" s="264"/>
      <c r="F78" s="300"/>
      <c r="G78" s="233"/>
      <c r="H78" s="232"/>
      <c r="I78" s="232"/>
      <c r="J78" s="234"/>
      <c r="K78" s="235"/>
      <c r="L78" s="230"/>
    </row>
    <row r="79" spans="2:12" s="229" customFormat="1" ht="12.75">
      <c r="B79" s="282" t="s">
        <v>182</v>
      </c>
      <c r="D79" s="237"/>
      <c r="E79" s="268"/>
      <c r="F79" s="645">
        <f>(260+132+386)*0.25</f>
        <v>194.5</v>
      </c>
      <c r="G79" s="233" t="s">
        <v>8</v>
      </c>
      <c r="H79" s="232"/>
      <c r="I79" s="232"/>
      <c r="J79" s="234" t="s">
        <v>560</v>
      </c>
      <c r="K79" s="235"/>
      <c r="L79" s="230"/>
    </row>
    <row r="80" spans="2:12" s="229" customFormat="1" ht="12.75">
      <c r="B80" s="282"/>
      <c r="D80" s="237"/>
      <c r="E80" s="268"/>
      <c r="F80" s="302"/>
      <c r="G80" s="233"/>
      <c r="H80" s="232"/>
      <c r="I80" s="232"/>
      <c r="J80" s="234"/>
      <c r="K80" s="235"/>
      <c r="L80" s="230"/>
    </row>
    <row r="81" spans="2:12" s="229" customFormat="1" ht="12.75">
      <c r="B81" s="282" t="s">
        <v>329</v>
      </c>
      <c r="D81" s="237"/>
      <c r="E81" s="268"/>
      <c r="F81" s="638">
        <f>63+59+50+77+63+74</f>
        <v>386</v>
      </c>
      <c r="G81" s="229" t="s">
        <v>9</v>
      </c>
      <c r="H81" s="232"/>
      <c r="I81" s="232"/>
      <c r="J81" s="237" t="s">
        <v>330</v>
      </c>
      <c r="K81" s="235"/>
      <c r="L81" s="230"/>
    </row>
    <row r="82" spans="2:12" s="229" customFormat="1" ht="12.75">
      <c r="B82" s="429" t="s">
        <v>292</v>
      </c>
      <c r="C82" s="407"/>
      <c r="D82" s="407" t="s">
        <v>293</v>
      </c>
      <c r="E82" s="415"/>
      <c r="F82" s="639">
        <f>64+60+52+77+65+74-F83</f>
        <v>260</v>
      </c>
      <c r="G82" s="410" t="s">
        <v>9</v>
      </c>
      <c r="H82" s="407"/>
      <c r="I82" s="423"/>
      <c r="J82" s="407"/>
      <c r="K82" s="235"/>
      <c r="L82" s="230"/>
    </row>
    <row r="83" spans="2:12" s="229" customFormat="1" ht="12.75">
      <c r="B83" s="429" t="s">
        <v>294</v>
      </c>
      <c r="C83" s="407"/>
      <c r="D83" s="407" t="s">
        <v>293</v>
      </c>
      <c r="E83" s="415"/>
      <c r="F83" s="639">
        <f>6*19+6*3</f>
        <v>132</v>
      </c>
      <c r="G83" s="410" t="s">
        <v>9</v>
      </c>
      <c r="H83" s="148"/>
      <c r="I83" s="427"/>
      <c r="J83" s="410"/>
      <c r="K83" s="235"/>
      <c r="L83" s="230"/>
    </row>
    <row r="84" spans="2:12" s="229" customFormat="1" ht="12.75">
      <c r="B84" s="651" t="s">
        <v>563</v>
      </c>
      <c r="C84" s="652"/>
      <c r="D84" s="652"/>
      <c r="E84" s="653"/>
      <c r="F84" s="654">
        <f>SUM(F82:F83)</f>
        <v>392</v>
      </c>
      <c r="G84" s="655" t="s">
        <v>107</v>
      </c>
      <c r="H84" s="148"/>
      <c r="I84" s="427"/>
      <c r="J84" s="410"/>
      <c r="K84" s="235"/>
      <c r="L84" s="230"/>
    </row>
    <row r="85" spans="2:12" s="229" customFormat="1" ht="1.5" customHeight="1">
      <c r="B85" s="429"/>
      <c r="C85" s="407"/>
      <c r="D85" s="407"/>
      <c r="E85" s="415"/>
      <c r="F85" s="639"/>
      <c r="G85" s="410"/>
      <c r="H85" s="148"/>
      <c r="I85" s="427"/>
      <c r="J85" s="410"/>
      <c r="K85" s="235"/>
      <c r="L85" s="230"/>
    </row>
    <row r="86" spans="2:12" s="229" customFormat="1" ht="12.75">
      <c r="B86" s="283" t="s">
        <v>100</v>
      </c>
      <c r="C86" s="246"/>
      <c r="D86" s="240"/>
      <c r="E86" s="269"/>
      <c r="F86" s="300"/>
      <c r="G86" s="233"/>
      <c r="H86" s="232"/>
      <c r="I86" s="232"/>
      <c r="J86" s="235"/>
      <c r="K86" s="235"/>
      <c r="L86" s="230"/>
    </row>
    <row r="87" spans="2:12" s="229" customFormat="1" ht="12.75">
      <c r="B87" s="284" t="s">
        <v>192</v>
      </c>
      <c r="D87" s="303" t="s">
        <v>183</v>
      </c>
      <c r="E87" s="271" t="s">
        <v>101</v>
      </c>
      <c r="F87" s="300"/>
      <c r="G87" s="233"/>
      <c r="H87" s="232"/>
      <c r="I87" s="232"/>
      <c r="J87" s="235"/>
      <c r="K87" s="235"/>
      <c r="L87" s="230"/>
    </row>
    <row r="88" spans="2:12" s="229" customFormat="1" ht="6" customHeight="1">
      <c r="B88" s="282"/>
      <c r="C88" s="237"/>
      <c r="D88" s="237"/>
      <c r="E88" s="268"/>
      <c r="F88" s="300"/>
      <c r="G88" s="233"/>
      <c r="H88" s="232"/>
      <c r="I88" s="232"/>
      <c r="J88" s="234"/>
      <c r="K88" s="235"/>
      <c r="L88" s="230"/>
    </row>
    <row r="89" spans="2:12" s="229" customFormat="1" ht="12.75">
      <c r="B89" s="283" t="s">
        <v>117</v>
      </c>
      <c r="C89" s="246"/>
      <c r="D89" s="240"/>
      <c r="E89" s="269"/>
      <c r="F89" s="300"/>
      <c r="G89" s="233" t="s">
        <v>34</v>
      </c>
      <c r="H89" s="232"/>
      <c r="I89" s="232"/>
      <c r="J89" s="234"/>
      <c r="K89" s="235"/>
      <c r="L89" s="230"/>
    </row>
    <row r="90" spans="2:12" s="229" customFormat="1" ht="12.75">
      <c r="B90" s="284"/>
      <c r="C90" s="254" t="s">
        <v>184</v>
      </c>
      <c r="D90" s="247"/>
      <c r="E90" s="271"/>
      <c r="F90" s="300"/>
      <c r="G90" s="233"/>
      <c r="H90" s="234"/>
      <c r="I90" s="232"/>
      <c r="K90" s="407"/>
      <c r="L90" s="418"/>
    </row>
    <row r="91" spans="2:12" s="229" customFormat="1" ht="10.5" customHeight="1">
      <c r="B91" s="282"/>
      <c r="C91" s="237"/>
      <c r="D91" s="237"/>
      <c r="E91" s="268"/>
      <c r="F91" s="300"/>
      <c r="G91" s="233"/>
      <c r="H91" s="234"/>
      <c r="I91" s="232"/>
      <c r="K91" s="148"/>
      <c r="L91" s="419"/>
    </row>
    <row r="92" spans="2:12" s="229" customFormat="1" ht="12.75">
      <c r="B92" s="283" t="s">
        <v>102</v>
      </c>
      <c r="C92" s="246"/>
      <c r="D92" s="240"/>
      <c r="E92" s="269"/>
      <c r="F92" s="300"/>
      <c r="G92" s="233"/>
      <c r="H92" s="234"/>
      <c r="I92" s="232"/>
      <c r="K92" s="148"/>
      <c r="L92" s="419"/>
    </row>
    <row r="93" spans="2:12" s="229" customFormat="1" ht="12.75">
      <c r="B93" s="285" t="s">
        <v>103</v>
      </c>
      <c r="C93" s="232"/>
      <c r="D93" s="232"/>
      <c r="E93" s="266"/>
      <c r="F93" s="440">
        <f>2915*2+5*2*6.5+65</f>
        <v>5960</v>
      </c>
      <c r="G93" s="233" t="s">
        <v>9</v>
      </c>
      <c r="H93" s="234" t="s">
        <v>326</v>
      </c>
      <c r="I93" s="227"/>
      <c r="K93" s="148"/>
      <c r="L93" s="419"/>
    </row>
    <row r="94" spans="2:12" s="229" customFormat="1" ht="12.75">
      <c r="B94" s="285" t="s">
        <v>104</v>
      </c>
      <c r="C94" s="232"/>
      <c r="D94" s="232"/>
      <c r="E94" s="266"/>
      <c r="F94" s="323">
        <v>3200</v>
      </c>
      <c r="G94" s="233" t="s">
        <v>9</v>
      </c>
      <c r="H94" s="234"/>
      <c r="I94" s="227"/>
      <c r="K94" s="235"/>
      <c r="L94" s="230"/>
    </row>
    <row r="95" spans="2:12" s="229" customFormat="1" ht="12.75">
      <c r="B95" s="285" t="s">
        <v>105</v>
      </c>
      <c r="C95" s="232"/>
      <c r="D95" s="299" t="s">
        <v>185</v>
      </c>
      <c r="F95" s="439"/>
      <c r="G95" s="233" t="s">
        <v>9</v>
      </c>
      <c r="H95" s="234"/>
      <c r="I95" s="227"/>
      <c r="K95" s="235"/>
      <c r="L95" s="230"/>
    </row>
    <row r="96" spans="2:12" s="229" customFormat="1" ht="12.75">
      <c r="B96" s="285" t="s">
        <v>133</v>
      </c>
      <c r="C96" s="232"/>
      <c r="D96" s="232" t="s">
        <v>188</v>
      </c>
      <c r="E96" s="266"/>
      <c r="F96" s="440">
        <f>120+48+68+18.6+11+20.3+13.8+338+142+38+112</f>
        <v>929.7</v>
      </c>
      <c r="G96" s="233" t="s">
        <v>9</v>
      </c>
      <c r="H96" s="234" t="s">
        <v>327</v>
      </c>
      <c r="I96" s="227"/>
      <c r="K96" s="235"/>
      <c r="L96" s="230"/>
    </row>
    <row r="97" spans="2:12" s="229" customFormat="1" ht="12.75">
      <c r="B97" s="285"/>
      <c r="C97" s="232"/>
      <c r="H97" s="234" t="s">
        <v>328</v>
      </c>
      <c r="I97" s="227"/>
      <c r="K97" s="235"/>
      <c r="L97" s="230"/>
    </row>
    <row r="98" spans="2:12" s="229" customFormat="1" ht="12.75">
      <c r="B98" s="282"/>
      <c r="C98" s="237"/>
      <c r="D98" s="709" t="s">
        <v>666</v>
      </c>
      <c r="E98" s="710"/>
      <c r="F98" s="711">
        <v>100</v>
      </c>
      <c r="G98" s="233" t="s">
        <v>9</v>
      </c>
      <c r="H98" s="237"/>
      <c r="I98" s="237"/>
      <c r="J98" s="237"/>
      <c r="K98" s="235"/>
      <c r="L98" s="230"/>
    </row>
    <row r="99" spans="2:12" s="229" customFormat="1" ht="16.5" customHeight="1">
      <c r="B99" s="286" t="s">
        <v>106</v>
      </c>
      <c r="C99" s="250"/>
      <c r="D99" s="241"/>
      <c r="E99" s="272" t="s">
        <v>101</v>
      </c>
      <c r="F99" s="691" t="s">
        <v>184</v>
      </c>
      <c r="G99" s="692"/>
      <c r="H99" s="693"/>
      <c r="I99" s="232"/>
      <c r="J99" s="234"/>
      <c r="K99" s="248"/>
      <c r="L99" s="230"/>
    </row>
    <row r="100" spans="2:12" s="229" customFormat="1" ht="12.75">
      <c r="B100" s="282"/>
      <c r="C100" s="237"/>
      <c r="D100" s="237"/>
      <c r="E100" s="268"/>
      <c r="F100" s="300"/>
      <c r="G100" s="233"/>
      <c r="H100" s="232"/>
      <c r="I100" s="232"/>
      <c r="J100" s="236"/>
      <c r="K100" s="248"/>
      <c r="L100" s="249"/>
    </row>
    <row r="101" spans="2:12" s="229" customFormat="1" ht="12.75">
      <c r="B101" s="298" t="s">
        <v>174</v>
      </c>
      <c r="C101" s="147" t="s">
        <v>180</v>
      </c>
      <c r="D101" s="147" t="s">
        <v>613</v>
      </c>
      <c r="E101" s="145" t="s">
        <v>615</v>
      </c>
      <c r="F101" s="438">
        <v>24</v>
      </c>
      <c r="G101" s="296" t="s">
        <v>9</v>
      </c>
      <c r="H101" s="664" t="s">
        <v>616</v>
      </c>
      <c r="J101" s="234" t="s">
        <v>614</v>
      </c>
      <c r="K101" s="248"/>
      <c r="L101" s="249"/>
    </row>
    <row r="102" spans="2:16" s="229" customFormat="1" ht="12.75">
      <c r="B102" s="147"/>
      <c r="C102" s="174"/>
      <c r="D102" s="296"/>
      <c r="E102" s="145"/>
      <c r="F102" s="438"/>
      <c r="G102" s="145"/>
      <c r="J102" s="236"/>
      <c r="K102" s="248"/>
      <c r="L102" s="249"/>
      <c r="P102" s="147"/>
    </row>
    <row r="103" spans="2:16" s="229" customFormat="1" ht="12.75">
      <c r="B103" s="298" t="s">
        <v>175</v>
      </c>
      <c r="C103" s="174"/>
      <c r="D103" s="155"/>
      <c r="E103" s="145"/>
      <c r="F103" s="438" t="s">
        <v>607</v>
      </c>
      <c r="G103" s="296" t="s">
        <v>107</v>
      </c>
      <c r="H103" s="232"/>
      <c r="I103" s="232"/>
      <c r="J103" s="237"/>
      <c r="K103" s="248"/>
      <c r="L103" s="249"/>
      <c r="P103" s="147"/>
    </row>
    <row r="104" spans="2:16" s="229" customFormat="1" ht="12.75">
      <c r="B104" s="298" t="s">
        <v>179</v>
      </c>
      <c r="C104" s="262" t="s">
        <v>608</v>
      </c>
      <c r="D104" s="155"/>
      <c r="E104" s="145"/>
      <c r="F104" s="233">
        <v>14</v>
      </c>
      <c r="G104" s="296" t="s">
        <v>107</v>
      </c>
      <c r="H104" s="232"/>
      <c r="I104" s="232"/>
      <c r="J104" s="237"/>
      <c r="K104" s="248"/>
      <c r="L104" s="249"/>
      <c r="P104" s="147"/>
    </row>
    <row r="105" spans="2:16" s="229" customFormat="1" ht="12.75">
      <c r="B105" s="281"/>
      <c r="C105" s="229" t="s">
        <v>609</v>
      </c>
      <c r="D105" s="232"/>
      <c r="E105" s="273" t="s">
        <v>610</v>
      </c>
      <c r="F105" s="667" t="s">
        <v>612</v>
      </c>
      <c r="G105" s="231"/>
      <c r="H105" s="232"/>
      <c r="I105" s="232"/>
      <c r="J105" s="237" t="s">
        <v>611</v>
      </c>
      <c r="K105" s="248"/>
      <c r="L105" s="249"/>
      <c r="P105" s="147"/>
    </row>
    <row r="106" spans="2:16" s="229" customFormat="1" ht="12.75">
      <c r="B106" s="281"/>
      <c r="D106" s="232"/>
      <c r="E106" s="273"/>
      <c r="F106" s="667"/>
      <c r="G106" s="231"/>
      <c r="H106" s="232"/>
      <c r="I106" s="232"/>
      <c r="J106" s="237"/>
      <c r="K106" s="237"/>
      <c r="L106" s="230"/>
      <c r="P106" s="147"/>
    </row>
    <row r="107" spans="2:16" s="229" customFormat="1" ht="12.75">
      <c r="B107" s="286" t="s">
        <v>108</v>
      </c>
      <c r="C107" s="240"/>
      <c r="D107" s="240"/>
      <c r="E107" s="265"/>
      <c r="F107" s="300"/>
      <c r="G107" s="233"/>
      <c r="H107" s="238"/>
      <c r="I107" s="233"/>
      <c r="J107" s="237"/>
      <c r="K107" s="237"/>
      <c r="L107" s="230"/>
      <c r="P107" s="147"/>
    </row>
    <row r="108" spans="2:16" s="229" customFormat="1" ht="12.75">
      <c r="B108" s="280"/>
      <c r="C108" s="237"/>
      <c r="D108" s="237"/>
      <c r="E108" s="264"/>
      <c r="F108" s="300"/>
      <c r="G108" s="233"/>
      <c r="H108" s="238"/>
      <c r="I108" s="233"/>
      <c r="J108" s="237"/>
      <c r="K108" s="237"/>
      <c r="L108" s="230"/>
      <c r="P108" s="147"/>
    </row>
    <row r="109" spans="2:16" s="229" customFormat="1" ht="12.75">
      <c r="B109" s="280" t="s">
        <v>150</v>
      </c>
      <c r="C109" s="237" t="s">
        <v>151</v>
      </c>
      <c r="D109" s="237" t="s">
        <v>320</v>
      </c>
      <c r="E109" s="264"/>
      <c r="F109" s="640">
        <f>690+590+508+314</f>
        <v>2102</v>
      </c>
      <c r="G109" s="233" t="s">
        <v>9</v>
      </c>
      <c r="H109" s="238"/>
      <c r="I109" s="233"/>
      <c r="J109" s="237"/>
      <c r="K109" s="237"/>
      <c r="L109" s="230"/>
      <c r="P109" s="147"/>
    </row>
    <row r="110" spans="2:235" s="233" customFormat="1" ht="9" customHeight="1">
      <c r="B110" s="280"/>
      <c r="C110" s="237"/>
      <c r="D110" s="237"/>
      <c r="E110" s="264"/>
      <c r="F110" s="323"/>
      <c r="H110" s="238"/>
      <c r="J110" s="237"/>
      <c r="K110" s="237"/>
      <c r="L110" s="229"/>
      <c r="N110" s="238"/>
      <c r="O110" s="251"/>
      <c r="P110" s="147"/>
      <c r="Q110" s="174"/>
      <c r="R110" s="155"/>
      <c r="S110" s="145"/>
      <c r="T110" s="147"/>
      <c r="U110" s="147"/>
      <c r="V110" s="238"/>
      <c r="W110" s="251"/>
      <c r="Z110" s="237"/>
      <c r="AA110" s="237"/>
      <c r="AB110" s="229"/>
      <c r="AC110" s="251"/>
      <c r="AE110" s="238"/>
      <c r="AF110" s="251"/>
      <c r="AI110" s="237"/>
      <c r="AJ110" s="237"/>
      <c r="AK110" s="229"/>
      <c r="AL110" s="251"/>
      <c r="AN110" s="238"/>
      <c r="AO110" s="251"/>
      <c r="AR110" s="237"/>
      <c r="AS110" s="237"/>
      <c r="AT110" s="229"/>
      <c r="AU110" s="251"/>
      <c r="AW110" s="238"/>
      <c r="AX110" s="251"/>
      <c r="BA110" s="237"/>
      <c r="BB110" s="237"/>
      <c r="BC110" s="229"/>
      <c r="BD110" s="251"/>
      <c r="BF110" s="238"/>
      <c r="BG110" s="251"/>
      <c r="BJ110" s="237"/>
      <c r="BK110" s="237"/>
      <c r="BL110" s="229"/>
      <c r="BM110" s="251"/>
      <c r="BO110" s="238"/>
      <c r="BP110" s="251"/>
      <c r="BS110" s="237"/>
      <c r="BT110" s="237"/>
      <c r="BU110" s="229"/>
      <c r="BV110" s="251"/>
      <c r="BX110" s="238"/>
      <c r="BY110" s="251"/>
      <c r="CB110" s="237"/>
      <c r="CC110" s="237"/>
      <c r="CD110" s="229"/>
      <c r="CE110" s="251"/>
      <c r="CG110" s="238"/>
      <c r="CH110" s="251"/>
      <c r="CK110" s="237"/>
      <c r="CL110" s="237"/>
      <c r="CM110" s="229"/>
      <c r="CN110" s="251"/>
      <c r="CP110" s="238"/>
      <c r="CQ110" s="251"/>
      <c r="CT110" s="237"/>
      <c r="CU110" s="237"/>
      <c r="CV110" s="229"/>
      <c r="CW110" s="251"/>
      <c r="CY110" s="238"/>
      <c r="CZ110" s="251"/>
      <c r="DC110" s="237"/>
      <c r="DD110" s="237"/>
      <c r="DE110" s="229"/>
      <c r="DF110" s="251"/>
      <c r="DH110" s="238"/>
      <c r="DI110" s="251"/>
      <c r="DL110" s="237"/>
      <c r="DM110" s="237"/>
      <c r="DN110" s="229"/>
      <c r="DO110" s="251"/>
      <c r="DQ110" s="238"/>
      <c r="DR110" s="251"/>
      <c r="DU110" s="237"/>
      <c r="DV110" s="237"/>
      <c r="DW110" s="229"/>
      <c r="DX110" s="251"/>
      <c r="DZ110" s="238"/>
      <c r="EA110" s="251"/>
      <c r="ED110" s="237"/>
      <c r="EE110" s="237"/>
      <c r="EF110" s="229"/>
      <c r="EG110" s="251"/>
      <c r="EI110" s="238"/>
      <c r="EJ110" s="251"/>
      <c r="EM110" s="237"/>
      <c r="EN110" s="237"/>
      <c r="EO110" s="229"/>
      <c r="EP110" s="251"/>
      <c r="ER110" s="238"/>
      <c r="ES110" s="251"/>
      <c r="EV110" s="237"/>
      <c r="EW110" s="237"/>
      <c r="EX110" s="229"/>
      <c r="EY110" s="251"/>
      <c r="FA110" s="238"/>
      <c r="FB110" s="251"/>
      <c r="FE110" s="237"/>
      <c r="FF110" s="237"/>
      <c r="FG110" s="229"/>
      <c r="FH110" s="251"/>
      <c r="FJ110" s="238"/>
      <c r="FK110" s="251"/>
      <c r="FN110" s="237"/>
      <c r="FO110" s="237"/>
      <c r="FP110" s="229"/>
      <c r="FQ110" s="251"/>
      <c r="FS110" s="238"/>
      <c r="FT110" s="251"/>
      <c r="FW110" s="237"/>
      <c r="FX110" s="237"/>
      <c r="FY110" s="229"/>
      <c r="FZ110" s="251"/>
      <c r="GB110" s="238"/>
      <c r="GC110" s="251"/>
      <c r="GF110" s="237"/>
      <c r="GG110" s="237"/>
      <c r="GH110" s="229"/>
      <c r="GI110" s="251"/>
      <c r="GK110" s="238"/>
      <c r="GL110" s="251"/>
      <c r="GO110" s="237"/>
      <c r="GP110" s="237"/>
      <c r="GQ110" s="229"/>
      <c r="GR110" s="251"/>
      <c r="GT110" s="238"/>
      <c r="GU110" s="251"/>
      <c r="GX110" s="237"/>
      <c r="GY110" s="237"/>
      <c r="GZ110" s="229"/>
      <c r="HA110" s="251"/>
      <c r="HC110" s="238"/>
      <c r="HD110" s="251"/>
      <c r="HG110" s="237"/>
      <c r="HH110" s="237"/>
      <c r="HI110" s="229"/>
      <c r="HJ110" s="251"/>
      <c r="HL110" s="238"/>
      <c r="HM110" s="251"/>
      <c r="HP110" s="237"/>
      <c r="HQ110" s="237"/>
      <c r="HR110" s="229"/>
      <c r="HS110" s="251"/>
      <c r="HU110" s="238"/>
      <c r="HV110" s="251"/>
      <c r="HY110" s="237"/>
      <c r="HZ110" s="237"/>
      <c r="IA110" s="229"/>
    </row>
    <row r="111" spans="2:235" s="233" customFormat="1" ht="12.75">
      <c r="B111" s="280" t="s">
        <v>152</v>
      </c>
      <c r="C111" s="237" t="s">
        <v>321</v>
      </c>
      <c r="D111" s="237">
        <v>41</v>
      </c>
      <c r="E111" s="264"/>
      <c r="F111" s="323">
        <v>41</v>
      </c>
      <c r="G111" s="233" t="s">
        <v>9</v>
      </c>
      <c r="H111" s="238"/>
      <c r="J111" s="237"/>
      <c r="K111" s="237"/>
      <c r="L111" s="229"/>
      <c r="N111" s="238"/>
      <c r="O111" s="251"/>
      <c r="P111" s="147"/>
      <c r="V111" s="238"/>
      <c r="W111" s="251"/>
      <c r="Z111" s="237"/>
      <c r="AA111" s="237"/>
      <c r="AB111" s="229"/>
      <c r="AC111" s="251"/>
      <c r="AE111" s="238"/>
      <c r="AF111" s="251"/>
      <c r="AI111" s="237"/>
      <c r="AJ111" s="237"/>
      <c r="AK111" s="229"/>
      <c r="AL111" s="251"/>
      <c r="AN111" s="238"/>
      <c r="AO111" s="251"/>
      <c r="AR111" s="237"/>
      <c r="AS111" s="237"/>
      <c r="AT111" s="229"/>
      <c r="AU111" s="251"/>
      <c r="AW111" s="238"/>
      <c r="AX111" s="251"/>
      <c r="BA111" s="237"/>
      <c r="BB111" s="237"/>
      <c r="BC111" s="229"/>
      <c r="BD111" s="251"/>
      <c r="BF111" s="238"/>
      <c r="BG111" s="251"/>
      <c r="BJ111" s="237"/>
      <c r="BK111" s="237"/>
      <c r="BL111" s="229"/>
      <c r="BM111" s="251"/>
      <c r="BO111" s="238"/>
      <c r="BP111" s="251"/>
      <c r="BS111" s="237"/>
      <c r="BT111" s="237"/>
      <c r="BU111" s="229"/>
      <c r="BV111" s="251"/>
      <c r="BX111" s="238"/>
      <c r="BY111" s="251"/>
      <c r="CB111" s="237"/>
      <c r="CC111" s="237"/>
      <c r="CD111" s="229"/>
      <c r="CE111" s="251"/>
      <c r="CG111" s="238"/>
      <c r="CH111" s="251"/>
      <c r="CK111" s="237"/>
      <c r="CL111" s="237"/>
      <c r="CM111" s="229"/>
      <c r="CN111" s="251"/>
      <c r="CP111" s="238"/>
      <c r="CQ111" s="251"/>
      <c r="CT111" s="237"/>
      <c r="CU111" s="237"/>
      <c r="CV111" s="229"/>
      <c r="CW111" s="251"/>
      <c r="CY111" s="238"/>
      <c r="CZ111" s="251"/>
      <c r="DC111" s="237"/>
      <c r="DD111" s="237"/>
      <c r="DE111" s="229"/>
      <c r="DF111" s="251"/>
      <c r="DH111" s="238"/>
      <c r="DI111" s="251"/>
      <c r="DL111" s="237"/>
      <c r="DM111" s="237"/>
      <c r="DN111" s="229"/>
      <c r="DO111" s="251"/>
      <c r="DQ111" s="238"/>
      <c r="DR111" s="251"/>
      <c r="DU111" s="237"/>
      <c r="DV111" s="237"/>
      <c r="DW111" s="229"/>
      <c r="DX111" s="251"/>
      <c r="DZ111" s="238"/>
      <c r="EA111" s="251"/>
      <c r="ED111" s="237"/>
      <c r="EE111" s="237"/>
      <c r="EF111" s="229"/>
      <c r="EG111" s="251"/>
      <c r="EI111" s="238"/>
      <c r="EJ111" s="251"/>
      <c r="EM111" s="237"/>
      <c r="EN111" s="237"/>
      <c r="EO111" s="229"/>
      <c r="EP111" s="251"/>
      <c r="ER111" s="238"/>
      <c r="ES111" s="251"/>
      <c r="EV111" s="237"/>
      <c r="EW111" s="237"/>
      <c r="EX111" s="229"/>
      <c r="EY111" s="251"/>
      <c r="FA111" s="238"/>
      <c r="FB111" s="251"/>
      <c r="FE111" s="237"/>
      <c r="FF111" s="237"/>
      <c r="FG111" s="229"/>
      <c r="FH111" s="251"/>
      <c r="FJ111" s="238"/>
      <c r="FK111" s="251"/>
      <c r="FN111" s="237"/>
      <c r="FO111" s="237"/>
      <c r="FP111" s="229"/>
      <c r="FQ111" s="251"/>
      <c r="FS111" s="238"/>
      <c r="FT111" s="251"/>
      <c r="FW111" s="237"/>
      <c r="FX111" s="237"/>
      <c r="FY111" s="229"/>
      <c r="FZ111" s="251"/>
      <c r="GB111" s="238"/>
      <c r="GC111" s="251"/>
      <c r="GF111" s="237"/>
      <c r="GG111" s="237"/>
      <c r="GH111" s="229"/>
      <c r="GI111" s="251"/>
      <c r="GK111" s="238"/>
      <c r="GL111" s="251"/>
      <c r="GO111" s="237"/>
      <c r="GP111" s="237"/>
      <c r="GQ111" s="229"/>
      <c r="GR111" s="251"/>
      <c r="GT111" s="238"/>
      <c r="GU111" s="251"/>
      <c r="GX111" s="237"/>
      <c r="GY111" s="237"/>
      <c r="GZ111" s="229"/>
      <c r="HA111" s="251"/>
      <c r="HC111" s="238"/>
      <c r="HD111" s="251"/>
      <c r="HG111" s="237"/>
      <c r="HH111" s="237"/>
      <c r="HI111" s="229"/>
      <c r="HJ111" s="251"/>
      <c r="HL111" s="238"/>
      <c r="HM111" s="251"/>
      <c r="HP111" s="237"/>
      <c r="HQ111" s="237"/>
      <c r="HR111" s="229"/>
      <c r="HS111" s="251"/>
      <c r="HU111" s="238"/>
      <c r="HV111" s="251"/>
      <c r="HY111" s="237"/>
      <c r="HZ111" s="237"/>
      <c r="IA111" s="229"/>
    </row>
    <row r="112" spans="2:235" s="233" customFormat="1" ht="12.75">
      <c r="B112" s="280"/>
      <c r="C112" s="237" t="s">
        <v>153</v>
      </c>
      <c r="D112" s="237" t="s">
        <v>322</v>
      </c>
      <c r="E112" s="264"/>
      <c r="F112" s="323">
        <f>240+130+31</f>
        <v>401</v>
      </c>
      <c r="G112" s="233" t="s">
        <v>9</v>
      </c>
      <c r="H112" s="238"/>
      <c r="J112" s="237"/>
      <c r="K112" s="237"/>
      <c r="L112" s="229"/>
      <c r="N112" s="238"/>
      <c r="O112" s="251"/>
      <c r="P112" s="147"/>
      <c r="Q112" s="174"/>
      <c r="R112" s="297"/>
      <c r="S112" s="145"/>
      <c r="T112" s="147"/>
      <c r="U112" s="147"/>
      <c r="V112" s="238"/>
      <c r="W112" s="251"/>
      <c r="Z112" s="237"/>
      <c r="AA112" s="237"/>
      <c r="AB112" s="229"/>
      <c r="AC112" s="251"/>
      <c r="AE112" s="238"/>
      <c r="AF112" s="251"/>
      <c r="AI112" s="237"/>
      <c r="AJ112" s="237"/>
      <c r="AK112" s="229"/>
      <c r="AL112" s="251"/>
      <c r="AN112" s="238"/>
      <c r="AO112" s="251"/>
      <c r="AR112" s="237"/>
      <c r="AS112" s="237"/>
      <c r="AT112" s="229"/>
      <c r="AU112" s="251"/>
      <c r="AW112" s="238"/>
      <c r="AX112" s="251"/>
      <c r="BA112" s="237"/>
      <c r="BB112" s="237"/>
      <c r="BC112" s="229"/>
      <c r="BD112" s="251"/>
      <c r="BF112" s="238"/>
      <c r="BG112" s="251"/>
      <c r="BJ112" s="237"/>
      <c r="BK112" s="237"/>
      <c r="BL112" s="229"/>
      <c r="BM112" s="251"/>
      <c r="BO112" s="238"/>
      <c r="BP112" s="251"/>
      <c r="BS112" s="237"/>
      <c r="BT112" s="237"/>
      <c r="BU112" s="229"/>
      <c r="BV112" s="251"/>
      <c r="BX112" s="238"/>
      <c r="BY112" s="251"/>
      <c r="CB112" s="237"/>
      <c r="CC112" s="237"/>
      <c r="CD112" s="229"/>
      <c r="CE112" s="251"/>
      <c r="CG112" s="238"/>
      <c r="CH112" s="251"/>
      <c r="CK112" s="237"/>
      <c r="CL112" s="237"/>
      <c r="CM112" s="229"/>
      <c r="CN112" s="251"/>
      <c r="CP112" s="238"/>
      <c r="CQ112" s="251"/>
      <c r="CT112" s="237"/>
      <c r="CU112" s="237"/>
      <c r="CV112" s="229"/>
      <c r="CW112" s="251"/>
      <c r="CY112" s="238"/>
      <c r="CZ112" s="251"/>
      <c r="DC112" s="237"/>
      <c r="DD112" s="237"/>
      <c r="DE112" s="229"/>
      <c r="DF112" s="251"/>
      <c r="DH112" s="238"/>
      <c r="DI112" s="251"/>
      <c r="DL112" s="237"/>
      <c r="DM112" s="237"/>
      <c r="DN112" s="229"/>
      <c r="DO112" s="251"/>
      <c r="DQ112" s="238"/>
      <c r="DR112" s="251"/>
      <c r="DU112" s="237"/>
      <c r="DV112" s="237"/>
      <c r="DW112" s="229"/>
      <c r="DX112" s="251"/>
      <c r="DZ112" s="238"/>
      <c r="EA112" s="251"/>
      <c r="ED112" s="237"/>
      <c r="EE112" s="237"/>
      <c r="EF112" s="229"/>
      <c r="EG112" s="251"/>
      <c r="EI112" s="238"/>
      <c r="EJ112" s="251"/>
      <c r="EM112" s="237"/>
      <c r="EN112" s="237"/>
      <c r="EO112" s="229"/>
      <c r="EP112" s="251"/>
      <c r="ER112" s="238"/>
      <c r="ES112" s="251"/>
      <c r="EV112" s="237"/>
      <c r="EW112" s="237"/>
      <c r="EX112" s="229"/>
      <c r="EY112" s="251"/>
      <c r="FA112" s="238"/>
      <c r="FB112" s="251"/>
      <c r="FE112" s="237"/>
      <c r="FF112" s="237"/>
      <c r="FG112" s="229"/>
      <c r="FH112" s="251"/>
      <c r="FJ112" s="238"/>
      <c r="FK112" s="251"/>
      <c r="FN112" s="237"/>
      <c r="FO112" s="237"/>
      <c r="FP112" s="229"/>
      <c r="FQ112" s="251"/>
      <c r="FS112" s="238"/>
      <c r="FT112" s="251"/>
      <c r="FW112" s="237"/>
      <c r="FX112" s="237"/>
      <c r="FY112" s="229"/>
      <c r="FZ112" s="251"/>
      <c r="GB112" s="238"/>
      <c r="GC112" s="251"/>
      <c r="GF112" s="237"/>
      <c r="GG112" s="237"/>
      <c r="GH112" s="229"/>
      <c r="GI112" s="251"/>
      <c r="GK112" s="238"/>
      <c r="GL112" s="251"/>
      <c r="GO112" s="237"/>
      <c r="GP112" s="237"/>
      <c r="GQ112" s="229"/>
      <c r="GR112" s="251"/>
      <c r="GT112" s="238"/>
      <c r="GU112" s="251"/>
      <c r="GX112" s="237"/>
      <c r="GY112" s="237"/>
      <c r="GZ112" s="229"/>
      <c r="HA112" s="251"/>
      <c r="HC112" s="238"/>
      <c r="HD112" s="251"/>
      <c r="HG112" s="237"/>
      <c r="HH112" s="237"/>
      <c r="HI112" s="229"/>
      <c r="HJ112" s="251"/>
      <c r="HL112" s="238"/>
      <c r="HM112" s="251"/>
      <c r="HP112" s="237"/>
      <c r="HQ112" s="237"/>
      <c r="HR112" s="229"/>
      <c r="HS112" s="251"/>
      <c r="HU112" s="238"/>
      <c r="HV112" s="251"/>
      <c r="HY112" s="237"/>
      <c r="HZ112" s="237"/>
      <c r="IA112" s="229"/>
    </row>
    <row r="113" spans="2:235" s="233" customFormat="1" ht="6" customHeight="1">
      <c r="B113" s="280"/>
      <c r="C113" s="237"/>
      <c r="D113" s="237"/>
      <c r="E113" s="264"/>
      <c r="F113" s="323"/>
      <c r="H113" s="238"/>
      <c r="J113" s="237"/>
      <c r="K113" s="237"/>
      <c r="L113" s="229"/>
      <c r="N113" s="238"/>
      <c r="O113" s="251"/>
      <c r="P113" s="147"/>
      <c r="Q113" s="174"/>
      <c r="R113" s="297"/>
      <c r="S113" s="145"/>
      <c r="T113" s="147"/>
      <c r="U113" s="147"/>
      <c r="V113" s="238"/>
      <c r="W113" s="251"/>
      <c r="Z113" s="237"/>
      <c r="AA113" s="237"/>
      <c r="AB113" s="229"/>
      <c r="AC113" s="251"/>
      <c r="AE113" s="238"/>
      <c r="AF113" s="251"/>
      <c r="AI113" s="237"/>
      <c r="AJ113" s="237"/>
      <c r="AK113" s="229"/>
      <c r="AL113" s="251"/>
      <c r="AN113" s="238"/>
      <c r="AO113" s="251"/>
      <c r="AR113" s="237"/>
      <c r="AS113" s="237"/>
      <c r="AT113" s="229"/>
      <c r="AU113" s="251"/>
      <c r="AW113" s="238"/>
      <c r="AX113" s="251"/>
      <c r="BA113" s="237"/>
      <c r="BB113" s="237"/>
      <c r="BC113" s="229"/>
      <c r="BD113" s="251"/>
      <c r="BF113" s="238"/>
      <c r="BG113" s="251"/>
      <c r="BJ113" s="237"/>
      <c r="BK113" s="237"/>
      <c r="BL113" s="229"/>
      <c r="BM113" s="251"/>
      <c r="BO113" s="238"/>
      <c r="BP113" s="251"/>
      <c r="BS113" s="237"/>
      <c r="BT113" s="237"/>
      <c r="BU113" s="229"/>
      <c r="BV113" s="251"/>
      <c r="BX113" s="238"/>
      <c r="BY113" s="251"/>
      <c r="CB113" s="237"/>
      <c r="CC113" s="237"/>
      <c r="CD113" s="229"/>
      <c r="CE113" s="251"/>
      <c r="CG113" s="238"/>
      <c r="CH113" s="251"/>
      <c r="CK113" s="237"/>
      <c r="CL113" s="237"/>
      <c r="CM113" s="229"/>
      <c r="CN113" s="251"/>
      <c r="CP113" s="238"/>
      <c r="CQ113" s="251"/>
      <c r="CT113" s="237"/>
      <c r="CU113" s="237"/>
      <c r="CV113" s="229"/>
      <c r="CW113" s="251"/>
      <c r="CY113" s="238"/>
      <c r="CZ113" s="251"/>
      <c r="DC113" s="237"/>
      <c r="DD113" s="237"/>
      <c r="DE113" s="229"/>
      <c r="DF113" s="251"/>
      <c r="DH113" s="238"/>
      <c r="DI113" s="251"/>
      <c r="DL113" s="237"/>
      <c r="DM113" s="237"/>
      <c r="DN113" s="229"/>
      <c r="DO113" s="251"/>
      <c r="DQ113" s="238"/>
      <c r="DR113" s="251"/>
      <c r="DU113" s="237"/>
      <c r="DV113" s="237"/>
      <c r="DW113" s="229"/>
      <c r="DX113" s="251"/>
      <c r="DZ113" s="238"/>
      <c r="EA113" s="251"/>
      <c r="ED113" s="237"/>
      <c r="EE113" s="237"/>
      <c r="EF113" s="229"/>
      <c r="EG113" s="251"/>
      <c r="EI113" s="238"/>
      <c r="EJ113" s="251"/>
      <c r="EM113" s="237"/>
      <c r="EN113" s="237"/>
      <c r="EO113" s="229"/>
      <c r="EP113" s="251"/>
      <c r="ER113" s="238"/>
      <c r="ES113" s="251"/>
      <c r="EV113" s="237"/>
      <c r="EW113" s="237"/>
      <c r="EX113" s="229"/>
      <c r="EY113" s="251"/>
      <c r="FA113" s="238"/>
      <c r="FB113" s="251"/>
      <c r="FE113" s="237"/>
      <c r="FF113" s="237"/>
      <c r="FG113" s="229"/>
      <c r="FH113" s="251"/>
      <c r="FJ113" s="238"/>
      <c r="FK113" s="251"/>
      <c r="FN113" s="237"/>
      <c r="FO113" s="237"/>
      <c r="FP113" s="229"/>
      <c r="FQ113" s="251"/>
      <c r="FS113" s="238"/>
      <c r="FT113" s="251"/>
      <c r="FW113" s="237"/>
      <c r="FX113" s="237"/>
      <c r="FY113" s="229"/>
      <c r="FZ113" s="251"/>
      <c r="GB113" s="238"/>
      <c r="GC113" s="251"/>
      <c r="GF113" s="237"/>
      <c r="GG113" s="237"/>
      <c r="GH113" s="229"/>
      <c r="GI113" s="251"/>
      <c r="GK113" s="238"/>
      <c r="GL113" s="251"/>
      <c r="GO113" s="237"/>
      <c r="GP113" s="237"/>
      <c r="GQ113" s="229"/>
      <c r="GR113" s="251"/>
      <c r="GT113" s="238"/>
      <c r="GU113" s="251"/>
      <c r="GX113" s="237"/>
      <c r="GY113" s="237"/>
      <c r="GZ113" s="229"/>
      <c r="HA113" s="251"/>
      <c r="HC113" s="238"/>
      <c r="HD113" s="251"/>
      <c r="HG113" s="237"/>
      <c r="HH113" s="237"/>
      <c r="HI113" s="229"/>
      <c r="HJ113" s="251"/>
      <c r="HL113" s="238"/>
      <c r="HM113" s="251"/>
      <c r="HP113" s="237"/>
      <c r="HQ113" s="237"/>
      <c r="HR113" s="229"/>
      <c r="HS113" s="251"/>
      <c r="HU113" s="238"/>
      <c r="HV113" s="251"/>
      <c r="HY113" s="237"/>
      <c r="HZ113" s="237"/>
      <c r="IA113" s="229"/>
    </row>
    <row r="114" spans="2:235" s="233" customFormat="1" ht="12.75">
      <c r="B114" s="280" t="s">
        <v>323</v>
      </c>
      <c r="C114" s="237" t="s">
        <v>324</v>
      </c>
      <c r="D114" s="237" t="s">
        <v>325</v>
      </c>
      <c r="F114" s="323">
        <f>140+150+122</f>
        <v>412</v>
      </c>
      <c r="G114" s="233" t="s">
        <v>9</v>
      </c>
      <c r="H114" s="264" t="s">
        <v>160</v>
      </c>
      <c r="J114" s="237"/>
      <c r="K114" s="237"/>
      <c r="L114" s="229"/>
      <c r="N114" s="238"/>
      <c r="O114" s="251"/>
      <c r="P114" s="147"/>
      <c r="Q114" s="174"/>
      <c r="R114" s="155"/>
      <c r="S114" s="145"/>
      <c r="T114" s="147"/>
      <c r="U114" s="147"/>
      <c r="V114" s="238"/>
      <c r="W114" s="251"/>
      <c r="Z114" s="237"/>
      <c r="AA114" s="237"/>
      <c r="AB114" s="229"/>
      <c r="AC114" s="251"/>
      <c r="AE114" s="238"/>
      <c r="AF114" s="251"/>
      <c r="AI114" s="237"/>
      <c r="AJ114" s="237"/>
      <c r="AK114" s="229"/>
      <c r="AL114" s="251"/>
      <c r="AN114" s="238"/>
      <c r="AO114" s="251"/>
      <c r="AR114" s="237"/>
      <c r="AS114" s="237"/>
      <c r="AT114" s="229"/>
      <c r="AU114" s="251"/>
      <c r="AW114" s="238"/>
      <c r="AX114" s="251"/>
      <c r="BA114" s="237"/>
      <c r="BB114" s="237"/>
      <c r="BC114" s="229"/>
      <c r="BD114" s="251"/>
      <c r="BF114" s="238"/>
      <c r="BG114" s="251"/>
      <c r="BJ114" s="237"/>
      <c r="BK114" s="237"/>
      <c r="BL114" s="229"/>
      <c r="BM114" s="251"/>
      <c r="BO114" s="238"/>
      <c r="BP114" s="251"/>
      <c r="BS114" s="237"/>
      <c r="BT114" s="237"/>
      <c r="BU114" s="229"/>
      <c r="BV114" s="251"/>
      <c r="BX114" s="238"/>
      <c r="BY114" s="251"/>
      <c r="CB114" s="237"/>
      <c r="CC114" s="237"/>
      <c r="CD114" s="229"/>
      <c r="CE114" s="251"/>
      <c r="CG114" s="238"/>
      <c r="CH114" s="251"/>
      <c r="CK114" s="237"/>
      <c r="CL114" s="237"/>
      <c r="CM114" s="229"/>
      <c r="CN114" s="251"/>
      <c r="CP114" s="238"/>
      <c r="CQ114" s="251"/>
      <c r="CT114" s="237"/>
      <c r="CU114" s="237"/>
      <c r="CV114" s="229"/>
      <c r="CW114" s="251"/>
      <c r="CY114" s="238"/>
      <c r="CZ114" s="251"/>
      <c r="DC114" s="237"/>
      <c r="DD114" s="237"/>
      <c r="DE114" s="229"/>
      <c r="DF114" s="251"/>
      <c r="DH114" s="238"/>
      <c r="DI114" s="251"/>
      <c r="DL114" s="237"/>
      <c r="DM114" s="237"/>
      <c r="DN114" s="229"/>
      <c r="DO114" s="251"/>
      <c r="DQ114" s="238"/>
      <c r="DR114" s="251"/>
      <c r="DU114" s="237"/>
      <c r="DV114" s="237"/>
      <c r="DW114" s="229"/>
      <c r="DX114" s="251"/>
      <c r="DZ114" s="238"/>
      <c r="EA114" s="251"/>
      <c r="ED114" s="237"/>
      <c r="EE114" s="237"/>
      <c r="EF114" s="229"/>
      <c r="EG114" s="251"/>
      <c r="EI114" s="238"/>
      <c r="EJ114" s="251"/>
      <c r="EM114" s="237"/>
      <c r="EN114" s="237"/>
      <c r="EO114" s="229"/>
      <c r="EP114" s="251"/>
      <c r="ER114" s="238"/>
      <c r="ES114" s="251"/>
      <c r="EV114" s="237"/>
      <c r="EW114" s="237"/>
      <c r="EX114" s="229"/>
      <c r="EY114" s="251"/>
      <c r="FA114" s="238"/>
      <c r="FB114" s="251"/>
      <c r="FE114" s="237"/>
      <c r="FF114" s="237"/>
      <c r="FG114" s="229"/>
      <c r="FH114" s="251"/>
      <c r="FJ114" s="238"/>
      <c r="FK114" s="251"/>
      <c r="FN114" s="237"/>
      <c r="FO114" s="237"/>
      <c r="FP114" s="229"/>
      <c r="FQ114" s="251"/>
      <c r="FS114" s="238"/>
      <c r="FT114" s="251"/>
      <c r="FW114" s="237"/>
      <c r="FX114" s="237"/>
      <c r="FY114" s="229"/>
      <c r="FZ114" s="251"/>
      <c r="GB114" s="238"/>
      <c r="GC114" s="251"/>
      <c r="GF114" s="237"/>
      <c r="GG114" s="237"/>
      <c r="GH114" s="229"/>
      <c r="GI114" s="251"/>
      <c r="GK114" s="238"/>
      <c r="GL114" s="251"/>
      <c r="GO114" s="237"/>
      <c r="GP114" s="237"/>
      <c r="GQ114" s="229"/>
      <c r="GR114" s="251"/>
      <c r="GT114" s="238"/>
      <c r="GU114" s="251"/>
      <c r="GX114" s="237"/>
      <c r="GY114" s="237"/>
      <c r="GZ114" s="229"/>
      <c r="HA114" s="251"/>
      <c r="HC114" s="238"/>
      <c r="HD114" s="251"/>
      <c r="HG114" s="237"/>
      <c r="HH114" s="237"/>
      <c r="HI114" s="229"/>
      <c r="HJ114" s="251"/>
      <c r="HL114" s="238"/>
      <c r="HM114" s="251"/>
      <c r="HP114" s="237"/>
      <c r="HQ114" s="237"/>
      <c r="HR114" s="229"/>
      <c r="HS114" s="251"/>
      <c r="HU114" s="238"/>
      <c r="HV114" s="251"/>
      <c r="HY114" s="237"/>
      <c r="HZ114" s="237"/>
      <c r="IA114" s="229"/>
    </row>
    <row r="115" spans="2:235" s="233" customFormat="1" ht="6.75" customHeight="1">
      <c r="B115" s="280"/>
      <c r="C115" s="237"/>
      <c r="D115" s="237"/>
      <c r="E115" s="264"/>
      <c r="F115" s="323"/>
      <c r="H115" s="238"/>
      <c r="J115" s="237"/>
      <c r="K115" s="237"/>
      <c r="L115" s="229"/>
      <c r="N115" s="238"/>
      <c r="O115" s="251"/>
      <c r="P115" s="147"/>
      <c r="V115" s="238"/>
      <c r="W115" s="251"/>
      <c r="Z115" s="237"/>
      <c r="AA115" s="237"/>
      <c r="AB115" s="229"/>
      <c r="AC115" s="251"/>
      <c r="AE115" s="238"/>
      <c r="AF115" s="251"/>
      <c r="AI115" s="237"/>
      <c r="AJ115" s="237"/>
      <c r="AK115" s="229"/>
      <c r="AL115" s="251"/>
      <c r="AN115" s="238"/>
      <c r="AO115" s="251"/>
      <c r="AR115" s="237"/>
      <c r="AS115" s="237"/>
      <c r="AT115" s="229"/>
      <c r="AU115" s="251"/>
      <c r="AW115" s="238"/>
      <c r="AX115" s="251"/>
      <c r="BA115" s="237"/>
      <c r="BB115" s="237"/>
      <c r="BC115" s="229"/>
      <c r="BD115" s="251"/>
      <c r="BF115" s="238"/>
      <c r="BG115" s="251"/>
      <c r="BJ115" s="237"/>
      <c r="BK115" s="237"/>
      <c r="BL115" s="229"/>
      <c r="BM115" s="251"/>
      <c r="BO115" s="238"/>
      <c r="BP115" s="251"/>
      <c r="BS115" s="237"/>
      <c r="BT115" s="237"/>
      <c r="BU115" s="229"/>
      <c r="BV115" s="251"/>
      <c r="BX115" s="238"/>
      <c r="BY115" s="251"/>
      <c r="CB115" s="237"/>
      <c r="CC115" s="237"/>
      <c r="CD115" s="229"/>
      <c r="CE115" s="251"/>
      <c r="CG115" s="238"/>
      <c r="CH115" s="251"/>
      <c r="CK115" s="237"/>
      <c r="CL115" s="237"/>
      <c r="CM115" s="229"/>
      <c r="CN115" s="251"/>
      <c r="CP115" s="238"/>
      <c r="CQ115" s="251"/>
      <c r="CT115" s="237"/>
      <c r="CU115" s="237"/>
      <c r="CV115" s="229"/>
      <c r="CW115" s="251"/>
      <c r="CY115" s="238"/>
      <c r="CZ115" s="251"/>
      <c r="DC115" s="237"/>
      <c r="DD115" s="237"/>
      <c r="DE115" s="229"/>
      <c r="DF115" s="251"/>
      <c r="DH115" s="238"/>
      <c r="DI115" s="251"/>
      <c r="DL115" s="237"/>
      <c r="DM115" s="237"/>
      <c r="DN115" s="229"/>
      <c r="DO115" s="251"/>
      <c r="DQ115" s="238"/>
      <c r="DR115" s="251"/>
      <c r="DU115" s="237"/>
      <c r="DV115" s="237"/>
      <c r="DW115" s="229"/>
      <c r="DX115" s="251"/>
      <c r="DZ115" s="238"/>
      <c r="EA115" s="251"/>
      <c r="ED115" s="237"/>
      <c r="EE115" s="237"/>
      <c r="EF115" s="229"/>
      <c r="EG115" s="251"/>
      <c r="EI115" s="238"/>
      <c r="EJ115" s="251"/>
      <c r="EM115" s="237"/>
      <c r="EN115" s="237"/>
      <c r="EO115" s="229"/>
      <c r="EP115" s="251"/>
      <c r="ER115" s="238"/>
      <c r="ES115" s="251"/>
      <c r="EV115" s="237"/>
      <c r="EW115" s="237"/>
      <c r="EX115" s="229"/>
      <c r="EY115" s="251"/>
      <c r="FA115" s="238"/>
      <c r="FB115" s="251"/>
      <c r="FE115" s="237"/>
      <c r="FF115" s="237"/>
      <c r="FG115" s="229"/>
      <c r="FH115" s="251"/>
      <c r="FJ115" s="238"/>
      <c r="FK115" s="251"/>
      <c r="FN115" s="237"/>
      <c r="FO115" s="237"/>
      <c r="FP115" s="229"/>
      <c r="FQ115" s="251"/>
      <c r="FS115" s="238"/>
      <c r="FT115" s="251"/>
      <c r="FW115" s="237"/>
      <c r="FX115" s="237"/>
      <c r="FY115" s="229"/>
      <c r="FZ115" s="251"/>
      <c r="GB115" s="238"/>
      <c r="GC115" s="251"/>
      <c r="GF115" s="237"/>
      <c r="GG115" s="237"/>
      <c r="GH115" s="229"/>
      <c r="GI115" s="251"/>
      <c r="GK115" s="238"/>
      <c r="GL115" s="251"/>
      <c r="GO115" s="237"/>
      <c r="GP115" s="237"/>
      <c r="GQ115" s="229"/>
      <c r="GR115" s="251"/>
      <c r="GT115" s="238"/>
      <c r="GU115" s="251"/>
      <c r="GX115" s="237"/>
      <c r="GY115" s="237"/>
      <c r="GZ115" s="229"/>
      <c r="HA115" s="251"/>
      <c r="HC115" s="238"/>
      <c r="HD115" s="251"/>
      <c r="HG115" s="237"/>
      <c r="HH115" s="237"/>
      <c r="HI115" s="229"/>
      <c r="HJ115" s="251"/>
      <c r="HL115" s="238"/>
      <c r="HM115" s="251"/>
      <c r="HP115" s="237"/>
      <c r="HQ115" s="237"/>
      <c r="HR115" s="229"/>
      <c r="HS115" s="251"/>
      <c r="HU115" s="238"/>
      <c r="HV115" s="251"/>
      <c r="HY115" s="237"/>
      <c r="HZ115" s="237"/>
      <c r="IA115" s="229"/>
    </row>
    <row r="116" spans="2:235" s="233" customFormat="1" ht="12.75">
      <c r="B116" s="280" t="s">
        <v>154</v>
      </c>
      <c r="C116" s="237" t="s">
        <v>155</v>
      </c>
      <c r="D116" s="237" t="s">
        <v>319</v>
      </c>
      <c r="F116" s="640">
        <f>2*2915-258-41+(28+19)</f>
        <v>5578</v>
      </c>
      <c r="G116" s="233" t="s">
        <v>9</v>
      </c>
      <c r="H116" s="238"/>
      <c r="J116" s="237"/>
      <c r="K116" s="237"/>
      <c r="L116" s="229"/>
      <c r="N116" s="238"/>
      <c r="O116" s="251"/>
      <c r="P116" s="147"/>
      <c r="Q116" s="174"/>
      <c r="R116" s="155"/>
      <c r="S116" s="145"/>
      <c r="T116" s="147"/>
      <c r="U116" s="147"/>
      <c r="V116" s="238"/>
      <c r="W116" s="251"/>
      <c r="Z116" s="237"/>
      <c r="AA116" s="237"/>
      <c r="AB116" s="229"/>
      <c r="AC116" s="251"/>
      <c r="AE116" s="238"/>
      <c r="AF116" s="251"/>
      <c r="AI116" s="237"/>
      <c r="AJ116" s="237"/>
      <c r="AK116" s="229"/>
      <c r="AL116" s="251"/>
      <c r="AN116" s="238"/>
      <c r="AO116" s="251"/>
      <c r="AR116" s="237"/>
      <c r="AS116" s="237"/>
      <c r="AT116" s="229"/>
      <c r="AU116" s="251"/>
      <c r="AW116" s="238"/>
      <c r="AX116" s="251"/>
      <c r="BA116" s="237"/>
      <c r="BB116" s="237"/>
      <c r="BC116" s="229"/>
      <c r="BD116" s="251"/>
      <c r="BF116" s="238"/>
      <c r="BG116" s="251"/>
      <c r="BJ116" s="237"/>
      <c r="BK116" s="237"/>
      <c r="BL116" s="229"/>
      <c r="BM116" s="251"/>
      <c r="BO116" s="238"/>
      <c r="BP116" s="251"/>
      <c r="BS116" s="237"/>
      <c r="BT116" s="237"/>
      <c r="BU116" s="229"/>
      <c r="BV116" s="251"/>
      <c r="BX116" s="238"/>
      <c r="BY116" s="251"/>
      <c r="CB116" s="237"/>
      <c r="CC116" s="237"/>
      <c r="CD116" s="229"/>
      <c r="CE116" s="251"/>
      <c r="CG116" s="238"/>
      <c r="CH116" s="251"/>
      <c r="CK116" s="237"/>
      <c r="CL116" s="237"/>
      <c r="CM116" s="229"/>
      <c r="CN116" s="251"/>
      <c r="CP116" s="238"/>
      <c r="CQ116" s="251"/>
      <c r="CT116" s="237"/>
      <c r="CU116" s="237"/>
      <c r="CV116" s="229"/>
      <c r="CW116" s="251"/>
      <c r="CY116" s="238"/>
      <c r="CZ116" s="251"/>
      <c r="DC116" s="237"/>
      <c r="DD116" s="237"/>
      <c r="DE116" s="229"/>
      <c r="DF116" s="251"/>
      <c r="DH116" s="238"/>
      <c r="DI116" s="251"/>
      <c r="DL116" s="237"/>
      <c r="DM116" s="237"/>
      <c r="DN116" s="229"/>
      <c r="DO116" s="251"/>
      <c r="DQ116" s="238"/>
      <c r="DR116" s="251"/>
      <c r="DU116" s="237"/>
      <c r="DV116" s="237"/>
      <c r="DW116" s="229"/>
      <c r="DX116" s="251"/>
      <c r="DZ116" s="238"/>
      <c r="EA116" s="251"/>
      <c r="ED116" s="237"/>
      <c r="EE116" s="237"/>
      <c r="EF116" s="229"/>
      <c r="EG116" s="251"/>
      <c r="EI116" s="238"/>
      <c r="EJ116" s="251"/>
      <c r="EM116" s="237"/>
      <c r="EN116" s="237"/>
      <c r="EO116" s="229"/>
      <c r="EP116" s="251"/>
      <c r="ER116" s="238"/>
      <c r="ES116" s="251"/>
      <c r="EV116" s="237"/>
      <c r="EW116" s="237"/>
      <c r="EX116" s="229"/>
      <c r="EY116" s="251"/>
      <c r="FA116" s="238"/>
      <c r="FB116" s="251"/>
      <c r="FE116" s="237"/>
      <c r="FF116" s="237"/>
      <c r="FG116" s="229"/>
      <c r="FH116" s="251"/>
      <c r="FJ116" s="238"/>
      <c r="FK116" s="251"/>
      <c r="FN116" s="237"/>
      <c r="FO116" s="237"/>
      <c r="FP116" s="229"/>
      <c r="FQ116" s="251"/>
      <c r="FS116" s="238"/>
      <c r="FT116" s="251"/>
      <c r="FW116" s="237"/>
      <c r="FX116" s="237"/>
      <c r="FY116" s="229"/>
      <c r="FZ116" s="251"/>
      <c r="GB116" s="238"/>
      <c r="GC116" s="251"/>
      <c r="GF116" s="237"/>
      <c r="GG116" s="237"/>
      <c r="GH116" s="229"/>
      <c r="GI116" s="251"/>
      <c r="GK116" s="238"/>
      <c r="GL116" s="251"/>
      <c r="GO116" s="237"/>
      <c r="GP116" s="237"/>
      <c r="GQ116" s="229"/>
      <c r="GR116" s="251"/>
      <c r="GT116" s="238"/>
      <c r="GU116" s="251"/>
      <c r="GX116" s="237"/>
      <c r="GY116" s="237"/>
      <c r="GZ116" s="229"/>
      <c r="HA116" s="251"/>
      <c r="HC116" s="238"/>
      <c r="HD116" s="251"/>
      <c r="HG116" s="237"/>
      <c r="HH116" s="237"/>
      <c r="HI116" s="229"/>
      <c r="HJ116" s="251"/>
      <c r="HL116" s="238"/>
      <c r="HM116" s="251"/>
      <c r="HP116" s="237"/>
      <c r="HQ116" s="237"/>
      <c r="HR116" s="229"/>
      <c r="HS116" s="251"/>
      <c r="HU116" s="238"/>
      <c r="HV116" s="251"/>
      <c r="HY116" s="237"/>
      <c r="HZ116" s="237"/>
      <c r="IA116" s="229"/>
    </row>
    <row r="117" spans="2:235" s="233" customFormat="1" ht="12.75">
      <c r="B117" s="280" t="s">
        <v>154</v>
      </c>
      <c r="C117" s="237" t="s">
        <v>156</v>
      </c>
      <c r="D117" s="237" t="s">
        <v>318</v>
      </c>
      <c r="E117" s="264"/>
      <c r="F117" s="640">
        <f>19+25+27+15+28+22+10+19+17+24+21+31</f>
        <v>258</v>
      </c>
      <c r="G117" s="233" t="s">
        <v>9</v>
      </c>
      <c r="H117" s="238"/>
      <c r="J117" s="237"/>
      <c r="K117" s="237"/>
      <c r="L117" s="229"/>
      <c r="N117" s="238"/>
      <c r="O117" s="251"/>
      <c r="P117" s="147"/>
      <c r="Q117" s="174"/>
      <c r="R117" s="155"/>
      <c r="S117" s="145"/>
      <c r="T117" s="147"/>
      <c r="U117" s="147"/>
      <c r="V117" s="238"/>
      <c r="W117" s="251"/>
      <c r="Z117" s="237"/>
      <c r="AA117" s="237"/>
      <c r="AB117" s="229"/>
      <c r="AC117" s="251"/>
      <c r="AE117" s="238"/>
      <c r="AF117" s="251"/>
      <c r="AI117" s="237"/>
      <c r="AJ117" s="237"/>
      <c r="AK117" s="229"/>
      <c r="AL117" s="251"/>
      <c r="AN117" s="238"/>
      <c r="AO117" s="251"/>
      <c r="AR117" s="237"/>
      <c r="AS117" s="237"/>
      <c r="AT117" s="229"/>
      <c r="AU117" s="251"/>
      <c r="AW117" s="238"/>
      <c r="AX117" s="251"/>
      <c r="BA117" s="237"/>
      <c r="BB117" s="237"/>
      <c r="BC117" s="229"/>
      <c r="BD117" s="251"/>
      <c r="BF117" s="238"/>
      <c r="BG117" s="251"/>
      <c r="BJ117" s="237"/>
      <c r="BK117" s="237"/>
      <c r="BL117" s="229"/>
      <c r="BM117" s="251"/>
      <c r="BO117" s="238"/>
      <c r="BP117" s="251"/>
      <c r="BS117" s="237"/>
      <c r="BT117" s="237"/>
      <c r="BU117" s="229"/>
      <c r="BV117" s="251"/>
      <c r="BX117" s="238"/>
      <c r="BY117" s="251"/>
      <c r="CB117" s="237"/>
      <c r="CC117" s="237"/>
      <c r="CD117" s="229"/>
      <c r="CE117" s="251"/>
      <c r="CG117" s="238"/>
      <c r="CH117" s="251"/>
      <c r="CK117" s="237"/>
      <c r="CL117" s="237"/>
      <c r="CM117" s="229"/>
      <c r="CN117" s="251"/>
      <c r="CP117" s="238"/>
      <c r="CQ117" s="251"/>
      <c r="CT117" s="237"/>
      <c r="CU117" s="237"/>
      <c r="CV117" s="229"/>
      <c r="CW117" s="251"/>
      <c r="CY117" s="238"/>
      <c r="CZ117" s="251"/>
      <c r="DC117" s="237"/>
      <c r="DD117" s="237"/>
      <c r="DE117" s="229"/>
      <c r="DF117" s="251"/>
      <c r="DH117" s="238"/>
      <c r="DI117" s="251"/>
      <c r="DL117" s="237"/>
      <c r="DM117" s="237"/>
      <c r="DN117" s="229"/>
      <c r="DO117" s="251"/>
      <c r="DQ117" s="238"/>
      <c r="DR117" s="251"/>
      <c r="DU117" s="237"/>
      <c r="DV117" s="237"/>
      <c r="DW117" s="229"/>
      <c r="DX117" s="251"/>
      <c r="DZ117" s="238"/>
      <c r="EA117" s="251"/>
      <c r="ED117" s="237"/>
      <c r="EE117" s="237"/>
      <c r="EF117" s="229"/>
      <c r="EG117" s="251"/>
      <c r="EI117" s="238"/>
      <c r="EJ117" s="251"/>
      <c r="EM117" s="237"/>
      <c r="EN117" s="237"/>
      <c r="EO117" s="229"/>
      <c r="EP117" s="251"/>
      <c r="ER117" s="238"/>
      <c r="ES117" s="251"/>
      <c r="EV117" s="237"/>
      <c r="EW117" s="237"/>
      <c r="EX117" s="229"/>
      <c r="EY117" s="251"/>
      <c r="FA117" s="238"/>
      <c r="FB117" s="251"/>
      <c r="FE117" s="237"/>
      <c r="FF117" s="237"/>
      <c r="FG117" s="229"/>
      <c r="FH117" s="251"/>
      <c r="FJ117" s="238"/>
      <c r="FK117" s="251"/>
      <c r="FN117" s="237"/>
      <c r="FO117" s="237"/>
      <c r="FP117" s="229"/>
      <c r="FQ117" s="251"/>
      <c r="FS117" s="238"/>
      <c r="FT117" s="251"/>
      <c r="FW117" s="237"/>
      <c r="FX117" s="237"/>
      <c r="FY117" s="229"/>
      <c r="FZ117" s="251"/>
      <c r="GB117" s="238"/>
      <c r="GC117" s="251"/>
      <c r="GF117" s="237"/>
      <c r="GG117" s="237"/>
      <c r="GH117" s="229"/>
      <c r="GI117" s="251"/>
      <c r="GK117" s="238"/>
      <c r="GL117" s="251"/>
      <c r="GO117" s="237"/>
      <c r="GP117" s="237"/>
      <c r="GQ117" s="229"/>
      <c r="GR117" s="251"/>
      <c r="GT117" s="238"/>
      <c r="GU117" s="251"/>
      <c r="GX117" s="237"/>
      <c r="GY117" s="237"/>
      <c r="GZ117" s="229"/>
      <c r="HA117" s="251"/>
      <c r="HC117" s="238"/>
      <c r="HD117" s="251"/>
      <c r="HG117" s="237"/>
      <c r="HH117" s="237"/>
      <c r="HI117" s="229"/>
      <c r="HJ117" s="251"/>
      <c r="HL117" s="238"/>
      <c r="HM117" s="251"/>
      <c r="HP117" s="237"/>
      <c r="HQ117" s="237"/>
      <c r="HR117" s="229"/>
      <c r="HS117" s="251"/>
      <c r="HU117" s="238"/>
      <c r="HV117" s="251"/>
      <c r="HY117" s="237"/>
      <c r="HZ117" s="237"/>
      <c r="IA117" s="229"/>
    </row>
    <row r="118" spans="2:235" s="233" customFormat="1" ht="6.75" customHeight="1">
      <c r="B118" s="280"/>
      <c r="C118" s="237"/>
      <c r="D118" s="237"/>
      <c r="E118" s="264"/>
      <c r="F118" s="323"/>
      <c r="H118" s="238"/>
      <c r="J118" s="237"/>
      <c r="K118" s="237"/>
      <c r="L118" s="229"/>
      <c r="N118" s="238"/>
      <c r="O118" s="251"/>
      <c r="P118" s="147"/>
      <c r="Q118" s="174"/>
      <c r="R118" s="155"/>
      <c r="S118" s="145"/>
      <c r="T118" s="147"/>
      <c r="U118" s="147"/>
      <c r="V118" s="238"/>
      <c r="W118" s="251"/>
      <c r="Z118" s="237"/>
      <c r="AA118" s="237"/>
      <c r="AB118" s="229"/>
      <c r="AC118" s="251"/>
      <c r="AE118" s="238"/>
      <c r="AF118" s="251"/>
      <c r="AI118" s="237"/>
      <c r="AJ118" s="237"/>
      <c r="AK118" s="229"/>
      <c r="AL118" s="251"/>
      <c r="AN118" s="238"/>
      <c r="AO118" s="251"/>
      <c r="AR118" s="237"/>
      <c r="AS118" s="237"/>
      <c r="AT118" s="229"/>
      <c r="AU118" s="251"/>
      <c r="AW118" s="238"/>
      <c r="AX118" s="251"/>
      <c r="BA118" s="237"/>
      <c r="BB118" s="237"/>
      <c r="BC118" s="229"/>
      <c r="BD118" s="251"/>
      <c r="BF118" s="238"/>
      <c r="BG118" s="251"/>
      <c r="BJ118" s="237"/>
      <c r="BK118" s="237"/>
      <c r="BL118" s="229"/>
      <c r="BM118" s="251"/>
      <c r="BO118" s="238"/>
      <c r="BP118" s="251"/>
      <c r="BS118" s="237"/>
      <c r="BT118" s="237"/>
      <c r="BU118" s="229"/>
      <c r="BV118" s="251"/>
      <c r="BX118" s="238"/>
      <c r="BY118" s="251"/>
      <c r="CB118" s="237"/>
      <c r="CC118" s="237"/>
      <c r="CD118" s="229"/>
      <c r="CE118" s="251"/>
      <c r="CG118" s="238"/>
      <c r="CH118" s="251"/>
      <c r="CK118" s="237"/>
      <c r="CL118" s="237"/>
      <c r="CM118" s="229"/>
      <c r="CN118" s="251"/>
      <c r="CP118" s="238"/>
      <c r="CQ118" s="251"/>
      <c r="CT118" s="237"/>
      <c r="CU118" s="237"/>
      <c r="CV118" s="229"/>
      <c r="CW118" s="251"/>
      <c r="CY118" s="238"/>
      <c r="CZ118" s="251"/>
      <c r="DC118" s="237"/>
      <c r="DD118" s="237"/>
      <c r="DE118" s="229"/>
      <c r="DF118" s="251"/>
      <c r="DH118" s="238"/>
      <c r="DI118" s="251"/>
      <c r="DL118" s="237"/>
      <c r="DM118" s="237"/>
      <c r="DN118" s="229"/>
      <c r="DO118" s="251"/>
      <c r="DQ118" s="238"/>
      <c r="DR118" s="251"/>
      <c r="DU118" s="237"/>
      <c r="DV118" s="237"/>
      <c r="DW118" s="229"/>
      <c r="DX118" s="251"/>
      <c r="DZ118" s="238"/>
      <c r="EA118" s="251"/>
      <c r="ED118" s="237"/>
      <c r="EE118" s="237"/>
      <c r="EF118" s="229"/>
      <c r="EG118" s="251"/>
      <c r="EI118" s="238"/>
      <c r="EJ118" s="251"/>
      <c r="EM118" s="237"/>
      <c r="EN118" s="237"/>
      <c r="EO118" s="229"/>
      <c r="EP118" s="251"/>
      <c r="ER118" s="238"/>
      <c r="ES118" s="251"/>
      <c r="EV118" s="237"/>
      <c r="EW118" s="237"/>
      <c r="EX118" s="229"/>
      <c r="EY118" s="251"/>
      <c r="FA118" s="238"/>
      <c r="FB118" s="251"/>
      <c r="FE118" s="237"/>
      <c r="FF118" s="237"/>
      <c r="FG118" s="229"/>
      <c r="FH118" s="251"/>
      <c r="FJ118" s="238"/>
      <c r="FK118" s="251"/>
      <c r="FN118" s="237"/>
      <c r="FO118" s="237"/>
      <c r="FP118" s="229"/>
      <c r="FQ118" s="251"/>
      <c r="FS118" s="238"/>
      <c r="FT118" s="251"/>
      <c r="FW118" s="237"/>
      <c r="FX118" s="237"/>
      <c r="FY118" s="229"/>
      <c r="FZ118" s="251"/>
      <c r="GB118" s="238"/>
      <c r="GC118" s="251"/>
      <c r="GF118" s="237"/>
      <c r="GG118" s="237"/>
      <c r="GH118" s="229"/>
      <c r="GI118" s="251"/>
      <c r="GK118" s="238"/>
      <c r="GL118" s="251"/>
      <c r="GO118" s="237"/>
      <c r="GP118" s="237"/>
      <c r="GQ118" s="229"/>
      <c r="GR118" s="251"/>
      <c r="GT118" s="238"/>
      <c r="GU118" s="251"/>
      <c r="GX118" s="237"/>
      <c r="GY118" s="237"/>
      <c r="GZ118" s="229"/>
      <c r="HA118" s="251"/>
      <c r="HC118" s="238"/>
      <c r="HD118" s="251"/>
      <c r="HG118" s="237"/>
      <c r="HH118" s="237"/>
      <c r="HI118" s="229"/>
      <c r="HJ118" s="251"/>
      <c r="HL118" s="238"/>
      <c r="HM118" s="251"/>
      <c r="HP118" s="237"/>
      <c r="HQ118" s="237"/>
      <c r="HR118" s="229"/>
      <c r="HS118" s="251"/>
      <c r="HU118" s="238"/>
      <c r="HV118" s="251"/>
      <c r="HY118" s="237"/>
      <c r="HZ118" s="237"/>
      <c r="IA118" s="229"/>
    </row>
    <row r="119" spans="2:235" s="233" customFormat="1" ht="12.75">
      <c r="B119" s="280" t="s">
        <v>157</v>
      </c>
      <c r="C119" s="237" t="s">
        <v>151</v>
      </c>
      <c r="D119" s="237" t="s">
        <v>317</v>
      </c>
      <c r="F119" s="323">
        <f>6*(24+26)</f>
        <v>300</v>
      </c>
      <c r="G119" s="233" t="s">
        <v>9</v>
      </c>
      <c r="H119" s="264" t="s">
        <v>160</v>
      </c>
      <c r="J119" s="237"/>
      <c r="K119" s="237"/>
      <c r="L119" s="229"/>
      <c r="N119" s="238"/>
      <c r="O119" s="251"/>
      <c r="Q119" s="237"/>
      <c r="R119" s="237"/>
      <c r="S119" s="229"/>
      <c r="T119" s="251"/>
      <c r="V119" s="238"/>
      <c r="W119" s="251"/>
      <c r="Z119" s="237"/>
      <c r="AA119" s="237"/>
      <c r="AB119" s="229"/>
      <c r="AC119" s="251"/>
      <c r="AE119" s="238"/>
      <c r="AF119" s="251"/>
      <c r="AI119" s="237"/>
      <c r="AJ119" s="237"/>
      <c r="AK119" s="229"/>
      <c r="AL119" s="251"/>
      <c r="AN119" s="238"/>
      <c r="AO119" s="251"/>
      <c r="AR119" s="237"/>
      <c r="AS119" s="237"/>
      <c r="AT119" s="229"/>
      <c r="AU119" s="251"/>
      <c r="AW119" s="238"/>
      <c r="AX119" s="251"/>
      <c r="BA119" s="237"/>
      <c r="BB119" s="237"/>
      <c r="BC119" s="229"/>
      <c r="BD119" s="251"/>
      <c r="BF119" s="238"/>
      <c r="BG119" s="251"/>
      <c r="BJ119" s="237"/>
      <c r="BK119" s="237"/>
      <c r="BL119" s="229"/>
      <c r="BM119" s="251"/>
      <c r="BO119" s="238"/>
      <c r="BP119" s="251"/>
      <c r="BS119" s="237"/>
      <c r="BT119" s="237"/>
      <c r="BU119" s="229"/>
      <c r="BV119" s="251"/>
      <c r="BX119" s="238"/>
      <c r="BY119" s="251"/>
      <c r="CB119" s="237"/>
      <c r="CC119" s="237"/>
      <c r="CD119" s="229"/>
      <c r="CE119" s="251"/>
      <c r="CG119" s="238"/>
      <c r="CH119" s="251"/>
      <c r="CK119" s="237"/>
      <c r="CL119" s="237"/>
      <c r="CM119" s="229"/>
      <c r="CN119" s="251"/>
      <c r="CP119" s="238"/>
      <c r="CQ119" s="251"/>
      <c r="CT119" s="237"/>
      <c r="CU119" s="237"/>
      <c r="CV119" s="229"/>
      <c r="CW119" s="251"/>
      <c r="CY119" s="238"/>
      <c r="CZ119" s="251"/>
      <c r="DC119" s="237"/>
      <c r="DD119" s="237"/>
      <c r="DE119" s="229"/>
      <c r="DF119" s="251"/>
      <c r="DH119" s="238"/>
      <c r="DI119" s="251"/>
      <c r="DL119" s="237"/>
      <c r="DM119" s="237"/>
      <c r="DN119" s="229"/>
      <c r="DO119" s="251"/>
      <c r="DQ119" s="238"/>
      <c r="DR119" s="251"/>
      <c r="DU119" s="237"/>
      <c r="DV119" s="237"/>
      <c r="DW119" s="229"/>
      <c r="DX119" s="251"/>
      <c r="DZ119" s="238"/>
      <c r="EA119" s="251"/>
      <c r="ED119" s="237"/>
      <c r="EE119" s="237"/>
      <c r="EF119" s="229"/>
      <c r="EG119" s="251"/>
      <c r="EI119" s="238"/>
      <c r="EJ119" s="251"/>
      <c r="EM119" s="237"/>
      <c r="EN119" s="237"/>
      <c r="EO119" s="229"/>
      <c r="EP119" s="251"/>
      <c r="ER119" s="238"/>
      <c r="ES119" s="251"/>
      <c r="EV119" s="237"/>
      <c r="EW119" s="237"/>
      <c r="EX119" s="229"/>
      <c r="EY119" s="251"/>
      <c r="FA119" s="238"/>
      <c r="FB119" s="251"/>
      <c r="FE119" s="237"/>
      <c r="FF119" s="237"/>
      <c r="FG119" s="229"/>
      <c r="FH119" s="251"/>
      <c r="FJ119" s="238"/>
      <c r="FK119" s="251"/>
      <c r="FN119" s="237"/>
      <c r="FO119" s="237"/>
      <c r="FP119" s="229"/>
      <c r="FQ119" s="251"/>
      <c r="FS119" s="238"/>
      <c r="FT119" s="251"/>
      <c r="FW119" s="237"/>
      <c r="FX119" s="237"/>
      <c r="FY119" s="229"/>
      <c r="FZ119" s="251"/>
      <c r="GB119" s="238"/>
      <c r="GC119" s="251"/>
      <c r="GF119" s="237"/>
      <c r="GG119" s="237"/>
      <c r="GH119" s="229"/>
      <c r="GI119" s="251"/>
      <c r="GK119" s="238"/>
      <c r="GL119" s="251"/>
      <c r="GO119" s="237"/>
      <c r="GP119" s="237"/>
      <c r="GQ119" s="229"/>
      <c r="GR119" s="251"/>
      <c r="GT119" s="238"/>
      <c r="GU119" s="251"/>
      <c r="GX119" s="237"/>
      <c r="GY119" s="237"/>
      <c r="GZ119" s="229"/>
      <c r="HA119" s="251"/>
      <c r="HC119" s="238"/>
      <c r="HD119" s="251"/>
      <c r="HG119" s="237"/>
      <c r="HH119" s="237"/>
      <c r="HI119" s="229"/>
      <c r="HJ119" s="251"/>
      <c r="HL119" s="238"/>
      <c r="HM119" s="251"/>
      <c r="HP119" s="237"/>
      <c r="HQ119" s="237"/>
      <c r="HR119" s="229"/>
      <c r="HS119" s="251"/>
      <c r="HU119" s="238"/>
      <c r="HV119" s="251"/>
      <c r="HY119" s="237"/>
      <c r="HZ119" s="237"/>
      <c r="IA119" s="229"/>
    </row>
    <row r="120" spans="2:235" s="233" customFormat="1" ht="12.75">
      <c r="B120" s="280" t="s">
        <v>161</v>
      </c>
      <c r="C120" s="237"/>
      <c r="D120" s="237"/>
      <c r="F120" s="323">
        <v>12</v>
      </c>
      <c r="G120" s="233" t="s">
        <v>107</v>
      </c>
      <c r="H120" s="264" t="s">
        <v>160</v>
      </c>
      <c r="J120" s="237"/>
      <c r="K120" s="237"/>
      <c r="L120" s="229"/>
      <c r="N120" s="238"/>
      <c r="O120" s="251"/>
      <c r="Q120" s="237"/>
      <c r="R120" s="237"/>
      <c r="S120" s="229"/>
      <c r="T120" s="251"/>
      <c r="V120" s="238"/>
      <c r="W120" s="251"/>
      <c r="Z120" s="237"/>
      <c r="AA120" s="237"/>
      <c r="AB120" s="229"/>
      <c r="AC120" s="251"/>
      <c r="AE120" s="238"/>
      <c r="AF120" s="251"/>
      <c r="AI120" s="237"/>
      <c r="AJ120" s="237"/>
      <c r="AK120" s="229"/>
      <c r="AL120" s="251"/>
      <c r="AN120" s="238"/>
      <c r="AO120" s="251"/>
      <c r="AR120" s="237"/>
      <c r="AS120" s="237"/>
      <c r="AT120" s="229"/>
      <c r="AU120" s="251"/>
      <c r="AW120" s="238"/>
      <c r="AX120" s="251"/>
      <c r="BA120" s="237"/>
      <c r="BB120" s="237"/>
      <c r="BC120" s="229"/>
      <c r="BD120" s="251"/>
      <c r="BF120" s="238"/>
      <c r="BG120" s="251"/>
      <c r="BJ120" s="237"/>
      <c r="BK120" s="237"/>
      <c r="BL120" s="229"/>
      <c r="BM120" s="251"/>
      <c r="BO120" s="238"/>
      <c r="BP120" s="251"/>
      <c r="BS120" s="237"/>
      <c r="BT120" s="237"/>
      <c r="BU120" s="229"/>
      <c r="BV120" s="251"/>
      <c r="BX120" s="238"/>
      <c r="BY120" s="251"/>
      <c r="CB120" s="237"/>
      <c r="CC120" s="237"/>
      <c r="CD120" s="229"/>
      <c r="CE120" s="251"/>
      <c r="CG120" s="238"/>
      <c r="CH120" s="251"/>
      <c r="CK120" s="237"/>
      <c r="CL120" s="237"/>
      <c r="CM120" s="229"/>
      <c r="CN120" s="251"/>
      <c r="CP120" s="238"/>
      <c r="CQ120" s="251"/>
      <c r="CT120" s="237"/>
      <c r="CU120" s="237"/>
      <c r="CV120" s="229"/>
      <c r="CW120" s="251"/>
      <c r="CY120" s="238"/>
      <c r="CZ120" s="251"/>
      <c r="DC120" s="237"/>
      <c r="DD120" s="237"/>
      <c r="DE120" s="229"/>
      <c r="DF120" s="251"/>
      <c r="DH120" s="238"/>
      <c r="DI120" s="251"/>
      <c r="DL120" s="237"/>
      <c r="DM120" s="237"/>
      <c r="DN120" s="229"/>
      <c r="DO120" s="251"/>
      <c r="DQ120" s="238"/>
      <c r="DR120" s="251"/>
      <c r="DU120" s="237"/>
      <c r="DV120" s="237"/>
      <c r="DW120" s="229"/>
      <c r="DX120" s="251"/>
      <c r="DZ120" s="238"/>
      <c r="EA120" s="251"/>
      <c r="ED120" s="237"/>
      <c r="EE120" s="237"/>
      <c r="EF120" s="229"/>
      <c r="EG120" s="251"/>
      <c r="EI120" s="238"/>
      <c r="EJ120" s="251"/>
      <c r="EM120" s="237"/>
      <c r="EN120" s="237"/>
      <c r="EO120" s="229"/>
      <c r="EP120" s="251"/>
      <c r="ER120" s="238"/>
      <c r="ES120" s="251"/>
      <c r="EV120" s="237"/>
      <c r="EW120" s="237"/>
      <c r="EX120" s="229"/>
      <c r="EY120" s="251"/>
      <c r="FA120" s="238"/>
      <c r="FB120" s="251"/>
      <c r="FE120" s="237"/>
      <c r="FF120" s="237"/>
      <c r="FG120" s="229"/>
      <c r="FH120" s="251"/>
      <c r="FJ120" s="238"/>
      <c r="FK120" s="251"/>
      <c r="FN120" s="237"/>
      <c r="FO120" s="237"/>
      <c r="FP120" s="229"/>
      <c r="FQ120" s="251"/>
      <c r="FS120" s="238"/>
      <c r="FT120" s="251"/>
      <c r="FW120" s="237"/>
      <c r="FX120" s="237"/>
      <c r="FY120" s="229"/>
      <c r="FZ120" s="251"/>
      <c r="GB120" s="238"/>
      <c r="GC120" s="251"/>
      <c r="GF120" s="237"/>
      <c r="GG120" s="237"/>
      <c r="GH120" s="229"/>
      <c r="GI120" s="251"/>
      <c r="GK120" s="238"/>
      <c r="GL120" s="251"/>
      <c r="GO120" s="237"/>
      <c r="GP120" s="237"/>
      <c r="GQ120" s="229"/>
      <c r="GR120" s="251"/>
      <c r="GT120" s="238"/>
      <c r="GU120" s="251"/>
      <c r="GX120" s="237"/>
      <c r="GY120" s="237"/>
      <c r="GZ120" s="229"/>
      <c r="HA120" s="251"/>
      <c r="HC120" s="238"/>
      <c r="HD120" s="251"/>
      <c r="HG120" s="237"/>
      <c r="HH120" s="237"/>
      <c r="HI120" s="229"/>
      <c r="HJ120" s="251"/>
      <c r="HL120" s="238"/>
      <c r="HM120" s="251"/>
      <c r="HP120" s="237"/>
      <c r="HQ120" s="237"/>
      <c r="HR120" s="229"/>
      <c r="HS120" s="251"/>
      <c r="HU120" s="238"/>
      <c r="HV120" s="251"/>
      <c r="HY120" s="237"/>
      <c r="HZ120" s="237"/>
      <c r="IA120" s="229"/>
    </row>
    <row r="121" spans="2:235" s="233" customFormat="1" ht="7.5" customHeight="1">
      <c r="B121" s="280"/>
      <c r="C121" s="245"/>
      <c r="D121" s="237"/>
      <c r="E121" s="268"/>
      <c r="F121" s="641"/>
      <c r="H121" s="238"/>
      <c r="J121" s="237"/>
      <c r="K121" s="237"/>
      <c r="L121" s="229"/>
      <c r="N121" s="238"/>
      <c r="O121" s="251"/>
      <c r="Q121" s="237"/>
      <c r="R121" s="237"/>
      <c r="S121" s="229"/>
      <c r="T121" s="251"/>
      <c r="V121" s="238"/>
      <c r="W121" s="251"/>
      <c r="Z121" s="237"/>
      <c r="AA121" s="237"/>
      <c r="AB121" s="229"/>
      <c r="AC121" s="251"/>
      <c r="AE121" s="238"/>
      <c r="AF121" s="251"/>
      <c r="AI121" s="237"/>
      <c r="AJ121" s="237"/>
      <c r="AK121" s="229"/>
      <c r="AL121" s="251"/>
      <c r="AN121" s="238"/>
      <c r="AO121" s="251"/>
      <c r="AR121" s="237"/>
      <c r="AS121" s="237"/>
      <c r="AT121" s="229"/>
      <c r="AU121" s="251"/>
      <c r="AW121" s="238"/>
      <c r="AX121" s="251"/>
      <c r="BA121" s="237"/>
      <c r="BB121" s="237"/>
      <c r="BC121" s="229"/>
      <c r="BD121" s="251"/>
      <c r="BF121" s="238"/>
      <c r="BG121" s="251"/>
      <c r="BJ121" s="237"/>
      <c r="BK121" s="237"/>
      <c r="BL121" s="229"/>
      <c r="BM121" s="251"/>
      <c r="BO121" s="238"/>
      <c r="BP121" s="251"/>
      <c r="BS121" s="237"/>
      <c r="BT121" s="237"/>
      <c r="BU121" s="229"/>
      <c r="BV121" s="251"/>
      <c r="BX121" s="238"/>
      <c r="BY121" s="251"/>
      <c r="CB121" s="237"/>
      <c r="CC121" s="237"/>
      <c r="CD121" s="229"/>
      <c r="CE121" s="251"/>
      <c r="CG121" s="238"/>
      <c r="CH121" s="251"/>
      <c r="CK121" s="237"/>
      <c r="CL121" s="237"/>
      <c r="CM121" s="229"/>
      <c r="CN121" s="251"/>
      <c r="CP121" s="238"/>
      <c r="CQ121" s="251"/>
      <c r="CT121" s="237"/>
      <c r="CU121" s="237"/>
      <c r="CV121" s="229"/>
      <c r="CW121" s="251"/>
      <c r="CY121" s="238"/>
      <c r="CZ121" s="251"/>
      <c r="DC121" s="237"/>
      <c r="DD121" s="237"/>
      <c r="DE121" s="229"/>
      <c r="DF121" s="251"/>
      <c r="DH121" s="238"/>
      <c r="DI121" s="251"/>
      <c r="DL121" s="237"/>
      <c r="DM121" s="237"/>
      <c r="DN121" s="229"/>
      <c r="DO121" s="251"/>
      <c r="DQ121" s="238"/>
      <c r="DR121" s="251"/>
      <c r="DU121" s="237"/>
      <c r="DV121" s="237"/>
      <c r="DW121" s="229"/>
      <c r="DX121" s="251"/>
      <c r="DZ121" s="238"/>
      <c r="EA121" s="251"/>
      <c r="ED121" s="237"/>
      <c r="EE121" s="237"/>
      <c r="EF121" s="229"/>
      <c r="EG121" s="251"/>
      <c r="EI121" s="238"/>
      <c r="EJ121" s="251"/>
      <c r="EM121" s="237"/>
      <c r="EN121" s="237"/>
      <c r="EO121" s="229"/>
      <c r="EP121" s="251"/>
      <c r="ER121" s="238"/>
      <c r="ES121" s="251"/>
      <c r="EV121" s="237"/>
      <c r="EW121" s="237"/>
      <c r="EX121" s="229"/>
      <c r="EY121" s="251"/>
      <c r="FA121" s="238"/>
      <c r="FB121" s="251"/>
      <c r="FE121" s="237"/>
      <c r="FF121" s="237"/>
      <c r="FG121" s="229"/>
      <c r="FH121" s="251"/>
      <c r="FJ121" s="238"/>
      <c r="FK121" s="251"/>
      <c r="FN121" s="237"/>
      <c r="FO121" s="237"/>
      <c r="FP121" s="229"/>
      <c r="FQ121" s="251"/>
      <c r="FS121" s="238"/>
      <c r="FT121" s="251"/>
      <c r="FW121" s="237"/>
      <c r="FX121" s="237"/>
      <c r="FY121" s="229"/>
      <c r="FZ121" s="251"/>
      <c r="GB121" s="238"/>
      <c r="GC121" s="251"/>
      <c r="GF121" s="237"/>
      <c r="GG121" s="237"/>
      <c r="GH121" s="229"/>
      <c r="GI121" s="251"/>
      <c r="GK121" s="238"/>
      <c r="GL121" s="251"/>
      <c r="GO121" s="237"/>
      <c r="GP121" s="237"/>
      <c r="GQ121" s="229"/>
      <c r="GR121" s="251"/>
      <c r="GT121" s="238"/>
      <c r="GU121" s="251"/>
      <c r="GX121" s="237"/>
      <c r="GY121" s="237"/>
      <c r="GZ121" s="229"/>
      <c r="HA121" s="251"/>
      <c r="HC121" s="238"/>
      <c r="HD121" s="251"/>
      <c r="HG121" s="237"/>
      <c r="HH121" s="237"/>
      <c r="HI121" s="229"/>
      <c r="HJ121" s="251"/>
      <c r="HL121" s="238"/>
      <c r="HM121" s="251"/>
      <c r="HP121" s="237"/>
      <c r="HQ121" s="237"/>
      <c r="HR121" s="229"/>
      <c r="HS121" s="251"/>
      <c r="HU121" s="238"/>
      <c r="HV121" s="251"/>
      <c r="HY121" s="237"/>
      <c r="HZ121" s="237"/>
      <c r="IA121" s="229"/>
    </row>
    <row r="122" spans="2:235" s="233" customFormat="1" ht="12.75">
      <c r="B122" s="280" t="s">
        <v>162</v>
      </c>
      <c r="C122" s="237" t="s">
        <v>164</v>
      </c>
      <c r="D122" s="237" t="s">
        <v>316</v>
      </c>
      <c r="F122" s="640">
        <f>2*(15+20)+10+10+25+15+15+30+15+25</f>
        <v>215</v>
      </c>
      <c r="G122" s="233" t="s">
        <v>9</v>
      </c>
      <c r="H122" s="273" t="s">
        <v>163</v>
      </c>
      <c r="J122" s="237"/>
      <c r="K122" s="237"/>
      <c r="L122" s="229"/>
      <c r="N122" s="238"/>
      <c r="O122" s="251"/>
      <c r="Q122" s="237"/>
      <c r="R122" s="237"/>
      <c r="S122" s="229"/>
      <c r="T122" s="251"/>
      <c r="V122" s="238"/>
      <c r="W122" s="251"/>
      <c r="Z122" s="237"/>
      <c r="AA122" s="237"/>
      <c r="AB122" s="229"/>
      <c r="AC122" s="251"/>
      <c r="AE122" s="238"/>
      <c r="AF122" s="251"/>
      <c r="AI122" s="237"/>
      <c r="AJ122" s="237"/>
      <c r="AK122" s="229"/>
      <c r="AL122" s="251"/>
      <c r="AN122" s="238"/>
      <c r="AO122" s="251"/>
      <c r="AR122" s="237"/>
      <c r="AS122" s="237"/>
      <c r="AT122" s="229"/>
      <c r="AU122" s="251"/>
      <c r="AW122" s="238"/>
      <c r="AX122" s="251"/>
      <c r="BA122" s="237"/>
      <c r="BB122" s="237"/>
      <c r="BC122" s="229"/>
      <c r="BD122" s="251"/>
      <c r="BF122" s="238"/>
      <c r="BG122" s="251"/>
      <c r="BJ122" s="237"/>
      <c r="BK122" s="237"/>
      <c r="BL122" s="229"/>
      <c r="BM122" s="251"/>
      <c r="BO122" s="238"/>
      <c r="BP122" s="251"/>
      <c r="BS122" s="237"/>
      <c r="BT122" s="237"/>
      <c r="BU122" s="229"/>
      <c r="BV122" s="251"/>
      <c r="BX122" s="238"/>
      <c r="BY122" s="251"/>
      <c r="CB122" s="237"/>
      <c r="CC122" s="237"/>
      <c r="CD122" s="229"/>
      <c r="CE122" s="251"/>
      <c r="CG122" s="238"/>
      <c r="CH122" s="251"/>
      <c r="CK122" s="237"/>
      <c r="CL122" s="237"/>
      <c r="CM122" s="229"/>
      <c r="CN122" s="251"/>
      <c r="CP122" s="238"/>
      <c r="CQ122" s="251"/>
      <c r="CT122" s="237"/>
      <c r="CU122" s="237"/>
      <c r="CV122" s="229"/>
      <c r="CW122" s="251"/>
      <c r="CY122" s="238"/>
      <c r="CZ122" s="251"/>
      <c r="DC122" s="237"/>
      <c r="DD122" s="237"/>
      <c r="DE122" s="229"/>
      <c r="DF122" s="251"/>
      <c r="DH122" s="238"/>
      <c r="DI122" s="251"/>
      <c r="DL122" s="237"/>
      <c r="DM122" s="237"/>
      <c r="DN122" s="229"/>
      <c r="DO122" s="251"/>
      <c r="DQ122" s="238"/>
      <c r="DR122" s="251"/>
      <c r="DU122" s="237"/>
      <c r="DV122" s="237"/>
      <c r="DW122" s="229"/>
      <c r="DX122" s="251"/>
      <c r="DZ122" s="238"/>
      <c r="EA122" s="251"/>
      <c r="ED122" s="237"/>
      <c r="EE122" s="237"/>
      <c r="EF122" s="229"/>
      <c r="EG122" s="251"/>
      <c r="EI122" s="238"/>
      <c r="EJ122" s="251"/>
      <c r="EM122" s="237"/>
      <c r="EN122" s="237"/>
      <c r="EO122" s="229"/>
      <c r="EP122" s="251"/>
      <c r="ER122" s="238"/>
      <c r="ES122" s="251"/>
      <c r="EV122" s="237"/>
      <c r="EW122" s="237"/>
      <c r="EX122" s="229"/>
      <c r="EY122" s="251"/>
      <c r="FA122" s="238"/>
      <c r="FB122" s="251"/>
      <c r="FE122" s="237"/>
      <c r="FF122" s="237"/>
      <c r="FG122" s="229"/>
      <c r="FH122" s="251"/>
      <c r="FJ122" s="238"/>
      <c r="FK122" s="251"/>
      <c r="FN122" s="237"/>
      <c r="FO122" s="237"/>
      <c r="FP122" s="229"/>
      <c r="FQ122" s="251"/>
      <c r="FS122" s="238"/>
      <c r="FT122" s="251"/>
      <c r="FW122" s="237"/>
      <c r="FX122" s="237"/>
      <c r="FY122" s="229"/>
      <c r="FZ122" s="251"/>
      <c r="GB122" s="238"/>
      <c r="GC122" s="251"/>
      <c r="GF122" s="237"/>
      <c r="GG122" s="237"/>
      <c r="GH122" s="229"/>
      <c r="GI122" s="251"/>
      <c r="GK122" s="238"/>
      <c r="GL122" s="251"/>
      <c r="GO122" s="237"/>
      <c r="GP122" s="237"/>
      <c r="GQ122" s="229"/>
      <c r="GR122" s="251"/>
      <c r="GT122" s="238"/>
      <c r="GU122" s="251"/>
      <c r="GX122" s="237"/>
      <c r="GY122" s="237"/>
      <c r="GZ122" s="229"/>
      <c r="HA122" s="251"/>
      <c r="HC122" s="238"/>
      <c r="HD122" s="251"/>
      <c r="HG122" s="237"/>
      <c r="HH122" s="237"/>
      <c r="HI122" s="229"/>
      <c r="HJ122" s="251"/>
      <c r="HL122" s="238"/>
      <c r="HM122" s="251"/>
      <c r="HP122" s="237"/>
      <c r="HQ122" s="237"/>
      <c r="HR122" s="229"/>
      <c r="HS122" s="251"/>
      <c r="HU122" s="238"/>
      <c r="HV122" s="251"/>
      <c r="HY122" s="237"/>
      <c r="HZ122" s="237"/>
      <c r="IA122" s="229"/>
    </row>
    <row r="123" spans="2:235" s="233" customFormat="1" ht="12.75">
      <c r="B123" s="280"/>
      <c r="C123" s="245"/>
      <c r="D123" s="237"/>
      <c r="E123" s="268"/>
      <c r="F123" s="641"/>
      <c r="H123" s="238"/>
      <c r="J123" s="237"/>
      <c r="K123" s="237"/>
      <c r="L123" s="229"/>
      <c r="N123" s="238"/>
      <c r="O123" s="251"/>
      <c r="Q123" s="237"/>
      <c r="R123" s="237"/>
      <c r="S123" s="229"/>
      <c r="T123" s="251"/>
      <c r="V123" s="238"/>
      <c r="W123" s="251"/>
      <c r="Z123" s="237"/>
      <c r="AA123" s="237"/>
      <c r="AB123" s="229"/>
      <c r="AC123" s="251"/>
      <c r="AE123" s="238"/>
      <c r="AF123" s="251"/>
      <c r="AI123" s="237"/>
      <c r="AJ123" s="237"/>
      <c r="AK123" s="229"/>
      <c r="AL123" s="251"/>
      <c r="AN123" s="238"/>
      <c r="AO123" s="251"/>
      <c r="AR123" s="237"/>
      <c r="AS123" s="237"/>
      <c r="AT123" s="229"/>
      <c r="AU123" s="251"/>
      <c r="AW123" s="238"/>
      <c r="AX123" s="251"/>
      <c r="BA123" s="237"/>
      <c r="BB123" s="237"/>
      <c r="BC123" s="229"/>
      <c r="BD123" s="251"/>
      <c r="BF123" s="238"/>
      <c r="BG123" s="251"/>
      <c r="BJ123" s="237"/>
      <c r="BK123" s="237"/>
      <c r="BL123" s="229"/>
      <c r="BM123" s="251"/>
      <c r="BO123" s="238"/>
      <c r="BP123" s="251"/>
      <c r="BS123" s="237"/>
      <c r="BT123" s="237"/>
      <c r="BU123" s="229"/>
      <c r="BV123" s="251"/>
      <c r="BX123" s="238"/>
      <c r="BY123" s="251"/>
      <c r="CB123" s="237"/>
      <c r="CC123" s="237"/>
      <c r="CD123" s="229"/>
      <c r="CE123" s="251"/>
      <c r="CG123" s="238"/>
      <c r="CH123" s="251"/>
      <c r="CK123" s="237"/>
      <c r="CL123" s="237"/>
      <c r="CM123" s="229"/>
      <c r="CN123" s="251"/>
      <c r="CP123" s="238"/>
      <c r="CQ123" s="251"/>
      <c r="CT123" s="237"/>
      <c r="CU123" s="237"/>
      <c r="CV123" s="229"/>
      <c r="CW123" s="251"/>
      <c r="CY123" s="238"/>
      <c r="CZ123" s="251"/>
      <c r="DC123" s="237"/>
      <c r="DD123" s="237"/>
      <c r="DE123" s="229"/>
      <c r="DF123" s="251"/>
      <c r="DH123" s="238"/>
      <c r="DI123" s="251"/>
      <c r="DL123" s="237"/>
      <c r="DM123" s="237"/>
      <c r="DN123" s="229"/>
      <c r="DO123" s="251"/>
      <c r="DQ123" s="238"/>
      <c r="DR123" s="251"/>
      <c r="DU123" s="237"/>
      <c r="DV123" s="237"/>
      <c r="DW123" s="229"/>
      <c r="DX123" s="251"/>
      <c r="DZ123" s="238"/>
      <c r="EA123" s="251"/>
      <c r="ED123" s="237"/>
      <c r="EE123" s="237"/>
      <c r="EF123" s="229"/>
      <c r="EG123" s="251"/>
      <c r="EI123" s="238"/>
      <c r="EJ123" s="251"/>
      <c r="EM123" s="237"/>
      <c r="EN123" s="237"/>
      <c r="EO123" s="229"/>
      <c r="EP123" s="251"/>
      <c r="ER123" s="238"/>
      <c r="ES123" s="251"/>
      <c r="EV123" s="237"/>
      <c r="EW123" s="237"/>
      <c r="EX123" s="229"/>
      <c r="EY123" s="251"/>
      <c r="FA123" s="238"/>
      <c r="FB123" s="251"/>
      <c r="FE123" s="237"/>
      <c r="FF123" s="237"/>
      <c r="FG123" s="229"/>
      <c r="FH123" s="251"/>
      <c r="FJ123" s="238"/>
      <c r="FK123" s="251"/>
      <c r="FN123" s="237"/>
      <c r="FO123" s="237"/>
      <c r="FP123" s="229"/>
      <c r="FQ123" s="251"/>
      <c r="FS123" s="238"/>
      <c r="FT123" s="251"/>
      <c r="FW123" s="237"/>
      <c r="FX123" s="237"/>
      <c r="FY123" s="229"/>
      <c r="FZ123" s="251"/>
      <c r="GB123" s="238"/>
      <c r="GC123" s="251"/>
      <c r="GF123" s="237"/>
      <c r="GG123" s="237"/>
      <c r="GH123" s="229"/>
      <c r="GI123" s="251"/>
      <c r="GK123" s="238"/>
      <c r="GL123" s="251"/>
      <c r="GO123" s="237"/>
      <c r="GP123" s="237"/>
      <c r="GQ123" s="229"/>
      <c r="GR123" s="251"/>
      <c r="GT123" s="238"/>
      <c r="GU123" s="251"/>
      <c r="GX123" s="237"/>
      <c r="GY123" s="237"/>
      <c r="GZ123" s="229"/>
      <c r="HA123" s="251"/>
      <c r="HC123" s="238"/>
      <c r="HD123" s="251"/>
      <c r="HG123" s="237"/>
      <c r="HH123" s="237"/>
      <c r="HI123" s="229"/>
      <c r="HJ123" s="251"/>
      <c r="HL123" s="238"/>
      <c r="HM123" s="251"/>
      <c r="HP123" s="237"/>
      <c r="HQ123" s="237"/>
      <c r="HR123" s="229"/>
      <c r="HS123" s="251"/>
      <c r="HU123" s="238"/>
      <c r="HV123" s="251"/>
      <c r="HY123" s="237"/>
      <c r="HZ123" s="237"/>
      <c r="IA123" s="229"/>
    </row>
    <row r="124" spans="2:235" s="233" customFormat="1" ht="12.75">
      <c r="B124" s="286" t="s">
        <v>109</v>
      </c>
      <c r="C124" s="240"/>
      <c r="D124" s="240"/>
      <c r="E124" s="265"/>
      <c r="F124" s="300"/>
      <c r="H124" s="238"/>
      <c r="I124" s="232"/>
      <c r="J124" s="237"/>
      <c r="K124" s="237"/>
      <c r="L124" s="229"/>
      <c r="N124" s="238"/>
      <c r="O124" s="251"/>
      <c r="Q124" s="237"/>
      <c r="R124" s="237"/>
      <c r="S124" s="229"/>
      <c r="T124" s="251"/>
      <c r="V124" s="238"/>
      <c r="W124" s="251"/>
      <c r="Z124" s="237"/>
      <c r="AA124" s="237"/>
      <c r="AB124" s="229"/>
      <c r="AC124" s="251"/>
      <c r="AE124" s="238"/>
      <c r="AF124" s="251"/>
      <c r="AI124" s="237"/>
      <c r="AJ124" s="237"/>
      <c r="AK124" s="229"/>
      <c r="AL124" s="251"/>
      <c r="AN124" s="238"/>
      <c r="AO124" s="251"/>
      <c r="AR124" s="237"/>
      <c r="AS124" s="237"/>
      <c r="AT124" s="229"/>
      <c r="AU124" s="251"/>
      <c r="AW124" s="238"/>
      <c r="AX124" s="251"/>
      <c r="BA124" s="237"/>
      <c r="BB124" s="237"/>
      <c r="BC124" s="229"/>
      <c r="BD124" s="251"/>
      <c r="BF124" s="238"/>
      <c r="BG124" s="251"/>
      <c r="BJ124" s="237"/>
      <c r="BK124" s="237"/>
      <c r="BL124" s="229"/>
      <c r="BM124" s="251"/>
      <c r="BO124" s="238"/>
      <c r="BP124" s="251"/>
      <c r="BS124" s="237"/>
      <c r="BT124" s="237"/>
      <c r="BU124" s="229"/>
      <c r="BV124" s="251"/>
      <c r="BX124" s="238"/>
      <c r="BY124" s="251"/>
      <c r="CB124" s="237"/>
      <c r="CC124" s="237"/>
      <c r="CD124" s="229"/>
      <c r="CE124" s="251"/>
      <c r="CG124" s="238"/>
      <c r="CH124" s="251"/>
      <c r="CK124" s="237"/>
      <c r="CL124" s="237"/>
      <c r="CM124" s="229"/>
      <c r="CN124" s="251"/>
      <c r="CP124" s="238"/>
      <c r="CQ124" s="251"/>
      <c r="CT124" s="237"/>
      <c r="CU124" s="237"/>
      <c r="CV124" s="229"/>
      <c r="CW124" s="251"/>
      <c r="CY124" s="238"/>
      <c r="CZ124" s="251"/>
      <c r="DC124" s="237"/>
      <c r="DD124" s="237"/>
      <c r="DE124" s="229"/>
      <c r="DF124" s="251"/>
      <c r="DH124" s="238"/>
      <c r="DI124" s="251"/>
      <c r="DL124" s="237"/>
      <c r="DM124" s="237"/>
      <c r="DN124" s="229"/>
      <c r="DO124" s="251"/>
      <c r="DQ124" s="238"/>
      <c r="DR124" s="251"/>
      <c r="DU124" s="237"/>
      <c r="DV124" s="237"/>
      <c r="DW124" s="229"/>
      <c r="DX124" s="251"/>
      <c r="DZ124" s="238"/>
      <c r="EA124" s="251"/>
      <c r="ED124" s="237"/>
      <c r="EE124" s="237"/>
      <c r="EF124" s="229"/>
      <c r="EG124" s="251"/>
      <c r="EI124" s="238"/>
      <c r="EJ124" s="251"/>
      <c r="EM124" s="237"/>
      <c r="EN124" s="237"/>
      <c r="EO124" s="229"/>
      <c r="EP124" s="251"/>
      <c r="ER124" s="238"/>
      <c r="ES124" s="251"/>
      <c r="EV124" s="237"/>
      <c r="EW124" s="237"/>
      <c r="EX124" s="229"/>
      <c r="EY124" s="251"/>
      <c r="FA124" s="238"/>
      <c r="FB124" s="251"/>
      <c r="FE124" s="237"/>
      <c r="FF124" s="237"/>
      <c r="FG124" s="229"/>
      <c r="FH124" s="251"/>
      <c r="FJ124" s="238"/>
      <c r="FK124" s="251"/>
      <c r="FN124" s="237"/>
      <c r="FO124" s="237"/>
      <c r="FP124" s="229"/>
      <c r="FQ124" s="251"/>
      <c r="FS124" s="238"/>
      <c r="FT124" s="251"/>
      <c r="FW124" s="237"/>
      <c r="FX124" s="237"/>
      <c r="FY124" s="229"/>
      <c r="FZ124" s="251"/>
      <c r="GB124" s="238"/>
      <c r="GC124" s="251"/>
      <c r="GF124" s="237"/>
      <c r="GG124" s="237"/>
      <c r="GH124" s="229"/>
      <c r="GI124" s="251"/>
      <c r="GK124" s="238"/>
      <c r="GL124" s="251"/>
      <c r="GO124" s="237"/>
      <c r="GP124" s="237"/>
      <c r="GQ124" s="229"/>
      <c r="GR124" s="251"/>
      <c r="GT124" s="238"/>
      <c r="GU124" s="251"/>
      <c r="GX124" s="237"/>
      <c r="GY124" s="237"/>
      <c r="GZ124" s="229"/>
      <c r="HA124" s="251"/>
      <c r="HC124" s="238"/>
      <c r="HD124" s="251"/>
      <c r="HG124" s="237"/>
      <c r="HH124" s="237"/>
      <c r="HI124" s="229"/>
      <c r="HJ124" s="251"/>
      <c r="HL124" s="238"/>
      <c r="HM124" s="251"/>
      <c r="HP124" s="237"/>
      <c r="HQ124" s="237"/>
      <c r="HR124" s="229"/>
      <c r="HS124" s="251"/>
      <c r="HU124" s="238"/>
      <c r="HV124" s="251"/>
      <c r="HY124" s="237"/>
      <c r="HZ124" s="237"/>
      <c r="IA124" s="229"/>
    </row>
    <row r="125" spans="2:235" s="233" customFormat="1" ht="12.75">
      <c r="B125" s="274"/>
      <c r="C125" s="237"/>
      <c r="D125" s="237"/>
      <c r="E125" s="268"/>
      <c r="F125" s="301"/>
      <c r="H125" s="232"/>
      <c r="I125" s="229"/>
      <c r="J125" s="237"/>
      <c r="K125" s="237"/>
      <c r="L125" s="229"/>
      <c r="N125" s="238"/>
      <c r="O125" s="251"/>
      <c r="Q125" s="237"/>
      <c r="R125" s="237"/>
      <c r="S125" s="229"/>
      <c r="T125" s="251"/>
      <c r="V125" s="238"/>
      <c r="W125" s="251"/>
      <c r="Z125" s="237"/>
      <c r="AA125" s="237"/>
      <c r="AB125" s="229"/>
      <c r="AC125" s="251"/>
      <c r="AE125" s="238"/>
      <c r="AF125" s="251"/>
      <c r="AI125" s="237"/>
      <c r="AJ125" s="237"/>
      <c r="AK125" s="229"/>
      <c r="AL125" s="251"/>
      <c r="AN125" s="238"/>
      <c r="AO125" s="251"/>
      <c r="AR125" s="237"/>
      <c r="AS125" s="237"/>
      <c r="AT125" s="229"/>
      <c r="AU125" s="251"/>
      <c r="AW125" s="238"/>
      <c r="AX125" s="251"/>
      <c r="BA125" s="237"/>
      <c r="BB125" s="237"/>
      <c r="BC125" s="229"/>
      <c r="BD125" s="251"/>
      <c r="BF125" s="238"/>
      <c r="BG125" s="251"/>
      <c r="BJ125" s="237"/>
      <c r="BK125" s="237"/>
      <c r="BL125" s="229"/>
      <c r="BM125" s="251"/>
      <c r="BO125" s="238"/>
      <c r="BP125" s="251"/>
      <c r="BS125" s="237"/>
      <c r="BT125" s="237"/>
      <c r="BU125" s="229"/>
      <c r="BV125" s="251"/>
      <c r="BX125" s="238"/>
      <c r="BY125" s="251"/>
      <c r="CB125" s="237"/>
      <c r="CC125" s="237"/>
      <c r="CD125" s="229"/>
      <c r="CE125" s="251"/>
      <c r="CG125" s="238"/>
      <c r="CH125" s="251"/>
      <c r="CK125" s="237"/>
      <c r="CL125" s="237"/>
      <c r="CM125" s="229"/>
      <c r="CN125" s="251"/>
      <c r="CP125" s="238"/>
      <c r="CQ125" s="251"/>
      <c r="CT125" s="237"/>
      <c r="CU125" s="237"/>
      <c r="CV125" s="229"/>
      <c r="CW125" s="251"/>
      <c r="CY125" s="238"/>
      <c r="CZ125" s="251"/>
      <c r="DC125" s="237"/>
      <c r="DD125" s="237"/>
      <c r="DE125" s="229"/>
      <c r="DF125" s="251"/>
      <c r="DH125" s="238"/>
      <c r="DI125" s="251"/>
      <c r="DL125" s="237"/>
      <c r="DM125" s="237"/>
      <c r="DN125" s="229"/>
      <c r="DO125" s="251"/>
      <c r="DQ125" s="238"/>
      <c r="DR125" s="251"/>
      <c r="DU125" s="237"/>
      <c r="DV125" s="237"/>
      <c r="DW125" s="229"/>
      <c r="DX125" s="251"/>
      <c r="DZ125" s="238"/>
      <c r="EA125" s="251"/>
      <c r="ED125" s="237"/>
      <c r="EE125" s="237"/>
      <c r="EF125" s="229"/>
      <c r="EG125" s="251"/>
      <c r="EI125" s="238"/>
      <c r="EJ125" s="251"/>
      <c r="EM125" s="237"/>
      <c r="EN125" s="237"/>
      <c r="EO125" s="229"/>
      <c r="EP125" s="251"/>
      <c r="ER125" s="238"/>
      <c r="ES125" s="251"/>
      <c r="EV125" s="237"/>
      <c r="EW125" s="237"/>
      <c r="EX125" s="229"/>
      <c r="EY125" s="251"/>
      <c r="FA125" s="238"/>
      <c r="FB125" s="251"/>
      <c r="FE125" s="237"/>
      <c r="FF125" s="237"/>
      <c r="FG125" s="229"/>
      <c r="FH125" s="251"/>
      <c r="FJ125" s="238"/>
      <c r="FK125" s="251"/>
      <c r="FN125" s="237"/>
      <c r="FO125" s="237"/>
      <c r="FP125" s="229"/>
      <c r="FQ125" s="251"/>
      <c r="FS125" s="238"/>
      <c r="FT125" s="251"/>
      <c r="FW125" s="237"/>
      <c r="FX125" s="237"/>
      <c r="FY125" s="229"/>
      <c r="FZ125" s="251"/>
      <c r="GB125" s="238"/>
      <c r="GC125" s="251"/>
      <c r="GF125" s="237"/>
      <c r="GG125" s="237"/>
      <c r="GH125" s="229"/>
      <c r="GI125" s="251"/>
      <c r="GK125" s="238"/>
      <c r="GL125" s="251"/>
      <c r="GO125" s="237"/>
      <c r="GP125" s="237"/>
      <c r="GQ125" s="229"/>
      <c r="GR125" s="251"/>
      <c r="GT125" s="238"/>
      <c r="GU125" s="251"/>
      <c r="GX125" s="237"/>
      <c r="GY125" s="237"/>
      <c r="GZ125" s="229"/>
      <c r="HA125" s="251"/>
      <c r="HC125" s="238"/>
      <c r="HD125" s="251"/>
      <c r="HG125" s="237"/>
      <c r="HH125" s="237"/>
      <c r="HI125" s="229"/>
      <c r="HJ125" s="251"/>
      <c r="HL125" s="238"/>
      <c r="HM125" s="251"/>
      <c r="HP125" s="237"/>
      <c r="HQ125" s="237"/>
      <c r="HR125" s="229"/>
      <c r="HS125" s="251"/>
      <c r="HU125" s="238"/>
      <c r="HV125" s="251"/>
      <c r="HY125" s="237"/>
      <c r="HZ125" s="237"/>
      <c r="IA125" s="229"/>
    </row>
    <row r="126" spans="2:235" s="233" customFormat="1" ht="12.75">
      <c r="B126" s="274"/>
      <c r="C126" s="252" t="s">
        <v>146</v>
      </c>
      <c r="D126" s="237"/>
      <c r="E126" s="268"/>
      <c r="F126" s="642"/>
      <c r="H126" s="232"/>
      <c r="I126" s="229"/>
      <c r="J126" s="237"/>
      <c r="K126" s="237"/>
      <c r="L126" s="229"/>
      <c r="N126" s="238"/>
      <c r="O126" s="251"/>
      <c r="Q126" s="237"/>
      <c r="R126" s="237"/>
      <c r="S126" s="229"/>
      <c r="T126" s="251"/>
      <c r="V126" s="238"/>
      <c r="W126" s="251"/>
      <c r="Z126" s="237"/>
      <c r="AA126" s="237"/>
      <c r="AB126" s="229"/>
      <c r="AC126" s="251"/>
      <c r="AE126" s="238"/>
      <c r="AF126" s="251"/>
      <c r="AI126" s="237"/>
      <c r="AJ126" s="237"/>
      <c r="AK126" s="229"/>
      <c r="AL126" s="251"/>
      <c r="AN126" s="238"/>
      <c r="AO126" s="251"/>
      <c r="AR126" s="237"/>
      <c r="AS126" s="237"/>
      <c r="AT126" s="229"/>
      <c r="AU126" s="251"/>
      <c r="AW126" s="238"/>
      <c r="AX126" s="251"/>
      <c r="BA126" s="237"/>
      <c r="BB126" s="237"/>
      <c r="BC126" s="229"/>
      <c r="BD126" s="251"/>
      <c r="BF126" s="238"/>
      <c r="BG126" s="251"/>
      <c r="BJ126" s="237"/>
      <c r="BK126" s="237"/>
      <c r="BL126" s="229"/>
      <c r="BM126" s="251"/>
      <c r="BO126" s="238"/>
      <c r="BP126" s="251"/>
      <c r="BS126" s="237"/>
      <c r="BT126" s="237"/>
      <c r="BU126" s="229"/>
      <c r="BV126" s="251"/>
      <c r="BX126" s="238"/>
      <c r="BY126" s="251"/>
      <c r="CB126" s="237"/>
      <c r="CC126" s="237"/>
      <c r="CD126" s="229"/>
      <c r="CE126" s="251"/>
      <c r="CG126" s="238"/>
      <c r="CH126" s="251"/>
      <c r="CK126" s="237"/>
      <c r="CL126" s="237"/>
      <c r="CM126" s="229"/>
      <c r="CN126" s="251"/>
      <c r="CP126" s="238"/>
      <c r="CQ126" s="251"/>
      <c r="CT126" s="237"/>
      <c r="CU126" s="237"/>
      <c r="CV126" s="229"/>
      <c r="CW126" s="251"/>
      <c r="CY126" s="238"/>
      <c r="CZ126" s="251"/>
      <c r="DC126" s="237"/>
      <c r="DD126" s="237"/>
      <c r="DE126" s="229"/>
      <c r="DF126" s="251"/>
      <c r="DH126" s="238"/>
      <c r="DI126" s="251"/>
      <c r="DL126" s="237"/>
      <c r="DM126" s="237"/>
      <c r="DN126" s="229"/>
      <c r="DO126" s="251"/>
      <c r="DQ126" s="238"/>
      <c r="DR126" s="251"/>
      <c r="DU126" s="237"/>
      <c r="DV126" s="237"/>
      <c r="DW126" s="229"/>
      <c r="DX126" s="251"/>
      <c r="DZ126" s="238"/>
      <c r="EA126" s="251"/>
      <c r="ED126" s="237"/>
      <c r="EE126" s="237"/>
      <c r="EF126" s="229"/>
      <c r="EG126" s="251"/>
      <c r="EI126" s="238"/>
      <c r="EJ126" s="251"/>
      <c r="EM126" s="237"/>
      <c r="EN126" s="237"/>
      <c r="EO126" s="229"/>
      <c r="EP126" s="251"/>
      <c r="ER126" s="238"/>
      <c r="ES126" s="251"/>
      <c r="EV126" s="237"/>
      <c r="EW126" s="237"/>
      <c r="EX126" s="229"/>
      <c r="EY126" s="251"/>
      <c r="FA126" s="238"/>
      <c r="FB126" s="251"/>
      <c r="FE126" s="237"/>
      <c r="FF126" s="237"/>
      <c r="FG126" s="229"/>
      <c r="FH126" s="251"/>
      <c r="FJ126" s="238"/>
      <c r="FK126" s="251"/>
      <c r="FN126" s="237"/>
      <c r="FO126" s="237"/>
      <c r="FP126" s="229"/>
      <c r="FQ126" s="251"/>
      <c r="FS126" s="238"/>
      <c r="FT126" s="251"/>
      <c r="FW126" s="237"/>
      <c r="FX126" s="237"/>
      <c r="FY126" s="229"/>
      <c r="FZ126" s="251"/>
      <c r="GB126" s="238"/>
      <c r="GC126" s="251"/>
      <c r="GF126" s="237"/>
      <c r="GG126" s="237"/>
      <c r="GH126" s="229"/>
      <c r="GI126" s="251"/>
      <c r="GK126" s="238"/>
      <c r="GL126" s="251"/>
      <c r="GO126" s="237"/>
      <c r="GP126" s="237"/>
      <c r="GQ126" s="229"/>
      <c r="GR126" s="251"/>
      <c r="GT126" s="238"/>
      <c r="GU126" s="251"/>
      <c r="GX126" s="237"/>
      <c r="GY126" s="237"/>
      <c r="GZ126" s="229"/>
      <c r="HA126" s="251"/>
      <c r="HC126" s="238"/>
      <c r="HD126" s="251"/>
      <c r="HG126" s="237"/>
      <c r="HH126" s="237"/>
      <c r="HI126" s="229"/>
      <c r="HJ126" s="251"/>
      <c r="HL126" s="238"/>
      <c r="HM126" s="251"/>
      <c r="HP126" s="237"/>
      <c r="HQ126" s="237"/>
      <c r="HR126" s="229"/>
      <c r="HS126" s="251"/>
      <c r="HU126" s="238"/>
      <c r="HV126" s="251"/>
      <c r="HY126" s="237"/>
      <c r="HZ126" s="237"/>
      <c r="IA126" s="229"/>
    </row>
    <row r="127" spans="2:235" s="233" customFormat="1" ht="12.75">
      <c r="B127" s="274"/>
      <c r="C127" s="233" t="s">
        <v>147</v>
      </c>
      <c r="D127" s="237"/>
      <c r="E127" s="268"/>
      <c r="F127" s="642">
        <v>2</v>
      </c>
      <c r="G127" s="233" t="s">
        <v>107</v>
      </c>
      <c r="H127" s="232"/>
      <c r="I127" s="229"/>
      <c r="J127" s="237"/>
      <c r="K127" s="237"/>
      <c r="L127" s="229"/>
      <c r="N127" s="238"/>
      <c r="O127" s="251"/>
      <c r="Q127" s="237"/>
      <c r="R127" s="237"/>
      <c r="S127" s="229"/>
      <c r="T127" s="251"/>
      <c r="V127" s="238"/>
      <c r="W127" s="251"/>
      <c r="Z127" s="237"/>
      <c r="AA127" s="237"/>
      <c r="AB127" s="229"/>
      <c r="AC127" s="251"/>
      <c r="AE127" s="238"/>
      <c r="AF127" s="251"/>
      <c r="AI127" s="237"/>
      <c r="AJ127" s="237"/>
      <c r="AK127" s="229"/>
      <c r="AL127" s="251"/>
      <c r="AN127" s="238"/>
      <c r="AO127" s="251"/>
      <c r="AR127" s="237"/>
      <c r="AS127" s="237"/>
      <c r="AT127" s="229"/>
      <c r="AU127" s="251"/>
      <c r="AW127" s="238"/>
      <c r="AX127" s="251"/>
      <c r="BA127" s="237"/>
      <c r="BB127" s="237"/>
      <c r="BC127" s="229"/>
      <c r="BD127" s="251"/>
      <c r="BF127" s="238"/>
      <c r="BG127" s="251"/>
      <c r="BJ127" s="237"/>
      <c r="BK127" s="237"/>
      <c r="BL127" s="229"/>
      <c r="BM127" s="251"/>
      <c r="BO127" s="238"/>
      <c r="BP127" s="251"/>
      <c r="BS127" s="237"/>
      <c r="BT127" s="237"/>
      <c r="BU127" s="229"/>
      <c r="BV127" s="251"/>
      <c r="BX127" s="238"/>
      <c r="BY127" s="251"/>
      <c r="CB127" s="237"/>
      <c r="CC127" s="237"/>
      <c r="CD127" s="229"/>
      <c r="CE127" s="251"/>
      <c r="CG127" s="238"/>
      <c r="CH127" s="251"/>
      <c r="CK127" s="237"/>
      <c r="CL127" s="237"/>
      <c r="CM127" s="229"/>
      <c r="CN127" s="251"/>
      <c r="CP127" s="238"/>
      <c r="CQ127" s="251"/>
      <c r="CT127" s="237"/>
      <c r="CU127" s="237"/>
      <c r="CV127" s="229"/>
      <c r="CW127" s="251"/>
      <c r="CY127" s="238"/>
      <c r="CZ127" s="251"/>
      <c r="DC127" s="237"/>
      <c r="DD127" s="237"/>
      <c r="DE127" s="229"/>
      <c r="DF127" s="251"/>
      <c r="DH127" s="238"/>
      <c r="DI127" s="251"/>
      <c r="DL127" s="237"/>
      <c r="DM127" s="237"/>
      <c r="DN127" s="229"/>
      <c r="DO127" s="251"/>
      <c r="DQ127" s="238"/>
      <c r="DR127" s="251"/>
      <c r="DU127" s="237"/>
      <c r="DV127" s="237"/>
      <c r="DW127" s="229"/>
      <c r="DX127" s="251"/>
      <c r="DZ127" s="238"/>
      <c r="EA127" s="251"/>
      <c r="ED127" s="237"/>
      <c r="EE127" s="237"/>
      <c r="EF127" s="229"/>
      <c r="EG127" s="251"/>
      <c r="EI127" s="238"/>
      <c r="EJ127" s="251"/>
      <c r="EM127" s="237"/>
      <c r="EN127" s="237"/>
      <c r="EO127" s="229"/>
      <c r="EP127" s="251"/>
      <c r="ER127" s="238"/>
      <c r="ES127" s="251"/>
      <c r="EV127" s="237"/>
      <c r="EW127" s="237"/>
      <c r="EX127" s="229"/>
      <c r="EY127" s="251"/>
      <c r="FA127" s="238"/>
      <c r="FB127" s="251"/>
      <c r="FE127" s="237"/>
      <c r="FF127" s="237"/>
      <c r="FG127" s="229"/>
      <c r="FH127" s="251"/>
      <c r="FJ127" s="238"/>
      <c r="FK127" s="251"/>
      <c r="FN127" s="237"/>
      <c r="FO127" s="237"/>
      <c r="FP127" s="229"/>
      <c r="FQ127" s="251"/>
      <c r="FS127" s="238"/>
      <c r="FT127" s="251"/>
      <c r="FW127" s="237"/>
      <c r="FX127" s="237"/>
      <c r="FY127" s="229"/>
      <c r="FZ127" s="251"/>
      <c r="GB127" s="238"/>
      <c r="GC127" s="251"/>
      <c r="GF127" s="237"/>
      <c r="GG127" s="237"/>
      <c r="GH127" s="229"/>
      <c r="GI127" s="251"/>
      <c r="GK127" s="238"/>
      <c r="GL127" s="251"/>
      <c r="GO127" s="237"/>
      <c r="GP127" s="237"/>
      <c r="GQ127" s="229"/>
      <c r="GR127" s="251"/>
      <c r="GT127" s="238"/>
      <c r="GU127" s="251"/>
      <c r="GX127" s="237"/>
      <c r="GY127" s="237"/>
      <c r="GZ127" s="229"/>
      <c r="HA127" s="251"/>
      <c r="HC127" s="238"/>
      <c r="HD127" s="251"/>
      <c r="HG127" s="237"/>
      <c r="HH127" s="237"/>
      <c r="HI127" s="229"/>
      <c r="HJ127" s="251"/>
      <c r="HL127" s="238"/>
      <c r="HM127" s="251"/>
      <c r="HP127" s="237"/>
      <c r="HQ127" s="237"/>
      <c r="HR127" s="229"/>
      <c r="HS127" s="251"/>
      <c r="HU127" s="238"/>
      <c r="HV127" s="251"/>
      <c r="HY127" s="237"/>
      <c r="HZ127" s="237"/>
      <c r="IA127" s="229"/>
    </row>
    <row r="128" spans="2:235" s="233" customFormat="1" ht="12.75">
      <c r="B128" s="274"/>
      <c r="C128" s="233" t="s">
        <v>312</v>
      </c>
      <c r="D128" s="237"/>
      <c r="E128" s="268"/>
      <c r="F128" s="642">
        <v>3</v>
      </c>
      <c r="G128" s="233" t="s">
        <v>107</v>
      </c>
      <c r="H128" s="232"/>
      <c r="I128" s="229"/>
      <c r="J128" s="237"/>
      <c r="K128" s="237"/>
      <c r="L128" s="229"/>
      <c r="N128" s="238"/>
      <c r="O128" s="251"/>
      <c r="Q128" s="237"/>
      <c r="R128" s="237"/>
      <c r="S128" s="229"/>
      <c r="T128" s="251"/>
      <c r="V128" s="238"/>
      <c r="W128" s="251"/>
      <c r="Z128" s="237"/>
      <c r="AA128" s="237"/>
      <c r="AB128" s="229"/>
      <c r="AC128" s="251"/>
      <c r="AE128" s="238"/>
      <c r="AF128" s="251"/>
      <c r="AI128" s="237"/>
      <c r="AJ128" s="237"/>
      <c r="AK128" s="229"/>
      <c r="AL128" s="251"/>
      <c r="AN128" s="238"/>
      <c r="AO128" s="251"/>
      <c r="AR128" s="237"/>
      <c r="AS128" s="237"/>
      <c r="AT128" s="229"/>
      <c r="AU128" s="251"/>
      <c r="AW128" s="238"/>
      <c r="AX128" s="251"/>
      <c r="BA128" s="237"/>
      <c r="BB128" s="237"/>
      <c r="BC128" s="229"/>
      <c r="BD128" s="251"/>
      <c r="BF128" s="238"/>
      <c r="BG128" s="251"/>
      <c r="BJ128" s="237"/>
      <c r="BK128" s="237"/>
      <c r="BL128" s="229"/>
      <c r="BM128" s="251"/>
      <c r="BO128" s="238"/>
      <c r="BP128" s="251"/>
      <c r="BS128" s="237"/>
      <c r="BT128" s="237"/>
      <c r="BU128" s="229"/>
      <c r="BV128" s="251"/>
      <c r="BX128" s="238"/>
      <c r="BY128" s="251"/>
      <c r="CB128" s="237"/>
      <c r="CC128" s="237"/>
      <c r="CD128" s="229"/>
      <c r="CE128" s="251"/>
      <c r="CG128" s="238"/>
      <c r="CH128" s="251"/>
      <c r="CK128" s="237"/>
      <c r="CL128" s="237"/>
      <c r="CM128" s="229"/>
      <c r="CN128" s="251"/>
      <c r="CP128" s="238"/>
      <c r="CQ128" s="251"/>
      <c r="CT128" s="237"/>
      <c r="CU128" s="237"/>
      <c r="CV128" s="229"/>
      <c r="CW128" s="251"/>
      <c r="CY128" s="238"/>
      <c r="CZ128" s="251"/>
      <c r="DC128" s="237"/>
      <c r="DD128" s="237"/>
      <c r="DE128" s="229"/>
      <c r="DF128" s="251"/>
      <c r="DH128" s="238"/>
      <c r="DI128" s="251"/>
      <c r="DL128" s="237"/>
      <c r="DM128" s="237"/>
      <c r="DN128" s="229"/>
      <c r="DO128" s="251"/>
      <c r="DQ128" s="238"/>
      <c r="DR128" s="251"/>
      <c r="DU128" s="237"/>
      <c r="DV128" s="237"/>
      <c r="DW128" s="229"/>
      <c r="DX128" s="251"/>
      <c r="DZ128" s="238"/>
      <c r="EA128" s="251"/>
      <c r="ED128" s="237"/>
      <c r="EE128" s="237"/>
      <c r="EF128" s="229"/>
      <c r="EG128" s="251"/>
      <c r="EI128" s="238"/>
      <c r="EJ128" s="251"/>
      <c r="EM128" s="237"/>
      <c r="EN128" s="237"/>
      <c r="EO128" s="229"/>
      <c r="EP128" s="251"/>
      <c r="ER128" s="238"/>
      <c r="ES128" s="251"/>
      <c r="EV128" s="237"/>
      <c r="EW128" s="237"/>
      <c r="EX128" s="229"/>
      <c r="EY128" s="251"/>
      <c r="FA128" s="238"/>
      <c r="FB128" s="251"/>
      <c r="FE128" s="237"/>
      <c r="FF128" s="237"/>
      <c r="FG128" s="229"/>
      <c r="FH128" s="251"/>
      <c r="FJ128" s="238"/>
      <c r="FK128" s="251"/>
      <c r="FN128" s="237"/>
      <c r="FO128" s="237"/>
      <c r="FP128" s="229"/>
      <c r="FQ128" s="251"/>
      <c r="FS128" s="238"/>
      <c r="FT128" s="251"/>
      <c r="FW128" s="237"/>
      <c r="FX128" s="237"/>
      <c r="FY128" s="229"/>
      <c r="FZ128" s="251"/>
      <c r="GB128" s="238"/>
      <c r="GC128" s="251"/>
      <c r="GF128" s="237"/>
      <c r="GG128" s="237"/>
      <c r="GH128" s="229"/>
      <c r="GI128" s="251"/>
      <c r="GK128" s="238"/>
      <c r="GL128" s="251"/>
      <c r="GO128" s="237"/>
      <c r="GP128" s="237"/>
      <c r="GQ128" s="229"/>
      <c r="GR128" s="251"/>
      <c r="GT128" s="238"/>
      <c r="GU128" s="251"/>
      <c r="GX128" s="237"/>
      <c r="GY128" s="237"/>
      <c r="GZ128" s="229"/>
      <c r="HA128" s="251"/>
      <c r="HC128" s="238"/>
      <c r="HD128" s="251"/>
      <c r="HG128" s="237"/>
      <c r="HH128" s="237"/>
      <c r="HI128" s="229"/>
      <c r="HJ128" s="251"/>
      <c r="HL128" s="238"/>
      <c r="HM128" s="251"/>
      <c r="HP128" s="237"/>
      <c r="HQ128" s="237"/>
      <c r="HR128" s="229"/>
      <c r="HS128" s="251"/>
      <c r="HU128" s="238"/>
      <c r="HV128" s="251"/>
      <c r="HY128" s="237"/>
      <c r="HZ128" s="237"/>
      <c r="IA128" s="229"/>
    </row>
    <row r="129" spans="2:235" s="233" customFormat="1" ht="12.75">
      <c r="B129" s="274"/>
      <c r="C129" s="233" t="s">
        <v>314</v>
      </c>
      <c r="D129" s="237"/>
      <c r="E129" s="268"/>
      <c r="F129" s="642">
        <v>2</v>
      </c>
      <c r="G129" s="233" t="s">
        <v>107</v>
      </c>
      <c r="H129" s="232"/>
      <c r="I129" s="229"/>
      <c r="J129" s="237"/>
      <c r="K129" s="237"/>
      <c r="L129" s="229"/>
      <c r="N129" s="238"/>
      <c r="O129" s="251"/>
      <c r="Q129" s="237"/>
      <c r="R129" s="237"/>
      <c r="S129" s="229"/>
      <c r="T129" s="251"/>
      <c r="V129" s="238"/>
      <c r="W129" s="251"/>
      <c r="Z129" s="237"/>
      <c r="AA129" s="237"/>
      <c r="AB129" s="229"/>
      <c r="AC129" s="251"/>
      <c r="AE129" s="238"/>
      <c r="AF129" s="251"/>
      <c r="AI129" s="237"/>
      <c r="AJ129" s="237"/>
      <c r="AK129" s="229"/>
      <c r="AL129" s="251"/>
      <c r="AN129" s="238"/>
      <c r="AO129" s="251"/>
      <c r="AR129" s="237"/>
      <c r="AS129" s="237"/>
      <c r="AT129" s="229"/>
      <c r="AU129" s="251"/>
      <c r="AW129" s="238"/>
      <c r="AX129" s="251"/>
      <c r="BA129" s="237"/>
      <c r="BB129" s="237"/>
      <c r="BC129" s="229"/>
      <c r="BD129" s="251"/>
      <c r="BF129" s="238"/>
      <c r="BG129" s="251"/>
      <c r="BJ129" s="237"/>
      <c r="BK129" s="237"/>
      <c r="BL129" s="229"/>
      <c r="BM129" s="251"/>
      <c r="BO129" s="238"/>
      <c r="BP129" s="251"/>
      <c r="BS129" s="237"/>
      <c r="BT129" s="237"/>
      <c r="BU129" s="229"/>
      <c r="BV129" s="251"/>
      <c r="BX129" s="238"/>
      <c r="BY129" s="251"/>
      <c r="CB129" s="237"/>
      <c r="CC129" s="237"/>
      <c r="CD129" s="229"/>
      <c r="CE129" s="251"/>
      <c r="CG129" s="238"/>
      <c r="CH129" s="251"/>
      <c r="CK129" s="237"/>
      <c r="CL129" s="237"/>
      <c r="CM129" s="229"/>
      <c r="CN129" s="251"/>
      <c r="CP129" s="238"/>
      <c r="CQ129" s="251"/>
      <c r="CT129" s="237"/>
      <c r="CU129" s="237"/>
      <c r="CV129" s="229"/>
      <c r="CW129" s="251"/>
      <c r="CY129" s="238"/>
      <c r="CZ129" s="251"/>
      <c r="DC129" s="237"/>
      <c r="DD129" s="237"/>
      <c r="DE129" s="229"/>
      <c r="DF129" s="251"/>
      <c r="DH129" s="238"/>
      <c r="DI129" s="251"/>
      <c r="DL129" s="237"/>
      <c r="DM129" s="237"/>
      <c r="DN129" s="229"/>
      <c r="DO129" s="251"/>
      <c r="DQ129" s="238"/>
      <c r="DR129" s="251"/>
      <c r="DU129" s="237"/>
      <c r="DV129" s="237"/>
      <c r="DW129" s="229"/>
      <c r="DX129" s="251"/>
      <c r="DZ129" s="238"/>
      <c r="EA129" s="251"/>
      <c r="ED129" s="237"/>
      <c r="EE129" s="237"/>
      <c r="EF129" s="229"/>
      <c r="EG129" s="251"/>
      <c r="EI129" s="238"/>
      <c r="EJ129" s="251"/>
      <c r="EM129" s="237"/>
      <c r="EN129" s="237"/>
      <c r="EO129" s="229"/>
      <c r="EP129" s="251"/>
      <c r="ER129" s="238"/>
      <c r="ES129" s="251"/>
      <c r="EV129" s="237"/>
      <c r="EW129" s="237"/>
      <c r="EX129" s="229"/>
      <c r="EY129" s="251"/>
      <c r="FA129" s="238"/>
      <c r="FB129" s="251"/>
      <c r="FE129" s="237"/>
      <c r="FF129" s="237"/>
      <c r="FG129" s="229"/>
      <c r="FH129" s="251"/>
      <c r="FJ129" s="238"/>
      <c r="FK129" s="251"/>
      <c r="FN129" s="237"/>
      <c r="FO129" s="237"/>
      <c r="FP129" s="229"/>
      <c r="FQ129" s="251"/>
      <c r="FS129" s="238"/>
      <c r="FT129" s="251"/>
      <c r="FW129" s="237"/>
      <c r="FX129" s="237"/>
      <c r="FY129" s="229"/>
      <c r="FZ129" s="251"/>
      <c r="GB129" s="238"/>
      <c r="GC129" s="251"/>
      <c r="GF129" s="237"/>
      <c r="GG129" s="237"/>
      <c r="GH129" s="229"/>
      <c r="GI129" s="251"/>
      <c r="GK129" s="238"/>
      <c r="GL129" s="251"/>
      <c r="GO129" s="237"/>
      <c r="GP129" s="237"/>
      <c r="GQ129" s="229"/>
      <c r="GR129" s="251"/>
      <c r="GT129" s="238"/>
      <c r="GU129" s="251"/>
      <c r="GX129" s="237"/>
      <c r="GY129" s="237"/>
      <c r="GZ129" s="229"/>
      <c r="HA129" s="251"/>
      <c r="HC129" s="238"/>
      <c r="HD129" s="251"/>
      <c r="HG129" s="237"/>
      <c r="HH129" s="237"/>
      <c r="HI129" s="229"/>
      <c r="HJ129" s="251"/>
      <c r="HL129" s="238"/>
      <c r="HM129" s="251"/>
      <c r="HP129" s="237"/>
      <c r="HQ129" s="237"/>
      <c r="HR129" s="229"/>
      <c r="HS129" s="251"/>
      <c r="HU129" s="238"/>
      <c r="HV129" s="251"/>
      <c r="HY129" s="237"/>
      <c r="HZ129" s="237"/>
      <c r="IA129" s="229"/>
    </row>
    <row r="130" spans="2:235" s="233" customFormat="1" ht="12.75">
      <c r="B130" s="274"/>
      <c r="C130" s="233" t="s">
        <v>315</v>
      </c>
      <c r="D130" s="237"/>
      <c r="E130" s="268"/>
      <c r="F130" s="642">
        <v>1</v>
      </c>
      <c r="G130" s="233" t="s">
        <v>107</v>
      </c>
      <c r="H130" s="232"/>
      <c r="I130" s="229"/>
      <c r="J130" s="237"/>
      <c r="K130" s="237"/>
      <c r="L130" s="229"/>
      <c r="N130" s="238"/>
      <c r="O130" s="251"/>
      <c r="Q130" s="237"/>
      <c r="R130" s="237"/>
      <c r="S130" s="229"/>
      <c r="T130" s="251"/>
      <c r="V130" s="238"/>
      <c r="W130" s="251"/>
      <c r="Z130" s="237"/>
      <c r="AA130" s="237"/>
      <c r="AB130" s="229"/>
      <c r="AC130" s="251"/>
      <c r="AE130" s="238"/>
      <c r="AF130" s="251"/>
      <c r="AI130" s="237"/>
      <c r="AJ130" s="237"/>
      <c r="AK130" s="229"/>
      <c r="AL130" s="251"/>
      <c r="AN130" s="238"/>
      <c r="AO130" s="251"/>
      <c r="AR130" s="237"/>
      <c r="AS130" s="237"/>
      <c r="AT130" s="229"/>
      <c r="AU130" s="251"/>
      <c r="AW130" s="238"/>
      <c r="AX130" s="251"/>
      <c r="BA130" s="237"/>
      <c r="BB130" s="237"/>
      <c r="BC130" s="229"/>
      <c r="BD130" s="251"/>
      <c r="BF130" s="238"/>
      <c r="BG130" s="251"/>
      <c r="BJ130" s="237"/>
      <c r="BK130" s="237"/>
      <c r="BL130" s="229"/>
      <c r="BM130" s="251"/>
      <c r="BO130" s="238"/>
      <c r="BP130" s="251"/>
      <c r="BS130" s="237"/>
      <c r="BT130" s="237"/>
      <c r="BU130" s="229"/>
      <c r="BV130" s="251"/>
      <c r="BX130" s="238"/>
      <c r="BY130" s="251"/>
      <c r="CB130" s="237"/>
      <c r="CC130" s="237"/>
      <c r="CD130" s="229"/>
      <c r="CE130" s="251"/>
      <c r="CG130" s="238"/>
      <c r="CH130" s="251"/>
      <c r="CK130" s="237"/>
      <c r="CL130" s="237"/>
      <c r="CM130" s="229"/>
      <c r="CN130" s="251"/>
      <c r="CP130" s="238"/>
      <c r="CQ130" s="251"/>
      <c r="CT130" s="237"/>
      <c r="CU130" s="237"/>
      <c r="CV130" s="229"/>
      <c r="CW130" s="251"/>
      <c r="CY130" s="238"/>
      <c r="CZ130" s="251"/>
      <c r="DC130" s="237"/>
      <c r="DD130" s="237"/>
      <c r="DE130" s="229"/>
      <c r="DF130" s="251"/>
      <c r="DH130" s="238"/>
      <c r="DI130" s="251"/>
      <c r="DL130" s="237"/>
      <c r="DM130" s="237"/>
      <c r="DN130" s="229"/>
      <c r="DO130" s="251"/>
      <c r="DQ130" s="238"/>
      <c r="DR130" s="251"/>
      <c r="DU130" s="237"/>
      <c r="DV130" s="237"/>
      <c r="DW130" s="229"/>
      <c r="DX130" s="251"/>
      <c r="DZ130" s="238"/>
      <c r="EA130" s="251"/>
      <c r="ED130" s="237"/>
      <c r="EE130" s="237"/>
      <c r="EF130" s="229"/>
      <c r="EG130" s="251"/>
      <c r="EI130" s="238"/>
      <c r="EJ130" s="251"/>
      <c r="EM130" s="237"/>
      <c r="EN130" s="237"/>
      <c r="EO130" s="229"/>
      <c r="EP130" s="251"/>
      <c r="ER130" s="238"/>
      <c r="ES130" s="251"/>
      <c r="EV130" s="237"/>
      <c r="EW130" s="237"/>
      <c r="EX130" s="229"/>
      <c r="EY130" s="251"/>
      <c r="FA130" s="238"/>
      <c r="FB130" s="251"/>
      <c r="FE130" s="237"/>
      <c r="FF130" s="237"/>
      <c r="FG130" s="229"/>
      <c r="FH130" s="251"/>
      <c r="FJ130" s="238"/>
      <c r="FK130" s="251"/>
      <c r="FN130" s="237"/>
      <c r="FO130" s="237"/>
      <c r="FP130" s="229"/>
      <c r="FQ130" s="251"/>
      <c r="FS130" s="238"/>
      <c r="FT130" s="251"/>
      <c r="FW130" s="237"/>
      <c r="FX130" s="237"/>
      <c r="FY130" s="229"/>
      <c r="FZ130" s="251"/>
      <c r="GB130" s="238"/>
      <c r="GC130" s="251"/>
      <c r="GF130" s="237"/>
      <c r="GG130" s="237"/>
      <c r="GH130" s="229"/>
      <c r="GI130" s="251"/>
      <c r="GK130" s="238"/>
      <c r="GL130" s="251"/>
      <c r="GO130" s="237"/>
      <c r="GP130" s="237"/>
      <c r="GQ130" s="229"/>
      <c r="GR130" s="251"/>
      <c r="GT130" s="238"/>
      <c r="GU130" s="251"/>
      <c r="GX130" s="237"/>
      <c r="GY130" s="237"/>
      <c r="GZ130" s="229"/>
      <c r="HA130" s="251"/>
      <c r="HC130" s="238"/>
      <c r="HD130" s="251"/>
      <c r="HG130" s="237"/>
      <c r="HH130" s="237"/>
      <c r="HI130" s="229"/>
      <c r="HJ130" s="251"/>
      <c r="HL130" s="238"/>
      <c r="HM130" s="251"/>
      <c r="HP130" s="237"/>
      <c r="HQ130" s="237"/>
      <c r="HR130" s="229"/>
      <c r="HS130" s="251"/>
      <c r="HU130" s="238"/>
      <c r="HV130" s="251"/>
      <c r="HY130" s="237"/>
      <c r="HZ130" s="237"/>
      <c r="IA130" s="229"/>
    </row>
    <row r="131" spans="2:235" s="233" customFormat="1" ht="12.75">
      <c r="B131" s="274"/>
      <c r="C131" s="233" t="s">
        <v>111</v>
      </c>
      <c r="D131" s="237"/>
      <c r="E131" s="268"/>
      <c r="F131" s="642">
        <v>1</v>
      </c>
      <c r="G131" s="233" t="s">
        <v>107</v>
      </c>
      <c r="H131" s="232"/>
      <c r="I131" s="229"/>
      <c r="J131" s="237"/>
      <c r="K131" s="237"/>
      <c r="L131" s="229"/>
      <c r="N131" s="238"/>
      <c r="O131" s="251"/>
      <c r="Q131" s="237"/>
      <c r="R131" s="237"/>
      <c r="S131" s="229"/>
      <c r="T131" s="251"/>
      <c r="V131" s="238"/>
      <c r="W131" s="251"/>
      <c r="Z131" s="237"/>
      <c r="AA131" s="237"/>
      <c r="AB131" s="229"/>
      <c r="AC131" s="251"/>
      <c r="AE131" s="238"/>
      <c r="AF131" s="251"/>
      <c r="AI131" s="237"/>
      <c r="AJ131" s="237"/>
      <c r="AK131" s="229"/>
      <c r="AL131" s="251"/>
      <c r="AN131" s="238"/>
      <c r="AO131" s="251"/>
      <c r="AR131" s="237"/>
      <c r="AS131" s="237"/>
      <c r="AT131" s="229"/>
      <c r="AU131" s="251"/>
      <c r="AW131" s="238"/>
      <c r="AX131" s="251"/>
      <c r="BA131" s="237"/>
      <c r="BB131" s="237"/>
      <c r="BC131" s="229"/>
      <c r="BD131" s="251"/>
      <c r="BF131" s="238"/>
      <c r="BG131" s="251"/>
      <c r="BJ131" s="237"/>
      <c r="BK131" s="237"/>
      <c r="BL131" s="229"/>
      <c r="BM131" s="251"/>
      <c r="BO131" s="238"/>
      <c r="BP131" s="251"/>
      <c r="BS131" s="237"/>
      <c r="BT131" s="237"/>
      <c r="BU131" s="229"/>
      <c r="BV131" s="251"/>
      <c r="BX131" s="238"/>
      <c r="BY131" s="251"/>
      <c r="CB131" s="237"/>
      <c r="CC131" s="237"/>
      <c r="CD131" s="229"/>
      <c r="CE131" s="251"/>
      <c r="CG131" s="238"/>
      <c r="CH131" s="251"/>
      <c r="CK131" s="237"/>
      <c r="CL131" s="237"/>
      <c r="CM131" s="229"/>
      <c r="CN131" s="251"/>
      <c r="CP131" s="238"/>
      <c r="CQ131" s="251"/>
      <c r="CT131" s="237"/>
      <c r="CU131" s="237"/>
      <c r="CV131" s="229"/>
      <c r="CW131" s="251"/>
      <c r="CY131" s="238"/>
      <c r="CZ131" s="251"/>
      <c r="DC131" s="237"/>
      <c r="DD131" s="237"/>
      <c r="DE131" s="229"/>
      <c r="DF131" s="251"/>
      <c r="DH131" s="238"/>
      <c r="DI131" s="251"/>
      <c r="DL131" s="237"/>
      <c r="DM131" s="237"/>
      <c r="DN131" s="229"/>
      <c r="DO131" s="251"/>
      <c r="DQ131" s="238"/>
      <c r="DR131" s="251"/>
      <c r="DU131" s="237"/>
      <c r="DV131" s="237"/>
      <c r="DW131" s="229"/>
      <c r="DX131" s="251"/>
      <c r="DZ131" s="238"/>
      <c r="EA131" s="251"/>
      <c r="ED131" s="237"/>
      <c r="EE131" s="237"/>
      <c r="EF131" s="229"/>
      <c r="EG131" s="251"/>
      <c r="EI131" s="238"/>
      <c r="EJ131" s="251"/>
      <c r="EM131" s="237"/>
      <c r="EN131" s="237"/>
      <c r="EO131" s="229"/>
      <c r="EP131" s="251"/>
      <c r="ER131" s="238"/>
      <c r="ES131" s="251"/>
      <c r="EV131" s="237"/>
      <c r="EW131" s="237"/>
      <c r="EX131" s="229"/>
      <c r="EY131" s="251"/>
      <c r="FA131" s="238"/>
      <c r="FB131" s="251"/>
      <c r="FE131" s="237"/>
      <c r="FF131" s="237"/>
      <c r="FG131" s="229"/>
      <c r="FH131" s="251"/>
      <c r="FJ131" s="238"/>
      <c r="FK131" s="251"/>
      <c r="FN131" s="237"/>
      <c r="FO131" s="237"/>
      <c r="FP131" s="229"/>
      <c r="FQ131" s="251"/>
      <c r="FS131" s="238"/>
      <c r="FT131" s="251"/>
      <c r="FW131" s="237"/>
      <c r="FX131" s="237"/>
      <c r="FY131" s="229"/>
      <c r="FZ131" s="251"/>
      <c r="GB131" s="238"/>
      <c r="GC131" s="251"/>
      <c r="GF131" s="237"/>
      <c r="GG131" s="237"/>
      <c r="GH131" s="229"/>
      <c r="GI131" s="251"/>
      <c r="GK131" s="238"/>
      <c r="GL131" s="251"/>
      <c r="GO131" s="237"/>
      <c r="GP131" s="237"/>
      <c r="GQ131" s="229"/>
      <c r="GR131" s="251"/>
      <c r="GT131" s="238"/>
      <c r="GU131" s="251"/>
      <c r="GX131" s="237"/>
      <c r="GY131" s="237"/>
      <c r="GZ131" s="229"/>
      <c r="HA131" s="251"/>
      <c r="HC131" s="238"/>
      <c r="HD131" s="251"/>
      <c r="HG131" s="237"/>
      <c r="HH131" s="237"/>
      <c r="HI131" s="229"/>
      <c r="HJ131" s="251"/>
      <c r="HL131" s="238"/>
      <c r="HM131" s="251"/>
      <c r="HP131" s="237"/>
      <c r="HQ131" s="237"/>
      <c r="HR131" s="229"/>
      <c r="HS131" s="251"/>
      <c r="HU131" s="238"/>
      <c r="HV131" s="251"/>
      <c r="HY131" s="237"/>
      <c r="HZ131" s="237"/>
      <c r="IA131" s="229"/>
    </row>
    <row r="132" spans="2:235" s="233" customFormat="1" ht="12.75">
      <c r="B132" s="274"/>
      <c r="C132" s="233" t="s">
        <v>311</v>
      </c>
      <c r="D132" s="237"/>
      <c r="E132" s="268"/>
      <c r="F132" s="642">
        <v>1</v>
      </c>
      <c r="G132" s="233" t="s">
        <v>107</v>
      </c>
      <c r="H132" s="232"/>
      <c r="I132" s="229"/>
      <c r="J132" s="237"/>
      <c r="K132" s="237"/>
      <c r="L132" s="229"/>
      <c r="N132" s="238"/>
      <c r="O132" s="251"/>
      <c r="Q132" s="237"/>
      <c r="R132" s="237"/>
      <c r="S132" s="229"/>
      <c r="T132" s="251"/>
      <c r="V132" s="238"/>
      <c r="W132" s="251"/>
      <c r="Z132" s="237"/>
      <c r="AA132" s="237"/>
      <c r="AB132" s="229"/>
      <c r="AC132" s="251"/>
      <c r="AE132" s="238"/>
      <c r="AF132" s="251"/>
      <c r="AI132" s="237"/>
      <c r="AJ132" s="237"/>
      <c r="AK132" s="229"/>
      <c r="AL132" s="251"/>
      <c r="AN132" s="238"/>
      <c r="AO132" s="251"/>
      <c r="AR132" s="237"/>
      <c r="AS132" s="237"/>
      <c r="AT132" s="229"/>
      <c r="AU132" s="251"/>
      <c r="AW132" s="238"/>
      <c r="AX132" s="251"/>
      <c r="BA132" s="237"/>
      <c r="BB132" s="237"/>
      <c r="BC132" s="229"/>
      <c r="BD132" s="251"/>
      <c r="BF132" s="238"/>
      <c r="BG132" s="251"/>
      <c r="BJ132" s="237"/>
      <c r="BK132" s="237"/>
      <c r="BL132" s="229"/>
      <c r="BM132" s="251"/>
      <c r="BO132" s="238"/>
      <c r="BP132" s="251"/>
      <c r="BS132" s="237"/>
      <c r="BT132" s="237"/>
      <c r="BU132" s="229"/>
      <c r="BV132" s="251"/>
      <c r="BX132" s="238"/>
      <c r="BY132" s="251"/>
      <c r="CB132" s="237"/>
      <c r="CC132" s="237"/>
      <c r="CD132" s="229"/>
      <c r="CE132" s="251"/>
      <c r="CG132" s="238"/>
      <c r="CH132" s="251"/>
      <c r="CK132" s="237"/>
      <c r="CL132" s="237"/>
      <c r="CM132" s="229"/>
      <c r="CN132" s="251"/>
      <c r="CP132" s="238"/>
      <c r="CQ132" s="251"/>
      <c r="CT132" s="237"/>
      <c r="CU132" s="237"/>
      <c r="CV132" s="229"/>
      <c r="CW132" s="251"/>
      <c r="CY132" s="238"/>
      <c r="CZ132" s="251"/>
      <c r="DC132" s="237"/>
      <c r="DD132" s="237"/>
      <c r="DE132" s="229"/>
      <c r="DF132" s="251"/>
      <c r="DH132" s="238"/>
      <c r="DI132" s="251"/>
      <c r="DL132" s="237"/>
      <c r="DM132" s="237"/>
      <c r="DN132" s="229"/>
      <c r="DO132" s="251"/>
      <c r="DQ132" s="238"/>
      <c r="DR132" s="251"/>
      <c r="DU132" s="237"/>
      <c r="DV132" s="237"/>
      <c r="DW132" s="229"/>
      <c r="DX132" s="251"/>
      <c r="DZ132" s="238"/>
      <c r="EA132" s="251"/>
      <c r="ED132" s="237"/>
      <c r="EE132" s="237"/>
      <c r="EF132" s="229"/>
      <c r="EG132" s="251"/>
      <c r="EI132" s="238"/>
      <c r="EJ132" s="251"/>
      <c r="EM132" s="237"/>
      <c r="EN132" s="237"/>
      <c r="EO132" s="229"/>
      <c r="EP132" s="251"/>
      <c r="ER132" s="238"/>
      <c r="ES132" s="251"/>
      <c r="EV132" s="237"/>
      <c r="EW132" s="237"/>
      <c r="EX132" s="229"/>
      <c r="EY132" s="251"/>
      <c r="FA132" s="238"/>
      <c r="FB132" s="251"/>
      <c r="FE132" s="237"/>
      <c r="FF132" s="237"/>
      <c r="FG132" s="229"/>
      <c r="FH132" s="251"/>
      <c r="FJ132" s="238"/>
      <c r="FK132" s="251"/>
      <c r="FN132" s="237"/>
      <c r="FO132" s="237"/>
      <c r="FP132" s="229"/>
      <c r="FQ132" s="251"/>
      <c r="FS132" s="238"/>
      <c r="FT132" s="251"/>
      <c r="FW132" s="237"/>
      <c r="FX132" s="237"/>
      <c r="FY132" s="229"/>
      <c r="FZ132" s="251"/>
      <c r="GB132" s="238"/>
      <c r="GC132" s="251"/>
      <c r="GF132" s="237"/>
      <c r="GG132" s="237"/>
      <c r="GH132" s="229"/>
      <c r="GI132" s="251"/>
      <c r="GK132" s="238"/>
      <c r="GL132" s="251"/>
      <c r="GO132" s="237"/>
      <c r="GP132" s="237"/>
      <c r="GQ132" s="229"/>
      <c r="GR132" s="251"/>
      <c r="GT132" s="238"/>
      <c r="GU132" s="251"/>
      <c r="GX132" s="237"/>
      <c r="GY132" s="237"/>
      <c r="GZ132" s="229"/>
      <c r="HA132" s="251"/>
      <c r="HC132" s="238"/>
      <c r="HD132" s="251"/>
      <c r="HG132" s="237"/>
      <c r="HH132" s="237"/>
      <c r="HI132" s="229"/>
      <c r="HJ132" s="251"/>
      <c r="HL132" s="238"/>
      <c r="HM132" s="251"/>
      <c r="HP132" s="237"/>
      <c r="HQ132" s="237"/>
      <c r="HR132" s="229"/>
      <c r="HS132" s="251"/>
      <c r="HU132" s="238"/>
      <c r="HV132" s="251"/>
      <c r="HY132" s="237"/>
      <c r="HZ132" s="237"/>
      <c r="IA132" s="229"/>
    </row>
    <row r="133" spans="2:235" s="233" customFormat="1" ht="12.75">
      <c r="B133" s="274"/>
      <c r="C133" s="233" t="s">
        <v>110</v>
      </c>
      <c r="D133" s="237"/>
      <c r="E133" s="268"/>
      <c r="F133" s="642">
        <v>2</v>
      </c>
      <c r="G133" s="233" t="s">
        <v>107</v>
      </c>
      <c r="H133" s="232"/>
      <c r="I133" s="229"/>
      <c r="J133" s="237"/>
      <c r="K133" s="237"/>
      <c r="L133" s="229"/>
      <c r="N133" s="238"/>
      <c r="O133" s="251"/>
      <c r="Q133" s="237"/>
      <c r="R133" s="237"/>
      <c r="S133" s="229"/>
      <c r="T133" s="251"/>
      <c r="V133" s="238"/>
      <c r="W133" s="251"/>
      <c r="Z133" s="237"/>
      <c r="AA133" s="237"/>
      <c r="AB133" s="229"/>
      <c r="AC133" s="251"/>
      <c r="AE133" s="238"/>
      <c r="AF133" s="251"/>
      <c r="AI133" s="237"/>
      <c r="AJ133" s="237"/>
      <c r="AK133" s="229"/>
      <c r="AL133" s="251"/>
      <c r="AN133" s="238"/>
      <c r="AO133" s="251"/>
      <c r="AR133" s="237"/>
      <c r="AS133" s="237"/>
      <c r="AT133" s="229"/>
      <c r="AU133" s="251"/>
      <c r="AW133" s="238"/>
      <c r="AX133" s="251"/>
      <c r="BA133" s="237"/>
      <c r="BB133" s="237"/>
      <c r="BC133" s="229"/>
      <c r="BD133" s="251"/>
      <c r="BF133" s="238"/>
      <c r="BG133" s="251"/>
      <c r="BJ133" s="237"/>
      <c r="BK133" s="237"/>
      <c r="BL133" s="229"/>
      <c r="BM133" s="251"/>
      <c r="BO133" s="238"/>
      <c r="BP133" s="251"/>
      <c r="BS133" s="237"/>
      <c r="BT133" s="237"/>
      <c r="BU133" s="229"/>
      <c r="BV133" s="251"/>
      <c r="BX133" s="238"/>
      <c r="BY133" s="251"/>
      <c r="CB133" s="237"/>
      <c r="CC133" s="237"/>
      <c r="CD133" s="229"/>
      <c r="CE133" s="251"/>
      <c r="CG133" s="238"/>
      <c r="CH133" s="251"/>
      <c r="CK133" s="237"/>
      <c r="CL133" s="237"/>
      <c r="CM133" s="229"/>
      <c r="CN133" s="251"/>
      <c r="CP133" s="238"/>
      <c r="CQ133" s="251"/>
      <c r="CT133" s="237"/>
      <c r="CU133" s="237"/>
      <c r="CV133" s="229"/>
      <c r="CW133" s="251"/>
      <c r="CY133" s="238"/>
      <c r="CZ133" s="251"/>
      <c r="DC133" s="237"/>
      <c r="DD133" s="237"/>
      <c r="DE133" s="229"/>
      <c r="DF133" s="251"/>
      <c r="DH133" s="238"/>
      <c r="DI133" s="251"/>
      <c r="DL133" s="237"/>
      <c r="DM133" s="237"/>
      <c r="DN133" s="229"/>
      <c r="DO133" s="251"/>
      <c r="DQ133" s="238"/>
      <c r="DR133" s="251"/>
      <c r="DU133" s="237"/>
      <c r="DV133" s="237"/>
      <c r="DW133" s="229"/>
      <c r="DX133" s="251"/>
      <c r="DZ133" s="238"/>
      <c r="EA133" s="251"/>
      <c r="ED133" s="237"/>
      <c r="EE133" s="237"/>
      <c r="EF133" s="229"/>
      <c r="EG133" s="251"/>
      <c r="EI133" s="238"/>
      <c r="EJ133" s="251"/>
      <c r="EM133" s="237"/>
      <c r="EN133" s="237"/>
      <c r="EO133" s="229"/>
      <c r="EP133" s="251"/>
      <c r="ER133" s="238"/>
      <c r="ES133" s="251"/>
      <c r="EV133" s="237"/>
      <c r="EW133" s="237"/>
      <c r="EX133" s="229"/>
      <c r="EY133" s="251"/>
      <c r="FA133" s="238"/>
      <c r="FB133" s="251"/>
      <c r="FE133" s="237"/>
      <c r="FF133" s="237"/>
      <c r="FG133" s="229"/>
      <c r="FH133" s="251"/>
      <c r="FJ133" s="238"/>
      <c r="FK133" s="251"/>
      <c r="FN133" s="237"/>
      <c r="FO133" s="237"/>
      <c r="FP133" s="229"/>
      <c r="FQ133" s="251"/>
      <c r="FS133" s="238"/>
      <c r="FT133" s="251"/>
      <c r="FW133" s="237"/>
      <c r="FX133" s="237"/>
      <c r="FY133" s="229"/>
      <c r="FZ133" s="251"/>
      <c r="GB133" s="238"/>
      <c r="GC133" s="251"/>
      <c r="GF133" s="237"/>
      <c r="GG133" s="237"/>
      <c r="GH133" s="229"/>
      <c r="GI133" s="251"/>
      <c r="GK133" s="238"/>
      <c r="GL133" s="251"/>
      <c r="GO133" s="237"/>
      <c r="GP133" s="237"/>
      <c r="GQ133" s="229"/>
      <c r="GR133" s="251"/>
      <c r="GT133" s="238"/>
      <c r="GU133" s="251"/>
      <c r="GX133" s="237"/>
      <c r="GY133" s="237"/>
      <c r="GZ133" s="229"/>
      <c r="HA133" s="251"/>
      <c r="HC133" s="238"/>
      <c r="HD133" s="251"/>
      <c r="HG133" s="237"/>
      <c r="HH133" s="237"/>
      <c r="HI133" s="229"/>
      <c r="HJ133" s="251"/>
      <c r="HL133" s="238"/>
      <c r="HM133" s="251"/>
      <c r="HP133" s="237"/>
      <c r="HQ133" s="237"/>
      <c r="HR133" s="229"/>
      <c r="HS133" s="251"/>
      <c r="HU133" s="238"/>
      <c r="HV133" s="251"/>
      <c r="HY133" s="237"/>
      <c r="HZ133" s="237"/>
      <c r="IA133" s="229"/>
    </row>
    <row r="134" spans="2:235" s="233" customFormat="1" ht="12.75">
      <c r="B134" s="274"/>
      <c r="C134" s="233" t="s">
        <v>313</v>
      </c>
      <c r="D134" s="237"/>
      <c r="E134" s="268"/>
      <c r="F134" s="642">
        <v>1</v>
      </c>
      <c r="G134" s="233" t="s">
        <v>107</v>
      </c>
      <c r="H134" s="232"/>
      <c r="I134" s="229"/>
      <c r="K134" s="237"/>
      <c r="L134" s="229"/>
      <c r="N134" s="238"/>
      <c r="O134" s="251"/>
      <c r="Q134" s="237"/>
      <c r="R134" s="237"/>
      <c r="S134" s="229"/>
      <c r="T134" s="251"/>
      <c r="V134" s="238"/>
      <c r="W134" s="251"/>
      <c r="Z134" s="237"/>
      <c r="AA134" s="237"/>
      <c r="AB134" s="229"/>
      <c r="AC134" s="251"/>
      <c r="AE134" s="238"/>
      <c r="AF134" s="251"/>
      <c r="AI134" s="237"/>
      <c r="AJ134" s="237"/>
      <c r="AK134" s="229"/>
      <c r="AL134" s="251"/>
      <c r="AN134" s="238"/>
      <c r="AO134" s="251"/>
      <c r="AR134" s="237"/>
      <c r="AS134" s="237"/>
      <c r="AT134" s="229"/>
      <c r="AU134" s="251"/>
      <c r="AW134" s="238"/>
      <c r="AX134" s="251"/>
      <c r="BA134" s="237"/>
      <c r="BB134" s="237"/>
      <c r="BC134" s="229"/>
      <c r="BD134" s="251"/>
      <c r="BF134" s="238"/>
      <c r="BG134" s="251"/>
      <c r="BJ134" s="237"/>
      <c r="BK134" s="237"/>
      <c r="BL134" s="229"/>
      <c r="BM134" s="251"/>
      <c r="BO134" s="238"/>
      <c r="BP134" s="251"/>
      <c r="BS134" s="237"/>
      <c r="BT134" s="237"/>
      <c r="BU134" s="229"/>
      <c r="BV134" s="251"/>
      <c r="BX134" s="238"/>
      <c r="BY134" s="251"/>
      <c r="CB134" s="237"/>
      <c r="CC134" s="237"/>
      <c r="CD134" s="229"/>
      <c r="CE134" s="251"/>
      <c r="CG134" s="238"/>
      <c r="CH134" s="251"/>
      <c r="CK134" s="237"/>
      <c r="CL134" s="237"/>
      <c r="CM134" s="229"/>
      <c r="CN134" s="251"/>
      <c r="CP134" s="238"/>
      <c r="CQ134" s="251"/>
      <c r="CT134" s="237"/>
      <c r="CU134" s="237"/>
      <c r="CV134" s="229"/>
      <c r="CW134" s="251"/>
      <c r="CY134" s="238"/>
      <c r="CZ134" s="251"/>
      <c r="DC134" s="237"/>
      <c r="DD134" s="237"/>
      <c r="DE134" s="229"/>
      <c r="DF134" s="251"/>
      <c r="DH134" s="238"/>
      <c r="DI134" s="251"/>
      <c r="DL134" s="237"/>
      <c r="DM134" s="237"/>
      <c r="DN134" s="229"/>
      <c r="DO134" s="251"/>
      <c r="DQ134" s="238"/>
      <c r="DR134" s="251"/>
      <c r="DU134" s="237"/>
      <c r="DV134" s="237"/>
      <c r="DW134" s="229"/>
      <c r="DX134" s="251"/>
      <c r="DZ134" s="238"/>
      <c r="EA134" s="251"/>
      <c r="ED134" s="237"/>
      <c r="EE134" s="237"/>
      <c r="EF134" s="229"/>
      <c r="EG134" s="251"/>
      <c r="EI134" s="238"/>
      <c r="EJ134" s="251"/>
      <c r="EM134" s="237"/>
      <c r="EN134" s="237"/>
      <c r="EO134" s="229"/>
      <c r="EP134" s="251"/>
      <c r="ER134" s="238"/>
      <c r="ES134" s="251"/>
      <c r="EV134" s="237"/>
      <c r="EW134" s="237"/>
      <c r="EX134" s="229"/>
      <c r="EY134" s="251"/>
      <c r="FA134" s="238"/>
      <c r="FB134" s="251"/>
      <c r="FE134" s="237"/>
      <c r="FF134" s="237"/>
      <c r="FG134" s="229"/>
      <c r="FH134" s="251"/>
      <c r="FJ134" s="238"/>
      <c r="FK134" s="251"/>
      <c r="FN134" s="237"/>
      <c r="FO134" s="237"/>
      <c r="FP134" s="229"/>
      <c r="FQ134" s="251"/>
      <c r="FS134" s="238"/>
      <c r="FT134" s="251"/>
      <c r="FW134" s="237"/>
      <c r="FX134" s="237"/>
      <c r="FY134" s="229"/>
      <c r="FZ134" s="251"/>
      <c r="GB134" s="238"/>
      <c r="GC134" s="251"/>
      <c r="GF134" s="237"/>
      <c r="GG134" s="237"/>
      <c r="GH134" s="229"/>
      <c r="GI134" s="251"/>
      <c r="GK134" s="238"/>
      <c r="GL134" s="251"/>
      <c r="GO134" s="237"/>
      <c r="GP134" s="237"/>
      <c r="GQ134" s="229"/>
      <c r="GR134" s="251"/>
      <c r="GT134" s="238"/>
      <c r="GU134" s="251"/>
      <c r="GX134" s="237"/>
      <c r="GY134" s="237"/>
      <c r="GZ134" s="229"/>
      <c r="HA134" s="251"/>
      <c r="HC134" s="238"/>
      <c r="HD134" s="251"/>
      <c r="HG134" s="237"/>
      <c r="HH134" s="237"/>
      <c r="HI134" s="229"/>
      <c r="HJ134" s="251"/>
      <c r="HL134" s="238"/>
      <c r="HM134" s="251"/>
      <c r="HP134" s="237"/>
      <c r="HQ134" s="237"/>
      <c r="HR134" s="229"/>
      <c r="HS134" s="251"/>
      <c r="HU134" s="238"/>
      <c r="HV134" s="251"/>
      <c r="HY134" s="237"/>
      <c r="HZ134" s="237"/>
      <c r="IA134" s="229"/>
    </row>
    <row r="135" spans="2:235" s="233" customFormat="1" ht="12.75">
      <c r="B135" s="274"/>
      <c r="E135" s="268"/>
      <c r="F135" s="642">
        <f>SUM(F127:F134)</f>
        <v>13</v>
      </c>
      <c r="G135" s="233" t="s">
        <v>107</v>
      </c>
      <c r="H135" s="232"/>
      <c r="I135" s="229"/>
      <c r="K135" s="237"/>
      <c r="L135" s="229"/>
      <c r="N135" s="238"/>
      <c r="O135" s="251"/>
      <c r="Q135" s="237"/>
      <c r="R135" s="237"/>
      <c r="S135" s="229"/>
      <c r="T135" s="251"/>
      <c r="V135" s="238"/>
      <c r="W135" s="251"/>
      <c r="Z135" s="237"/>
      <c r="AA135" s="237"/>
      <c r="AB135" s="229"/>
      <c r="AC135" s="251"/>
      <c r="AE135" s="238"/>
      <c r="AF135" s="251"/>
      <c r="AI135" s="237"/>
      <c r="AJ135" s="237"/>
      <c r="AK135" s="229"/>
      <c r="AL135" s="251"/>
      <c r="AN135" s="238"/>
      <c r="AO135" s="251"/>
      <c r="AR135" s="237"/>
      <c r="AS135" s="237"/>
      <c r="AT135" s="229"/>
      <c r="AU135" s="251"/>
      <c r="AW135" s="238"/>
      <c r="AX135" s="251"/>
      <c r="BA135" s="237"/>
      <c r="BB135" s="237"/>
      <c r="BC135" s="229"/>
      <c r="BD135" s="251"/>
      <c r="BF135" s="238"/>
      <c r="BG135" s="251"/>
      <c r="BJ135" s="237"/>
      <c r="BK135" s="237"/>
      <c r="BL135" s="229"/>
      <c r="BM135" s="251"/>
      <c r="BO135" s="238"/>
      <c r="BP135" s="251"/>
      <c r="BS135" s="237"/>
      <c r="BT135" s="237"/>
      <c r="BU135" s="229"/>
      <c r="BV135" s="251"/>
      <c r="BX135" s="238"/>
      <c r="BY135" s="251"/>
      <c r="CB135" s="237"/>
      <c r="CC135" s="237"/>
      <c r="CD135" s="229"/>
      <c r="CE135" s="251"/>
      <c r="CG135" s="238"/>
      <c r="CH135" s="251"/>
      <c r="CK135" s="237"/>
      <c r="CL135" s="237"/>
      <c r="CM135" s="229"/>
      <c r="CN135" s="251"/>
      <c r="CP135" s="238"/>
      <c r="CQ135" s="251"/>
      <c r="CT135" s="237"/>
      <c r="CU135" s="237"/>
      <c r="CV135" s="229"/>
      <c r="CW135" s="251"/>
      <c r="CY135" s="238"/>
      <c r="CZ135" s="251"/>
      <c r="DC135" s="237"/>
      <c r="DD135" s="237"/>
      <c r="DE135" s="229"/>
      <c r="DF135" s="251"/>
      <c r="DH135" s="238"/>
      <c r="DI135" s="251"/>
      <c r="DL135" s="237"/>
      <c r="DM135" s="237"/>
      <c r="DN135" s="229"/>
      <c r="DO135" s="251"/>
      <c r="DQ135" s="238"/>
      <c r="DR135" s="251"/>
      <c r="DU135" s="237"/>
      <c r="DV135" s="237"/>
      <c r="DW135" s="229"/>
      <c r="DX135" s="251"/>
      <c r="DZ135" s="238"/>
      <c r="EA135" s="251"/>
      <c r="ED135" s="237"/>
      <c r="EE135" s="237"/>
      <c r="EF135" s="229"/>
      <c r="EG135" s="251"/>
      <c r="EI135" s="238"/>
      <c r="EJ135" s="251"/>
      <c r="EM135" s="237"/>
      <c r="EN135" s="237"/>
      <c r="EO135" s="229"/>
      <c r="EP135" s="251"/>
      <c r="ER135" s="238"/>
      <c r="ES135" s="251"/>
      <c r="EV135" s="237"/>
      <c r="EW135" s="237"/>
      <c r="EX135" s="229"/>
      <c r="EY135" s="251"/>
      <c r="FA135" s="238"/>
      <c r="FB135" s="251"/>
      <c r="FE135" s="237"/>
      <c r="FF135" s="237"/>
      <c r="FG135" s="229"/>
      <c r="FH135" s="251"/>
      <c r="FJ135" s="238"/>
      <c r="FK135" s="251"/>
      <c r="FN135" s="237"/>
      <c r="FO135" s="237"/>
      <c r="FP135" s="229"/>
      <c r="FQ135" s="251"/>
      <c r="FS135" s="238"/>
      <c r="FT135" s="251"/>
      <c r="FW135" s="237"/>
      <c r="FX135" s="237"/>
      <c r="FY135" s="229"/>
      <c r="FZ135" s="251"/>
      <c r="GB135" s="238"/>
      <c r="GC135" s="251"/>
      <c r="GF135" s="237"/>
      <c r="GG135" s="237"/>
      <c r="GH135" s="229"/>
      <c r="GI135" s="251"/>
      <c r="GK135" s="238"/>
      <c r="GL135" s="251"/>
      <c r="GO135" s="237"/>
      <c r="GP135" s="237"/>
      <c r="GQ135" s="229"/>
      <c r="GR135" s="251"/>
      <c r="GT135" s="238"/>
      <c r="GU135" s="251"/>
      <c r="GX135" s="237"/>
      <c r="GY135" s="237"/>
      <c r="GZ135" s="229"/>
      <c r="HA135" s="251"/>
      <c r="HC135" s="238"/>
      <c r="HD135" s="251"/>
      <c r="HG135" s="237"/>
      <c r="HH135" s="237"/>
      <c r="HI135" s="229"/>
      <c r="HJ135" s="251"/>
      <c r="HL135" s="238"/>
      <c r="HM135" s="251"/>
      <c r="HP135" s="237"/>
      <c r="HQ135" s="237"/>
      <c r="HR135" s="229"/>
      <c r="HS135" s="251"/>
      <c r="HU135" s="238"/>
      <c r="HV135" s="251"/>
      <c r="HY135" s="237"/>
      <c r="HZ135" s="237"/>
      <c r="IA135" s="229"/>
    </row>
    <row r="136" spans="2:235" s="233" customFormat="1" ht="12.75">
      <c r="B136" s="274"/>
      <c r="C136" s="232" t="s">
        <v>149</v>
      </c>
      <c r="D136" s="229"/>
      <c r="E136" s="268"/>
      <c r="F136" s="642">
        <v>10</v>
      </c>
      <c r="G136" s="231" t="s">
        <v>107</v>
      </c>
      <c r="H136" s="232"/>
      <c r="I136" s="229"/>
      <c r="J136" s="237"/>
      <c r="K136" s="237"/>
      <c r="L136" s="229"/>
      <c r="N136" s="238"/>
      <c r="O136" s="251"/>
      <c r="Q136" s="237"/>
      <c r="R136" s="237"/>
      <c r="S136" s="229"/>
      <c r="T136" s="251"/>
      <c r="V136" s="238"/>
      <c r="W136" s="251"/>
      <c r="Z136" s="237"/>
      <c r="AA136" s="237"/>
      <c r="AB136" s="229"/>
      <c r="AC136" s="251"/>
      <c r="AE136" s="238"/>
      <c r="AF136" s="251"/>
      <c r="AI136" s="237"/>
      <c r="AJ136" s="237"/>
      <c r="AK136" s="229"/>
      <c r="AL136" s="251"/>
      <c r="AN136" s="238"/>
      <c r="AO136" s="251"/>
      <c r="AR136" s="237"/>
      <c r="AS136" s="237"/>
      <c r="AT136" s="229"/>
      <c r="AU136" s="251"/>
      <c r="AW136" s="238"/>
      <c r="AX136" s="251"/>
      <c r="BA136" s="237"/>
      <c r="BB136" s="237"/>
      <c r="BC136" s="229"/>
      <c r="BD136" s="251"/>
      <c r="BF136" s="238"/>
      <c r="BG136" s="251"/>
      <c r="BJ136" s="237"/>
      <c r="BK136" s="237"/>
      <c r="BL136" s="229"/>
      <c r="BM136" s="251"/>
      <c r="BO136" s="238"/>
      <c r="BP136" s="251"/>
      <c r="BS136" s="237"/>
      <c r="BT136" s="237"/>
      <c r="BU136" s="229"/>
      <c r="BV136" s="251"/>
      <c r="BX136" s="238"/>
      <c r="BY136" s="251"/>
      <c r="CB136" s="237"/>
      <c r="CC136" s="237"/>
      <c r="CD136" s="229"/>
      <c r="CE136" s="251"/>
      <c r="CG136" s="238"/>
      <c r="CH136" s="251"/>
      <c r="CK136" s="237"/>
      <c r="CL136" s="237"/>
      <c r="CM136" s="229"/>
      <c r="CN136" s="251"/>
      <c r="CP136" s="238"/>
      <c r="CQ136" s="251"/>
      <c r="CT136" s="237"/>
      <c r="CU136" s="237"/>
      <c r="CV136" s="229"/>
      <c r="CW136" s="251"/>
      <c r="CY136" s="238"/>
      <c r="CZ136" s="251"/>
      <c r="DC136" s="237"/>
      <c r="DD136" s="237"/>
      <c r="DE136" s="229"/>
      <c r="DF136" s="251"/>
      <c r="DH136" s="238"/>
      <c r="DI136" s="251"/>
      <c r="DL136" s="237"/>
      <c r="DM136" s="237"/>
      <c r="DN136" s="229"/>
      <c r="DO136" s="251"/>
      <c r="DQ136" s="238"/>
      <c r="DR136" s="251"/>
      <c r="DU136" s="237"/>
      <c r="DV136" s="237"/>
      <c r="DW136" s="229"/>
      <c r="DX136" s="251"/>
      <c r="DZ136" s="238"/>
      <c r="EA136" s="251"/>
      <c r="ED136" s="237"/>
      <c r="EE136" s="237"/>
      <c r="EF136" s="229"/>
      <c r="EG136" s="251"/>
      <c r="EI136" s="238"/>
      <c r="EJ136" s="251"/>
      <c r="EM136" s="237"/>
      <c r="EN136" s="237"/>
      <c r="EO136" s="229"/>
      <c r="EP136" s="251"/>
      <c r="ER136" s="238"/>
      <c r="ES136" s="251"/>
      <c r="EV136" s="237"/>
      <c r="EW136" s="237"/>
      <c r="EX136" s="229"/>
      <c r="EY136" s="251"/>
      <c r="FA136" s="238"/>
      <c r="FB136" s="251"/>
      <c r="FE136" s="237"/>
      <c r="FF136" s="237"/>
      <c r="FG136" s="229"/>
      <c r="FH136" s="251"/>
      <c r="FJ136" s="238"/>
      <c r="FK136" s="251"/>
      <c r="FN136" s="237"/>
      <c r="FO136" s="237"/>
      <c r="FP136" s="229"/>
      <c r="FQ136" s="251"/>
      <c r="FS136" s="238"/>
      <c r="FT136" s="251"/>
      <c r="FW136" s="237"/>
      <c r="FX136" s="237"/>
      <c r="FY136" s="229"/>
      <c r="FZ136" s="251"/>
      <c r="GB136" s="238"/>
      <c r="GC136" s="251"/>
      <c r="GF136" s="237"/>
      <c r="GG136" s="237"/>
      <c r="GH136" s="229"/>
      <c r="GI136" s="251"/>
      <c r="GK136" s="238"/>
      <c r="GL136" s="251"/>
      <c r="GO136" s="237"/>
      <c r="GP136" s="237"/>
      <c r="GQ136" s="229"/>
      <c r="GR136" s="251"/>
      <c r="GT136" s="238"/>
      <c r="GU136" s="251"/>
      <c r="GX136" s="237"/>
      <c r="GY136" s="237"/>
      <c r="GZ136" s="229"/>
      <c r="HA136" s="251"/>
      <c r="HC136" s="238"/>
      <c r="HD136" s="251"/>
      <c r="HG136" s="237"/>
      <c r="HH136" s="237"/>
      <c r="HI136" s="229"/>
      <c r="HJ136" s="251"/>
      <c r="HL136" s="238"/>
      <c r="HM136" s="251"/>
      <c r="HP136" s="237"/>
      <c r="HQ136" s="237"/>
      <c r="HR136" s="229"/>
      <c r="HS136" s="251"/>
      <c r="HU136" s="238"/>
      <c r="HV136" s="251"/>
      <c r="HY136" s="237"/>
      <c r="HZ136" s="237"/>
      <c r="IA136" s="229"/>
    </row>
    <row r="137" spans="2:235" s="233" customFormat="1" ht="13.5" customHeight="1">
      <c r="B137" s="274"/>
      <c r="C137" s="233" t="s">
        <v>605</v>
      </c>
      <c r="D137" s="237" t="s">
        <v>606</v>
      </c>
      <c r="E137" s="268"/>
      <c r="F137" s="642">
        <v>1</v>
      </c>
      <c r="G137" s="231" t="s">
        <v>107</v>
      </c>
      <c r="H137" s="232"/>
      <c r="I137" s="229"/>
      <c r="J137" s="237"/>
      <c r="K137" s="237"/>
      <c r="L137" s="229"/>
      <c r="N137" s="238"/>
      <c r="O137" s="251"/>
      <c r="Q137" s="237"/>
      <c r="R137" s="237"/>
      <c r="S137" s="229"/>
      <c r="T137" s="251"/>
      <c r="V137" s="238"/>
      <c r="W137" s="251"/>
      <c r="Z137" s="237"/>
      <c r="AA137" s="237"/>
      <c r="AB137" s="229"/>
      <c r="AC137" s="251"/>
      <c r="AE137" s="238"/>
      <c r="AF137" s="251"/>
      <c r="AI137" s="237"/>
      <c r="AJ137" s="237"/>
      <c r="AK137" s="229"/>
      <c r="AL137" s="251"/>
      <c r="AN137" s="238"/>
      <c r="AO137" s="251"/>
      <c r="AR137" s="237"/>
      <c r="AS137" s="237"/>
      <c r="AT137" s="229"/>
      <c r="AU137" s="251"/>
      <c r="AW137" s="238"/>
      <c r="AX137" s="251"/>
      <c r="BA137" s="237"/>
      <c r="BB137" s="237"/>
      <c r="BC137" s="229"/>
      <c r="BD137" s="251"/>
      <c r="BF137" s="238"/>
      <c r="BG137" s="251"/>
      <c r="BJ137" s="237"/>
      <c r="BK137" s="237"/>
      <c r="BL137" s="229"/>
      <c r="BM137" s="251"/>
      <c r="BO137" s="238"/>
      <c r="BP137" s="251"/>
      <c r="BS137" s="237"/>
      <c r="BT137" s="237"/>
      <c r="BU137" s="229"/>
      <c r="BV137" s="251"/>
      <c r="BX137" s="238"/>
      <c r="BY137" s="251"/>
      <c r="CB137" s="237"/>
      <c r="CC137" s="237"/>
      <c r="CD137" s="229"/>
      <c r="CE137" s="251"/>
      <c r="CG137" s="238"/>
      <c r="CH137" s="251"/>
      <c r="CK137" s="237"/>
      <c r="CL137" s="237"/>
      <c r="CM137" s="229"/>
      <c r="CN137" s="251"/>
      <c r="CP137" s="238"/>
      <c r="CQ137" s="251"/>
      <c r="CT137" s="237"/>
      <c r="CU137" s="237"/>
      <c r="CV137" s="229"/>
      <c r="CW137" s="251"/>
      <c r="CY137" s="238"/>
      <c r="CZ137" s="251"/>
      <c r="DC137" s="237"/>
      <c r="DD137" s="237"/>
      <c r="DE137" s="229"/>
      <c r="DF137" s="251"/>
      <c r="DH137" s="238"/>
      <c r="DI137" s="251"/>
      <c r="DL137" s="237"/>
      <c r="DM137" s="237"/>
      <c r="DN137" s="229"/>
      <c r="DO137" s="251"/>
      <c r="DQ137" s="238"/>
      <c r="DR137" s="251"/>
      <c r="DU137" s="237"/>
      <c r="DV137" s="237"/>
      <c r="DW137" s="229"/>
      <c r="DX137" s="251"/>
      <c r="DZ137" s="238"/>
      <c r="EA137" s="251"/>
      <c r="ED137" s="237"/>
      <c r="EE137" s="237"/>
      <c r="EF137" s="229"/>
      <c r="EG137" s="251"/>
      <c r="EI137" s="238"/>
      <c r="EJ137" s="251"/>
      <c r="EM137" s="237"/>
      <c r="EN137" s="237"/>
      <c r="EO137" s="229"/>
      <c r="EP137" s="251"/>
      <c r="ER137" s="238"/>
      <c r="ES137" s="251"/>
      <c r="EV137" s="237"/>
      <c r="EW137" s="237"/>
      <c r="EX137" s="229"/>
      <c r="EY137" s="251"/>
      <c r="FA137" s="238"/>
      <c r="FB137" s="251"/>
      <c r="FE137" s="237"/>
      <c r="FF137" s="237"/>
      <c r="FG137" s="229"/>
      <c r="FH137" s="251"/>
      <c r="FJ137" s="238"/>
      <c r="FK137" s="251"/>
      <c r="FN137" s="237"/>
      <c r="FO137" s="237"/>
      <c r="FP137" s="229"/>
      <c r="FQ137" s="251"/>
      <c r="FS137" s="238"/>
      <c r="FT137" s="251"/>
      <c r="FW137" s="237"/>
      <c r="FX137" s="237"/>
      <c r="FY137" s="229"/>
      <c r="FZ137" s="251"/>
      <c r="GB137" s="238"/>
      <c r="GC137" s="251"/>
      <c r="GF137" s="237"/>
      <c r="GG137" s="237"/>
      <c r="GH137" s="229"/>
      <c r="GI137" s="251"/>
      <c r="GK137" s="238"/>
      <c r="GL137" s="251"/>
      <c r="GO137" s="237"/>
      <c r="GP137" s="237"/>
      <c r="GQ137" s="229"/>
      <c r="GR137" s="251"/>
      <c r="GT137" s="238"/>
      <c r="GU137" s="251"/>
      <c r="GX137" s="237"/>
      <c r="GY137" s="237"/>
      <c r="GZ137" s="229"/>
      <c r="HA137" s="251"/>
      <c r="HC137" s="238"/>
      <c r="HD137" s="251"/>
      <c r="HG137" s="237"/>
      <c r="HH137" s="237"/>
      <c r="HI137" s="229"/>
      <c r="HJ137" s="251"/>
      <c r="HL137" s="238"/>
      <c r="HM137" s="251"/>
      <c r="HP137" s="237"/>
      <c r="HQ137" s="237"/>
      <c r="HR137" s="229"/>
      <c r="HS137" s="251"/>
      <c r="HU137" s="238"/>
      <c r="HV137" s="251"/>
      <c r="HY137" s="237"/>
      <c r="HZ137" s="237"/>
      <c r="IA137" s="229"/>
    </row>
    <row r="138" spans="2:235" s="233" customFormat="1" ht="12.75">
      <c r="B138" s="274"/>
      <c r="C138" s="232"/>
      <c r="D138" s="229"/>
      <c r="E138" s="268"/>
      <c r="F138" s="642"/>
      <c r="G138" s="231"/>
      <c r="H138" s="232"/>
      <c r="I138" s="229"/>
      <c r="J138" s="237"/>
      <c r="K138" s="237"/>
      <c r="L138" s="229"/>
      <c r="N138" s="238"/>
      <c r="O138" s="251"/>
      <c r="Q138" s="237"/>
      <c r="R138" s="237"/>
      <c r="S138" s="229"/>
      <c r="T138" s="251"/>
      <c r="V138" s="238"/>
      <c r="W138" s="251"/>
      <c r="Z138" s="237"/>
      <c r="AA138" s="237"/>
      <c r="AB138" s="229"/>
      <c r="AC138" s="251"/>
      <c r="AE138" s="238"/>
      <c r="AF138" s="251"/>
      <c r="AI138" s="237"/>
      <c r="AJ138" s="237"/>
      <c r="AK138" s="229"/>
      <c r="AL138" s="251"/>
      <c r="AN138" s="238"/>
      <c r="AO138" s="251"/>
      <c r="AR138" s="237"/>
      <c r="AS138" s="237"/>
      <c r="AT138" s="229"/>
      <c r="AU138" s="251"/>
      <c r="AW138" s="238"/>
      <c r="AX138" s="251"/>
      <c r="BA138" s="237"/>
      <c r="BB138" s="237"/>
      <c r="BC138" s="229"/>
      <c r="BD138" s="251"/>
      <c r="BF138" s="238"/>
      <c r="BG138" s="251"/>
      <c r="BJ138" s="237"/>
      <c r="BK138" s="237"/>
      <c r="BL138" s="229"/>
      <c r="BM138" s="251"/>
      <c r="BO138" s="238"/>
      <c r="BP138" s="251"/>
      <c r="BS138" s="237"/>
      <c r="BT138" s="237"/>
      <c r="BU138" s="229"/>
      <c r="BV138" s="251"/>
      <c r="BX138" s="238"/>
      <c r="BY138" s="251"/>
      <c r="CB138" s="237"/>
      <c r="CC138" s="237"/>
      <c r="CD138" s="229"/>
      <c r="CE138" s="251"/>
      <c r="CG138" s="238"/>
      <c r="CH138" s="251"/>
      <c r="CK138" s="237"/>
      <c r="CL138" s="237"/>
      <c r="CM138" s="229"/>
      <c r="CN138" s="251"/>
      <c r="CP138" s="238"/>
      <c r="CQ138" s="251"/>
      <c r="CT138" s="237"/>
      <c r="CU138" s="237"/>
      <c r="CV138" s="229"/>
      <c r="CW138" s="251"/>
      <c r="CY138" s="238"/>
      <c r="CZ138" s="251"/>
      <c r="DC138" s="237"/>
      <c r="DD138" s="237"/>
      <c r="DE138" s="229"/>
      <c r="DF138" s="251"/>
      <c r="DH138" s="238"/>
      <c r="DI138" s="251"/>
      <c r="DL138" s="237"/>
      <c r="DM138" s="237"/>
      <c r="DN138" s="229"/>
      <c r="DO138" s="251"/>
      <c r="DQ138" s="238"/>
      <c r="DR138" s="251"/>
      <c r="DU138" s="237"/>
      <c r="DV138" s="237"/>
      <c r="DW138" s="229"/>
      <c r="DX138" s="251"/>
      <c r="DZ138" s="238"/>
      <c r="EA138" s="251"/>
      <c r="ED138" s="237"/>
      <c r="EE138" s="237"/>
      <c r="EF138" s="229"/>
      <c r="EG138" s="251"/>
      <c r="EI138" s="238"/>
      <c r="EJ138" s="251"/>
      <c r="EM138" s="237"/>
      <c r="EN138" s="237"/>
      <c r="EO138" s="229"/>
      <c r="EP138" s="251"/>
      <c r="ER138" s="238"/>
      <c r="ES138" s="251"/>
      <c r="EV138" s="237"/>
      <c r="EW138" s="237"/>
      <c r="EX138" s="229"/>
      <c r="EY138" s="251"/>
      <c r="FA138" s="238"/>
      <c r="FB138" s="251"/>
      <c r="FE138" s="237"/>
      <c r="FF138" s="237"/>
      <c r="FG138" s="229"/>
      <c r="FH138" s="251"/>
      <c r="FJ138" s="238"/>
      <c r="FK138" s="251"/>
      <c r="FN138" s="237"/>
      <c r="FO138" s="237"/>
      <c r="FP138" s="229"/>
      <c r="FQ138" s="251"/>
      <c r="FS138" s="238"/>
      <c r="FT138" s="251"/>
      <c r="FW138" s="237"/>
      <c r="FX138" s="237"/>
      <c r="FY138" s="229"/>
      <c r="FZ138" s="251"/>
      <c r="GB138" s="238"/>
      <c r="GC138" s="251"/>
      <c r="GF138" s="237"/>
      <c r="GG138" s="237"/>
      <c r="GH138" s="229"/>
      <c r="GI138" s="251"/>
      <c r="GK138" s="238"/>
      <c r="GL138" s="251"/>
      <c r="GO138" s="237"/>
      <c r="GP138" s="237"/>
      <c r="GQ138" s="229"/>
      <c r="GR138" s="251"/>
      <c r="GT138" s="238"/>
      <c r="GU138" s="251"/>
      <c r="GX138" s="237"/>
      <c r="GY138" s="237"/>
      <c r="GZ138" s="229"/>
      <c r="HA138" s="251"/>
      <c r="HC138" s="238"/>
      <c r="HD138" s="251"/>
      <c r="HG138" s="237"/>
      <c r="HH138" s="237"/>
      <c r="HI138" s="229"/>
      <c r="HJ138" s="251"/>
      <c r="HL138" s="238"/>
      <c r="HM138" s="251"/>
      <c r="HP138" s="237"/>
      <c r="HQ138" s="237"/>
      <c r="HR138" s="229"/>
      <c r="HS138" s="251"/>
      <c r="HU138" s="238"/>
      <c r="HV138" s="251"/>
      <c r="HY138" s="237"/>
      <c r="HZ138" s="237"/>
      <c r="IA138" s="229"/>
    </row>
    <row r="139" spans="2:235" s="233" customFormat="1" ht="12.75">
      <c r="B139" s="286" t="s">
        <v>112</v>
      </c>
      <c r="C139" s="240"/>
      <c r="D139" s="240"/>
      <c r="E139" s="265"/>
      <c r="F139" s="323"/>
      <c r="H139" s="238"/>
      <c r="I139" s="229"/>
      <c r="J139" s="229"/>
      <c r="K139" s="237"/>
      <c r="L139" s="229"/>
      <c r="N139" s="238"/>
      <c r="O139" s="251"/>
      <c r="Q139" s="237"/>
      <c r="R139" s="237"/>
      <c r="S139" s="229"/>
      <c r="T139" s="251"/>
      <c r="V139" s="238"/>
      <c r="W139" s="251"/>
      <c r="Z139" s="237"/>
      <c r="AA139" s="237"/>
      <c r="AB139" s="229"/>
      <c r="AC139" s="251"/>
      <c r="AE139" s="238"/>
      <c r="AF139" s="251"/>
      <c r="AI139" s="237"/>
      <c r="AJ139" s="237"/>
      <c r="AK139" s="229"/>
      <c r="AL139" s="251"/>
      <c r="AN139" s="238"/>
      <c r="AO139" s="251"/>
      <c r="AR139" s="237"/>
      <c r="AS139" s="237"/>
      <c r="AT139" s="229"/>
      <c r="AU139" s="251"/>
      <c r="AW139" s="238"/>
      <c r="AX139" s="251"/>
      <c r="BA139" s="237"/>
      <c r="BB139" s="237"/>
      <c r="BC139" s="229"/>
      <c r="BD139" s="251"/>
      <c r="BF139" s="238"/>
      <c r="BG139" s="251"/>
      <c r="BJ139" s="237"/>
      <c r="BK139" s="237"/>
      <c r="BL139" s="229"/>
      <c r="BM139" s="251"/>
      <c r="BO139" s="238"/>
      <c r="BP139" s="251"/>
      <c r="BS139" s="237"/>
      <c r="BT139" s="237"/>
      <c r="BU139" s="229"/>
      <c r="BV139" s="251"/>
      <c r="BX139" s="238"/>
      <c r="BY139" s="251"/>
      <c r="CB139" s="237"/>
      <c r="CC139" s="237"/>
      <c r="CD139" s="229"/>
      <c r="CE139" s="251"/>
      <c r="CG139" s="238"/>
      <c r="CH139" s="251"/>
      <c r="CK139" s="237"/>
      <c r="CL139" s="237"/>
      <c r="CM139" s="229"/>
      <c r="CN139" s="251"/>
      <c r="CP139" s="238"/>
      <c r="CQ139" s="251"/>
      <c r="CT139" s="237"/>
      <c r="CU139" s="237"/>
      <c r="CV139" s="229"/>
      <c r="CW139" s="251"/>
      <c r="CY139" s="238"/>
      <c r="CZ139" s="251"/>
      <c r="DC139" s="237"/>
      <c r="DD139" s="237"/>
      <c r="DE139" s="229"/>
      <c r="DF139" s="251"/>
      <c r="DH139" s="238"/>
      <c r="DI139" s="251"/>
      <c r="DL139" s="237"/>
      <c r="DM139" s="237"/>
      <c r="DN139" s="229"/>
      <c r="DO139" s="251"/>
      <c r="DQ139" s="238"/>
      <c r="DR139" s="251"/>
      <c r="DU139" s="237"/>
      <c r="DV139" s="237"/>
      <c r="DW139" s="229"/>
      <c r="DX139" s="251"/>
      <c r="DZ139" s="238"/>
      <c r="EA139" s="251"/>
      <c r="ED139" s="237"/>
      <c r="EE139" s="237"/>
      <c r="EF139" s="229"/>
      <c r="EG139" s="251"/>
      <c r="EI139" s="238"/>
      <c r="EJ139" s="251"/>
      <c r="EM139" s="237"/>
      <c r="EN139" s="237"/>
      <c r="EO139" s="229"/>
      <c r="EP139" s="251"/>
      <c r="ER139" s="238"/>
      <c r="ES139" s="251"/>
      <c r="EV139" s="237"/>
      <c r="EW139" s="237"/>
      <c r="EX139" s="229"/>
      <c r="EY139" s="251"/>
      <c r="FA139" s="238"/>
      <c r="FB139" s="251"/>
      <c r="FE139" s="237"/>
      <c r="FF139" s="237"/>
      <c r="FG139" s="229"/>
      <c r="FH139" s="251"/>
      <c r="FJ139" s="238"/>
      <c r="FK139" s="251"/>
      <c r="FN139" s="237"/>
      <c r="FO139" s="237"/>
      <c r="FP139" s="229"/>
      <c r="FQ139" s="251"/>
      <c r="FS139" s="238"/>
      <c r="FT139" s="251"/>
      <c r="FW139" s="237"/>
      <c r="FX139" s="237"/>
      <c r="FY139" s="229"/>
      <c r="FZ139" s="251"/>
      <c r="GB139" s="238"/>
      <c r="GC139" s="251"/>
      <c r="GF139" s="237"/>
      <c r="GG139" s="237"/>
      <c r="GH139" s="229"/>
      <c r="GI139" s="251"/>
      <c r="GK139" s="238"/>
      <c r="GL139" s="251"/>
      <c r="GO139" s="237"/>
      <c r="GP139" s="237"/>
      <c r="GQ139" s="229"/>
      <c r="GR139" s="251"/>
      <c r="GT139" s="238"/>
      <c r="GU139" s="251"/>
      <c r="GX139" s="237"/>
      <c r="GY139" s="237"/>
      <c r="GZ139" s="229"/>
      <c r="HA139" s="251"/>
      <c r="HC139" s="238"/>
      <c r="HD139" s="251"/>
      <c r="HG139" s="237"/>
      <c r="HH139" s="237"/>
      <c r="HI139" s="229"/>
      <c r="HJ139" s="251"/>
      <c r="HL139" s="238"/>
      <c r="HM139" s="251"/>
      <c r="HP139" s="237"/>
      <c r="HQ139" s="237"/>
      <c r="HR139" s="229"/>
      <c r="HS139" s="251"/>
      <c r="HU139" s="238"/>
      <c r="HV139" s="251"/>
      <c r="HY139" s="237"/>
      <c r="HZ139" s="237"/>
      <c r="IA139" s="229"/>
    </row>
    <row r="140" spans="2:235" s="233" customFormat="1" ht="12.75">
      <c r="B140" s="282" t="s">
        <v>113</v>
      </c>
      <c r="C140" s="229"/>
      <c r="D140" s="237" t="s">
        <v>158</v>
      </c>
      <c r="E140" s="264" t="s">
        <v>176</v>
      </c>
      <c r="F140" s="642">
        <v>145</v>
      </c>
      <c r="G140" s="231" t="s">
        <v>107</v>
      </c>
      <c r="H140" s="238"/>
      <c r="I140" s="229"/>
      <c r="J140" s="232"/>
      <c r="K140" s="237"/>
      <c r="L140" s="229"/>
      <c r="N140" s="238"/>
      <c r="O140" s="251"/>
      <c r="Q140" s="237"/>
      <c r="R140" s="237"/>
      <c r="S140" s="229"/>
      <c r="T140" s="251"/>
      <c r="V140" s="238"/>
      <c r="W140" s="251"/>
      <c r="Z140" s="237"/>
      <c r="AA140" s="237"/>
      <c r="AB140" s="229"/>
      <c r="AC140" s="251"/>
      <c r="AE140" s="238"/>
      <c r="AF140" s="251"/>
      <c r="AI140" s="237"/>
      <c r="AJ140" s="237"/>
      <c r="AK140" s="229"/>
      <c r="AL140" s="251"/>
      <c r="AN140" s="238"/>
      <c r="AO140" s="251"/>
      <c r="AR140" s="237"/>
      <c r="AS140" s="237"/>
      <c r="AT140" s="229"/>
      <c r="AU140" s="251"/>
      <c r="AW140" s="238"/>
      <c r="AX140" s="251"/>
      <c r="BA140" s="237"/>
      <c r="BB140" s="237"/>
      <c r="BC140" s="229"/>
      <c r="BD140" s="251"/>
      <c r="BF140" s="238"/>
      <c r="BG140" s="251"/>
      <c r="BJ140" s="237"/>
      <c r="BK140" s="237"/>
      <c r="BL140" s="229"/>
      <c r="BM140" s="251"/>
      <c r="BO140" s="238"/>
      <c r="BP140" s="251"/>
      <c r="BS140" s="237"/>
      <c r="BT140" s="237"/>
      <c r="BU140" s="229"/>
      <c r="BV140" s="251"/>
      <c r="BX140" s="238"/>
      <c r="BY140" s="251"/>
      <c r="CB140" s="237"/>
      <c r="CC140" s="237"/>
      <c r="CD140" s="229"/>
      <c r="CE140" s="251"/>
      <c r="CG140" s="238"/>
      <c r="CH140" s="251"/>
      <c r="CK140" s="237"/>
      <c r="CL140" s="237"/>
      <c r="CM140" s="229"/>
      <c r="CN140" s="251"/>
      <c r="CP140" s="238"/>
      <c r="CQ140" s="251"/>
      <c r="CT140" s="237"/>
      <c r="CU140" s="237"/>
      <c r="CV140" s="229"/>
      <c r="CW140" s="251"/>
      <c r="CY140" s="238"/>
      <c r="CZ140" s="251"/>
      <c r="DC140" s="237"/>
      <c r="DD140" s="237"/>
      <c r="DE140" s="229"/>
      <c r="DF140" s="251"/>
      <c r="DH140" s="238"/>
      <c r="DI140" s="251"/>
      <c r="DL140" s="237"/>
      <c r="DM140" s="237"/>
      <c r="DN140" s="229"/>
      <c r="DO140" s="251"/>
      <c r="DQ140" s="238"/>
      <c r="DR140" s="251"/>
      <c r="DU140" s="237"/>
      <c r="DV140" s="237"/>
      <c r="DW140" s="229"/>
      <c r="DX140" s="251"/>
      <c r="DZ140" s="238"/>
      <c r="EA140" s="251"/>
      <c r="ED140" s="237"/>
      <c r="EE140" s="237"/>
      <c r="EF140" s="229"/>
      <c r="EG140" s="251"/>
      <c r="EI140" s="238"/>
      <c r="EJ140" s="251"/>
      <c r="EM140" s="237"/>
      <c r="EN140" s="237"/>
      <c r="EO140" s="229"/>
      <c r="EP140" s="251"/>
      <c r="ER140" s="238"/>
      <c r="ES140" s="251"/>
      <c r="EV140" s="237"/>
      <c r="EW140" s="237"/>
      <c r="EX140" s="229"/>
      <c r="EY140" s="251"/>
      <c r="FA140" s="238"/>
      <c r="FB140" s="251"/>
      <c r="FE140" s="237"/>
      <c r="FF140" s="237"/>
      <c r="FG140" s="229"/>
      <c r="FH140" s="251"/>
      <c r="FJ140" s="238"/>
      <c r="FK140" s="251"/>
      <c r="FN140" s="237"/>
      <c r="FO140" s="237"/>
      <c r="FP140" s="229"/>
      <c r="FQ140" s="251"/>
      <c r="FS140" s="238"/>
      <c r="FT140" s="251"/>
      <c r="FW140" s="237"/>
      <c r="FX140" s="237"/>
      <c r="FY140" s="229"/>
      <c r="FZ140" s="251"/>
      <c r="GB140" s="238"/>
      <c r="GC140" s="251"/>
      <c r="GF140" s="237"/>
      <c r="GG140" s="237"/>
      <c r="GH140" s="229"/>
      <c r="GI140" s="251"/>
      <c r="GK140" s="238"/>
      <c r="GL140" s="251"/>
      <c r="GO140" s="237"/>
      <c r="GP140" s="237"/>
      <c r="GQ140" s="229"/>
      <c r="GR140" s="251"/>
      <c r="GT140" s="238"/>
      <c r="GU140" s="251"/>
      <c r="GX140" s="237"/>
      <c r="GY140" s="237"/>
      <c r="GZ140" s="229"/>
      <c r="HA140" s="251"/>
      <c r="HC140" s="238"/>
      <c r="HD140" s="251"/>
      <c r="HG140" s="237"/>
      <c r="HH140" s="237"/>
      <c r="HI140" s="229"/>
      <c r="HJ140" s="251"/>
      <c r="HL140" s="238"/>
      <c r="HM140" s="251"/>
      <c r="HP140" s="237"/>
      <c r="HQ140" s="237"/>
      <c r="HR140" s="229"/>
      <c r="HS140" s="251"/>
      <c r="HU140" s="238"/>
      <c r="HV140" s="251"/>
      <c r="HY140" s="237"/>
      <c r="HZ140" s="237"/>
      <c r="IA140" s="229"/>
    </row>
    <row r="141" spans="2:235" s="233" customFormat="1" ht="12.75">
      <c r="B141" s="229"/>
      <c r="C141" s="229"/>
      <c r="D141" s="229"/>
      <c r="E141" s="229" t="s">
        <v>177</v>
      </c>
      <c r="F141" s="664">
        <f>145-63</f>
        <v>82</v>
      </c>
      <c r="G141" s="229" t="s">
        <v>107</v>
      </c>
      <c r="H141" s="238"/>
      <c r="I141" s="229"/>
      <c r="J141" s="232"/>
      <c r="K141" s="237"/>
      <c r="L141" s="229"/>
      <c r="N141" s="238"/>
      <c r="O141" s="251"/>
      <c r="Q141" s="237"/>
      <c r="R141" s="237"/>
      <c r="S141" s="229"/>
      <c r="T141" s="251"/>
      <c r="V141" s="238"/>
      <c r="W141" s="251"/>
      <c r="Z141" s="237"/>
      <c r="AA141" s="237"/>
      <c r="AB141" s="229"/>
      <c r="AC141" s="251"/>
      <c r="AE141" s="238"/>
      <c r="AF141" s="251"/>
      <c r="AI141" s="237"/>
      <c r="AJ141" s="237"/>
      <c r="AK141" s="229"/>
      <c r="AL141" s="251"/>
      <c r="AN141" s="238"/>
      <c r="AO141" s="251"/>
      <c r="AR141" s="237"/>
      <c r="AS141" s="237"/>
      <c r="AT141" s="229"/>
      <c r="AU141" s="251"/>
      <c r="AW141" s="238"/>
      <c r="AX141" s="251"/>
      <c r="BA141" s="237"/>
      <c r="BB141" s="237"/>
      <c r="BC141" s="229"/>
      <c r="BD141" s="251"/>
      <c r="BF141" s="238"/>
      <c r="BG141" s="251"/>
      <c r="BJ141" s="237"/>
      <c r="BK141" s="237"/>
      <c r="BL141" s="229"/>
      <c r="BM141" s="251"/>
      <c r="BO141" s="238"/>
      <c r="BP141" s="251"/>
      <c r="BS141" s="237"/>
      <c r="BT141" s="237"/>
      <c r="BU141" s="229"/>
      <c r="BV141" s="251"/>
      <c r="BX141" s="238"/>
      <c r="BY141" s="251"/>
      <c r="CB141" s="237"/>
      <c r="CC141" s="237"/>
      <c r="CD141" s="229"/>
      <c r="CE141" s="251"/>
      <c r="CG141" s="238"/>
      <c r="CH141" s="251"/>
      <c r="CK141" s="237"/>
      <c r="CL141" s="237"/>
      <c r="CM141" s="229"/>
      <c r="CN141" s="251"/>
      <c r="CP141" s="238"/>
      <c r="CQ141" s="251"/>
      <c r="CT141" s="237"/>
      <c r="CU141" s="237"/>
      <c r="CV141" s="229"/>
      <c r="CW141" s="251"/>
      <c r="CY141" s="238"/>
      <c r="CZ141" s="251"/>
      <c r="DC141" s="237"/>
      <c r="DD141" s="237"/>
      <c r="DE141" s="229"/>
      <c r="DF141" s="251"/>
      <c r="DH141" s="238"/>
      <c r="DI141" s="251"/>
      <c r="DL141" s="237"/>
      <c r="DM141" s="237"/>
      <c r="DN141" s="229"/>
      <c r="DO141" s="251"/>
      <c r="DQ141" s="238"/>
      <c r="DR141" s="251"/>
      <c r="DU141" s="237"/>
      <c r="DV141" s="237"/>
      <c r="DW141" s="229"/>
      <c r="DX141" s="251"/>
      <c r="DZ141" s="238"/>
      <c r="EA141" s="251"/>
      <c r="ED141" s="237"/>
      <c r="EE141" s="237"/>
      <c r="EF141" s="229"/>
      <c r="EG141" s="251"/>
      <c r="EI141" s="238"/>
      <c r="EJ141" s="251"/>
      <c r="EM141" s="237"/>
      <c r="EN141" s="237"/>
      <c r="EO141" s="229"/>
      <c r="EP141" s="251"/>
      <c r="ER141" s="238"/>
      <c r="ES141" s="251"/>
      <c r="EV141" s="237"/>
      <c r="EW141" s="237"/>
      <c r="EX141" s="229"/>
      <c r="EY141" s="251"/>
      <c r="FA141" s="238"/>
      <c r="FB141" s="251"/>
      <c r="FE141" s="237"/>
      <c r="FF141" s="237"/>
      <c r="FG141" s="229"/>
      <c r="FH141" s="251"/>
      <c r="FJ141" s="238"/>
      <c r="FK141" s="251"/>
      <c r="FN141" s="237"/>
      <c r="FO141" s="237"/>
      <c r="FP141" s="229"/>
      <c r="FQ141" s="251"/>
      <c r="FS141" s="238"/>
      <c r="FT141" s="251"/>
      <c r="FW141" s="237"/>
      <c r="FX141" s="237"/>
      <c r="FY141" s="229"/>
      <c r="FZ141" s="251"/>
      <c r="GB141" s="238"/>
      <c r="GC141" s="251"/>
      <c r="GF141" s="237"/>
      <c r="GG141" s="237"/>
      <c r="GH141" s="229"/>
      <c r="GI141" s="251"/>
      <c r="GK141" s="238"/>
      <c r="GL141" s="251"/>
      <c r="GO141" s="237"/>
      <c r="GP141" s="237"/>
      <c r="GQ141" s="229"/>
      <c r="GR141" s="251"/>
      <c r="GT141" s="238"/>
      <c r="GU141" s="251"/>
      <c r="GX141" s="237"/>
      <c r="GY141" s="237"/>
      <c r="GZ141" s="229"/>
      <c r="HA141" s="251"/>
      <c r="HC141" s="238"/>
      <c r="HD141" s="251"/>
      <c r="HG141" s="237"/>
      <c r="HH141" s="237"/>
      <c r="HI141" s="229"/>
      <c r="HJ141" s="251"/>
      <c r="HL141" s="238"/>
      <c r="HM141" s="251"/>
      <c r="HP141" s="237"/>
      <c r="HQ141" s="237"/>
      <c r="HR141" s="229"/>
      <c r="HS141" s="251"/>
      <c r="HU141" s="238"/>
      <c r="HV141" s="251"/>
      <c r="HY141" s="237"/>
      <c r="HZ141" s="237"/>
      <c r="IA141" s="229"/>
    </row>
    <row r="142" spans="2:235" s="233" customFormat="1" ht="12.75" customHeight="1">
      <c r="B142" s="282" t="s">
        <v>148</v>
      </c>
      <c r="C142" s="229"/>
      <c r="D142" s="237"/>
      <c r="E142" s="264"/>
      <c r="F142" s="642">
        <v>93</v>
      </c>
      <c r="G142" s="231" t="s">
        <v>107</v>
      </c>
      <c r="H142" s="238"/>
      <c r="I142" s="229"/>
      <c r="J142" s="232"/>
      <c r="K142" s="237"/>
      <c r="L142" s="229"/>
      <c r="N142" s="238"/>
      <c r="O142" s="251"/>
      <c r="Q142" s="237"/>
      <c r="R142" s="237"/>
      <c r="S142" s="229"/>
      <c r="T142" s="251"/>
      <c r="V142" s="238"/>
      <c r="W142" s="251"/>
      <c r="Z142" s="237"/>
      <c r="AA142" s="237"/>
      <c r="AB142" s="229"/>
      <c r="AC142" s="251"/>
      <c r="AE142" s="238"/>
      <c r="AF142" s="251"/>
      <c r="AI142" s="237"/>
      <c r="AJ142" s="237"/>
      <c r="AK142" s="229"/>
      <c r="AL142" s="251"/>
      <c r="AN142" s="238"/>
      <c r="AO142" s="251"/>
      <c r="AR142" s="237"/>
      <c r="AS142" s="237"/>
      <c r="AT142" s="229"/>
      <c r="AU142" s="251"/>
      <c r="AW142" s="238"/>
      <c r="AX142" s="251"/>
      <c r="BA142" s="237"/>
      <c r="BB142" s="237"/>
      <c r="BC142" s="229"/>
      <c r="BD142" s="251"/>
      <c r="BF142" s="238"/>
      <c r="BG142" s="251"/>
      <c r="BJ142" s="237"/>
      <c r="BK142" s="237"/>
      <c r="BL142" s="229"/>
      <c r="BM142" s="251"/>
      <c r="BO142" s="238"/>
      <c r="BP142" s="251"/>
      <c r="BS142" s="237"/>
      <c r="BT142" s="237"/>
      <c r="BU142" s="229"/>
      <c r="BV142" s="251"/>
      <c r="BX142" s="238"/>
      <c r="BY142" s="251"/>
      <c r="CB142" s="237"/>
      <c r="CC142" s="237"/>
      <c r="CD142" s="229"/>
      <c r="CE142" s="251"/>
      <c r="CG142" s="238"/>
      <c r="CH142" s="251"/>
      <c r="CK142" s="237"/>
      <c r="CL142" s="237"/>
      <c r="CM142" s="229"/>
      <c r="CN142" s="251"/>
      <c r="CP142" s="238"/>
      <c r="CQ142" s="251"/>
      <c r="CT142" s="237"/>
      <c r="CU142" s="237"/>
      <c r="CV142" s="229"/>
      <c r="CW142" s="251"/>
      <c r="CY142" s="238"/>
      <c r="CZ142" s="251"/>
      <c r="DC142" s="237"/>
      <c r="DD142" s="237"/>
      <c r="DE142" s="229"/>
      <c r="DF142" s="251"/>
      <c r="DH142" s="238"/>
      <c r="DI142" s="251"/>
      <c r="DL142" s="237"/>
      <c r="DM142" s="237"/>
      <c r="DN142" s="229"/>
      <c r="DO142" s="251"/>
      <c r="DQ142" s="238"/>
      <c r="DR142" s="251"/>
      <c r="DU142" s="237"/>
      <c r="DV142" s="237"/>
      <c r="DW142" s="229"/>
      <c r="DX142" s="251"/>
      <c r="DZ142" s="238"/>
      <c r="EA142" s="251"/>
      <c r="ED142" s="237"/>
      <c r="EE142" s="237"/>
      <c r="EF142" s="229"/>
      <c r="EG142" s="251"/>
      <c r="EI142" s="238"/>
      <c r="EJ142" s="251"/>
      <c r="EM142" s="237"/>
      <c r="EN142" s="237"/>
      <c r="EO142" s="229"/>
      <c r="EP142" s="251"/>
      <c r="ER142" s="238"/>
      <c r="ES142" s="251"/>
      <c r="EV142" s="237"/>
      <c r="EW142" s="237"/>
      <c r="EX142" s="229"/>
      <c r="EY142" s="251"/>
      <c r="FA142" s="238"/>
      <c r="FB142" s="251"/>
      <c r="FE142" s="237"/>
      <c r="FF142" s="237"/>
      <c r="FG142" s="229"/>
      <c r="FH142" s="251"/>
      <c r="FJ142" s="238"/>
      <c r="FK142" s="251"/>
      <c r="FN142" s="237"/>
      <c r="FO142" s="237"/>
      <c r="FP142" s="229"/>
      <c r="FQ142" s="251"/>
      <c r="FS142" s="238"/>
      <c r="FT142" s="251"/>
      <c r="FW142" s="237"/>
      <c r="FX142" s="237"/>
      <c r="FY142" s="229"/>
      <c r="FZ142" s="251"/>
      <c r="GB142" s="238"/>
      <c r="GC142" s="251"/>
      <c r="GF142" s="237"/>
      <c r="GG142" s="237"/>
      <c r="GH142" s="229"/>
      <c r="GI142" s="251"/>
      <c r="GK142" s="238"/>
      <c r="GL142" s="251"/>
      <c r="GO142" s="237"/>
      <c r="GP142" s="237"/>
      <c r="GQ142" s="229"/>
      <c r="GR142" s="251"/>
      <c r="GT142" s="238"/>
      <c r="GU142" s="251"/>
      <c r="GX142" s="237"/>
      <c r="GY142" s="237"/>
      <c r="GZ142" s="229"/>
      <c r="HA142" s="251"/>
      <c r="HC142" s="238"/>
      <c r="HD142" s="251"/>
      <c r="HG142" s="237"/>
      <c r="HH142" s="237"/>
      <c r="HI142" s="229"/>
      <c r="HJ142" s="251"/>
      <c r="HL142" s="238"/>
      <c r="HM142" s="251"/>
      <c r="HP142" s="237"/>
      <c r="HQ142" s="237"/>
      <c r="HR142" s="229"/>
      <c r="HS142" s="251"/>
      <c r="HU142" s="238"/>
      <c r="HV142" s="251"/>
      <c r="HY142" s="237"/>
      <c r="HZ142" s="237"/>
      <c r="IA142" s="229"/>
    </row>
    <row r="143" spans="2:235" s="233" customFormat="1" ht="12.75" customHeight="1">
      <c r="B143" s="282" t="s">
        <v>114</v>
      </c>
      <c r="C143" s="229"/>
      <c r="D143" s="237" t="s">
        <v>159</v>
      </c>
      <c r="E143" s="264"/>
      <c r="F143" s="642">
        <f>12*2</f>
        <v>24</v>
      </c>
      <c r="G143" s="231" t="s">
        <v>107</v>
      </c>
      <c r="H143" s="238"/>
      <c r="I143" s="229"/>
      <c r="J143" s="232"/>
      <c r="K143" s="237"/>
      <c r="L143" s="229"/>
      <c r="N143" s="238"/>
      <c r="O143" s="251"/>
      <c r="Q143" s="237"/>
      <c r="R143" s="237"/>
      <c r="S143" s="229"/>
      <c r="T143" s="251"/>
      <c r="V143" s="238"/>
      <c r="W143" s="251"/>
      <c r="Z143" s="237"/>
      <c r="AA143" s="237"/>
      <c r="AB143" s="229"/>
      <c r="AC143" s="251"/>
      <c r="AE143" s="238"/>
      <c r="AF143" s="251"/>
      <c r="AI143" s="237"/>
      <c r="AJ143" s="237"/>
      <c r="AK143" s="229"/>
      <c r="AL143" s="251"/>
      <c r="AN143" s="238"/>
      <c r="AO143" s="251"/>
      <c r="AR143" s="237"/>
      <c r="AS143" s="237"/>
      <c r="AT143" s="229"/>
      <c r="AU143" s="251"/>
      <c r="AW143" s="238"/>
      <c r="AX143" s="251"/>
      <c r="BA143" s="237"/>
      <c r="BB143" s="237"/>
      <c r="BC143" s="229"/>
      <c r="BD143" s="251"/>
      <c r="BF143" s="238"/>
      <c r="BG143" s="251"/>
      <c r="BJ143" s="237"/>
      <c r="BK143" s="237"/>
      <c r="BL143" s="229"/>
      <c r="BM143" s="251"/>
      <c r="BO143" s="238"/>
      <c r="BP143" s="251"/>
      <c r="BS143" s="237"/>
      <c r="BT143" s="237"/>
      <c r="BU143" s="229"/>
      <c r="BV143" s="251"/>
      <c r="BX143" s="238"/>
      <c r="BY143" s="251"/>
      <c r="CB143" s="237"/>
      <c r="CC143" s="237"/>
      <c r="CD143" s="229"/>
      <c r="CE143" s="251"/>
      <c r="CG143" s="238"/>
      <c r="CH143" s="251"/>
      <c r="CK143" s="237"/>
      <c r="CL143" s="237"/>
      <c r="CM143" s="229"/>
      <c r="CN143" s="251"/>
      <c r="CP143" s="238"/>
      <c r="CQ143" s="251"/>
      <c r="CT143" s="237"/>
      <c r="CU143" s="237"/>
      <c r="CV143" s="229"/>
      <c r="CW143" s="251"/>
      <c r="CY143" s="238"/>
      <c r="CZ143" s="251"/>
      <c r="DC143" s="237"/>
      <c r="DD143" s="237"/>
      <c r="DE143" s="229"/>
      <c r="DF143" s="251"/>
      <c r="DH143" s="238"/>
      <c r="DI143" s="251"/>
      <c r="DL143" s="237"/>
      <c r="DM143" s="237"/>
      <c r="DN143" s="229"/>
      <c r="DO143" s="251"/>
      <c r="DQ143" s="238"/>
      <c r="DR143" s="251"/>
      <c r="DU143" s="237"/>
      <c r="DV143" s="237"/>
      <c r="DW143" s="229"/>
      <c r="DX143" s="251"/>
      <c r="DZ143" s="238"/>
      <c r="EA143" s="251"/>
      <c r="ED143" s="237"/>
      <c r="EE143" s="237"/>
      <c r="EF143" s="229"/>
      <c r="EG143" s="251"/>
      <c r="EI143" s="238"/>
      <c r="EJ143" s="251"/>
      <c r="EM143" s="237"/>
      <c r="EN143" s="237"/>
      <c r="EO143" s="229"/>
      <c r="EP143" s="251"/>
      <c r="ER143" s="238"/>
      <c r="ES143" s="251"/>
      <c r="EV143" s="237"/>
      <c r="EW143" s="237"/>
      <c r="EX143" s="229"/>
      <c r="EY143" s="251"/>
      <c r="FA143" s="238"/>
      <c r="FB143" s="251"/>
      <c r="FE143" s="237"/>
      <c r="FF143" s="237"/>
      <c r="FG143" s="229"/>
      <c r="FH143" s="251"/>
      <c r="FJ143" s="238"/>
      <c r="FK143" s="251"/>
      <c r="FN143" s="237"/>
      <c r="FO143" s="237"/>
      <c r="FP143" s="229"/>
      <c r="FQ143" s="251"/>
      <c r="FS143" s="238"/>
      <c r="FT143" s="251"/>
      <c r="FW143" s="237"/>
      <c r="FX143" s="237"/>
      <c r="FY143" s="229"/>
      <c r="FZ143" s="251"/>
      <c r="GB143" s="238"/>
      <c r="GC143" s="251"/>
      <c r="GF143" s="237"/>
      <c r="GG143" s="237"/>
      <c r="GH143" s="229"/>
      <c r="GI143" s="251"/>
      <c r="GK143" s="238"/>
      <c r="GL143" s="251"/>
      <c r="GO143" s="237"/>
      <c r="GP143" s="237"/>
      <c r="GQ143" s="229"/>
      <c r="GR143" s="251"/>
      <c r="GT143" s="238"/>
      <c r="GU143" s="251"/>
      <c r="GX143" s="237"/>
      <c r="GY143" s="237"/>
      <c r="GZ143" s="229"/>
      <c r="HA143" s="251"/>
      <c r="HC143" s="238"/>
      <c r="HD143" s="251"/>
      <c r="HG143" s="237"/>
      <c r="HH143" s="237"/>
      <c r="HI143" s="229"/>
      <c r="HJ143" s="251"/>
      <c r="HL143" s="238"/>
      <c r="HM143" s="251"/>
      <c r="HP143" s="237"/>
      <c r="HQ143" s="237"/>
      <c r="HR143" s="229"/>
      <c r="HS143" s="251"/>
      <c r="HU143" s="238"/>
      <c r="HV143" s="251"/>
      <c r="HY143" s="237"/>
      <c r="HZ143" s="237"/>
      <c r="IA143" s="229"/>
    </row>
    <row r="144" spans="2:235" s="233" customFormat="1" ht="12.75">
      <c r="B144" s="282"/>
      <c r="C144" s="229"/>
      <c r="D144" s="237"/>
      <c r="E144" s="264"/>
      <c r="F144" s="642"/>
      <c r="G144" s="231"/>
      <c r="H144" s="229"/>
      <c r="I144" s="229"/>
      <c r="J144" s="232"/>
      <c r="K144" s="237"/>
      <c r="L144" s="229"/>
      <c r="N144" s="238"/>
      <c r="O144" s="251"/>
      <c r="Q144" s="237"/>
      <c r="R144" s="237"/>
      <c r="S144" s="229"/>
      <c r="T144" s="251"/>
      <c r="V144" s="238"/>
      <c r="W144" s="251"/>
      <c r="Z144" s="237"/>
      <c r="AA144" s="237"/>
      <c r="AB144" s="229"/>
      <c r="AC144" s="251"/>
      <c r="AE144" s="238"/>
      <c r="AF144" s="251"/>
      <c r="AI144" s="237"/>
      <c r="AJ144" s="237"/>
      <c r="AK144" s="229"/>
      <c r="AL144" s="251"/>
      <c r="AN144" s="238"/>
      <c r="AO144" s="251"/>
      <c r="AR144" s="237"/>
      <c r="AS144" s="237"/>
      <c r="AT144" s="229"/>
      <c r="AU144" s="251"/>
      <c r="AW144" s="238"/>
      <c r="AX144" s="251"/>
      <c r="BA144" s="237"/>
      <c r="BB144" s="237"/>
      <c r="BC144" s="229"/>
      <c r="BD144" s="251"/>
      <c r="BF144" s="238"/>
      <c r="BG144" s="251"/>
      <c r="BJ144" s="237"/>
      <c r="BK144" s="237"/>
      <c r="BL144" s="229"/>
      <c r="BM144" s="251"/>
      <c r="BO144" s="238"/>
      <c r="BP144" s="251"/>
      <c r="BS144" s="237"/>
      <c r="BT144" s="237"/>
      <c r="BU144" s="229"/>
      <c r="BV144" s="251"/>
      <c r="BX144" s="238"/>
      <c r="BY144" s="251"/>
      <c r="CB144" s="237"/>
      <c r="CC144" s="237"/>
      <c r="CD144" s="229"/>
      <c r="CE144" s="251"/>
      <c r="CG144" s="238"/>
      <c r="CH144" s="251"/>
      <c r="CK144" s="237"/>
      <c r="CL144" s="237"/>
      <c r="CM144" s="229"/>
      <c r="CN144" s="251"/>
      <c r="CP144" s="238"/>
      <c r="CQ144" s="251"/>
      <c r="CT144" s="237"/>
      <c r="CU144" s="237"/>
      <c r="CV144" s="229"/>
      <c r="CW144" s="251"/>
      <c r="CY144" s="238"/>
      <c r="CZ144" s="251"/>
      <c r="DC144" s="237"/>
      <c r="DD144" s="237"/>
      <c r="DE144" s="229"/>
      <c r="DF144" s="251"/>
      <c r="DH144" s="238"/>
      <c r="DI144" s="251"/>
      <c r="DL144" s="237"/>
      <c r="DM144" s="237"/>
      <c r="DN144" s="229"/>
      <c r="DO144" s="251"/>
      <c r="DQ144" s="238"/>
      <c r="DR144" s="251"/>
      <c r="DU144" s="237"/>
      <c r="DV144" s="237"/>
      <c r="DW144" s="229"/>
      <c r="DX144" s="251"/>
      <c r="DZ144" s="238"/>
      <c r="EA144" s="251"/>
      <c r="ED144" s="237"/>
      <c r="EE144" s="237"/>
      <c r="EF144" s="229"/>
      <c r="EG144" s="251"/>
      <c r="EI144" s="238"/>
      <c r="EJ144" s="251"/>
      <c r="EM144" s="237"/>
      <c r="EN144" s="237"/>
      <c r="EO144" s="229"/>
      <c r="EP144" s="251"/>
      <c r="ER144" s="238"/>
      <c r="ES144" s="251"/>
      <c r="EV144" s="237"/>
      <c r="EW144" s="237"/>
      <c r="EX144" s="229"/>
      <c r="EY144" s="251"/>
      <c r="FA144" s="238"/>
      <c r="FB144" s="251"/>
      <c r="FE144" s="237"/>
      <c r="FF144" s="237"/>
      <c r="FG144" s="229"/>
      <c r="FH144" s="251"/>
      <c r="FJ144" s="238"/>
      <c r="FK144" s="251"/>
      <c r="FN144" s="237"/>
      <c r="FO144" s="237"/>
      <c r="FP144" s="229"/>
      <c r="FQ144" s="251"/>
      <c r="FS144" s="238"/>
      <c r="FT144" s="251"/>
      <c r="FW144" s="237"/>
      <c r="FX144" s="237"/>
      <c r="FY144" s="229"/>
      <c r="FZ144" s="251"/>
      <c r="GB144" s="238"/>
      <c r="GC144" s="251"/>
      <c r="GF144" s="237"/>
      <c r="GG144" s="237"/>
      <c r="GH144" s="229"/>
      <c r="GI144" s="251"/>
      <c r="GK144" s="238"/>
      <c r="GL144" s="251"/>
      <c r="GO144" s="237"/>
      <c r="GP144" s="237"/>
      <c r="GQ144" s="229"/>
      <c r="GR144" s="251"/>
      <c r="GT144" s="238"/>
      <c r="GU144" s="251"/>
      <c r="GX144" s="237"/>
      <c r="GY144" s="237"/>
      <c r="GZ144" s="229"/>
      <c r="HA144" s="251"/>
      <c r="HC144" s="238"/>
      <c r="HD144" s="251"/>
      <c r="HG144" s="237"/>
      <c r="HH144" s="237"/>
      <c r="HI144" s="229"/>
      <c r="HJ144" s="251"/>
      <c r="HL144" s="238"/>
      <c r="HM144" s="251"/>
      <c r="HP144" s="237"/>
      <c r="HQ144" s="237"/>
      <c r="HR144" s="229"/>
      <c r="HS144" s="251"/>
      <c r="HU144" s="238"/>
      <c r="HV144" s="251"/>
      <c r="HY144" s="237"/>
      <c r="HZ144" s="237"/>
      <c r="IA144" s="229"/>
    </row>
    <row r="145" spans="2:235" s="233" customFormat="1" ht="12.75">
      <c r="B145" s="274"/>
      <c r="C145" s="232"/>
      <c r="D145" s="232"/>
      <c r="E145" s="264"/>
      <c r="F145" s="301"/>
      <c r="G145" s="232"/>
      <c r="H145" s="232"/>
      <c r="I145" s="232"/>
      <c r="J145" s="232"/>
      <c r="K145" s="237"/>
      <c r="L145" s="229"/>
      <c r="N145" s="238"/>
      <c r="O145" s="251"/>
      <c r="Q145" s="237"/>
      <c r="R145" s="237"/>
      <c r="S145" s="229"/>
      <c r="T145" s="251"/>
      <c r="V145" s="238"/>
      <c r="W145" s="251"/>
      <c r="Z145" s="237"/>
      <c r="AA145" s="237"/>
      <c r="AB145" s="229"/>
      <c r="AC145" s="251"/>
      <c r="AE145" s="238"/>
      <c r="AF145" s="251"/>
      <c r="AI145" s="237"/>
      <c r="AJ145" s="237"/>
      <c r="AK145" s="229"/>
      <c r="AL145" s="251"/>
      <c r="AN145" s="238"/>
      <c r="AO145" s="251"/>
      <c r="AR145" s="237"/>
      <c r="AS145" s="237"/>
      <c r="AT145" s="229"/>
      <c r="AU145" s="251"/>
      <c r="AW145" s="238"/>
      <c r="AX145" s="251"/>
      <c r="BA145" s="237"/>
      <c r="BB145" s="237"/>
      <c r="BC145" s="229"/>
      <c r="BD145" s="251"/>
      <c r="BF145" s="238"/>
      <c r="BG145" s="251"/>
      <c r="BJ145" s="237"/>
      <c r="BK145" s="237"/>
      <c r="BL145" s="229"/>
      <c r="BM145" s="251"/>
      <c r="BO145" s="238"/>
      <c r="BP145" s="251"/>
      <c r="BS145" s="237"/>
      <c r="BT145" s="237"/>
      <c r="BU145" s="229"/>
      <c r="BV145" s="251"/>
      <c r="BX145" s="238"/>
      <c r="BY145" s="251"/>
      <c r="CB145" s="237"/>
      <c r="CC145" s="237"/>
      <c r="CD145" s="229"/>
      <c r="CE145" s="251"/>
      <c r="CG145" s="238"/>
      <c r="CH145" s="251"/>
      <c r="CK145" s="237"/>
      <c r="CL145" s="237"/>
      <c r="CM145" s="229"/>
      <c r="CN145" s="251"/>
      <c r="CP145" s="238"/>
      <c r="CQ145" s="251"/>
      <c r="CT145" s="237"/>
      <c r="CU145" s="237"/>
      <c r="CV145" s="229"/>
      <c r="CW145" s="251"/>
      <c r="CY145" s="238"/>
      <c r="CZ145" s="251"/>
      <c r="DC145" s="237"/>
      <c r="DD145" s="237"/>
      <c r="DE145" s="229"/>
      <c r="DF145" s="251"/>
      <c r="DH145" s="238"/>
      <c r="DI145" s="251"/>
      <c r="DL145" s="237"/>
      <c r="DM145" s="237"/>
      <c r="DN145" s="229"/>
      <c r="DO145" s="251"/>
      <c r="DQ145" s="238"/>
      <c r="DR145" s="251"/>
      <c r="DU145" s="237"/>
      <c r="DV145" s="237"/>
      <c r="DW145" s="229"/>
      <c r="DX145" s="251"/>
      <c r="DZ145" s="238"/>
      <c r="EA145" s="251"/>
      <c r="ED145" s="237"/>
      <c r="EE145" s="237"/>
      <c r="EF145" s="229"/>
      <c r="EG145" s="251"/>
      <c r="EI145" s="238"/>
      <c r="EJ145" s="251"/>
      <c r="EM145" s="237"/>
      <c r="EN145" s="237"/>
      <c r="EO145" s="229"/>
      <c r="EP145" s="251"/>
      <c r="ER145" s="238"/>
      <c r="ES145" s="251"/>
      <c r="EV145" s="237"/>
      <c r="EW145" s="237"/>
      <c r="EX145" s="229"/>
      <c r="EY145" s="251"/>
      <c r="FA145" s="238"/>
      <c r="FB145" s="251"/>
      <c r="FE145" s="237"/>
      <c r="FF145" s="237"/>
      <c r="FG145" s="229"/>
      <c r="FH145" s="251"/>
      <c r="FJ145" s="238"/>
      <c r="FK145" s="251"/>
      <c r="FN145" s="237"/>
      <c r="FO145" s="237"/>
      <c r="FP145" s="229"/>
      <c r="FQ145" s="251"/>
      <c r="FS145" s="238"/>
      <c r="FT145" s="251"/>
      <c r="FW145" s="237"/>
      <c r="FX145" s="237"/>
      <c r="FY145" s="229"/>
      <c r="FZ145" s="251"/>
      <c r="GB145" s="238"/>
      <c r="GC145" s="251"/>
      <c r="GF145" s="237"/>
      <c r="GG145" s="237"/>
      <c r="GH145" s="229"/>
      <c r="GI145" s="251"/>
      <c r="GK145" s="238"/>
      <c r="GL145" s="251"/>
      <c r="GO145" s="237"/>
      <c r="GP145" s="237"/>
      <c r="GQ145" s="229"/>
      <c r="GR145" s="251"/>
      <c r="GT145" s="238"/>
      <c r="GU145" s="251"/>
      <c r="GX145" s="237"/>
      <c r="GY145" s="237"/>
      <c r="GZ145" s="229"/>
      <c r="HA145" s="251"/>
      <c r="HC145" s="238"/>
      <c r="HD145" s="251"/>
      <c r="HG145" s="237"/>
      <c r="HH145" s="237"/>
      <c r="HI145" s="229"/>
      <c r="HJ145" s="251"/>
      <c r="HL145" s="238"/>
      <c r="HM145" s="251"/>
      <c r="HP145" s="237"/>
      <c r="HQ145" s="237"/>
      <c r="HR145" s="229"/>
      <c r="HS145" s="251"/>
      <c r="HU145" s="238"/>
      <c r="HV145" s="251"/>
      <c r="HY145" s="237"/>
      <c r="HZ145" s="237"/>
      <c r="IA145" s="229"/>
    </row>
    <row r="146" spans="2:12" s="229" customFormat="1" ht="12.75">
      <c r="B146" s="274"/>
      <c r="E146" s="264"/>
      <c r="F146" s="301"/>
      <c r="J146" s="232"/>
      <c r="K146" s="237"/>
      <c r="L146" s="230"/>
    </row>
    <row r="147" spans="2:12" s="229" customFormat="1" ht="12.75">
      <c r="B147" s="317"/>
      <c r="C147" s="317"/>
      <c r="D147" s="317"/>
      <c r="E147" s="317"/>
      <c r="F147" s="643"/>
      <c r="G147" s="324"/>
      <c r="H147" s="324"/>
      <c r="I147" s="317"/>
      <c r="J147" s="317"/>
      <c r="K147" s="227"/>
      <c r="L147" s="230"/>
    </row>
    <row r="148" spans="2:12" s="229" customFormat="1" ht="12.75">
      <c r="B148" s="317"/>
      <c r="C148" s="317"/>
      <c r="D148" s="317"/>
      <c r="E148" s="317"/>
      <c r="F148" s="643"/>
      <c r="G148" s="324"/>
      <c r="H148" s="324"/>
      <c r="I148" s="317"/>
      <c r="J148" s="317"/>
      <c r="K148" s="237"/>
      <c r="L148" s="230"/>
    </row>
    <row r="149" spans="2:12" s="229" customFormat="1" ht="12.75">
      <c r="B149" s="317"/>
      <c r="C149" s="317"/>
      <c r="D149" s="317"/>
      <c r="E149" s="317"/>
      <c r="F149" s="643"/>
      <c r="G149" s="324"/>
      <c r="H149" s="324"/>
      <c r="I149" s="317"/>
      <c r="J149" s="317"/>
      <c r="K149" s="237"/>
      <c r="L149" s="230"/>
    </row>
    <row r="150" spans="2:12" s="229" customFormat="1" ht="12.75" customHeight="1">
      <c r="B150" s="317"/>
      <c r="C150" s="317"/>
      <c r="D150" s="317"/>
      <c r="E150" s="317"/>
      <c r="F150" s="643"/>
      <c r="G150" s="324"/>
      <c r="H150" s="324"/>
      <c r="I150" s="317"/>
      <c r="J150" s="317"/>
      <c r="K150" s="237"/>
      <c r="L150" s="230"/>
    </row>
    <row r="151" spans="2:12" s="229" customFormat="1" ht="12.75" customHeight="1">
      <c r="B151" s="287"/>
      <c r="C151" s="253"/>
      <c r="D151" s="253"/>
      <c r="E151" s="263"/>
      <c r="F151" s="301"/>
      <c r="G151" s="320"/>
      <c r="H151" s="320"/>
      <c r="I151" s="253"/>
      <c r="J151" s="253"/>
      <c r="K151" s="237"/>
      <c r="L151" s="230"/>
    </row>
    <row r="152" spans="2:12" s="229" customFormat="1" ht="12.75" customHeight="1">
      <c r="B152" s="287"/>
      <c r="C152" s="253"/>
      <c r="D152" s="253"/>
      <c r="E152" s="263"/>
      <c r="F152" s="301"/>
      <c r="G152" s="320"/>
      <c r="H152" s="320"/>
      <c r="I152" s="253"/>
      <c r="J152" s="253"/>
      <c r="K152" s="237"/>
      <c r="L152" s="230"/>
    </row>
    <row r="153" spans="2:12" s="229" customFormat="1" ht="12.75" customHeight="1">
      <c r="B153" s="287"/>
      <c r="C153" s="253"/>
      <c r="D153" s="253"/>
      <c r="E153" s="263"/>
      <c r="F153" s="301"/>
      <c r="G153" s="320"/>
      <c r="H153" s="320"/>
      <c r="I153" s="253"/>
      <c r="J153" s="253"/>
      <c r="K153" s="237"/>
      <c r="L153" s="230"/>
    </row>
    <row r="154" spans="2:12" s="229" customFormat="1" ht="12.75" customHeight="1">
      <c r="B154" s="287"/>
      <c r="C154" s="253"/>
      <c r="D154" s="253"/>
      <c r="E154" s="263"/>
      <c r="F154" s="301"/>
      <c r="G154" s="320"/>
      <c r="H154" s="320"/>
      <c r="I154" s="253"/>
      <c r="J154" s="253"/>
      <c r="K154" s="237"/>
      <c r="L154" s="230"/>
    </row>
  </sheetData>
  <sheetProtection/>
  <mergeCells count="3">
    <mergeCell ref="O4:U8"/>
    <mergeCell ref="D19:F24"/>
    <mergeCell ref="H6:K6"/>
  </mergeCells>
  <printOptions/>
  <pageMargins left="0.7086614173228347" right="0.7086614173228347" top="0.7874015748031497" bottom="0.7874015748031497" header="0.5118110236220472" footer="0.5118110236220472"/>
  <pageSetup fitToWidth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M52" sqref="M52"/>
    </sheetView>
  </sheetViews>
  <sheetFormatPr defaultColWidth="9.00390625" defaultRowHeight="12.75"/>
  <cols>
    <col min="1" max="1" width="2.875" style="147" customWidth="1"/>
    <col min="2" max="2" width="23.00390625" style="147" customWidth="1"/>
    <col min="3" max="3" width="17.625" style="174" customWidth="1"/>
    <col min="4" max="4" width="6.75390625" style="155" customWidth="1"/>
    <col min="5" max="5" width="3.875" style="145" customWidth="1"/>
    <col min="6" max="16384" width="9.125" style="147" customWidth="1"/>
  </cols>
  <sheetData>
    <row r="1" spans="2:11" s="145" customFormat="1" ht="12.75">
      <c r="B1" s="146" t="s">
        <v>204</v>
      </c>
      <c r="C1" s="147"/>
      <c r="D1" s="147"/>
      <c r="E1" s="147"/>
      <c r="J1" s="148"/>
      <c r="K1" s="148"/>
    </row>
    <row r="2" spans="2:11" s="145" customFormat="1" ht="14.25" customHeight="1">
      <c r="B2" s="149" t="s">
        <v>217</v>
      </c>
      <c r="C2" s="147"/>
      <c r="D2" s="150"/>
      <c r="E2" s="147"/>
      <c r="J2" s="148"/>
      <c r="K2" s="148"/>
    </row>
    <row r="3" spans="2:11" s="145" customFormat="1" ht="4.5" customHeight="1">
      <c r="B3" s="149"/>
      <c r="C3" s="147"/>
      <c r="D3" s="151"/>
      <c r="E3" s="147"/>
      <c r="J3" s="148"/>
      <c r="K3" s="148"/>
    </row>
    <row r="4" spans="2:11" s="145" customFormat="1" ht="12.75">
      <c r="B4" s="152" t="s">
        <v>26</v>
      </c>
      <c r="C4" s="153"/>
      <c r="D4" s="147"/>
      <c r="E4" s="147"/>
      <c r="J4" s="148"/>
      <c r="K4" s="148"/>
    </row>
    <row r="5" spans="3:11" s="145" customFormat="1" ht="6.75" customHeight="1" thickBot="1">
      <c r="C5" s="154"/>
      <c r="D5" s="155"/>
      <c r="J5" s="148"/>
      <c r="K5" s="148"/>
    </row>
    <row r="6" spans="2:11" ht="12.75">
      <c r="B6" s="156"/>
      <c r="C6" s="177" t="s">
        <v>48</v>
      </c>
      <c r="D6" s="790" t="s">
        <v>208</v>
      </c>
      <c r="E6" s="147"/>
      <c r="J6" s="148"/>
      <c r="K6" s="148"/>
    </row>
    <row r="7" spans="2:11" ht="12.75">
      <c r="B7" s="158"/>
      <c r="C7" s="178"/>
      <c r="D7" s="791"/>
      <c r="E7" s="147"/>
      <c r="I7" s="152"/>
      <c r="J7" s="148"/>
      <c r="K7" s="148"/>
    </row>
    <row r="8" spans="2:5" ht="12.75">
      <c r="B8" s="176" t="s">
        <v>27</v>
      </c>
      <c r="C8" s="179" t="s">
        <v>44</v>
      </c>
      <c r="D8" s="791"/>
      <c r="E8" s="147"/>
    </row>
    <row r="9" spans="1:5" ht="12.75">
      <c r="A9" s="161"/>
      <c r="B9" s="175" t="s">
        <v>49</v>
      </c>
      <c r="C9" s="178" t="s">
        <v>45</v>
      </c>
      <c r="D9" s="791"/>
      <c r="E9" s="147"/>
    </row>
    <row r="10" spans="1:5" ht="6" customHeight="1">
      <c r="A10" s="161"/>
      <c r="B10" s="162"/>
      <c r="C10" s="180"/>
      <c r="D10" s="792"/>
      <c r="E10" s="147"/>
    </row>
    <row r="11" spans="2:5" ht="12.75">
      <c r="B11" s="165" t="s">
        <v>28</v>
      </c>
      <c r="C11" s="181">
        <v>2</v>
      </c>
      <c r="D11" s="792"/>
      <c r="E11" s="147"/>
    </row>
    <row r="12" spans="2:5" ht="7.5" customHeight="1">
      <c r="B12" s="166"/>
      <c r="C12" s="178"/>
      <c r="D12" s="792"/>
      <c r="E12" s="147"/>
    </row>
    <row r="13" spans="2:5" ht="12.75">
      <c r="B13" s="167" t="s">
        <v>29</v>
      </c>
      <c r="C13" s="182"/>
      <c r="D13" s="792"/>
      <c r="E13" s="147"/>
    </row>
    <row r="14" spans="2:5" ht="7.5" customHeight="1">
      <c r="B14" s="168"/>
      <c r="C14" s="183"/>
      <c r="D14" s="792"/>
      <c r="E14" s="147"/>
    </row>
    <row r="15" spans="2:5" ht="12.75">
      <c r="B15" s="169" t="s">
        <v>30</v>
      </c>
      <c r="C15" s="181">
        <v>2</v>
      </c>
      <c r="D15" s="792"/>
      <c r="E15" s="147"/>
    </row>
    <row r="16" spans="2:5" ht="5.25" customHeight="1">
      <c r="B16" s="158"/>
      <c r="C16" s="181"/>
      <c r="D16" s="792"/>
      <c r="E16" s="147"/>
    </row>
    <row r="17" spans="2:5" ht="14.25" customHeight="1">
      <c r="B17" s="158" t="s">
        <v>31</v>
      </c>
      <c r="C17" s="182"/>
      <c r="D17" s="792"/>
      <c r="E17" s="147"/>
    </row>
    <row r="18" spans="2:5" ht="6" customHeight="1">
      <c r="B18" s="169"/>
      <c r="C18" s="181"/>
      <c r="D18" s="792"/>
      <c r="E18" s="147"/>
    </row>
    <row r="19" spans="2:5" ht="12.75">
      <c r="B19" s="158" t="s">
        <v>32</v>
      </c>
      <c r="C19" s="181">
        <v>2</v>
      </c>
      <c r="D19" s="792"/>
      <c r="E19" s="147"/>
    </row>
    <row r="20" spans="2:5" ht="6.75" customHeight="1">
      <c r="B20" s="158"/>
      <c r="C20" s="181"/>
      <c r="D20" s="792"/>
      <c r="E20" s="147"/>
    </row>
    <row r="21" spans="2:5" ht="12.75">
      <c r="B21" s="158" t="s">
        <v>33</v>
      </c>
      <c r="C21" s="181">
        <v>2</v>
      </c>
      <c r="D21" s="792"/>
      <c r="E21" s="147"/>
    </row>
    <row r="22" spans="2:5" ht="6.75" customHeight="1">
      <c r="B22" s="158" t="s">
        <v>34</v>
      </c>
      <c r="C22" s="181"/>
      <c r="D22" s="792"/>
      <c r="E22" s="147"/>
    </row>
    <row r="23" spans="2:5" ht="12.75">
      <c r="B23" s="158" t="s">
        <v>35</v>
      </c>
      <c r="C23" s="181">
        <v>2</v>
      </c>
      <c r="D23" s="792"/>
      <c r="E23" s="147"/>
    </row>
    <row r="24" spans="2:5" ht="6.75" customHeight="1">
      <c r="B24" s="158"/>
      <c r="C24" s="181"/>
      <c r="D24" s="792"/>
      <c r="E24" s="147"/>
    </row>
    <row r="25" spans="2:5" ht="12.75">
      <c r="B25" s="158" t="s">
        <v>36</v>
      </c>
      <c r="C25" s="181">
        <v>2</v>
      </c>
      <c r="D25" s="792"/>
      <c r="E25" s="147"/>
    </row>
    <row r="26" spans="2:5" ht="6.75" customHeight="1">
      <c r="B26" s="158"/>
      <c r="C26" s="181"/>
      <c r="D26" s="792"/>
      <c r="E26" s="147"/>
    </row>
    <row r="27" spans="2:5" ht="12.75">
      <c r="B27" s="158" t="s">
        <v>37</v>
      </c>
      <c r="C27" s="181">
        <v>2</v>
      </c>
      <c r="D27" s="792"/>
      <c r="E27" s="147"/>
    </row>
    <row r="28" spans="2:5" ht="6" customHeight="1">
      <c r="B28" s="158"/>
      <c r="C28" s="181"/>
      <c r="D28" s="792"/>
      <c r="E28" s="147"/>
    </row>
    <row r="29" spans="2:5" ht="12.75">
      <c r="B29" s="158" t="s">
        <v>38</v>
      </c>
      <c r="C29" s="182"/>
      <c r="D29" s="792"/>
      <c r="E29" s="147"/>
    </row>
    <row r="30" spans="2:5" ht="5.25" customHeight="1">
      <c r="B30" s="158"/>
      <c r="C30" s="181"/>
      <c r="D30" s="792"/>
      <c r="E30" s="147"/>
    </row>
    <row r="31" spans="2:5" ht="12.75">
      <c r="B31" s="158" t="s">
        <v>39</v>
      </c>
      <c r="C31" s="181">
        <v>1</v>
      </c>
      <c r="D31" s="792"/>
      <c r="E31" s="147"/>
    </row>
    <row r="32" spans="2:5" ht="7.5" customHeight="1">
      <c r="B32" s="158"/>
      <c r="C32" s="181"/>
      <c r="D32" s="792"/>
      <c r="E32" s="147"/>
    </row>
    <row r="33" spans="2:5" ht="12.75">
      <c r="B33" s="158" t="s">
        <v>40</v>
      </c>
      <c r="C33" s="182"/>
      <c r="D33" s="792"/>
      <c r="E33" s="147"/>
    </row>
    <row r="34" spans="2:5" ht="7.5" customHeight="1">
      <c r="B34" s="158"/>
      <c r="C34" s="181"/>
      <c r="D34" s="792"/>
      <c r="E34" s="147"/>
    </row>
    <row r="35" spans="2:5" ht="12.75">
      <c r="B35" s="158" t="s">
        <v>41</v>
      </c>
      <c r="C35" s="181">
        <v>2</v>
      </c>
      <c r="D35" s="792"/>
      <c r="E35" s="147"/>
    </row>
    <row r="36" spans="2:5" ht="6" customHeight="1">
      <c r="B36" s="170"/>
      <c r="C36" s="184"/>
      <c r="D36" s="792"/>
      <c r="E36" s="147"/>
    </row>
    <row r="37" spans="2:5" ht="12.75">
      <c r="B37" s="160" t="s">
        <v>56</v>
      </c>
      <c r="C37" s="178">
        <f>SUM(C11:C36)</f>
        <v>17</v>
      </c>
      <c r="D37" s="792"/>
      <c r="E37" s="147"/>
    </row>
    <row r="38" spans="2:4" s="145" customFormat="1" ht="12.75">
      <c r="B38" s="171"/>
      <c r="C38" s="181"/>
      <c r="D38" s="792"/>
    </row>
    <row r="39" spans="2:5" ht="12.75">
      <c r="B39" s="172" t="s">
        <v>42</v>
      </c>
      <c r="C39" s="185">
        <v>1</v>
      </c>
      <c r="D39" s="792"/>
      <c r="E39" s="147"/>
    </row>
    <row r="40" spans="2:5" ht="6.75" customHeight="1">
      <c r="B40" s="158"/>
      <c r="C40" s="181"/>
      <c r="D40" s="792"/>
      <c r="E40" s="147"/>
    </row>
    <row r="41" spans="2:5" ht="12.75">
      <c r="B41" s="173" t="s">
        <v>46</v>
      </c>
      <c r="C41" s="185" t="s">
        <v>47</v>
      </c>
      <c r="D41" s="792"/>
      <c r="E41" s="147"/>
    </row>
    <row r="42" spans="2:5" ht="6.75" customHeight="1">
      <c r="B42" s="158"/>
      <c r="C42" s="181"/>
      <c r="D42" s="792"/>
      <c r="E42" s="147"/>
    </row>
    <row r="43" spans="2:5" ht="12.75">
      <c r="B43" s="173" t="s">
        <v>65</v>
      </c>
      <c r="C43" s="186" t="s">
        <v>43</v>
      </c>
      <c r="D43" s="792"/>
      <c r="E43" s="147"/>
    </row>
    <row r="44" spans="2:5" ht="6.75" customHeight="1">
      <c r="B44" s="158"/>
      <c r="C44" s="187"/>
      <c r="D44" s="792"/>
      <c r="E44" s="147"/>
    </row>
    <row r="45" spans="2:5" ht="13.5" thickBot="1">
      <c r="B45" s="189" t="s">
        <v>50</v>
      </c>
      <c r="C45" s="188" t="s">
        <v>51</v>
      </c>
      <c r="D45" s="793"/>
      <c r="E45" s="147"/>
    </row>
    <row r="46" spans="2:5" ht="12.75">
      <c r="B46" s="145"/>
      <c r="C46" s="155"/>
      <c r="E46" s="147"/>
    </row>
    <row r="47" spans="2:5" ht="12.75">
      <c r="B47" s="145"/>
      <c r="C47" s="155"/>
      <c r="E47" s="147"/>
    </row>
    <row r="48" spans="2:5" ht="12.75">
      <c r="B48" s="145"/>
      <c r="C48" s="155"/>
      <c r="E48" s="147"/>
    </row>
    <row r="49" spans="2:5" ht="12.75">
      <c r="B49" s="155"/>
      <c r="C49" s="155"/>
      <c r="D49" s="147"/>
      <c r="E49" s="147"/>
    </row>
    <row r="50" spans="2:5" ht="12.75">
      <c r="B50" s="145"/>
      <c r="C50" s="155"/>
      <c r="E50" s="147"/>
    </row>
    <row r="51" spans="2:5" ht="12.75">
      <c r="B51" s="145"/>
      <c r="C51" s="155"/>
      <c r="E51" s="147"/>
    </row>
    <row r="52" spans="2:3" ht="12.75">
      <c r="B52" s="145"/>
      <c r="C52" s="155"/>
    </row>
    <row r="53" spans="2:3" ht="12.75">
      <c r="B53" s="145"/>
      <c r="C53" s="155"/>
    </row>
    <row r="54" spans="2:3" ht="12.75">
      <c r="B54" s="145"/>
      <c r="C54" s="155"/>
    </row>
    <row r="55" spans="2:3" ht="12.75">
      <c r="B55" s="145"/>
      <c r="C55" s="155"/>
    </row>
    <row r="56" spans="2:3" ht="12.75">
      <c r="B56" s="145"/>
      <c r="C56" s="155"/>
    </row>
  </sheetData>
  <sheetProtection/>
  <mergeCells count="1">
    <mergeCell ref="D6:D4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U35"/>
  <sheetViews>
    <sheetView zoomScalePageLayoutView="0" workbookViewId="0" topLeftCell="A1">
      <selection activeCell="O38" sqref="O38"/>
    </sheetView>
  </sheetViews>
  <sheetFormatPr defaultColWidth="9.00390625" defaultRowHeight="12.75"/>
  <cols>
    <col min="1" max="2" width="4.375" style="0" customWidth="1"/>
    <col min="3" max="3" width="7.625" style="0" customWidth="1"/>
    <col min="6" max="6" width="1.00390625" style="0" customWidth="1"/>
    <col min="7" max="7" width="3.00390625" style="0" bestFit="1" customWidth="1"/>
    <col min="8" max="8" width="7.625" style="0" bestFit="1" customWidth="1"/>
    <col min="10" max="10" width="5.625" style="0" customWidth="1"/>
    <col min="14" max="14" width="9.125" style="318" customWidth="1"/>
  </cols>
  <sheetData>
    <row r="2" ht="12.75">
      <c r="B2" s="146" t="s">
        <v>277</v>
      </c>
    </row>
    <row r="3" ht="8.25" customHeight="1"/>
    <row r="4" spans="2:4" ht="12.75">
      <c r="B4" s="357" t="s">
        <v>269</v>
      </c>
      <c r="D4" s="399" t="s">
        <v>270</v>
      </c>
    </row>
    <row r="5" spans="2:20" ht="12.75"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  <c r="O5" s="396"/>
      <c r="P5" s="396"/>
      <c r="Q5" s="396"/>
      <c r="R5" s="396"/>
      <c r="S5" s="396"/>
      <c r="T5" s="396"/>
    </row>
    <row r="6" spans="2:21" ht="12.75">
      <c r="B6" s="392" t="s">
        <v>271</v>
      </c>
      <c r="E6" s="393"/>
      <c r="F6" s="368"/>
      <c r="I6" s="362" t="s">
        <v>127</v>
      </c>
      <c r="J6" s="365">
        <f>965.97-745.87</f>
        <v>220.10000000000002</v>
      </c>
      <c r="K6" s="362" t="s">
        <v>9</v>
      </c>
      <c r="L6" s="362"/>
      <c r="M6" s="34"/>
      <c r="N6" s="392" t="s">
        <v>272</v>
      </c>
      <c r="U6" s="34"/>
    </row>
    <row r="7" spans="2:21" ht="15">
      <c r="B7" s="395"/>
      <c r="C7" s="391"/>
      <c r="D7" s="387"/>
      <c r="E7" s="394"/>
      <c r="F7" s="393"/>
      <c r="G7" s="368"/>
      <c r="H7" s="362"/>
      <c r="I7" s="365"/>
      <c r="J7" s="358"/>
      <c r="K7" s="362"/>
      <c r="L7" s="362"/>
      <c r="M7" s="34"/>
      <c r="N7" s="392"/>
      <c r="U7" s="34"/>
    </row>
    <row r="8" spans="2:12" ht="13.5" thickBot="1">
      <c r="B8" s="358" t="s">
        <v>268</v>
      </c>
      <c r="C8" s="362"/>
      <c r="D8" s="367"/>
      <c r="E8" s="365"/>
      <c r="F8" s="358"/>
      <c r="G8" s="362"/>
      <c r="H8" s="398">
        <f>220.1*0.9*0.5</f>
        <v>99.045</v>
      </c>
      <c r="I8" s="358" t="s">
        <v>10</v>
      </c>
      <c r="K8" s="362" t="s">
        <v>275</v>
      </c>
      <c r="L8" s="304"/>
    </row>
    <row r="9" spans="2:20" ht="12.75">
      <c r="B9" s="358" t="s">
        <v>301</v>
      </c>
      <c r="C9" s="362"/>
      <c r="D9" s="367"/>
      <c r="E9" s="365"/>
      <c r="F9" s="358"/>
      <c r="G9" s="362"/>
      <c r="H9" s="398">
        <v>216</v>
      </c>
      <c r="I9" s="358" t="s">
        <v>9</v>
      </c>
      <c r="K9" s="362" t="s">
        <v>302</v>
      </c>
      <c r="L9" s="304"/>
      <c r="N9" s="803" t="s">
        <v>267</v>
      </c>
      <c r="O9" s="804"/>
      <c r="P9" s="804"/>
      <c r="Q9" s="805"/>
      <c r="R9" s="803" t="s">
        <v>266</v>
      </c>
      <c r="S9" s="806"/>
      <c r="T9" s="807"/>
    </row>
    <row r="10" spans="2:20" ht="25.5">
      <c r="B10" s="369" t="s">
        <v>265</v>
      </c>
      <c r="C10" s="362"/>
      <c r="D10" s="367"/>
      <c r="E10" s="365"/>
      <c r="F10" s="358"/>
      <c r="G10" s="362" t="s">
        <v>101</v>
      </c>
      <c r="H10" s="398">
        <f>J6</f>
        <v>220.10000000000002</v>
      </c>
      <c r="I10" s="358" t="s">
        <v>9</v>
      </c>
      <c r="K10" s="362"/>
      <c r="L10" s="304"/>
      <c r="N10" s="390" t="s">
        <v>264</v>
      </c>
      <c r="O10" s="389" t="s">
        <v>263</v>
      </c>
      <c r="P10" s="389" t="s">
        <v>262</v>
      </c>
      <c r="Q10" s="388" t="s">
        <v>261</v>
      </c>
      <c r="R10" s="390" t="s">
        <v>260</v>
      </c>
      <c r="S10" s="389" t="s">
        <v>259</v>
      </c>
      <c r="T10" s="388" t="s">
        <v>258</v>
      </c>
    </row>
    <row r="11" spans="2:20" ht="12.75">
      <c r="B11" s="358" t="s">
        <v>257</v>
      </c>
      <c r="C11" s="362" t="s">
        <v>256</v>
      </c>
      <c r="D11" s="367"/>
      <c r="G11" s="362"/>
      <c r="H11" s="398">
        <f>220.1*1.05*0.4</f>
        <v>92.44200000000001</v>
      </c>
      <c r="I11" s="358" t="s">
        <v>10</v>
      </c>
      <c r="K11" s="362" t="s">
        <v>273</v>
      </c>
      <c r="L11" s="304"/>
      <c r="M11" s="304" t="s">
        <v>253</v>
      </c>
      <c r="N11" s="379">
        <v>1</v>
      </c>
      <c r="O11" s="386" t="s">
        <v>246</v>
      </c>
      <c r="P11" s="378">
        <f>17*220.1*1.15</f>
        <v>4302.954999999999</v>
      </c>
      <c r="Q11" s="377">
        <v>1</v>
      </c>
      <c r="R11" s="379"/>
      <c r="S11" s="378">
        <f>P11</f>
        <v>4302.954999999999</v>
      </c>
      <c r="T11" s="377"/>
    </row>
    <row r="12" spans="2:20" ht="12.75">
      <c r="B12" s="358"/>
      <c r="C12" s="362"/>
      <c r="D12" s="367"/>
      <c r="E12" s="365"/>
      <c r="F12" s="358"/>
      <c r="G12" s="362"/>
      <c r="H12" s="365"/>
      <c r="I12" s="358"/>
      <c r="K12" s="304"/>
      <c r="L12" s="304"/>
      <c r="M12" s="304" t="s">
        <v>253</v>
      </c>
      <c r="N12" s="379">
        <v>2</v>
      </c>
      <c r="O12" s="386" t="s">
        <v>248</v>
      </c>
      <c r="P12" s="378">
        <v>2.56</v>
      </c>
      <c r="Q12" s="384">
        <f>1.1*221/0.15</f>
        <v>1620.666666666667</v>
      </c>
      <c r="R12" s="383">
        <f>Q12*P12</f>
        <v>4148.906666666668</v>
      </c>
      <c r="S12" s="378"/>
      <c r="T12" s="377"/>
    </row>
    <row r="13" spans="2:20" ht="13.5" thickBot="1">
      <c r="B13" s="358" t="s">
        <v>255</v>
      </c>
      <c r="C13" s="362" t="s">
        <v>254</v>
      </c>
      <c r="D13" s="367"/>
      <c r="E13" s="365"/>
      <c r="F13" s="358"/>
      <c r="G13" s="362"/>
      <c r="H13" s="398">
        <f>220.1*1.05*0.1</f>
        <v>23.110500000000002</v>
      </c>
      <c r="I13" s="358" t="s">
        <v>10</v>
      </c>
      <c r="K13" s="362" t="s">
        <v>274</v>
      </c>
      <c r="M13" s="304" t="s">
        <v>253</v>
      </c>
      <c r="N13" s="379">
        <v>3</v>
      </c>
      <c r="O13" s="386" t="s">
        <v>244</v>
      </c>
      <c r="P13" s="385">
        <v>2.325</v>
      </c>
      <c r="Q13" s="384">
        <f>1.1*221/0.15</f>
        <v>1620.666666666667</v>
      </c>
      <c r="R13" s="383"/>
      <c r="S13" s="378"/>
      <c r="T13" s="377">
        <f>Q13*P13</f>
        <v>3768.050000000001</v>
      </c>
    </row>
    <row r="14" spans="2:20" ht="12.75">
      <c r="B14" s="358"/>
      <c r="C14" s="362"/>
      <c r="D14" s="367"/>
      <c r="E14" s="365"/>
      <c r="F14" s="358"/>
      <c r="G14" s="362"/>
      <c r="H14" s="365"/>
      <c r="I14" s="358"/>
      <c r="K14" s="362"/>
      <c r="L14" s="304"/>
      <c r="N14" s="808" t="s">
        <v>252</v>
      </c>
      <c r="O14" s="809"/>
      <c r="P14" s="809"/>
      <c r="Q14" s="810"/>
      <c r="R14" s="382">
        <f>SUM(R12:R13)</f>
        <v>4148.906666666668</v>
      </c>
      <c r="S14" s="381">
        <f>SUM(S11:S13)</f>
        <v>4302.954999999999</v>
      </c>
      <c r="T14" s="380">
        <f>T13</f>
        <v>3768.050000000001</v>
      </c>
    </row>
    <row r="15" spans="2:20" ht="12.75">
      <c r="B15" s="369" t="s">
        <v>251</v>
      </c>
      <c r="D15" s="362" t="s">
        <v>250</v>
      </c>
      <c r="E15" s="365"/>
      <c r="F15" s="358"/>
      <c r="G15" s="362"/>
      <c r="H15" s="365"/>
      <c r="I15" s="358"/>
      <c r="K15" s="362"/>
      <c r="L15" s="304"/>
      <c r="N15" s="811" t="s">
        <v>249</v>
      </c>
      <c r="O15" s="812"/>
      <c r="P15" s="812"/>
      <c r="Q15" s="813"/>
      <c r="R15" s="379">
        <v>0.617</v>
      </c>
      <c r="S15" s="378">
        <v>0.888</v>
      </c>
      <c r="T15" s="377">
        <v>1.578</v>
      </c>
    </row>
    <row r="16" spans="2:20" ht="13.5" thickBot="1">
      <c r="B16" s="358" t="s">
        <v>248</v>
      </c>
      <c r="C16" s="362"/>
      <c r="D16" s="367"/>
      <c r="E16" s="365"/>
      <c r="F16" s="358"/>
      <c r="G16" s="362"/>
      <c r="H16" s="398">
        <f>R16</f>
        <v>2559.875413333334</v>
      </c>
      <c r="I16" s="358" t="s">
        <v>241</v>
      </c>
      <c r="K16" s="362"/>
      <c r="L16" s="304"/>
      <c r="N16" s="794" t="s">
        <v>247</v>
      </c>
      <c r="O16" s="795"/>
      <c r="P16" s="795"/>
      <c r="Q16" s="796"/>
      <c r="R16" s="376">
        <f>R14*R15</f>
        <v>2559.875413333334</v>
      </c>
      <c r="S16" s="375">
        <f>S14*S15</f>
        <v>3821.0240399999993</v>
      </c>
      <c r="T16" s="374">
        <f>T14*T15</f>
        <v>5945.982900000002</v>
      </c>
    </row>
    <row r="17" spans="2:20" ht="13.5" thickBot="1">
      <c r="B17" s="358" t="s">
        <v>246</v>
      </c>
      <c r="C17" s="362"/>
      <c r="D17" s="367"/>
      <c r="E17" s="365"/>
      <c r="F17" s="358"/>
      <c r="G17" s="362"/>
      <c r="H17" s="398">
        <f>S16</f>
        <v>3821.0240399999993</v>
      </c>
      <c r="I17" s="358" t="s">
        <v>241</v>
      </c>
      <c r="K17" s="362"/>
      <c r="L17" s="304"/>
      <c r="N17" s="797" t="s">
        <v>245</v>
      </c>
      <c r="O17" s="798"/>
      <c r="P17" s="798"/>
      <c r="Q17" s="799"/>
      <c r="R17" s="800">
        <f>R16+S16+T16</f>
        <v>12326.882353333334</v>
      </c>
      <c r="S17" s="801"/>
      <c r="T17" s="802"/>
    </row>
    <row r="18" spans="2:14" ht="12.75">
      <c r="B18" s="370" t="s">
        <v>244</v>
      </c>
      <c r="C18" s="372"/>
      <c r="D18" s="373"/>
      <c r="E18" s="371"/>
      <c r="F18" s="370"/>
      <c r="G18" s="372"/>
      <c r="H18" s="400">
        <f>T16</f>
        <v>5945.982900000002</v>
      </c>
      <c r="I18" s="370" t="s">
        <v>241</v>
      </c>
      <c r="K18" s="362"/>
      <c r="L18" s="304"/>
      <c r="N18"/>
    </row>
    <row r="19" spans="2:14" ht="12.75">
      <c r="B19" s="358"/>
      <c r="C19" s="362"/>
      <c r="D19" s="367"/>
      <c r="E19" s="365"/>
      <c r="F19" s="358"/>
      <c r="G19" s="362"/>
      <c r="H19" s="398">
        <f>H16+H17+H18</f>
        <v>12326.882353333334</v>
      </c>
      <c r="I19" s="358" t="s">
        <v>241</v>
      </c>
      <c r="K19" s="362"/>
      <c r="L19" s="304"/>
      <c r="M19" s="34"/>
      <c r="N19"/>
    </row>
    <row r="20" spans="2:14" ht="12.75">
      <c r="B20" s="369" t="s">
        <v>243</v>
      </c>
      <c r="C20" s="362"/>
      <c r="D20" s="367"/>
      <c r="E20" s="365"/>
      <c r="F20" s="358"/>
      <c r="G20" s="362"/>
      <c r="H20" s="365"/>
      <c r="I20" s="358"/>
      <c r="K20" s="362"/>
      <c r="L20" s="304"/>
      <c r="N20"/>
    </row>
    <row r="21" spans="2:14" ht="12.75">
      <c r="B21" s="358" t="s">
        <v>242</v>
      </c>
      <c r="C21" s="362"/>
      <c r="D21" s="367">
        <v>0</v>
      </c>
      <c r="E21" s="365" t="s">
        <v>8</v>
      </c>
      <c r="F21" s="358"/>
      <c r="G21" s="362"/>
      <c r="H21" s="365">
        <v>0</v>
      </c>
      <c r="I21" s="358" t="s">
        <v>241</v>
      </c>
      <c r="K21" s="362"/>
      <c r="L21" s="304"/>
      <c r="N21"/>
    </row>
    <row r="22" spans="2:14" ht="12.75">
      <c r="B22" s="358"/>
      <c r="C22" s="362"/>
      <c r="D22" s="366"/>
      <c r="E22" s="365"/>
      <c r="F22" s="358"/>
      <c r="G22" s="362"/>
      <c r="H22" s="365"/>
      <c r="I22" s="358"/>
      <c r="K22" s="362"/>
      <c r="L22" s="304"/>
      <c r="N22"/>
    </row>
    <row r="23" spans="2:14" ht="12.75">
      <c r="B23" s="358" t="s">
        <v>240</v>
      </c>
      <c r="C23" s="362"/>
      <c r="E23" s="366" t="s">
        <v>239</v>
      </c>
      <c r="F23" s="358"/>
      <c r="G23" s="362"/>
      <c r="H23" s="364">
        <f>Q13*2</f>
        <v>3241.333333333334</v>
      </c>
      <c r="I23" s="358" t="s">
        <v>107</v>
      </c>
      <c r="K23" s="362"/>
      <c r="L23" s="304"/>
      <c r="N23"/>
    </row>
    <row r="24" spans="2:21" ht="12.75">
      <c r="B24" s="315"/>
      <c r="C24" s="361"/>
      <c r="D24" s="363"/>
      <c r="E24" s="361"/>
      <c r="F24" s="361"/>
      <c r="G24" s="361"/>
      <c r="H24" s="315"/>
      <c r="I24" s="358"/>
      <c r="K24" s="362"/>
      <c r="L24" s="361"/>
      <c r="N24" s="34"/>
      <c r="O24" s="34"/>
      <c r="P24" s="34"/>
      <c r="Q24" s="34"/>
      <c r="R24" s="34"/>
      <c r="S24" s="34"/>
      <c r="T24" s="34"/>
      <c r="U24" s="34"/>
    </row>
    <row r="25" spans="2:14" ht="12.75">
      <c r="B25" s="358" t="s">
        <v>238</v>
      </c>
      <c r="C25" s="360" t="s">
        <v>237</v>
      </c>
      <c r="E25" s="304"/>
      <c r="F25" s="304"/>
      <c r="G25" s="304"/>
      <c r="H25" s="304"/>
      <c r="I25" s="304"/>
      <c r="K25" s="304"/>
      <c r="L25" s="304"/>
      <c r="N25"/>
    </row>
    <row r="26" spans="4:14" ht="12.75">
      <c r="D26" s="304" t="s">
        <v>236</v>
      </c>
      <c r="H26" s="399">
        <f>220.1*0.5</f>
        <v>110.05</v>
      </c>
      <c r="I26" s="358" t="s">
        <v>8</v>
      </c>
      <c r="K26" s="304" t="s">
        <v>276</v>
      </c>
      <c r="L26" s="304"/>
      <c r="N26"/>
    </row>
    <row r="28" spans="2:11" ht="12.75">
      <c r="B28" s="357" t="s">
        <v>235</v>
      </c>
      <c r="E28" s="304" t="s">
        <v>234</v>
      </c>
      <c r="H28" s="359">
        <f>28*1.05*0.4</f>
        <v>11.760000000000002</v>
      </c>
      <c r="I28" s="358" t="s">
        <v>8</v>
      </c>
      <c r="K28" s="304" t="s">
        <v>303</v>
      </c>
    </row>
    <row r="29" ht="12.75">
      <c r="K29" s="304" t="s">
        <v>304</v>
      </c>
    </row>
    <row r="30" ht="12.75">
      <c r="B30" s="304"/>
    </row>
    <row r="31" ht="12.75">
      <c r="B31" s="357" t="s">
        <v>233</v>
      </c>
    </row>
    <row r="32" spans="2:4" ht="12.75">
      <c r="B32" s="304" t="s">
        <v>232</v>
      </c>
      <c r="C32" s="304"/>
      <c r="D32" s="304"/>
    </row>
    <row r="33" spans="2:11" ht="12.75">
      <c r="B33" s="304" t="s">
        <v>231</v>
      </c>
      <c r="D33" s="304"/>
      <c r="E33" s="304"/>
      <c r="F33" s="304"/>
      <c r="G33" s="304"/>
      <c r="H33" s="304"/>
      <c r="I33" s="304"/>
      <c r="K33" s="304"/>
    </row>
    <row r="35" ht="12.75">
      <c r="C35" s="357"/>
    </row>
  </sheetData>
  <sheetProtection/>
  <mergeCells count="7">
    <mergeCell ref="N16:Q16"/>
    <mergeCell ref="N17:Q17"/>
    <mergeCell ref="R17:T17"/>
    <mergeCell ref="N9:Q9"/>
    <mergeCell ref="R9:T9"/>
    <mergeCell ref="N14:Q14"/>
    <mergeCell ref="N15:Q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Y284"/>
  <sheetViews>
    <sheetView zoomScale="85" zoomScaleNormal="85" zoomScalePageLayoutView="0" workbookViewId="0" topLeftCell="A97">
      <selection activeCell="H136" sqref="H136"/>
    </sheetView>
  </sheetViews>
  <sheetFormatPr defaultColWidth="9.00390625" defaultRowHeight="12.75"/>
  <cols>
    <col min="5" max="5" width="10.125" style="1" customWidth="1"/>
    <col min="6" max="6" width="7.375" style="2" customWidth="1"/>
    <col min="7" max="7" width="11.375" style="27" bestFit="1" customWidth="1"/>
    <col min="8" max="8" width="12.25390625" style="34" customWidth="1"/>
    <col min="11" max="11" width="10.125" style="1" customWidth="1"/>
    <col min="12" max="12" width="7.375" style="2" customWidth="1"/>
    <col min="13" max="13" width="11.375" style="27" bestFit="1" customWidth="1"/>
    <col min="14" max="14" width="12.25390625" style="34" customWidth="1"/>
    <col min="18" max="18" width="10.125" style="1" customWidth="1"/>
    <col min="19" max="19" width="7.375" style="2" customWidth="1"/>
    <col min="20" max="20" width="11.375" style="27" bestFit="1" customWidth="1"/>
    <col min="21" max="21" width="12.25390625" style="34" customWidth="1"/>
  </cols>
  <sheetData>
    <row r="1" spans="5:18" ht="12.75">
      <c r="E1" s="146" t="s">
        <v>204</v>
      </c>
      <c r="K1" s="146" t="s">
        <v>204</v>
      </c>
      <c r="R1" s="146" t="s">
        <v>204</v>
      </c>
    </row>
    <row r="2" spans="5:18" ht="12.75">
      <c r="E2" s="149" t="s">
        <v>118</v>
      </c>
      <c r="K2" s="149" t="s">
        <v>118</v>
      </c>
      <c r="R2" s="149" t="s">
        <v>118</v>
      </c>
    </row>
    <row r="3" spans="6:19" ht="15.75">
      <c r="F3" s="3"/>
      <c r="L3" s="3"/>
      <c r="S3" s="3"/>
    </row>
    <row r="4" spans="5:21" ht="13.5" thickBot="1">
      <c r="E4" s="8"/>
      <c r="F4" s="7"/>
      <c r="G4" s="23"/>
      <c r="H4" s="23"/>
      <c r="K4" s="8"/>
      <c r="L4" s="7"/>
      <c r="M4" s="23"/>
      <c r="N4" s="23"/>
      <c r="R4" s="8"/>
      <c r="S4" s="7"/>
      <c r="T4" s="23"/>
      <c r="U4" s="23"/>
    </row>
    <row r="5" spans="5:21" ht="12.75">
      <c r="E5" s="58" t="s">
        <v>0</v>
      </c>
      <c r="F5" s="55" t="s">
        <v>12</v>
      </c>
      <c r="G5" s="85" t="s">
        <v>4</v>
      </c>
      <c r="H5" s="55" t="s">
        <v>12</v>
      </c>
      <c r="K5" s="58" t="s">
        <v>0</v>
      </c>
      <c r="L5" s="55" t="s">
        <v>12</v>
      </c>
      <c r="M5" s="85" t="s">
        <v>4</v>
      </c>
      <c r="N5" s="55" t="s">
        <v>12</v>
      </c>
      <c r="R5" s="58" t="s">
        <v>0</v>
      </c>
      <c r="S5" s="55" t="s">
        <v>12</v>
      </c>
      <c r="T5" s="85" t="s">
        <v>4</v>
      </c>
      <c r="U5" s="55" t="s">
        <v>12</v>
      </c>
    </row>
    <row r="6" spans="5:21" ht="13.5" thickBot="1">
      <c r="E6" s="56"/>
      <c r="F6" s="28" t="s">
        <v>13</v>
      </c>
      <c r="G6" s="355" t="s">
        <v>6</v>
      </c>
      <c r="H6" s="28" t="s">
        <v>13</v>
      </c>
      <c r="K6" s="56"/>
      <c r="L6" s="28" t="s">
        <v>13</v>
      </c>
      <c r="M6" s="355" t="s">
        <v>6</v>
      </c>
      <c r="N6" s="28" t="s">
        <v>13</v>
      </c>
      <c r="R6" s="56"/>
      <c r="S6" s="28" t="s">
        <v>13</v>
      </c>
      <c r="T6" s="355" t="s">
        <v>6</v>
      </c>
      <c r="U6" s="28" t="s">
        <v>13</v>
      </c>
    </row>
    <row r="7" spans="5:21" ht="13.5" thickBot="1">
      <c r="E7" s="61" t="s">
        <v>7</v>
      </c>
      <c r="F7" s="63" t="s">
        <v>9</v>
      </c>
      <c r="G7" s="355" t="s">
        <v>9</v>
      </c>
      <c r="H7" s="66" t="s">
        <v>8</v>
      </c>
      <c r="K7" s="61" t="s">
        <v>7</v>
      </c>
      <c r="L7" s="63" t="s">
        <v>9</v>
      </c>
      <c r="M7" s="355" t="s">
        <v>9</v>
      </c>
      <c r="N7" s="66" t="s">
        <v>8</v>
      </c>
      <c r="R7" s="61" t="s">
        <v>7</v>
      </c>
      <c r="S7" s="63" t="s">
        <v>9</v>
      </c>
      <c r="T7" s="355" t="s">
        <v>9</v>
      </c>
      <c r="U7" s="66" t="s">
        <v>8</v>
      </c>
    </row>
    <row r="8" spans="5:21" ht="12.75">
      <c r="E8" s="110"/>
      <c r="F8" s="7"/>
      <c r="G8" s="111"/>
      <c r="H8" s="707"/>
      <c r="K8" s="110"/>
      <c r="L8" s="7"/>
      <c r="M8" s="111"/>
      <c r="N8" s="707"/>
      <c r="R8" s="110"/>
      <c r="S8" s="7"/>
      <c r="T8" s="111"/>
      <c r="U8" s="707"/>
    </row>
    <row r="9" spans="5:21" ht="12.75">
      <c r="E9" s="110">
        <v>1.23</v>
      </c>
      <c r="F9" s="114">
        <v>2.5</v>
      </c>
      <c r="G9" s="111"/>
      <c r="H9" s="707"/>
      <c r="K9" s="110"/>
      <c r="L9" s="7"/>
      <c r="M9" s="111"/>
      <c r="N9" s="707"/>
      <c r="R9" s="110"/>
      <c r="S9" s="7"/>
      <c r="T9" s="111"/>
      <c r="U9" s="707"/>
    </row>
    <row r="10" spans="3:21" ht="12.75">
      <c r="C10">
        <f>26+54+67.5</f>
        <v>147.5</v>
      </c>
      <c r="E10" s="71"/>
      <c r="F10" s="114"/>
      <c r="G10" s="88">
        <v>10</v>
      </c>
      <c r="H10" s="84">
        <f>0.5*(F11+F9)*G10</f>
        <v>26</v>
      </c>
      <c r="I10">
        <v>55</v>
      </c>
      <c r="K10" s="71"/>
      <c r="L10" s="76"/>
      <c r="M10" s="88"/>
      <c r="N10" s="84"/>
      <c r="R10" s="71"/>
      <c r="S10" s="76"/>
      <c r="T10" s="88"/>
      <c r="U10" s="84"/>
    </row>
    <row r="11" spans="5:21" ht="12.75">
      <c r="E11" s="56">
        <v>1.24</v>
      </c>
      <c r="F11" s="114">
        <v>2.7</v>
      </c>
      <c r="G11" s="705"/>
      <c r="H11" s="84"/>
      <c r="K11" s="56"/>
      <c r="L11" s="114"/>
      <c r="M11" s="705"/>
      <c r="N11" s="84"/>
      <c r="R11" s="56"/>
      <c r="S11" s="114"/>
      <c r="T11" s="705"/>
      <c r="U11" s="84"/>
    </row>
    <row r="12" spans="5:21" ht="12.75">
      <c r="E12" s="56"/>
      <c r="F12" s="114"/>
      <c r="G12" s="705">
        <v>20</v>
      </c>
      <c r="H12" s="84">
        <f>0.5*(F13+F11)*G12</f>
        <v>54</v>
      </c>
      <c r="K12" s="56"/>
      <c r="L12" s="114"/>
      <c r="M12" s="705"/>
      <c r="N12" s="84"/>
      <c r="R12" s="56"/>
      <c r="S12" s="114"/>
      <c r="T12" s="705"/>
      <c r="U12" s="84"/>
    </row>
    <row r="13" spans="5:21" ht="12.75">
      <c r="E13" s="56">
        <v>1.26</v>
      </c>
      <c r="F13" s="114">
        <v>2.7</v>
      </c>
      <c r="G13" s="705"/>
      <c r="H13" s="84"/>
      <c r="K13" s="56"/>
      <c r="L13" s="114"/>
      <c r="M13" s="705"/>
      <c r="N13" s="84"/>
      <c r="R13" s="56"/>
      <c r="S13" s="114"/>
      <c r="T13" s="705"/>
      <c r="U13" s="84"/>
    </row>
    <row r="14" spans="5:21" ht="12.75">
      <c r="E14" s="56"/>
      <c r="F14" s="114"/>
      <c r="G14" s="705">
        <v>25</v>
      </c>
      <c r="H14" s="84">
        <f>0.5*(F15+F13)*G14</f>
        <v>67.5</v>
      </c>
      <c r="K14" s="56"/>
      <c r="L14" s="114"/>
      <c r="M14" s="705"/>
      <c r="N14" s="84"/>
      <c r="R14" s="56"/>
      <c r="S14" s="114"/>
      <c r="T14" s="705"/>
      <c r="U14" s="84"/>
    </row>
    <row r="15" spans="5:21" ht="12.75">
      <c r="E15" s="56">
        <v>1.285</v>
      </c>
      <c r="F15" s="114">
        <v>2.7</v>
      </c>
      <c r="G15" s="705"/>
      <c r="H15" s="84"/>
      <c r="K15" s="56"/>
      <c r="L15" s="114"/>
      <c r="M15" s="705"/>
      <c r="N15" s="84"/>
      <c r="R15" s="56"/>
      <c r="S15" s="114"/>
      <c r="T15" s="705"/>
      <c r="U15" s="84"/>
    </row>
    <row r="16" spans="5:21" ht="12.75">
      <c r="E16" s="56"/>
      <c r="F16" s="114"/>
      <c r="G16" s="705"/>
      <c r="H16" s="84"/>
      <c r="K16" s="56"/>
      <c r="L16" s="114"/>
      <c r="M16" s="705"/>
      <c r="N16" s="84"/>
      <c r="R16" s="56"/>
      <c r="S16" s="114"/>
      <c r="T16" s="705"/>
      <c r="U16" s="84"/>
    </row>
    <row r="17" spans="5:21" ht="12.75">
      <c r="E17" s="56"/>
      <c r="F17" s="114"/>
      <c r="G17" s="705"/>
      <c r="I17" s="84"/>
      <c r="K17" s="56"/>
      <c r="L17" s="114"/>
      <c r="M17" s="705"/>
      <c r="N17" s="84"/>
      <c r="R17" s="56"/>
      <c r="S17" s="114"/>
      <c r="T17" s="705"/>
      <c r="U17" s="84"/>
    </row>
    <row r="18" spans="5:21" ht="12.75">
      <c r="E18" s="56"/>
      <c r="F18" s="114"/>
      <c r="G18" s="705"/>
      <c r="H18" s="84"/>
      <c r="K18" s="56"/>
      <c r="L18" s="114"/>
      <c r="M18" s="705"/>
      <c r="N18" s="84"/>
      <c r="R18" s="56"/>
      <c r="S18" s="114"/>
      <c r="T18" s="705"/>
      <c r="U18" s="84"/>
    </row>
    <row r="19" spans="5:21" ht="12.75">
      <c r="E19" s="110"/>
      <c r="F19" s="114"/>
      <c r="G19" s="111"/>
      <c r="H19" s="84"/>
      <c r="K19" s="110">
        <v>1.32</v>
      </c>
      <c r="L19" s="114"/>
      <c r="M19" s="111"/>
      <c r="N19" s="84"/>
      <c r="R19" s="110">
        <v>1.32</v>
      </c>
      <c r="S19" s="114"/>
      <c r="T19" s="111"/>
      <c r="U19" s="84"/>
    </row>
    <row r="20" spans="5:21" ht="12.75">
      <c r="E20" s="71"/>
      <c r="F20" s="114"/>
      <c r="G20" s="88">
        <v>0</v>
      </c>
      <c r="H20" s="84">
        <f>0.5*(F21+F19)*G20</f>
        <v>0</v>
      </c>
      <c r="K20" s="71"/>
      <c r="L20" s="114"/>
      <c r="M20" s="88">
        <f>1000*(K21-K19)</f>
        <v>79.99999999999984</v>
      </c>
      <c r="N20" s="84"/>
      <c r="R20" s="71"/>
      <c r="S20" s="114"/>
      <c r="T20" s="88">
        <f>1000*(R21-R19)</f>
        <v>79.99999999999984</v>
      </c>
      <c r="U20" s="84">
        <f>0.5*(S21+S19)*T20</f>
        <v>0</v>
      </c>
    </row>
    <row r="21" spans="5:21" ht="12.75">
      <c r="E21" s="110">
        <v>1.4</v>
      </c>
      <c r="F21" s="114">
        <v>0</v>
      </c>
      <c r="G21" s="111"/>
      <c r="H21" s="84"/>
      <c r="K21" s="110">
        <v>1.4</v>
      </c>
      <c r="L21" s="114"/>
      <c r="M21" s="111"/>
      <c r="N21" s="84"/>
      <c r="R21" s="110">
        <v>1.4</v>
      </c>
      <c r="S21" s="114"/>
      <c r="T21" s="111"/>
      <c r="U21" s="84"/>
    </row>
    <row r="22" spans="5:21" ht="12.75">
      <c r="E22" s="71"/>
      <c r="F22" s="114"/>
      <c r="G22" s="88">
        <f>1000*(E23-E21)</f>
        <v>40.000000000000036</v>
      </c>
      <c r="H22" s="84">
        <f aca="true" t="shared" si="0" ref="H22:H65">0.5*(F23+F21)*G22</f>
        <v>0</v>
      </c>
      <c r="K22" s="71"/>
      <c r="L22" s="114"/>
      <c r="M22" s="88">
        <f>1000*(K23-K21)</f>
        <v>40.000000000000036</v>
      </c>
      <c r="N22" s="84"/>
      <c r="R22" s="71"/>
      <c r="S22" s="114"/>
      <c r="T22" s="88">
        <f>1000*(R23-R21)</f>
        <v>40.000000000000036</v>
      </c>
      <c r="U22" s="84">
        <f aca="true" t="shared" si="1" ref="U22:U85">0.5*(S23+S21)*T22</f>
        <v>0</v>
      </c>
    </row>
    <row r="23" spans="5:21" ht="12.75">
      <c r="E23" s="110">
        <v>1.44</v>
      </c>
      <c r="F23" s="114">
        <v>0</v>
      </c>
      <c r="G23" s="111"/>
      <c r="H23" s="84">
        <f t="shared" si="0"/>
        <v>0</v>
      </c>
      <c r="K23" s="110">
        <v>1.44</v>
      </c>
      <c r="L23" s="114"/>
      <c r="M23" s="111"/>
      <c r="N23" s="84"/>
      <c r="R23" s="110">
        <v>1.44</v>
      </c>
      <c r="S23" s="114"/>
      <c r="T23" s="111"/>
      <c r="U23" s="84">
        <f t="shared" si="1"/>
        <v>0</v>
      </c>
    </row>
    <row r="24" spans="5:21" ht="12.75">
      <c r="E24" s="71"/>
      <c r="F24" s="114"/>
      <c r="G24" s="88">
        <f>1000*(E25-E23)</f>
        <v>80.00000000000007</v>
      </c>
      <c r="H24" s="84">
        <f t="shared" si="0"/>
        <v>0</v>
      </c>
      <c r="K24" s="71"/>
      <c r="L24" s="114"/>
      <c r="M24" s="88">
        <f>1000*(K25-K23)</f>
        <v>80.00000000000007</v>
      </c>
      <c r="N24" s="84"/>
      <c r="R24" s="71"/>
      <c r="S24" s="114"/>
      <c r="T24" s="88">
        <f>1000*(R25-R23)</f>
        <v>80.00000000000007</v>
      </c>
      <c r="U24" s="84">
        <f t="shared" si="1"/>
        <v>0</v>
      </c>
    </row>
    <row r="25" spans="5:21" ht="12.75">
      <c r="E25" s="113">
        <v>1.52</v>
      </c>
      <c r="F25" s="114">
        <v>0</v>
      </c>
      <c r="G25" s="117"/>
      <c r="H25" s="84">
        <f t="shared" si="0"/>
        <v>0</v>
      </c>
      <c r="K25" s="113">
        <v>1.52</v>
      </c>
      <c r="L25" s="114"/>
      <c r="M25" s="117"/>
      <c r="N25" s="84"/>
      <c r="R25" s="113">
        <v>1.52</v>
      </c>
      <c r="S25" s="114"/>
      <c r="T25" s="117"/>
      <c r="U25" s="84">
        <f t="shared" si="1"/>
        <v>0</v>
      </c>
    </row>
    <row r="26" spans="5:21" ht="12.75">
      <c r="E26" s="71"/>
      <c r="F26" s="114"/>
      <c r="G26" s="88">
        <f aca="true" t="shared" si="2" ref="G26:G89">1000*(E27-E25)</f>
        <v>60.00000000000006</v>
      </c>
      <c r="H26" s="84">
        <f t="shared" si="0"/>
        <v>0</v>
      </c>
      <c r="K26" s="71"/>
      <c r="L26" s="114"/>
      <c r="M26" s="88">
        <f>1000*(K27-K25)</f>
        <v>60.00000000000006</v>
      </c>
      <c r="N26" s="84"/>
      <c r="R26" s="71"/>
      <c r="S26" s="114"/>
      <c r="T26" s="88">
        <f>1000*(R27-R25)</f>
        <v>60.00000000000006</v>
      </c>
      <c r="U26" s="84">
        <f t="shared" si="1"/>
        <v>0</v>
      </c>
    </row>
    <row r="27" spans="5:21" ht="12.75">
      <c r="E27" s="71">
        <v>1.58</v>
      </c>
      <c r="F27" s="114">
        <v>0</v>
      </c>
      <c r="G27" s="88">
        <f t="shared" si="2"/>
        <v>0</v>
      </c>
      <c r="H27" s="84">
        <f t="shared" si="0"/>
        <v>0</v>
      </c>
      <c r="K27" s="71">
        <v>1.58</v>
      </c>
      <c r="L27" s="114"/>
      <c r="M27" s="88">
        <f>1000*(K28-K26)</f>
        <v>0</v>
      </c>
      <c r="N27" s="84"/>
      <c r="R27" s="71">
        <v>1.58</v>
      </c>
      <c r="S27" s="114"/>
      <c r="T27" s="88">
        <f>1000*(R28-R26)</f>
        <v>0</v>
      </c>
      <c r="U27" s="84">
        <f t="shared" si="1"/>
        <v>0</v>
      </c>
    </row>
    <row r="28" spans="5:21" ht="12.75">
      <c r="E28" s="71"/>
      <c r="F28" s="114"/>
      <c r="G28" s="88">
        <f t="shared" si="2"/>
        <v>59.99999999999983</v>
      </c>
      <c r="H28" s="84">
        <f t="shared" si="0"/>
        <v>0</v>
      </c>
      <c r="K28" s="71"/>
      <c r="L28" s="114"/>
      <c r="M28" s="88">
        <f>1000*(K29-K27)</f>
        <v>59.99999999999983</v>
      </c>
      <c r="N28" s="84"/>
      <c r="R28" s="71"/>
      <c r="S28" s="114"/>
      <c r="T28" s="88">
        <f>1000*(R29-R27)</f>
        <v>59.99999999999983</v>
      </c>
      <c r="U28" s="84">
        <f t="shared" si="1"/>
        <v>0</v>
      </c>
    </row>
    <row r="29" spans="5:21" ht="12.75">
      <c r="E29" s="71">
        <v>1.64</v>
      </c>
      <c r="F29" s="114">
        <v>0</v>
      </c>
      <c r="G29" s="88"/>
      <c r="H29" s="84">
        <f t="shared" si="0"/>
        <v>0</v>
      </c>
      <c r="K29" s="71">
        <v>1.64</v>
      </c>
      <c r="L29" s="114"/>
      <c r="M29" s="88"/>
      <c r="N29" s="84"/>
      <c r="R29" s="71">
        <v>1.64</v>
      </c>
      <c r="S29" s="114"/>
      <c r="T29" s="88"/>
      <c r="U29" s="84">
        <f t="shared" si="1"/>
        <v>0</v>
      </c>
    </row>
    <row r="30" spans="5:21" ht="12.75">
      <c r="E30" s="142" t="s">
        <v>205</v>
      </c>
      <c r="F30" s="114"/>
      <c r="G30" s="88">
        <f>1000*(E31-E29)</f>
        <v>60.00000000000006</v>
      </c>
      <c r="H30" s="84">
        <f t="shared" si="0"/>
        <v>126.00000000000013</v>
      </c>
      <c r="I30">
        <v>30</v>
      </c>
      <c r="K30" s="142" t="s">
        <v>205</v>
      </c>
      <c r="L30" s="114"/>
      <c r="M30" s="88">
        <f>1000*(K31-K29)</f>
        <v>60.00000000000006</v>
      </c>
      <c r="N30" s="84"/>
      <c r="R30" s="142" t="s">
        <v>205</v>
      </c>
      <c r="S30" s="114"/>
      <c r="T30" s="88">
        <f>1000*(R31-R29)</f>
        <v>60.00000000000006</v>
      </c>
      <c r="U30" s="84">
        <f t="shared" si="1"/>
        <v>0</v>
      </c>
    </row>
    <row r="31" spans="5:21" ht="12.75">
      <c r="E31" s="71">
        <v>1.7</v>
      </c>
      <c r="F31" s="76">
        <v>4.2</v>
      </c>
      <c r="G31" s="88"/>
      <c r="H31" s="84">
        <f t="shared" si="0"/>
        <v>0</v>
      </c>
      <c r="K31" s="71">
        <v>1.7</v>
      </c>
      <c r="L31" s="76"/>
      <c r="M31" s="88"/>
      <c r="N31" s="84"/>
      <c r="R31" s="71">
        <v>1.7</v>
      </c>
      <c r="S31" s="76"/>
      <c r="T31" s="88"/>
      <c r="U31" s="84">
        <f t="shared" si="1"/>
        <v>0</v>
      </c>
    </row>
    <row r="32" spans="5:21" ht="12.75">
      <c r="E32" s="71"/>
      <c r="F32" s="140"/>
      <c r="G32" s="88">
        <f t="shared" si="2"/>
        <v>40.000000000000036</v>
      </c>
      <c r="H32" s="84">
        <f t="shared" si="0"/>
        <v>166.00000000000017</v>
      </c>
      <c r="I32">
        <v>20</v>
      </c>
      <c r="K32" s="71"/>
      <c r="L32" s="140"/>
      <c r="M32" s="88">
        <f>1000*(K33-K31)</f>
        <v>40.000000000000036</v>
      </c>
      <c r="N32" s="84"/>
      <c r="R32" s="71"/>
      <c r="S32" s="140"/>
      <c r="T32" s="88">
        <f>1000*(R33-R31)</f>
        <v>40.000000000000036</v>
      </c>
      <c r="U32" s="84">
        <f t="shared" si="1"/>
        <v>0</v>
      </c>
    </row>
    <row r="33" spans="5:21" ht="12.75">
      <c r="E33" s="71">
        <v>1.74</v>
      </c>
      <c r="F33" s="140">
        <v>4.1</v>
      </c>
      <c r="G33" s="88"/>
      <c r="H33" s="84">
        <f t="shared" si="0"/>
        <v>0</v>
      </c>
      <c r="K33" s="71">
        <v>1.74</v>
      </c>
      <c r="L33" s="140"/>
      <c r="M33" s="88"/>
      <c r="N33" s="84"/>
      <c r="R33" s="71">
        <v>1.74</v>
      </c>
      <c r="S33" s="140"/>
      <c r="T33" s="88"/>
      <c r="U33" s="84">
        <f t="shared" si="1"/>
        <v>0</v>
      </c>
    </row>
    <row r="34" spans="5:21" ht="12.75">
      <c r="E34" s="142" t="s">
        <v>206</v>
      </c>
      <c r="F34" s="74"/>
      <c r="G34" s="88">
        <f t="shared" si="2"/>
        <v>40.000000000000036</v>
      </c>
      <c r="H34" s="84">
        <f t="shared" si="0"/>
        <v>82.00000000000007</v>
      </c>
      <c r="I34">
        <v>20</v>
      </c>
      <c r="K34" s="142" t="s">
        <v>206</v>
      </c>
      <c r="L34" s="74"/>
      <c r="M34" s="88">
        <f>1000*(K35-K33)</f>
        <v>40.000000000000036</v>
      </c>
      <c r="N34" s="84"/>
      <c r="R34" s="142" t="s">
        <v>206</v>
      </c>
      <c r="S34" s="74"/>
      <c r="T34" s="88">
        <f>1000*(R35-R33)</f>
        <v>40.000000000000036</v>
      </c>
      <c r="U34" s="84">
        <f t="shared" si="1"/>
        <v>0</v>
      </c>
    </row>
    <row r="35" spans="5:21" ht="12.75">
      <c r="E35" s="71">
        <v>1.78</v>
      </c>
      <c r="F35" s="74">
        <v>0</v>
      </c>
      <c r="G35" s="88"/>
      <c r="H35" s="84">
        <f t="shared" si="0"/>
        <v>0</v>
      </c>
      <c r="K35" s="71">
        <v>1.78</v>
      </c>
      <c r="L35" s="74"/>
      <c r="M35" s="88"/>
      <c r="N35" s="84"/>
      <c r="R35" s="71">
        <v>1.78</v>
      </c>
      <c r="S35" s="74"/>
      <c r="T35" s="88"/>
      <c r="U35" s="84">
        <f t="shared" si="1"/>
        <v>0</v>
      </c>
    </row>
    <row r="36" spans="5:21" ht="12.75">
      <c r="E36" s="71"/>
      <c r="F36" s="74"/>
      <c r="G36" s="88">
        <f t="shared" si="2"/>
        <v>40.000000000000036</v>
      </c>
      <c r="H36" s="84">
        <f t="shared" si="0"/>
        <v>0</v>
      </c>
      <c r="K36" s="71"/>
      <c r="L36" s="74"/>
      <c r="M36" s="88">
        <f aca="true" t="shared" si="3" ref="M36:M50">1000*(K37-K35)</f>
        <v>40.000000000000036</v>
      </c>
      <c r="N36" s="84"/>
      <c r="R36" s="71"/>
      <c r="S36" s="74"/>
      <c r="T36" s="88">
        <f aca="true" t="shared" si="4" ref="T36:T50">1000*(R37-R35)</f>
        <v>40.000000000000036</v>
      </c>
      <c r="U36" s="84">
        <f t="shared" si="1"/>
        <v>0</v>
      </c>
    </row>
    <row r="37" spans="5:21" ht="12.75">
      <c r="E37" s="71">
        <v>1.82</v>
      </c>
      <c r="F37" s="74">
        <v>0</v>
      </c>
      <c r="G37" s="88"/>
      <c r="H37" s="84">
        <f t="shared" si="0"/>
        <v>0</v>
      </c>
      <c r="K37" s="71">
        <v>1.82</v>
      </c>
      <c r="L37" s="74"/>
      <c r="M37" s="88">
        <f t="shared" si="3"/>
        <v>0</v>
      </c>
      <c r="N37" s="84"/>
      <c r="R37" s="71">
        <v>1.82</v>
      </c>
      <c r="S37" s="74"/>
      <c r="T37" s="88">
        <f t="shared" si="4"/>
        <v>0</v>
      </c>
      <c r="U37" s="84">
        <f t="shared" si="1"/>
        <v>0</v>
      </c>
    </row>
    <row r="38" spans="5:21" ht="12.75">
      <c r="E38" s="71"/>
      <c r="F38" s="74"/>
      <c r="G38" s="88">
        <f t="shared" si="2"/>
        <v>40.000000000000036</v>
      </c>
      <c r="H38" s="84">
        <f t="shared" si="0"/>
        <v>20.000000000000018</v>
      </c>
      <c r="I38">
        <v>20</v>
      </c>
      <c r="K38" s="71"/>
      <c r="L38" s="74"/>
      <c r="M38" s="88">
        <f t="shared" si="3"/>
        <v>40.000000000000036</v>
      </c>
      <c r="N38" s="84"/>
      <c r="R38" s="71"/>
      <c r="S38" s="74"/>
      <c r="T38" s="88">
        <f t="shared" si="4"/>
        <v>40.000000000000036</v>
      </c>
      <c r="U38" s="84">
        <f t="shared" si="1"/>
        <v>0</v>
      </c>
    </row>
    <row r="39" spans="5:21" ht="12.75">
      <c r="E39" s="71">
        <v>1.86</v>
      </c>
      <c r="F39" s="74">
        <v>1</v>
      </c>
      <c r="G39" s="88"/>
      <c r="H39" s="84">
        <f t="shared" si="0"/>
        <v>0</v>
      </c>
      <c r="K39" s="71">
        <v>1.86</v>
      </c>
      <c r="L39" s="74"/>
      <c r="M39" s="88">
        <f t="shared" si="3"/>
        <v>0</v>
      </c>
      <c r="N39" s="84"/>
      <c r="R39" s="71">
        <v>1.86</v>
      </c>
      <c r="S39" s="74"/>
      <c r="T39" s="88">
        <f t="shared" si="4"/>
        <v>0</v>
      </c>
      <c r="U39" s="84">
        <f t="shared" si="1"/>
        <v>0</v>
      </c>
    </row>
    <row r="40" spans="5:21" ht="12.75">
      <c r="E40" s="142"/>
      <c r="F40" s="74"/>
      <c r="G40" s="88">
        <f t="shared" si="2"/>
        <v>39.999999999999815</v>
      </c>
      <c r="H40" s="84">
        <f t="shared" si="0"/>
        <v>39.999999999999815</v>
      </c>
      <c r="I40">
        <v>20</v>
      </c>
      <c r="K40" s="142"/>
      <c r="L40" s="74"/>
      <c r="M40" s="88">
        <f t="shared" si="3"/>
        <v>39.999999999999815</v>
      </c>
      <c r="N40" s="84"/>
      <c r="R40" s="142"/>
      <c r="S40" s="74"/>
      <c r="T40" s="88">
        <f t="shared" si="4"/>
        <v>39.999999999999815</v>
      </c>
      <c r="U40" s="84">
        <f t="shared" si="1"/>
        <v>0</v>
      </c>
    </row>
    <row r="41" spans="5:21" ht="12.75">
      <c r="E41" s="71">
        <v>1.9</v>
      </c>
      <c r="F41" s="74">
        <v>1</v>
      </c>
      <c r="G41" s="88"/>
      <c r="H41" s="84">
        <f t="shared" si="0"/>
        <v>0</v>
      </c>
      <c r="K41" s="71">
        <v>1.9</v>
      </c>
      <c r="L41" s="74"/>
      <c r="M41" s="88">
        <f t="shared" si="3"/>
        <v>0</v>
      </c>
      <c r="N41" s="84"/>
      <c r="R41" s="71">
        <v>1.9</v>
      </c>
      <c r="S41" s="74"/>
      <c r="T41" s="88">
        <f t="shared" si="4"/>
        <v>0</v>
      </c>
      <c r="U41" s="84">
        <f t="shared" si="1"/>
        <v>0</v>
      </c>
    </row>
    <row r="42" spans="5:21" ht="12.75">
      <c r="E42" s="71"/>
      <c r="F42" s="74"/>
      <c r="G42" s="88">
        <f t="shared" si="2"/>
        <v>40.000000000000036</v>
      </c>
      <c r="H42" s="84">
        <f t="shared" si="0"/>
        <v>20.000000000000018</v>
      </c>
      <c r="I42">
        <v>20</v>
      </c>
      <c r="K42" s="71"/>
      <c r="L42" s="74"/>
      <c r="M42" s="88">
        <f t="shared" si="3"/>
        <v>40.000000000000036</v>
      </c>
      <c r="N42" s="84"/>
      <c r="R42" s="71"/>
      <c r="S42" s="74"/>
      <c r="T42" s="88">
        <f t="shared" si="4"/>
        <v>40.000000000000036</v>
      </c>
      <c r="U42" s="84">
        <f t="shared" si="1"/>
        <v>0</v>
      </c>
    </row>
    <row r="43" spans="5:21" ht="12.75">
      <c r="E43" s="71">
        <v>1.94</v>
      </c>
      <c r="F43" s="74">
        <v>0</v>
      </c>
      <c r="G43" s="88"/>
      <c r="H43" s="84">
        <f t="shared" si="0"/>
        <v>0</v>
      </c>
      <c r="K43" s="71">
        <v>1.94</v>
      </c>
      <c r="L43" s="74"/>
      <c r="M43" s="88">
        <f t="shared" si="3"/>
        <v>0</v>
      </c>
      <c r="N43" s="84"/>
      <c r="R43" s="71">
        <v>1.94</v>
      </c>
      <c r="S43" s="74"/>
      <c r="T43" s="88">
        <f t="shared" si="4"/>
        <v>0</v>
      </c>
      <c r="U43" s="84">
        <f t="shared" si="1"/>
        <v>0</v>
      </c>
    </row>
    <row r="44" spans="5:21" ht="12.75">
      <c r="E44" s="71"/>
      <c r="F44" s="74"/>
      <c r="G44" s="88">
        <f t="shared" si="2"/>
        <v>60.00000000000006</v>
      </c>
      <c r="H44" s="84">
        <f t="shared" si="0"/>
        <v>99.00000000000009</v>
      </c>
      <c r="I44">
        <v>30</v>
      </c>
      <c r="K44" s="71"/>
      <c r="L44" s="74"/>
      <c r="M44" s="88">
        <f t="shared" si="3"/>
        <v>60.00000000000006</v>
      </c>
      <c r="N44" s="84"/>
      <c r="R44" s="71"/>
      <c r="S44" s="74"/>
      <c r="T44" s="88">
        <f t="shared" si="4"/>
        <v>60.00000000000006</v>
      </c>
      <c r="U44" s="84">
        <f t="shared" si="1"/>
        <v>0</v>
      </c>
    </row>
    <row r="45" spans="5:21" ht="12.75">
      <c r="E45" s="71">
        <v>2</v>
      </c>
      <c r="F45" s="74">
        <v>3.3</v>
      </c>
      <c r="G45" s="88"/>
      <c r="H45" s="84">
        <f t="shared" si="0"/>
        <v>0</v>
      </c>
      <c r="K45" s="71">
        <v>2</v>
      </c>
      <c r="L45" s="74"/>
      <c r="M45" s="88">
        <f t="shared" si="3"/>
        <v>0</v>
      </c>
      <c r="N45" s="84"/>
      <c r="R45" s="71">
        <v>2</v>
      </c>
      <c r="S45" s="74"/>
      <c r="T45" s="88">
        <f t="shared" si="4"/>
        <v>0</v>
      </c>
      <c r="U45" s="84">
        <f t="shared" si="1"/>
        <v>0</v>
      </c>
    </row>
    <row r="46" spans="5:21" ht="12.75">
      <c r="E46" s="71"/>
      <c r="F46" s="74"/>
      <c r="G46" s="88">
        <f t="shared" si="2"/>
        <v>40.000000000000036</v>
      </c>
      <c r="H46" s="84">
        <f t="shared" si="0"/>
        <v>66.00000000000006</v>
      </c>
      <c r="I46">
        <v>20</v>
      </c>
      <c r="K46" s="71"/>
      <c r="L46" s="74"/>
      <c r="M46" s="88">
        <f t="shared" si="3"/>
        <v>40.000000000000036</v>
      </c>
      <c r="N46" s="84"/>
      <c r="R46" s="71"/>
      <c r="S46" s="74"/>
      <c r="T46" s="88">
        <f t="shared" si="4"/>
        <v>40.000000000000036</v>
      </c>
      <c r="U46" s="84">
        <f t="shared" si="1"/>
        <v>0</v>
      </c>
    </row>
    <row r="47" spans="5:21" ht="12.75">
      <c r="E47" s="71">
        <v>2.04</v>
      </c>
      <c r="F47" s="74">
        <v>0</v>
      </c>
      <c r="G47" s="88"/>
      <c r="H47" s="84">
        <f t="shared" si="0"/>
        <v>0</v>
      </c>
      <c r="K47" s="71">
        <v>2.04</v>
      </c>
      <c r="L47" s="74"/>
      <c r="M47" s="88">
        <f t="shared" si="3"/>
        <v>0</v>
      </c>
      <c r="N47" s="84"/>
      <c r="R47" s="71">
        <v>2.04</v>
      </c>
      <c r="S47" s="74"/>
      <c r="T47" s="88">
        <f t="shared" si="4"/>
        <v>0</v>
      </c>
      <c r="U47" s="84">
        <f t="shared" si="1"/>
        <v>0</v>
      </c>
    </row>
    <row r="48" spans="5:21" ht="12.75">
      <c r="E48" s="142"/>
      <c r="F48" s="74"/>
      <c r="G48" s="88">
        <f t="shared" si="2"/>
        <v>40.000000000000036</v>
      </c>
      <c r="H48" s="84">
        <f t="shared" si="0"/>
        <v>0</v>
      </c>
      <c r="K48" s="142"/>
      <c r="L48" s="74"/>
      <c r="M48" s="88">
        <f t="shared" si="3"/>
        <v>40.000000000000036</v>
      </c>
      <c r="N48" s="84"/>
      <c r="R48" s="142"/>
      <c r="S48" s="74"/>
      <c r="T48" s="88">
        <f t="shared" si="4"/>
        <v>40.000000000000036</v>
      </c>
      <c r="U48" s="84">
        <f t="shared" si="1"/>
        <v>0</v>
      </c>
    </row>
    <row r="49" spans="5:21" ht="12.75">
      <c r="E49" s="71">
        <v>2.08</v>
      </c>
      <c r="F49" s="74">
        <v>0</v>
      </c>
      <c r="G49" s="88"/>
      <c r="H49" s="84">
        <f t="shared" si="0"/>
        <v>0</v>
      </c>
      <c r="K49" s="71">
        <v>2.08</v>
      </c>
      <c r="L49" s="74"/>
      <c r="M49" s="88">
        <f t="shared" si="3"/>
        <v>0</v>
      </c>
      <c r="N49" s="84"/>
      <c r="R49" s="71">
        <v>2.08</v>
      </c>
      <c r="S49" s="74"/>
      <c r="T49" s="88">
        <f t="shared" si="4"/>
        <v>0</v>
      </c>
      <c r="U49" s="84">
        <f t="shared" si="1"/>
        <v>0</v>
      </c>
    </row>
    <row r="50" spans="5:21" ht="12.75">
      <c r="E50" s="71"/>
      <c r="F50" s="80"/>
      <c r="G50" s="88">
        <f t="shared" si="2"/>
        <v>40.000000000000036</v>
      </c>
      <c r="H50" s="84">
        <f t="shared" si="0"/>
        <v>0</v>
      </c>
      <c r="K50" s="71"/>
      <c r="L50" s="80"/>
      <c r="M50" s="88">
        <f t="shared" si="3"/>
        <v>40.000000000000036</v>
      </c>
      <c r="N50" s="84"/>
      <c r="R50" s="71"/>
      <c r="S50" s="80"/>
      <c r="T50" s="88">
        <f t="shared" si="4"/>
        <v>40.000000000000036</v>
      </c>
      <c r="U50" s="84">
        <f t="shared" si="1"/>
        <v>0</v>
      </c>
    </row>
    <row r="51" spans="5:21" ht="12.75">
      <c r="E51" s="71">
        <v>2.12</v>
      </c>
      <c r="F51" s="80">
        <v>0</v>
      </c>
      <c r="G51" s="88"/>
      <c r="H51" s="84">
        <f t="shared" si="0"/>
        <v>0</v>
      </c>
      <c r="K51" s="71">
        <v>2.12</v>
      </c>
      <c r="L51" s="80"/>
      <c r="M51" s="88"/>
      <c r="N51" s="84"/>
      <c r="R51" s="71">
        <v>2.12</v>
      </c>
      <c r="S51" s="80"/>
      <c r="T51" s="88"/>
      <c r="U51" s="84">
        <f t="shared" si="1"/>
        <v>0</v>
      </c>
    </row>
    <row r="52" spans="5:21" ht="12.75">
      <c r="E52" s="71"/>
      <c r="F52" s="80"/>
      <c r="G52" s="88">
        <f t="shared" si="2"/>
        <v>20.000000000000018</v>
      </c>
      <c r="H52" s="84">
        <f t="shared" si="0"/>
        <v>21.00000000000002</v>
      </c>
      <c r="K52" s="71"/>
      <c r="L52" s="80"/>
      <c r="M52" s="88">
        <f>1000*(K53-K51)</f>
        <v>20.000000000000018</v>
      </c>
      <c r="N52" s="84"/>
      <c r="R52" s="71"/>
      <c r="S52" s="80"/>
      <c r="T52" s="88">
        <f>1000*(R53-R51)</f>
        <v>20.000000000000018</v>
      </c>
      <c r="U52" s="84">
        <f t="shared" si="1"/>
        <v>0</v>
      </c>
    </row>
    <row r="53" spans="5:21" ht="12.75">
      <c r="E53" s="71">
        <v>2.14</v>
      </c>
      <c r="F53" s="80">
        <v>2.1</v>
      </c>
      <c r="G53" s="88"/>
      <c r="H53" s="84">
        <f t="shared" si="0"/>
        <v>0</v>
      </c>
      <c r="K53" s="71">
        <v>2.14</v>
      </c>
      <c r="L53" s="80"/>
      <c r="M53" s="88"/>
      <c r="N53" s="84"/>
      <c r="R53" s="71">
        <v>2.14</v>
      </c>
      <c r="S53" s="80"/>
      <c r="T53" s="88"/>
      <c r="U53" s="84">
        <f t="shared" si="1"/>
        <v>0</v>
      </c>
    </row>
    <row r="54" spans="5:21" ht="12.75">
      <c r="E54" s="71"/>
      <c r="F54" s="80"/>
      <c r="G54" s="88">
        <f t="shared" si="2"/>
        <v>40.000000000000036</v>
      </c>
      <c r="H54" s="84">
        <f t="shared" si="0"/>
        <v>42.00000000000004</v>
      </c>
      <c r="I54">
        <v>30</v>
      </c>
      <c r="K54" s="71"/>
      <c r="L54" s="80"/>
      <c r="M54" s="88">
        <f>1000*(K55-K53)</f>
        <v>40.000000000000036</v>
      </c>
      <c r="N54" s="84"/>
      <c r="R54" s="71"/>
      <c r="S54" s="80"/>
      <c r="T54" s="88">
        <f>1000*(R55-R53)</f>
        <v>40.000000000000036</v>
      </c>
      <c r="U54" s="84">
        <f t="shared" si="1"/>
        <v>0</v>
      </c>
    </row>
    <row r="55" spans="5:21" ht="12.75">
      <c r="E55" s="71">
        <v>2.18</v>
      </c>
      <c r="F55" s="80">
        <v>0</v>
      </c>
      <c r="G55" s="88"/>
      <c r="H55" s="84">
        <f t="shared" si="0"/>
        <v>0</v>
      </c>
      <c r="K55" s="71">
        <v>2.18</v>
      </c>
      <c r="L55" s="80"/>
      <c r="M55" s="88"/>
      <c r="N55" s="84"/>
      <c r="R55" s="71">
        <v>2.18</v>
      </c>
      <c r="S55" s="80"/>
      <c r="T55" s="88"/>
      <c r="U55" s="84">
        <f t="shared" si="1"/>
        <v>0</v>
      </c>
    </row>
    <row r="56" spans="5:21" ht="12.75">
      <c r="E56" s="71"/>
      <c r="F56" s="80"/>
      <c r="G56" s="88">
        <f t="shared" si="2"/>
        <v>40.000000000000036</v>
      </c>
      <c r="H56" s="84">
        <f t="shared" si="0"/>
        <v>0</v>
      </c>
      <c r="K56" s="71"/>
      <c r="L56" s="80"/>
      <c r="M56" s="88">
        <f aca="true" t="shared" si="5" ref="M56:M97">1000*(K57-K55)</f>
        <v>40.000000000000036</v>
      </c>
      <c r="N56" s="84"/>
      <c r="R56" s="71"/>
      <c r="S56" s="80"/>
      <c r="T56" s="88">
        <f aca="true" t="shared" si="6" ref="T56:T97">1000*(R57-R55)</f>
        <v>40.000000000000036</v>
      </c>
      <c r="U56" s="84">
        <f t="shared" si="1"/>
        <v>0</v>
      </c>
    </row>
    <row r="57" spans="5:21" ht="12.75">
      <c r="E57" s="71">
        <v>2.22</v>
      </c>
      <c r="F57" s="80">
        <v>0</v>
      </c>
      <c r="G57" s="88">
        <f t="shared" si="2"/>
        <v>0</v>
      </c>
      <c r="H57" s="84">
        <f t="shared" si="0"/>
        <v>0</v>
      </c>
      <c r="K57" s="71">
        <v>2.22</v>
      </c>
      <c r="L57" s="80"/>
      <c r="M57" s="88">
        <f t="shared" si="5"/>
        <v>0</v>
      </c>
      <c r="N57" s="84"/>
      <c r="R57" s="71">
        <v>2.22</v>
      </c>
      <c r="S57" s="80"/>
      <c r="T57" s="88">
        <f t="shared" si="6"/>
        <v>0</v>
      </c>
      <c r="U57" s="84">
        <f t="shared" si="1"/>
        <v>0</v>
      </c>
    </row>
    <row r="58" spans="5:21" ht="12.75">
      <c r="E58" s="71"/>
      <c r="F58" s="80"/>
      <c r="G58" s="88">
        <f t="shared" si="2"/>
        <v>39.99999999999959</v>
      </c>
      <c r="H58" s="84">
        <f t="shared" si="0"/>
        <v>0</v>
      </c>
      <c r="K58" s="71"/>
      <c r="L58" s="80"/>
      <c r="M58" s="88">
        <f t="shared" si="5"/>
        <v>39.99999999999959</v>
      </c>
      <c r="N58" s="84"/>
      <c r="R58" s="71"/>
      <c r="S58" s="80"/>
      <c r="T58" s="88">
        <f t="shared" si="6"/>
        <v>39.99999999999959</v>
      </c>
      <c r="U58" s="84">
        <f t="shared" si="1"/>
        <v>0</v>
      </c>
    </row>
    <row r="59" spans="5:21" ht="12.75">
      <c r="E59" s="71">
        <v>2.26</v>
      </c>
      <c r="F59" s="80">
        <v>0</v>
      </c>
      <c r="G59" s="88">
        <f t="shared" si="2"/>
        <v>0</v>
      </c>
      <c r="H59" s="84">
        <f t="shared" si="0"/>
        <v>0</v>
      </c>
      <c r="K59" s="71">
        <v>2.26</v>
      </c>
      <c r="L59" s="80"/>
      <c r="M59" s="88">
        <f t="shared" si="5"/>
        <v>0</v>
      </c>
      <c r="N59" s="84"/>
      <c r="R59" s="71">
        <v>2.26</v>
      </c>
      <c r="S59" s="80"/>
      <c r="T59" s="88">
        <f t="shared" si="6"/>
        <v>0</v>
      </c>
      <c r="U59" s="84">
        <f t="shared" si="1"/>
        <v>0</v>
      </c>
    </row>
    <row r="60" spans="5:21" ht="12.75">
      <c r="E60" s="71"/>
      <c r="F60" s="80"/>
      <c r="G60" s="88">
        <f t="shared" si="2"/>
        <v>60.00000000000006</v>
      </c>
      <c r="H60" s="84">
        <f t="shared" si="0"/>
        <v>0</v>
      </c>
      <c r="K60" s="71"/>
      <c r="L60" s="80"/>
      <c r="M60" s="88">
        <f t="shared" si="5"/>
        <v>60.00000000000006</v>
      </c>
      <c r="N60" s="84"/>
      <c r="R60" s="71"/>
      <c r="S60" s="80"/>
      <c r="T60" s="88">
        <f t="shared" si="6"/>
        <v>60.00000000000006</v>
      </c>
      <c r="U60" s="84">
        <f t="shared" si="1"/>
        <v>0</v>
      </c>
    </row>
    <row r="61" spans="5:21" ht="12.75">
      <c r="E61" s="71">
        <v>2.32</v>
      </c>
      <c r="F61" s="80">
        <v>0</v>
      </c>
      <c r="G61" s="88">
        <f t="shared" si="2"/>
        <v>0</v>
      </c>
      <c r="H61" s="84">
        <f t="shared" si="0"/>
        <v>0</v>
      </c>
      <c r="K61" s="71">
        <v>2.32</v>
      </c>
      <c r="L61" s="80"/>
      <c r="M61" s="88">
        <f t="shared" si="5"/>
        <v>0</v>
      </c>
      <c r="N61" s="84"/>
      <c r="R61" s="71">
        <v>2.32</v>
      </c>
      <c r="S61" s="80"/>
      <c r="T61" s="88">
        <f t="shared" si="6"/>
        <v>0</v>
      </c>
      <c r="U61" s="84">
        <f t="shared" si="1"/>
        <v>0</v>
      </c>
    </row>
    <row r="62" spans="5:21" ht="12.75">
      <c r="E62" s="71"/>
      <c r="F62" s="80"/>
      <c r="G62" s="88">
        <f t="shared" si="2"/>
        <v>60.00000000000006</v>
      </c>
      <c r="H62" s="84">
        <f t="shared" si="0"/>
        <v>0</v>
      </c>
      <c r="K62" s="71"/>
      <c r="L62" s="80"/>
      <c r="M62" s="88">
        <f t="shared" si="5"/>
        <v>60.00000000000006</v>
      </c>
      <c r="N62" s="84"/>
      <c r="R62" s="71"/>
      <c r="S62" s="80"/>
      <c r="T62" s="88">
        <f t="shared" si="6"/>
        <v>60.00000000000006</v>
      </c>
      <c r="U62" s="84">
        <f t="shared" si="1"/>
        <v>0</v>
      </c>
    </row>
    <row r="63" spans="5:21" ht="12.75">
      <c r="E63" s="71">
        <v>2.38</v>
      </c>
      <c r="F63" s="80">
        <v>0</v>
      </c>
      <c r="G63" s="88">
        <f t="shared" si="2"/>
        <v>0</v>
      </c>
      <c r="H63" s="84">
        <f t="shared" si="0"/>
        <v>0</v>
      </c>
      <c r="K63" s="71">
        <v>2.38</v>
      </c>
      <c r="L63" s="80"/>
      <c r="M63" s="88"/>
      <c r="N63" s="84"/>
      <c r="R63" s="71">
        <v>2.38</v>
      </c>
      <c r="S63" s="80"/>
      <c r="T63" s="88">
        <f t="shared" si="6"/>
        <v>2400</v>
      </c>
      <c r="U63" s="84">
        <f t="shared" si="1"/>
        <v>0</v>
      </c>
    </row>
    <row r="64" spans="5:21" ht="12.75">
      <c r="E64" s="71"/>
      <c r="F64" s="80"/>
      <c r="G64" s="88">
        <f t="shared" si="2"/>
        <v>40.000000000000036</v>
      </c>
      <c r="H64" s="84">
        <f t="shared" si="0"/>
        <v>24.00000000000002</v>
      </c>
      <c r="I64">
        <v>10</v>
      </c>
      <c r="K64" s="71">
        <v>2.4</v>
      </c>
      <c r="L64" s="80"/>
      <c r="M64" s="88">
        <f t="shared" si="5"/>
        <v>40.000000000000036</v>
      </c>
      <c r="N64" s="84">
        <v>12</v>
      </c>
      <c r="R64" s="71">
        <v>2.4</v>
      </c>
      <c r="S64" s="80"/>
      <c r="T64" s="88">
        <f t="shared" si="6"/>
        <v>40.000000000000036</v>
      </c>
      <c r="U64" s="84">
        <f t="shared" si="1"/>
        <v>0</v>
      </c>
    </row>
    <row r="65" spans="5:21" ht="12.75">
      <c r="E65" s="660">
        <v>2.42</v>
      </c>
      <c r="F65" s="80">
        <v>1.2</v>
      </c>
      <c r="G65" s="88">
        <f t="shared" si="2"/>
        <v>0</v>
      </c>
      <c r="H65" s="84">
        <f t="shared" si="0"/>
        <v>0</v>
      </c>
      <c r="K65" s="660">
        <v>2.42</v>
      </c>
      <c r="L65" s="80">
        <v>1.2</v>
      </c>
      <c r="M65" s="88"/>
      <c r="N65" s="84">
        <f aca="true" t="shared" si="7" ref="N65:N85">0.5*(L66+L64)*M65</f>
        <v>0</v>
      </c>
      <c r="R65" s="71">
        <v>2.42</v>
      </c>
      <c r="S65" s="80"/>
      <c r="T65" s="88">
        <f t="shared" si="6"/>
        <v>-2400</v>
      </c>
      <c r="U65" s="84">
        <f t="shared" si="1"/>
        <v>0</v>
      </c>
    </row>
    <row r="66" spans="5:21" ht="12.75">
      <c r="E66" s="71"/>
      <c r="F66" s="80"/>
      <c r="G66" s="88">
        <f t="shared" si="2"/>
        <v>60.00000000000006</v>
      </c>
      <c r="H66" s="84"/>
      <c r="K66" s="71"/>
      <c r="L66" s="80"/>
      <c r="M66" s="88">
        <f t="shared" si="5"/>
        <v>60.00000000000006</v>
      </c>
      <c r="N66" s="84">
        <f t="shared" si="7"/>
        <v>66.00000000000007</v>
      </c>
      <c r="R66" s="71"/>
      <c r="S66" s="80"/>
      <c r="T66" s="88">
        <f t="shared" si="6"/>
        <v>60.00000000000006</v>
      </c>
      <c r="U66" s="84">
        <f t="shared" si="1"/>
        <v>0</v>
      </c>
    </row>
    <row r="67" spans="5:21" ht="12.75">
      <c r="E67" s="71">
        <v>2.48</v>
      </c>
      <c r="F67" s="80"/>
      <c r="G67" s="88">
        <f t="shared" si="2"/>
        <v>0</v>
      </c>
      <c r="H67" s="84"/>
      <c r="K67" s="71">
        <v>2.48</v>
      </c>
      <c r="L67" s="80">
        <v>1</v>
      </c>
      <c r="M67" s="88">
        <f t="shared" si="5"/>
        <v>0</v>
      </c>
      <c r="N67" s="84">
        <f t="shared" si="7"/>
        <v>0</v>
      </c>
      <c r="R67" s="71">
        <v>2.48</v>
      </c>
      <c r="S67" s="80"/>
      <c r="T67" s="88">
        <f t="shared" si="6"/>
        <v>0</v>
      </c>
      <c r="U67" s="84">
        <f t="shared" si="1"/>
        <v>0</v>
      </c>
    </row>
    <row r="68" spans="5:21" ht="12.75">
      <c r="E68" s="71"/>
      <c r="F68" s="80"/>
      <c r="G68" s="88">
        <f t="shared" si="2"/>
        <v>40.000000000000036</v>
      </c>
      <c r="H68" s="84"/>
      <c r="K68" s="71"/>
      <c r="L68" s="80"/>
      <c r="M68" s="88">
        <f t="shared" si="5"/>
        <v>40.000000000000036</v>
      </c>
      <c r="N68" s="84">
        <f t="shared" si="7"/>
        <v>20.000000000000018</v>
      </c>
      <c r="R68" s="71"/>
      <c r="S68" s="80"/>
      <c r="T68" s="88">
        <f t="shared" si="6"/>
        <v>40.000000000000036</v>
      </c>
      <c r="U68" s="84">
        <f t="shared" si="1"/>
        <v>0</v>
      </c>
    </row>
    <row r="69" spans="5:21" ht="12.75">
      <c r="E69" s="71">
        <v>2.52</v>
      </c>
      <c r="F69" s="80"/>
      <c r="G69" s="88">
        <f t="shared" si="2"/>
        <v>0</v>
      </c>
      <c r="H69" s="84"/>
      <c r="K69" s="71">
        <v>2.52</v>
      </c>
      <c r="L69" s="80">
        <v>0</v>
      </c>
      <c r="M69" s="88">
        <f t="shared" si="5"/>
        <v>0</v>
      </c>
      <c r="N69" s="84">
        <f t="shared" si="7"/>
        <v>0</v>
      </c>
      <c r="O69">
        <v>80</v>
      </c>
      <c r="R69" s="71">
        <v>2.52</v>
      </c>
      <c r="S69" s="80"/>
      <c r="T69" s="88">
        <f t="shared" si="6"/>
        <v>0</v>
      </c>
      <c r="U69" s="84">
        <f t="shared" si="1"/>
        <v>0</v>
      </c>
    </row>
    <row r="70" spans="5:21" ht="12.75">
      <c r="E70" s="71"/>
      <c r="F70" s="80"/>
      <c r="G70" s="88">
        <f t="shared" si="2"/>
        <v>60.00000000000006</v>
      </c>
      <c r="H70" s="84"/>
      <c r="K70" s="71"/>
      <c r="L70" s="80"/>
      <c r="M70" s="88">
        <f t="shared" si="5"/>
        <v>60.00000000000006</v>
      </c>
      <c r="N70" s="84">
        <f t="shared" si="7"/>
        <v>30.00000000000003</v>
      </c>
      <c r="R70" s="71"/>
      <c r="S70" s="80"/>
      <c r="T70" s="88">
        <f t="shared" si="6"/>
        <v>60.00000000000006</v>
      </c>
      <c r="U70" s="84">
        <f t="shared" si="1"/>
        <v>0</v>
      </c>
    </row>
    <row r="71" spans="5:21" ht="12.75">
      <c r="E71" s="71">
        <v>2.58</v>
      </c>
      <c r="F71" s="80"/>
      <c r="G71" s="88">
        <f t="shared" si="2"/>
        <v>0</v>
      </c>
      <c r="H71" s="84"/>
      <c r="K71" s="71">
        <v>2.58</v>
      </c>
      <c r="L71" s="80">
        <v>1</v>
      </c>
      <c r="M71" s="88">
        <f t="shared" si="5"/>
        <v>0</v>
      </c>
      <c r="N71" s="84">
        <f t="shared" si="7"/>
        <v>0</v>
      </c>
      <c r="R71" s="71">
        <v>2.58</v>
      </c>
      <c r="S71" s="80"/>
      <c r="T71" s="88">
        <f t="shared" si="6"/>
        <v>0</v>
      </c>
      <c r="U71" s="84">
        <f t="shared" si="1"/>
        <v>0</v>
      </c>
    </row>
    <row r="72" spans="5:21" ht="12.75">
      <c r="E72" s="71"/>
      <c r="F72" s="80"/>
      <c r="G72" s="88">
        <f t="shared" si="2"/>
        <v>60.00000000000006</v>
      </c>
      <c r="H72" s="84"/>
      <c r="K72" s="71"/>
      <c r="L72" s="80"/>
      <c r="M72" s="88">
        <f t="shared" si="5"/>
        <v>60.00000000000006</v>
      </c>
      <c r="N72" s="84">
        <f t="shared" si="7"/>
        <v>60.00000000000006</v>
      </c>
      <c r="R72" s="71"/>
      <c r="S72" s="80"/>
      <c r="T72" s="88">
        <f t="shared" si="6"/>
        <v>60.00000000000006</v>
      </c>
      <c r="U72" s="84">
        <f t="shared" si="1"/>
        <v>0</v>
      </c>
    </row>
    <row r="73" spans="5:21" ht="12.75">
      <c r="E73" s="71">
        <v>2.64</v>
      </c>
      <c r="F73" s="80"/>
      <c r="G73" s="88">
        <f t="shared" si="2"/>
        <v>0</v>
      </c>
      <c r="H73" s="84"/>
      <c r="K73" s="71">
        <v>2.64</v>
      </c>
      <c r="L73" s="80">
        <v>1</v>
      </c>
      <c r="M73" s="88">
        <f t="shared" si="5"/>
        <v>0</v>
      </c>
      <c r="N73" s="84">
        <f t="shared" si="7"/>
        <v>0</v>
      </c>
      <c r="R73" s="71">
        <v>2.64</v>
      </c>
      <c r="S73" s="80"/>
      <c r="T73" s="88">
        <f t="shared" si="6"/>
        <v>0</v>
      </c>
      <c r="U73" s="84">
        <f t="shared" si="1"/>
        <v>0</v>
      </c>
    </row>
    <row r="74" spans="5:21" ht="12.75">
      <c r="E74" s="71"/>
      <c r="F74" s="80"/>
      <c r="G74" s="88">
        <f t="shared" si="2"/>
        <v>60.00000000000006</v>
      </c>
      <c r="H74" s="84"/>
      <c r="K74" s="71"/>
      <c r="L74" s="80"/>
      <c r="M74" s="88">
        <f t="shared" si="5"/>
        <v>60.00000000000006</v>
      </c>
      <c r="N74" s="84">
        <f t="shared" si="7"/>
        <v>30.00000000000003</v>
      </c>
      <c r="R74" s="71"/>
      <c r="S74" s="80"/>
      <c r="T74" s="88">
        <f t="shared" si="6"/>
        <v>60.00000000000006</v>
      </c>
      <c r="U74" s="84">
        <f t="shared" si="1"/>
        <v>0</v>
      </c>
    </row>
    <row r="75" spans="5:21" ht="12.75">
      <c r="E75" s="71">
        <v>2.7</v>
      </c>
      <c r="F75" s="80"/>
      <c r="G75" s="88">
        <f t="shared" si="2"/>
        <v>0</v>
      </c>
      <c r="H75" s="84"/>
      <c r="K75" s="71">
        <v>2.7</v>
      </c>
      <c r="L75" s="80">
        <v>0</v>
      </c>
      <c r="M75" s="88">
        <f t="shared" si="5"/>
        <v>0</v>
      </c>
      <c r="N75" s="84">
        <f t="shared" si="7"/>
        <v>0</v>
      </c>
      <c r="R75" s="71">
        <v>2.7</v>
      </c>
      <c r="S75" s="80"/>
      <c r="T75" s="88">
        <f t="shared" si="6"/>
        <v>0</v>
      </c>
      <c r="U75" s="84">
        <f t="shared" si="1"/>
        <v>0</v>
      </c>
    </row>
    <row r="76" spans="4:21" ht="12.75">
      <c r="D76" s="661"/>
      <c r="E76" s="71"/>
      <c r="F76" s="80"/>
      <c r="G76" s="88">
        <f t="shared" si="2"/>
        <v>59.99999999999961</v>
      </c>
      <c r="H76" s="84"/>
      <c r="K76" s="71"/>
      <c r="L76" s="80"/>
      <c r="M76" s="88">
        <f t="shared" si="5"/>
        <v>59.99999999999961</v>
      </c>
      <c r="N76" s="84">
        <f t="shared" si="7"/>
        <v>0</v>
      </c>
      <c r="O76">
        <v>95</v>
      </c>
      <c r="R76" s="71"/>
      <c r="S76" s="80"/>
      <c r="T76" s="88">
        <f t="shared" si="6"/>
        <v>59.99999999999961</v>
      </c>
      <c r="U76" s="84">
        <f t="shared" si="1"/>
        <v>0</v>
      </c>
    </row>
    <row r="77" spans="4:21" ht="12.75">
      <c r="D77" s="661"/>
      <c r="E77" s="71">
        <v>2.76</v>
      </c>
      <c r="F77" s="80"/>
      <c r="G77" s="88">
        <f t="shared" si="2"/>
        <v>0</v>
      </c>
      <c r="H77" s="84"/>
      <c r="K77" s="71">
        <v>2.76</v>
      </c>
      <c r="L77" s="80">
        <v>0</v>
      </c>
      <c r="M77" s="88">
        <f t="shared" si="5"/>
        <v>0</v>
      </c>
      <c r="N77" s="84">
        <f t="shared" si="7"/>
        <v>0</v>
      </c>
      <c r="R77" s="71">
        <v>2.76</v>
      </c>
      <c r="S77" s="80"/>
      <c r="T77" s="88">
        <f t="shared" si="6"/>
        <v>0</v>
      </c>
      <c r="U77" s="84">
        <f t="shared" si="1"/>
        <v>0</v>
      </c>
    </row>
    <row r="78" spans="4:21" ht="12.75">
      <c r="D78" s="661"/>
      <c r="E78" s="71"/>
      <c r="F78" s="80"/>
      <c r="G78" s="88">
        <f t="shared" si="2"/>
        <v>40.000000000000036</v>
      </c>
      <c r="H78" s="84"/>
      <c r="K78" s="71"/>
      <c r="L78" s="80"/>
      <c r="M78" s="88">
        <f t="shared" si="5"/>
        <v>40.000000000000036</v>
      </c>
      <c r="N78" s="84">
        <f t="shared" si="7"/>
        <v>0</v>
      </c>
      <c r="R78" s="71"/>
      <c r="S78" s="80"/>
      <c r="T78" s="88">
        <f t="shared" si="6"/>
        <v>40.000000000000036</v>
      </c>
      <c r="U78" s="84">
        <f t="shared" si="1"/>
        <v>0</v>
      </c>
    </row>
    <row r="79" spans="4:21" ht="12.75">
      <c r="D79" s="661"/>
      <c r="E79" s="71">
        <v>2.8</v>
      </c>
      <c r="F79" s="80"/>
      <c r="G79" s="88">
        <f t="shared" si="2"/>
        <v>0</v>
      </c>
      <c r="H79" s="84"/>
      <c r="K79" s="71">
        <v>2.8</v>
      </c>
      <c r="L79" s="80">
        <v>0</v>
      </c>
      <c r="M79" s="88">
        <f t="shared" si="5"/>
        <v>0</v>
      </c>
      <c r="N79" s="84">
        <f t="shared" si="7"/>
        <v>0</v>
      </c>
      <c r="R79" s="71">
        <v>2.8</v>
      </c>
      <c r="S79" s="80"/>
      <c r="T79" s="88">
        <f t="shared" si="6"/>
        <v>0</v>
      </c>
      <c r="U79" s="84">
        <f t="shared" si="1"/>
        <v>0</v>
      </c>
    </row>
    <row r="80" spans="4:21" ht="12.75">
      <c r="D80" s="661"/>
      <c r="E80" s="71"/>
      <c r="F80" s="80"/>
      <c r="G80" s="88">
        <f t="shared" si="2"/>
        <v>40.000000000000036</v>
      </c>
      <c r="H80" s="84"/>
      <c r="K80" s="71"/>
      <c r="L80" s="80"/>
      <c r="M80" s="88">
        <f t="shared" si="5"/>
        <v>40.000000000000036</v>
      </c>
      <c r="N80" s="84">
        <f t="shared" si="7"/>
        <v>0</v>
      </c>
      <c r="R80" s="71"/>
      <c r="S80" s="80"/>
      <c r="T80" s="88">
        <f t="shared" si="6"/>
        <v>40.000000000000036</v>
      </c>
      <c r="U80" s="84">
        <f t="shared" si="1"/>
        <v>0</v>
      </c>
    </row>
    <row r="81" spans="4:21" ht="12.75">
      <c r="D81" s="661"/>
      <c r="E81" s="71">
        <v>2.84</v>
      </c>
      <c r="F81" s="80"/>
      <c r="G81" s="88">
        <f t="shared" si="2"/>
        <v>0</v>
      </c>
      <c r="H81" s="84"/>
      <c r="K81" s="71">
        <v>2.84</v>
      </c>
      <c r="L81" s="80">
        <v>0</v>
      </c>
      <c r="M81" s="88">
        <f t="shared" si="5"/>
        <v>0</v>
      </c>
      <c r="N81" s="84">
        <f t="shared" si="7"/>
        <v>0</v>
      </c>
      <c r="R81" s="71">
        <v>2.84</v>
      </c>
      <c r="S81" s="80"/>
      <c r="T81" s="88">
        <f t="shared" si="6"/>
        <v>0</v>
      </c>
      <c r="U81" s="84">
        <f t="shared" si="1"/>
        <v>0</v>
      </c>
    </row>
    <row r="82" spans="4:21" ht="12.75">
      <c r="D82" s="661"/>
      <c r="E82" s="71"/>
      <c r="F82" s="80"/>
      <c r="G82" s="88">
        <f t="shared" si="2"/>
        <v>60.00000000000006</v>
      </c>
      <c r="H82" s="84"/>
      <c r="K82" s="71"/>
      <c r="L82" s="80"/>
      <c r="M82" s="88">
        <f t="shared" si="5"/>
        <v>60.00000000000006</v>
      </c>
      <c r="N82" s="84">
        <f t="shared" si="7"/>
        <v>30.00000000000003</v>
      </c>
      <c r="R82" s="71"/>
      <c r="S82" s="80"/>
      <c r="T82" s="88">
        <f t="shared" si="6"/>
        <v>60.00000000000006</v>
      </c>
      <c r="U82" s="84">
        <f t="shared" si="1"/>
        <v>0</v>
      </c>
    </row>
    <row r="83" spans="4:21" ht="12.75">
      <c r="D83" s="661"/>
      <c r="E83" s="71">
        <v>2.9</v>
      </c>
      <c r="F83" s="80"/>
      <c r="G83" s="88">
        <f t="shared" si="2"/>
        <v>0</v>
      </c>
      <c r="H83" s="84"/>
      <c r="K83" s="71">
        <v>2.9</v>
      </c>
      <c r="L83" s="80">
        <v>1</v>
      </c>
      <c r="M83" s="88">
        <f t="shared" si="5"/>
        <v>0</v>
      </c>
      <c r="N83" s="84">
        <f t="shared" si="7"/>
        <v>0</v>
      </c>
      <c r="O83">
        <v>40</v>
      </c>
      <c r="R83" s="71">
        <v>2.9</v>
      </c>
      <c r="S83" s="80"/>
      <c r="T83" s="88">
        <f t="shared" si="6"/>
        <v>0</v>
      </c>
      <c r="U83" s="84">
        <f t="shared" si="1"/>
        <v>0</v>
      </c>
    </row>
    <row r="84" spans="4:21" ht="12.75">
      <c r="D84" s="661"/>
      <c r="E84" s="71"/>
      <c r="F84" s="80"/>
      <c r="G84" s="88">
        <f t="shared" si="2"/>
        <v>40.000000000000036</v>
      </c>
      <c r="H84" s="84"/>
      <c r="K84" s="71"/>
      <c r="L84" s="80"/>
      <c r="M84" s="88">
        <f t="shared" si="5"/>
        <v>40.000000000000036</v>
      </c>
      <c r="N84" s="84">
        <f t="shared" si="7"/>
        <v>20.000000000000018</v>
      </c>
      <c r="R84" s="71"/>
      <c r="S84" s="80"/>
      <c r="T84" s="88">
        <f t="shared" si="6"/>
        <v>40.000000000000036</v>
      </c>
      <c r="U84" s="84">
        <f t="shared" si="1"/>
        <v>0</v>
      </c>
    </row>
    <row r="85" spans="4:21" ht="12.75">
      <c r="D85" s="661"/>
      <c r="E85" s="71">
        <v>2.94</v>
      </c>
      <c r="F85" s="80"/>
      <c r="G85" s="88">
        <f t="shared" si="2"/>
        <v>0</v>
      </c>
      <c r="H85" s="84"/>
      <c r="K85" s="71">
        <v>2.94</v>
      </c>
      <c r="L85" s="80">
        <v>0</v>
      </c>
      <c r="M85" s="88">
        <f t="shared" si="5"/>
        <v>0</v>
      </c>
      <c r="N85" s="84">
        <f t="shared" si="7"/>
        <v>0</v>
      </c>
      <c r="R85" s="71">
        <v>2.94</v>
      </c>
      <c r="S85" s="80"/>
      <c r="T85" s="88">
        <f t="shared" si="6"/>
        <v>0</v>
      </c>
      <c r="U85" s="84">
        <f t="shared" si="1"/>
        <v>0</v>
      </c>
    </row>
    <row r="86" spans="4:21" ht="12.75">
      <c r="D86" s="661"/>
      <c r="E86" s="71"/>
      <c r="F86" s="80"/>
      <c r="G86" s="88">
        <f t="shared" si="2"/>
        <v>60.00000000000006</v>
      </c>
      <c r="H86" s="84"/>
      <c r="K86" s="71"/>
      <c r="L86" s="80"/>
      <c r="M86" s="88">
        <f t="shared" si="5"/>
        <v>60.00000000000006</v>
      </c>
      <c r="N86" s="84">
        <f aca="true" t="shared" si="8" ref="N86:N113">0.5*(L87+L85)*M86</f>
        <v>0</v>
      </c>
      <c r="R86" s="71"/>
      <c r="S86" s="80"/>
      <c r="T86" s="88">
        <f t="shared" si="6"/>
        <v>60.00000000000006</v>
      </c>
      <c r="U86" s="84">
        <f aca="true" t="shared" si="9" ref="U86:U133">0.5*(S87+S85)*T86</f>
        <v>0</v>
      </c>
    </row>
    <row r="87" spans="5:21" ht="12.75">
      <c r="E87" s="403">
        <v>3</v>
      </c>
      <c r="F87" s="80"/>
      <c r="G87" s="88">
        <f t="shared" si="2"/>
        <v>0</v>
      </c>
      <c r="H87" s="84"/>
      <c r="K87" s="403">
        <v>3</v>
      </c>
      <c r="L87" s="80">
        <v>0</v>
      </c>
      <c r="M87" s="88">
        <f t="shared" si="5"/>
        <v>0</v>
      </c>
      <c r="N87" s="84">
        <f t="shared" si="8"/>
        <v>0</v>
      </c>
      <c r="R87" s="403">
        <v>3</v>
      </c>
      <c r="S87" s="80"/>
      <c r="T87" s="88">
        <f t="shared" si="6"/>
        <v>0</v>
      </c>
      <c r="U87" s="84">
        <f t="shared" si="9"/>
        <v>0</v>
      </c>
    </row>
    <row r="88" spans="5:21" ht="12.75">
      <c r="E88" s="71"/>
      <c r="F88" s="80"/>
      <c r="G88" s="88">
        <f t="shared" si="2"/>
        <v>40.000000000000036</v>
      </c>
      <c r="H88" s="84"/>
      <c r="K88" s="71"/>
      <c r="L88" s="80"/>
      <c r="M88" s="88">
        <f t="shared" si="5"/>
        <v>40.000000000000036</v>
      </c>
      <c r="N88" s="84">
        <f t="shared" si="8"/>
        <v>0</v>
      </c>
      <c r="R88" s="71"/>
      <c r="S88" s="80"/>
      <c r="T88" s="88">
        <f t="shared" si="6"/>
        <v>40.000000000000036</v>
      </c>
      <c r="U88" s="84">
        <f t="shared" si="9"/>
        <v>0</v>
      </c>
    </row>
    <row r="89" spans="5:21" ht="12.75">
      <c r="E89" s="71">
        <v>3.04</v>
      </c>
      <c r="F89" s="80"/>
      <c r="G89" s="88">
        <f t="shared" si="2"/>
        <v>0</v>
      </c>
      <c r="H89" s="84"/>
      <c r="K89" s="71">
        <v>3.04</v>
      </c>
      <c r="L89" s="80">
        <v>0</v>
      </c>
      <c r="M89" s="88">
        <f t="shared" si="5"/>
        <v>0</v>
      </c>
      <c r="N89" s="84">
        <f t="shared" si="8"/>
        <v>0</v>
      </c>
      <c r="R89" s="71">
        <v>3.04</v>
      </c>
      <c r="S89" s="80"/>
      <c r="T89" s="88">
        <f t="shared" si="6"/>
        <v>0</v>
      </c>
      <c r="U89" s="84">
        <f t="shared" si="9"/>
        <v>0</v>
      </c>
    </row>
    <row r="90" spans="5:21" ht="12.75">
      <c r="E90" s="71"/>
      <c r="F90" s="74"/>
      <c r="G90" s="88">
        <f aca="true" t="shared" si="10" ref="G90:G133">1000*(E91-E89)</f>
        <v>60.00000000000006</v>
      </c>
      <c r="H90" s="84"/>
      <c r="K90" s="71"/>
      <c r="L90" s="74"/>
      <c r="M90" s="88">
        <f t="shared" si="5"/>
        <v>60.00000000000006</v>
      </c>
      <c r="N90" s="84">
        <f t="shared" si="8"/>
        <v>0</v>
      </c>
      <c r="R90" s="71"/>
      <c r="S90" s="74"/>
      <c r="T90" s="88">
        <f t="shared" si="6"/>
        <v>60.00000000000006</v>
      </c>
      <c r="U90" s="84">
        <f t="shared" si="9"/>
        <v>0</v>
      </c>
    </row>
    <row r="91" spans="5:21" ht="12.75">
      <c r="E91" s="71">
        <v>3.1</v>
      </c>
      <c r="F91" s="74"/>
      <c r="G91" s="88">
        <f t="shared" si="10"/>
        <v>0</v>
      </c>
      <c r="H91" s="84"/>
      <c r="K91" s="71">
        <v>3.1</v>
      </c>
      <c r="L91" s="74">
        <v>0</v>
      </c>
      <c r="M91" s="88">
        <f t="shared" si="5"/>
        <v>0</v>
      </c>
      <c r="N91" s="84">
        <f t="shared" si="8"/>
        <v>0</v>
      </c>
      <c r="R91" s="71">
        <v>3.1</v>
      </c>
      <c r="S91" s="74"/>
      <c r="T91" s="88">
        <f t="shared" si="6"/>
        <v>0</v>
      </c>
      <c r="U91" s="84">
        <f t="shared" si="9"/>
        <v>0</v>
      </c>
    </row>
    <row r="92" spans="5:21" ht="12.75">
      <c r="E92" s="142"/>
      <c r="F92" s="74"/>
      <c r="G92" s="88">
        <f t="shared" si="10"/>
        <v>40.000000000000036</v>
      </c>
      <c r="H92" s="84"/>
      <c r="K92" s="142"/>
      <c r="L92" s="74"/>
      <c r="M92" s="88">
        <f t="shared" si="5"/>
        <v>40.000000000000036</v>
      </c>
      <c r="N92" s="84">
        <f t="shared" si="8"/>
        <v>0</v>
      </c>
      <c r="R92" s="142"/>
      <c r="S92" s="74"/>
      <c r="T92" s="88">
        <f t="shared" si="6"/>
        <v>40.000000000000036</v>
      </c>
      <c r="U92" s="84">
        <f t="shared" si="9"/>
        <v>0</v>
      </c>
    </row>
    <row r="93" spans="5:21" ht="12.75">
      <c r="E93" s="71">
        <v>3.14</v>
      </c>
      <c r="F93" s="74"/>
      <c r="G93" s="88">
        <f t="shared" si="10"/>
        <v>0</v>
      </c>
      <c r="H93" s="84"/>
      <c r="K93" s="71">
        <v>3.14</v>
      </c>
      <c r="L93" s="74">
        <v>0</v>
      </c>
      <c r="M93" s="88">
        <f t="shared" si="5"/>
        <v>0</v>
      </c>
      <c r="N93" s="84">
        <f t="shared" si="8"/>
        <v>0</v>
      </c>
      <c r="R93" s="71">
        <v>3.14</v>
      </c>
      <c r="S93" s="74"/>
      <c r="T93" s="88">
        <f t="shared" si="6"/>
        <v>0</v>
      </c>
      <c r="U93" s="84">
        <f t="shared" si="9"/>
        <v>0</v>
      </c>
    </row>
    <row r="94" spans="5:21" ht="12.75">
      <c r="E94" s="71"/>
      <c r="F94" s="74"/>
      <c r="G94" s="88">
        <f t="shared" si="10"/>
        <v>60.00000000000006</v>
      </c>
      <c r="H94" s="84"/>
      <c r="K94" s="71"/>
      <c r="L94" s="74"/>
      <c r="M94" s="88">
        <f t="shared" si="5"/>
        <v>60.00000000000006</v>
      </c>
      <c r="N94" s="84">
        <f t="shared" si="8"/>
        <v>0</v>
      </c>
      <c r="R94" s="71"/>
      <c r="S94" s="74"/>
      <c r="T94" s="88">
        <f t="shared" si="6"/>
        <v>60.00000000000006</v>
      </c>
      <c r="U94" s="84">
        <f t="shared" si="9"/>
        <v>0</v>
      </c>
    </row>
    <row r="95" spans="5:21" ht="12.75">
      <c r="E95" s="71">
        <v>3.2</v>
      </c>
      <c r="F95" s="74"/>
      <c r="G95" s="88">
        <f t="shared" si="10"/>
        <v>0</v>
      </c>
      <c r="H95" s="84"/>
      <c r="K95" s="71">
        <v>3.2</v>
      </c>
      <c r="L95" s="74">
        <v>0</v>
      </c>
      <c r="M95" s="88">
        <f t="shared" si="5"/>
        <v>0</v>
      </c>
      <c r="N95" s="84">
        <f t="shared" si="8"/>
        <v>0</v>
      </c>
      <c r="R95" s="71">
        <v>3.2</v>
      </c>
      <c r="S95" s="74"/>
      <c r="T95" s="88">
        <f t="shared" si="6"/>
        <v>0</v>
      </c>
      <c r="U95" s="84">
        <f t="shared" si="9"/>
        <v>0</v>
      </c>
    </row>
    <row r="96" spans="5:21" ht="12.75">
      <c r="E96" s="71"/>
      <c r="F96" s="74"/>
      <c r="G96" s="88">
        <f t="shared" si="10"/>
        <v>40.000000000000036</v>
      </c>
      <c r="H96" s="84"/>
      <c r="K96" s="71"/>
      <c r="L96" s="74"/>
      <c r="M96" s="88">
        <f t="shared" si="5"/>
        <v>40.000000000000036</v>
      </c>
      <c r="N96" s="84">
        <f t="shared" si="8"/>
        <v>0</v>
      </c>
      <c r="R96" s="71"/>
      <c r="S96" s="74"/>
      <c r="T96" s="88">
        <f t="shared" si="6"/>
        <v>40.000000000000036</v>
      </c>
      <c r="U96" s="84">
        <f t="shared" si="9"/>
        <v>0</v>
      </c>
    </row>
    <row r="97" spans="5:21" ht="12.75">
      <c r="E97" s="71">
        <v>3.24</v>
      </c>
      <c r="F97" s="74"/>
      <c r="G97" s="88">
        <f t="shared" si="10"/>
        <v>0</v>
      </c>
      <c r="H97" s="84"/>
      <c r="K97" s="71">
        <v>3.24</v>
      </c>
      <c r="L97" s="74">
        <v>0</v>
      </c>
      <c r="M97" s="88">
        <f t="shared" si="5"/>
        <v>0</v>
      </c>
      <c r="N97" s="84">
        <f t="shared" si="8"/>
        <v>0</v>
      </c>
      <c r="R97" s="71">
        <v>3.24</v>
      </c>
      <c r="S97" s="74"/>
      <c r="T97" s="88">
        <f t="shared" si="6"/>
        <v>0</v>
      </c>
      <c r="U97" s="84">
        <f t="shared" si="9"/>
        <v>0</v>
      </c>
    </row>
    <row r="98" spans="5:21" ht="12.75">
      <c r="E98" s="71"/>
      <c r="F98" s="74"/>
      <c r="G98" s="88">
        <v>53.92</v>
      </c>
      <c r="H98" s="84"/>
      <c r="K98" s="71"/>
      <c r="L98" s="74"/>
      <c r="M98" s="88">
        <v>53.92</v>
      </c>
      <c r="N98" s="84">
        <f t="shared" si="8"/>
        <v>215.68</v>
      </c>
      <c r="R98" s="71"/>
      <c r="S98" s="74"/>
      <c r="T98" s="88">
        <v>53.92</v>
      </c>
      <c r="U98" s="84">
        <f t="shared" si="9"/>
        <v>0</v>
      </c>
    </row>
    <row r="99" spans="5:21" ht="12.75">
      <c r="E99" s="71" t="s">
        <v>218</v>
      </c>
      <c r="F99" s="74"/>
      <c r="G99" s="88">
        <f t="shared" si="10"/>
        <v>0</v>
      </c>
      <c r="H99" s="84"/>
      <c r="K99" s="71" t="s">
        <v>218</v>
      </c>
      <c r="L99" s="74">
        <v>8</v>
      </c>
      <c r="M99" s="88">
        <f>1000*(K100-K98)</f>
        <v>0</v>
      </c>
      <c r="N99" s="84">
        <f t="shared" si="8"/>
        <v>0</v>
      </c>
      <c r="R99" s="71" t="s">
        <v>218</v>
      </c>
      <c r="S99" s="74"/>
      <c r="T99" s="88">
        <f>1000*(R100-R98)</f>
        <v>0</v>
      </c>
      <c r="U99" s="84">
        <f t="shared" si="9"/>
        <v>0</v>
      </c>
    </row>
    <row r="100" spans="5:21" ht="12.75">
      <c r="E100" s="71"/>
      <c r="F100" s="74"/>
      <c r="G100" s="88">
        <v>41.24</v>
      </c>
      <c r="H100" s="84"/>
      <c r="K100" s="71"/>
      <c r="L100" s="74"/>
      <c r="M100" s="88">
        <v>41.24</v>
      </c>
      <c r="N100" s="84">
        <f t="shared" si="8"/>
        <v>367.03600000000006</v>
      </c>
      <c r="R100" s="71"/>
      <c r="S100" s="74"/>
      <c r="T100" s="88">
        <v>41.24</v>
      </c>
      <c r="U100" s="84">
        <f t="shared" si="9"/>
        <v>0</v>
      </c>
    </row>
    <row r="101" spans="5:21" ht="12.75">
      <c r="E101" s="71" t="s">
        <v>219</v>
      </c>
      <c r="F101" s="74"/>
      <c r="G101" s="88"/>
      <c r="H101" s="84"/>
      <c r="K101" s="71" t="s">
        <v>219</v>
      </c>
      <c r="L101" s="74">
        <v>9.8</v>
      </c>
      <c r="M101" s="88"/>
      <c r="N101" s="84">
        <f t="shared" si="8"/>
        <v>0</v>
      </c>
      <c r="R101" s="71" t="s">
        <v>219</v>
      </c>
      <c r="S101" s="74"/>
      <c r="T101" s="88"/>
      <c r="U101" s="84">
        <f t="shared" si="9"/>
        <v>0</v>
      </c>
    </row>
    <row r="102" spans="5:21" ht="12.75">
      <c r="E102" s="142" t="s">
        <v>207</v>
      </c>
      <c r="F102" s="74"/>
      <c r="G102" s="88">
        <v>44.7</v>
      </c>
      <c r="H102" s="84"/>
      <c r="K102" s="142" t="s">
        <v>207</v>
      </c>
      <c r="L102" s="74"/>
      <c r="M102" s="88">
        <v>44.7</v>
      </c>
      <c r="N102" s="84">
        <f t="shared" si="8"/>
        <v>292.785</v>
      </c>
      <c r="R102" s="142" t="s">
        <v>207</v>
      </c>
      <c r="S102" s="74"/>
      <c r="T102" s="88">
        <v>44.7</v>
      </c>
      <c r="U102" s="84">
        <f t="shared" si="9"/>
        <v>0</v>
      </c>
    </row>
    <row r="103" spans="5:21" ht="12.75">
      <c r="E103" s="71">
        <v>3.38</v>
      </c>
      <c r="F103" s="74"/>
      <c r="G103" s="88"/>
      <c r="H103" s="84"/>
      <c r="K103" s="71">
        <v>3.38</v>
      </c>
      <c r="L103" s="74">
        <v>3.3</v>
      </c>
      <c r="M103" s="88"/>
      <c r="N103" s="84">
        <f t="shared" si="8"/>
        <v>0</v>
      </c>
      <c r="R103" s="71">
        <v>3.38</v>
      </c>
      <c r="S103" s="74"/>
      <c r="T103" s="88"/>
      <c r="U103" s="84">
        <f t="shared" si="9"/>
        <v>0</v>
      </c>
    </row>
    <row r="104" spans="5:21" ht="12.75">
      <c r="E104" s="142" t="s">
        <v>207</v>
      </c>
      <c r="F104" s="74"/>
      <c r="G104" s="88">
        <f t="shared" si="10"/>
        <v>60.00000000000006</v>
      </c>
      <c r="H104" s="84"/>
      <c r="K104" s="142" t="s">
        <v>207</v>
      </c>
      <c r="L104" s="74"/>
      <c r="M104" s="88">
        <f>1000*(K105-K103)</f>
        <v>60.00000000000006</v>
      </c>
      <c r="N104" s="84">
        <f t="shared" si="8"/>
        <v>213.0000000000002</v>
      </c>
      <c r="R104" s="142" t="s">
        <v>207</v>
      </c>
      <c r="S104" s="74"/>
      <c r="T104" s="88">
        <f>1000*(R105-R103)</f>
        <v>60.00000000000006</v>
      </c>
      <c r="U104" s="84">
        <f t="shared" si="9"/>
        <v>0</v>
      </c>
    </row>
    <row r="105" spans="5:21" ht="12.75">
      <c r="E105" s="71">
        <v>3.44</v>
      </c>
      <c r="F105" s="74"/>
      <c r="G105" s="88"/>
      <c r="H105" s="84"/>
      <c r="K105" s="71">
        <v>3.44</v>
      </c>
      <c r="L105" s="74">
        <v>3.8</v>
      </c>
      <c r="M105" s="88"/>
      <c r="N105" s="84">
        <f t="shared" si="8"/>
        <v>0</v>
      </c>
      <c r="R105" s="71">
        <v>3.44</v>
      </c>
      <c r="S105" s="74"/>
      <c r="T105" s="88"/>
      <c r="U105" s="84">
        <f t="shared" si="9"/>
        <v>0</v>
      </c>
    </row>
    <row r="106" spans="5:21" ht="12.75">
      <c r="E106" s="71"/>
      <c r="F106" s="74"/>
      <c r="G106" s="88">
        <f t="shared" si="10"/>
        <v>60.00000000000006</v>
      </c>
      <c r="H106" s="84"/>
      <c r="K106" s="71"/>
      <c r="L106" s="74"/>
      <c r="M106" s="88">
        <f aca="true" t="shared" si="11" ref="M106:M133">1000*(K107-K105)</f>
        <v>60.00000000000006</v>
      </c>
      <c r="N106" s="84">
        <f t="shared" si="8"/>
        <v>249.00000000000026</v>
      </c>
      <c r="R106" s="71"/>
      <c r="S106" s="74"/>
      <c r="T106" s="88">
        <f aca="true" t="shared" si="12" ref="T106:T133">1000*(R107-R105)</f>
        <v>60.00000000000006</v>
      </c>
      <c r="U106" s="84">
        <f t="shared" si="9"/>
        <v>0</v>
      </c>
    </row>
    <row r="107" spans="5:21" ht="12.75">
      <c r="E107" s="71">
        <v>3.5</v>
      </c>
      <c r="F107" s="74"/>
      <c r="G107" s="88">
        <f t="shared" si="10"/>
        <v>0</v>
      </c>
      <c r="H107" s="84"/>
      <c r="K107" s="71">
        <v>3.5</v>
      </c>
      <c r="L107" s="74">
        <v>4.5</v>
      </c>
      <c r="M107" s="88">
        <f t="shared" si="11"/>
        <v>0</v>
      </c>
      <c r="N107" s="84">
        <f t="shared" si="8"/>
        <v>0</v>
      </c>
      <c r="R107" s="71">
        <v>3.5</v>
      </c>
      <c r="S107" s="74"/>
      <c r="T107" s="88">
        <f t="shared" si="12"/>
        <v>0</v>
      </c>
      <c r="U107" s="84">
        <f t="shared" si="9"/>
        <v>0</v>
      </c>
    </row>
    <row r="108" spans="5:21" ht="12.75">
      <c r="E108" s="71"/>
      <c r="F108" s="74"/>
      <c r="G108" s="88">
        <f t="shared" si="10"/>
        <v>40.000000000000036</v>
      </c>
      <c r="H108" s="84"/>
      <c r="K108" s="71"/>
      <c r="L108" s="74"/>
      <c r="M108" s="88">
        <f t="shared" si="11"/>
        <v>40.000000000000036</v>
      </c>
      <c r="N108" s="84">
        <f t="shared" si="8"/>
        <v>178.00000000000017</v>
      </c>
      <c r="R108" s="71"/>
      <c r="S108" s="74"/>
      <c r="T108" s="88">
        <f t="shared" si="12"/>
        <v>40.000000000000036</v>
      </c>
      <c r="U108" s="84">
        <f t="shared" si="9"/>
        <v>0</v>
      </c>
    </row>
    <row r="109" spans="5:21" ht="12.75">
      <c r="E109" s="71">
        <v>3.54</v>
      </c>
      <c r="F109" s="74"/>
      <c r="G109" s="88">
        <f t="shared" si="10"/>
        <v>0</v>
      </c>
      <c r="H109" s="84"/>
      <c r="K109" s="71">
        <v>3.54</v>
      </c>
      <c r="L109" s="74">
        <v>4.4</v>
      </c>
      <c r="M109" s="88">
        <f t="shared" si="11"/>
        <v>0</v>
      </c>
      <c r="N109" s="84">
        <f t="shared" si="8"/>
        <v>0</v>
      </c>
      <c r="R109" s="71">
        <v>3.54</v>
      </c>
      <c r="S109" s="74"/>
      <c r="T109" s="88">
        <f t="shared" si="12"/>
        <v>0</v>
      </c>
      <c r="U109" s="84">
        <f t="shared" si="9"/>
        <v>0</v>
      </c>
    </row>
    <row r="110" spans="5:21" ht="12.75">
      <c r="E110" s="71"/>
      <c r="F110" s="74"/>
      <c r="G110" s="88">
        <f t="shared" si="10"/>
        <v>60.00000000000006</v>
      </c>
      <c r="H110" s="84"/>
      <c r="K110" s="71"/>
      <c r="L110" s="74"/>
      <c r="M110" s="88">
        <f t="shared" si="11"/>
        <v>60.00000000000006</v>
      </c>
      <c r="N110" s="84">
        <f t="shared" si="8"/>
        <v>249.00000000000026</v>
      </c>
      <c r="R110" s="71"/>
      <c r="S110" s="74"/>
      <c r="T110" s="88">
        <f t="shared" si="12"/>
        <v>60.00000000000006</v>
      </c>
      <c r="U110" s="84">
        <f t="shared" si="9"/>
        <v>0</v>
      </c>
    </row>
    <row r="111" spans="5:21" ht="12.75">
      <c r="E111" s="71">
        <v>3.6</v>
      </c>
      <c r="F111" s="74"/>
      <c r="G111" s="88">
        <f t="shared" si="10"/>
        <v>0</v>
      </c>
      <c r="H111" s="84"/>
      <c r="K111" s="71">
        <v>3.6</v>
      </c>
      <c r="L111" s="74">
        <v>3.9</v>
      </c>
      <c r="M111" s="88">
        <f t="shared" si="11"/>
        <v>0</v>
      </c>
      <c r="N111" s="84">
        <f t="shared" si="8"/>
        <v>0</v>
      </c>
      <c r="R111" s="71">
        <v>3.6</v>
      </c>
      <c r="S111" s="74"/>
      <c r="T111" s="88">
        <f t="shared" si="12"/>
        <v>0</v>
      </c>
      <c r="U111" s="84">
        <f t="shared" si="9"/>
        <v>0</v>
      </c>
    </row>
    <row r="112" spans="5:21" ht="12.75">
      <c r="E112" s="71"/>
      <c r="F112" s="74"/>
      <c r="G112" s="88">
        <f t="shared" si="10"/>
        <v>40.000000000000036</v>
      </c>
      <c r="H112" s="84"/>
      <c r="K112" s="71"/>
      <c r="L112" s="74"/>
      <c r="M112" s="88">
        <f t="shared" si="11"/>
        <v>40.000000000000036</v>
      </c>
      <c r="N112" s="84">
        <f t="shared" si="8"/>
        <v>152.0000000000001</v>
      </c>
      <c r="R112" s="71"/>
      <c r="S112" s="74"/>
      <c r="T112" s="88">
        <f t="shared" si="12"/>
        <v>40.000000000000036</v>
      </c>
      <c r="U112" s="84">
        <f t="shared" si="9"/>
        <v>74.00000000000007</v>
      </c>
    </row>
    <row r="113" spans="5:21" ht="12.75">
      <c r="E113" s="660">
        <v>3.64</v>
      </c>
      <c r="F113" s="74"/>
      <c r="G113" s="88">
        <f t="shared" si="10"/>
        <v>0</v>
      </c>
      <c r="H113" s="84"/>
      <c r="K113" s="660">
        <v>3.64</v>
      </c>
      <c r="L113" s="74">
        <v>3.7</v>
      </c>
      <c r="M113" s="88">
        <f t="shared" si="11"/>
        <v>0</v>
      </c>
      <c r="N113" s="84">
        <f t="shared" si="8"/>
        <v>0</v>
      </c>
      <c r="R113" s="660">
        <v>3.64</v>
      </c>
      <c r="S113" s="74">
        <v>3.7</v>
      </c>
      <c r="T113" s="88">
        <f t="shared" si="12"/>
        <v>0</v>
      </c>
      <c r="U113" s="84">
        <f t="shared" si="9"/>
        <v>0</v>
      </c>
    </row>
    <row r="114" spans="5:21" ht="12.75">
      <c r="E114" s="71"/>
      <c r="F114" s="74"/>
      <c r="G114" s="88">
        <f t="shared" si="10"/>
        <v>60.00000000000006</v>
      </c>
      <c r="H114" s="84"/>
      <c r="K114" s="71"/>
      <c r="L114" s="74"/>
      <c r="M114" s="88">
        <f t="shared" si="11"/>
        <v>60.00000000000006</v>
      </c>
      <c r="N114" s="84"/>
      <c r="R114" s="71"/>
      <c r="S114" s="74"/>
      <c r="T114" s="88">
        <f t="shared" si="12"/>
        <v>60.00000000000006</v>
      </c>
      <c r="U114" s="84">
        <f t="shared" si="9"/>
        <v>225.00000000000023</v>
      </c>
    </row>
    <row r="115" spans="5:21" ht="12.75">
      <c r="E115" s="71">
        <v>3.7</v>
      </c>
      <c r="F115" s="74"/>
      <c r="G115" s="88">
        <f t="shared" si="10"/>
        <v>0</v>
      </c>
      <c r="H115" s="84"/>
      <c r="K115" s="71">
        <v>3.7</v>
      </c>
      <c r="L115" s="74"/>
      <c r="M115" s="88">
        <f t="shared" si="11"/>
        <v>0</v>
      </c>
      <c r="N115" s="84"/>
      <c r="R115" s="71">
        <v>3.7</v>
      </c>
      <c r="S115" s="74">
        <v>3.8</v>
      </c>
      <c r="T115" s="88">
        <f t="shared" si="12"/>
        <v>0</v>
      </c>
      <c r="U115" s="84">
        <f t="shared" si="9"/>
        <v>0</v>
      </c>
    </row>
    <row r="116" spans="5:21" ht="12.75">
      <c r="E116" s="71"/>
      <c r="F116" s="74"/>
      <c r="G116" s="88">
        <f t="shared" si="10"/>
        <v>40.000000000000036</v>
      </c>
      <c r="H116" s="84"/>
      <c r="K116" s="71"/>
      <c r="L116" s="74"/>
      <c r="M116" s="88">
        <f t="shared" si="11"/>
        <v>40.000000000000036</v>
      </c>
      <c r="N116" s="84"/>
      <c r="R116" s="71"/>
      <c r="S116" s="74"/>
      <c r="T116" s="88">
        <f t="shared" si="12"/>
        <v>40.000000000000036</v>
      </c>
      <c r="U116" s="84">
        <v>228</v>
      </c>
    </row>
    <row r="117" spans="5:21" ht="12.75">
      <c r="E117" s="71">
        <v>3.74</v>
      </c>
      <c r="F117" s="74"/>
      <c r="G117" s="88">
        <f t="shared" si="10"/>
        <v>0</v>
      </c>
      <c r="H117" s="84"/>
      <c r="K117" s="71">
        <v>3.74</v>
      </c>
      <c r="L117" s="74"/>
      <c r="M117" s="88">
        <f t="shared" si="11"/>
        <v>0</v>
      </c>
      <c r="N117" s="84"/>
      <c r="R117" s="71">
        <v>3.74</v>
      </c>
      <c r="S117" s="74">
        <v>3.6</v>
      </c>
      <c r="T117" s="88">
        <f t="shared" si="12"/>
        <v>0</v>
      </c>
      <c r="U117" s="84">
        <f t="shared" si="9"/>
        <v>0</v>
      </c>
    </row>
    <row r="118" spans="5:25" ht="12.75">
      <c r="E118" s="71"/>
      <c r="F118" s="74"/>
      <c r="G118" s="88">
        <f t="shared" si="10"/>
        <v>59.99999999999961</v>
      </c>
      <c r="H118" s="84"/>
      <c r="K118" s="71"/>
      <c r="L118" s="74"/>
      <c r="M118" s="88">
        <f t="shared" si="11"/>
        <v>59.99999999999961</v>
      </c>
      <c r="N118" s="84"/>
      <c r="O118">
        <v>420</v>
      </c>
      <c r="R118" s="71"/>
      <c r="S118" s="74"/>
      <c r="T118" s="88">
        <f t="shared" si="12"/>
        <v>59.99999999999961</v>
      </c>
      <c r="U118" s="84">
        <f t="shared" si="9"/>
        <v>107.9999999999993</v>
      </c>
      <c r="V118">
        <v>120</v>
      </c>
      <c r="Y118" s="310">
        <f>H138</f>
        <v>853.5000000000002</v>
      </c>
    </row>
    <row r="119" spans="5:25" ht="12.75">
      <c r="E119" s="71">
        <v>3.8</v>
      </c>
      <c r="F119" s="74"/>
      <c r="G119" s="88">
        <f t="shared" si="10"/>
        <v>0</v>
      </c>
      <c r="H119" s="84"/>
      <c r="K119" s="71">
        <v>3.8</v>
      </c>
      <c r="L119" s="74"/>
      <c r="M119" s="88">
        <f t="shared" si="11"/>
        <v>0</v>
      </c>
      <c r="N119" s="84"/>
      <c r="R119" s="71">
        <v>3.8</v>
      </c>
      <c r="S119" s="74">
        <v>0</v>
      </c>
      <c r="T119" s="88">
        <f t="shared" si="12"/>
        <v>0</v>
      </c>
      <c r="U119" s="84">
        <f t="shared" si="9"/>
        <v>0</v>
      </c>
      <c r="Y119" s="310">
        <f>N138</f>
        <v>2184.5010000000016</v>
      </c>
    </row>
    <row r="120" spans="5:25" ht="12.75">
      <c r="E120" s="71"/>
      <c r="F120" s="74"/>
      <c r="G120" s="88">
        <f t="shared" si="10"/>
        <v>40.000000000000036</v>
      </c>
      <c r="H120" s="84"/>
      <c r="K120" s="71"/>
      <c r="L120" s="74"/>
      <c r="M120" s="88">
        <f t="shared" si="11"/>
        <v>40.000000000000036</v>
      </c>
      <c r="N120" s="84"/>
      <c r="R120" s="71"/>
      <c r="S120" s="74"/>
      <c r="T120" s="88">
        <f t="shared" si="12"/>
        <v>40.000000000000036</v>
      </c>
      <c r="U120" s="84">
        <f t="shared" si="9"/>
        <v>0</v>
      </c>
      <c r="Y120" s="310">
        <f>U138</f>
        <v>877.2499999999986</v>
      </c>
    </row>
    <row r="121" spans="5:21" ht="12.75">
      <c r="E121" s="71">
        <v>3.84</v>
      </c>
      <c r="F121" s="74"/>
      <c r="G121" s="88">
        <f t="shared" si="10"/>
        <v>0</v>
      </c>
      <c r="H121" s="84"/>
      <c r="K121" s="71">
        <v>3.84</v>
      </c>
      <c r="L121" s="74"/>
      <c r="M121" s="88">
        <f t="shared" si="11"/>
        <v>0</v>
      </c>
      <c r="N121" s="84"/>
      <c r="R121" s="71">
        <v>3.84</v>
      </c>
      <c r="S121" s="74">
        <v>0</v>
      </c>
      <c r="T121" s="88">
        <f t="shared" si="12"/>
        <v>0</v>
      </c>
      <c r="U121" s="84">
        <f t="shared" si="9"/>
        <v>0</v>
      </c>
    </row>
    <row r="122" spans="5:21" ht="12.75">
      <c r="E122" s="71"/>
      <c r="F122" s="143"/>
      <c r="G122" s="88">
        <f t="shared" si="10"/>
        <v>40.000000000000036</v>
      </c>
      <c r="H122" s="84"/>
      <c r="K122" s="71"/>
      <c r="L122" s="143"/>
      <c r="M122" s="88">
        <f t="shared" si="11"/>
        <v>40.000000000000036</v>
      </c>
      <c r="N122" s="84"/>
      <c r="R122" s="71"/>
      <c r="S122" s="143"/>
      <c r="T122" s="88">
        <f t="shared" si="12"/>
        <v>40.000000000000036</v>
      </c>
      <c r="U122" s="84">
        <f t="shared" si="9"/>
        <v>0</v>
      </c>
    </row>
    <row r="123" spans="5:21" ht="12.75">
      <c r="E123" s="71">
        <v>3.88</v>
      </c>
      <c r="F123" s="74"/>
      <c r="G123" s="88">
        <f t="shared" si="10"/>
        <v>0</v>
      </c>
      <c r="H123" s="84"/>
      <c r="K123" s="71">
        <v>3.88</v>
      </c>
      <c r="L123" s="74"/>
      <c r="M123" s="88">
        <f t="shared" si="11"/>
        <v>0</v>
      </c>
      <c r="N123" s="84"/>
      <c r="R123" s="71">
        <v>3.88</v>
      </c>
      <c r="S123" s="74">
        <v>0</v>
      </c>
      <c r="T123" s="88">
        <f t="shared" si="12"/>
        <v>0</v>
      </c>
      <c r="U123" s="84">
        <f t="shared" si="9"/>
        <v>0</v>
      </c>
    </row>
    <row r="124" spans="5:21" ht="12.75">
      <c r="E124" s="71"/>
      <c r="F124" s="74"/>
      <c r="G124" s="88">
        <f t="shared" si="10"/>
        <v>60.00000000000006</v>
      </c>
      <c r="H124" s="84"/>
      <c r="K124" s="71"/>
      <c r="L124" s="74"/>
      <c r="M124" s="88">
        <f t="shared" si="11"/>
        <v>60.00000000000006</v>
      </c>
      <c r="N124" s="84"/>
      <c r="R124" s="71"/>
      <c r="S124" s="74"/>
      <c r="T124" s="88">
        <f t="shared" si="12"/>
        <v>60.00000000000006</v>
      </c>
      <c r="U124" s="84">
        <f t="shared" si="9"/>
        <v>0</v>
      </c>
    </row>
    <row r="125" spans="5:25" ht="12.75">
      <c r="E125" s="71">
        <v>3.94</v>
      </c>
      <c r="F125" s="74"/>
      <c r="G125" s="88">
        <f t="shared" si="10"/>
        <v>0</v>
      </c>
      <c r="H125" s="84"/>
      <c r="K125" s="71">
        <v>3.94</v>
      </c>
      <c r="L125" s="74"/>
      <c r="M125" s="88">
        <f t="shared" si="11"/>
        <v>0</v>
      </c>
      <c r="N125" s="84"/>
      <c r="R125" s="71">
        <v>3.94</v>
      </c>
      <c r="S125" s="74">
        <v>0</v>
      </c>
      <c r="T125" s="88">
        <f t="shared" si="12"/>
        <v>0</v>
      </c>
      <c r="U125" s="84">
        <f t="shared" si="9"/>
        <v>0</v>
      </c>
      <c r="Y125" s="310">
        <f>SUM(Y116:Y124)</f>
        <v>3915.2510000000007</v>
      </c>
    </row>
    <row r="126" spans="5:21" ht="12.75">
      <c r="E126" s="71"/>
      <c r="F126" s="74"/>
      <c r="G126" s="88">
        <f t="shared" si="10"/>
        <v>60.00000000000006</v>
      </c>
      <c r="H126" s="84"/>
      <c r="K126" s="71"/>
      <c r="L126" s="74"/>
      <c r="M126" s="88">
        <f t="shared" si="11"/>
        <v>60.00000000000006</v>
      </c>
      <c r="N126" s="84"/>
      <c r="R126" s="71"/>
      <c r="S126" s="74"/>
      <c r="T126" s="88">
        <f t="shared" si="12"/>
        <v>60.00000000000006</v>
      </c>
      <c r="U126" s="84">
        <f t="shared" si="9"/>
        <v>0</v>
      </c>
    </row>
    <row r="127" spans="5:21" ht="12.75" customHeight="1">
      <c r="E127" s="71">
        <v>4</v>
      </c>
      <c r="F127" s="74"/>
      <c r="G127" s="88">
        <f t="shared" si="10"/>
        <v>0</v>
      </c>
      <c r="H127" s="84"/>
      <c r="K127" s="71">
        <v>4</v>
      </c>
      <c r="L127" s="74"/>
      <c r="M127" s="88">
        <f t="shared" si="11"/>
        <v>0</v>
      </c>
      <c r="N127" s="84"/>
      <c r="R127" s="71">
        <v>4</v>
      </c>
      <c r="S127" s="74">
        <v>0</v>
      </c>
      <c r="T127" s="88">
        <f t="shared" si="12"/>
        <v>0</v>
      </c>
      <c r="U127" s="84">
        <f t="shared" si="9"/>
        <v>0</v>
      </c>
    </row>
    <row r="128" spans="5:21" ht="12.75">
      <c r="E128" s="71"/>
      <c r="F128" s="74"/>
      <c r="G128" s="88">
        <f t="shared" si="10"/>
        <v>40.000000000000036</v>
      </c>
      <c r="H128" s="84"/>
      <c r="K128" s="71"/>
      <c r="L128" s="74"/>
      <c r="M128" s="88">
        <f t="shared" si="11"/>
        <v>40.000000000000036</v>
      </c>
      <c r="N128" s="84"/>
      <c r="R128" s="71"/>
      <c r="S128" s="74"/>
      <c r="T128" s="88">
        <f t="shared" si="12"/>
        <v>40.000000000000036</v>
      </c>
      <c r="U128" s="84">
        <f t="shared" si="9"/>
        <v>0</v>
      </c>
    </row>
    <row r="129" spans="5:21" ht="12.75">
      <c r="E129" s="71">
        <v>4.04</v>
      </c>
      <c r="F129" s="74"/>
      <c r="G129" s="88">
        <f t="shared" si="10"/>
        <v>0</v>
      </c>
      <c r="H129" s="84"/>
      <c r="K129" s="71">
        <v>4.04</v>
      </c>
      <c r="L129" s="74"/>
      <c r="M129" s="88">
        <f t="shared" si="11"/>
        <v>0</v>
      </c>
      <c r="N129" s="84"/>
      <c r="R129" s="71">
        <v>4.04</v>
      </c>
      <c r="S129" s="74">
        <v>0</v>
      </c>
      <c r="T129" s="88">
        <f t="shared" si="12"/>
        <v>0</v>
      </c>
      <c r="U129" s="84">
        <f t="shared" si="9"/>
        <v>0</v>
      </c>
    </row>
    <row r="130" spans="5:21" ht="12.75">
      <c r="E130" s="71"/>
      <c r="F130" s="74"/>
      <c r="G130" s="88">
        <f t="shared" si="10"/>
        <v>59.99999999999961</v>
      </c>
      <c r="H130" s="84"/>
      <c r="K130" s="71"/>
      <c r="L130" s="74"/>
      <c r="M130" s="88">
        <f t="shared" si="11"/>
        <v>59.99999999999961</v>
      </c>
      <c r="N130" s="84"/>
      <c r="R130" s="71"/>
      <c r="S130" s="74"/>
      <c r="T130" s="88">
        <f t="shared" si="12"/>
        <v>59.99999999999961</v>
      </c>
      <c r="U130" s="84">
        <f t="shared" si="9"/>
        <v>104.99999999999932</v>
      </c>
    </row>
    <row r="131" spans="5:22" ht="12.75">
      <c r="E131" s="71">
        <v>4.1</v>
      </c>
      <c r="F131" s="74"/>
      <c r="G131" s="88">
        <f t="shared" si="10"/>
        <v>0</v>
      </c>
      <c r="H131" s="84"/>
      <c r="K131" s="71">
        <v>4.1</v>
      </c>
      <c r="L131" s="74"/>
      <c r="M131" s="88">
        <f t="shared" si="11"/>
        <v>0</v>
      </c>
      <c r="N131" s="84"/>
      <c r="R131" s="71">
        <v>4.1</v>
      </c>
      <c r="S131" s="74">
        <v>3.5</v>
      </c>
      <c r="T131" s="88">
        <f t="shared" si="12"/>
        <v>0</v>
      </c>
      <c r="U131" s="84">
        <f t="shared" si="9"/>
        <v>0</v>
      </c>
      <c r="V131">
        <v>100</v>
      </c>
    </row>
    <row r="132" spans="5:21" ht="12.75">
      <c r="E132" s="71"/>
      <c r="F132" s="74"/>
      <c r="G132" s="88">
        <f t="shared" si="10"/>
        <v>44.99999999999993</v>
      </c>
      <c r="H132" s="84"/>
      <c r="K132" s="71"/>
      <c r="L132" s="74"/>
      <c r="M132" s="88">
        <f t="shared" si="11"/>
        <v>44.99999999999993</v>
      </c>
      <c r="N132" s="84"/>
      <c r="R132" s="71"/>
      <c r="S132" s="74"/>
      <c r="T132" s="88">
        <f t="shared" si="12"/>
        <v>44.99999999999993</v>
      </c>
      <c r="U132" s="84">
        <f t="shared" si="9"/>
        <v>137.24999999999977</v>
      </c>
    </row>
    <row r="133" spans="5:21" ht="12.75">
      <c r="E133" s="110">
        <v>4.145</v>
      </c>
      <c r="F133" s="96"/>
      <c r="G133" s="88">
        <f t="shared" si="10"/>
        <v>0</v>
      </c>
      <c r="H133" s="84"/>
      <c r="K133" s="110">
        <v>4.145</v>
      </c>
      <c r="L133" s="96"/>
      <c r="M133" s="88">
        <f t="shared" si="11"/>
        <v>0</v>
      </c>
      <c r="N133" s="84"/>
      <c r="R133" s="110">
        <v>4.145</v>
      </c>
      <c r="S133" s="96">
        <v>2.6</v>
      </c>
      <c r="T133" s="88">
        <f t="shared" si="12"/>
        <v>0</v>
      </c>
      <c r="U133" s="84">
        <f t="shared" si="9"/>
        <v>0</v>
      </c>
    </row>
    <row r="134" spans="5:21" ht="12.75">
      <c r="E134" s="71"/>
      <c r="F134" s="74"/>
      <c r="G134" s="88"/>
      <c r="H134" s="84"/>
      <c r="K134" s="71"/>
      <c r="L134" s="74"/>
      <c r="M134" s="88"/>
      <c r="N134" s="84"/>
      <c r="R134" s="71"/>
      <c r="S134" s="74"/>
      <c r="T134" s="88"/>
      <c r="U134" s="84"/>
    </row>
    <row r="135" spans="5:22" ht="12.75">
      <c r="E135" s="71"/>
      <c r="F135" s="74"/>
      <c r="G135" s="88"/>
      <c r="H135" s="84"/>
      <c r="I135" t="s">
        <v>636</v>
      </c>
      <c r="K135" s="71"/>
      <c r="L135" s="74"/>
      <c r="M135" s="88"/>
      <c r="N135" s="84"/>
      <c r="O135" t="s">
        <v>127</v>
      </c>
      <c r="R135" s="71"/>
      <c r="S135" s="74"/>
      <c r="T135" s="88"/>
      <c r="U135" s="84"/>
      <c r="V135" t="s">
        <v>127</v>
      </c>
    </row>
    <row r="136" spans="5:21" ht="13.5" thickBot="1">
      <c r="E136" s="71"/>
      <c r="F136" s="74"/>
      <c r="G136" s="88"/>
      <c r="H136" s="84"/>
      <c r="I136" t="s">
        <v>127</v>
      </c>
      <c r="K136" s="71"/>
      <c r="L136" s="74"/>
      <c r="M136" s="88"/>
      <c r="N136" s="84"/>
      <c r="R136" s="71"/>
      <c r="S136" s="74"/>
      <c r="T136" s="88"/>
      <c r="U136" s="84"/>
    </row>
    <row r="137" spans="5:22" ht="15.75" thickBot="1">
      <c r="E137" s="57"/>
      <c r="F137" s="83"/>
      <c r="G137" s="89"/>
      <c r="H137" s="101"/>
      <c r="K137" s="57"/>
      <c r="L137" s="83"/>
      <c r="M137" s="89"/>
      <c r="N137" s="101"/>
      <c r="O137" s="138">
        <f>SUM(O7:O136)</f>
        <v>635</v>
      </c>
      <c r="R137" s="57"/>
      <c r="S137" s="83"/>
      <c r="T137" s="89"/>
      <c r="U137" s="101"/>
      <c r="V137" s="138">
        <f>SUM(V7:V136)</f>
        <v>220</v>
      </c>
    </row>
    <row r="138" spans="5:21" ht="15.75" thickBot="1">
      <c r="E138" s="78" t="s">
        <v>11</v>
      </c>
      <c r="F138" s="72"/>
      <c r="G138" s="90"/>
      <c r="H138" s="138">
        <f>SUM(H10:H137)</f>
        <v>853.5000000000002</v>
      </c>
      <c r="I138" s="138">
        <f>SUM(I10:I137)</f>
        <v>275</v>
      </c>
      <c r="K138" s="78" t="s">
        <v>11</v>
      </c>
      <c r="L138" s="72"/>
      <c r="M138" s="90"/>
      <c r="N138" s="138">
        <f>SUM(N10:N137)</f>
        <v>2184.5010000000016</v>
      </c>
      <c r="R138" s="78" t="s">
        <v>11</v>
      </c>
      <c r="S138" s="72"/>
      <c r="T138" s="90"/>
      <c r="U138" s="138">
        <f>SUM(U10:U137)</f>
        <v>877.2499999999986</v>
      </c>
    </row>
    <row r="139" spans="5:21" ht="13.5" thickBot="1">
      <c r="E139" s="49"/>
      <c r="F139" s="50"/>
      <c r="G139" s="70"/>
      <c r="H139" s="51"/>
      <c r="K139" s="49"/>
      <c r="L139" s="50"/>
      <c r="M139" s="70"/>
      <c r="N139" s="51"/>
      <c r="R139" s="49"/>
      <c r="S139" s="50"/>
      <c r="T139" s="70"/>
      <c r="U139" s="51"/>
    </row>
    <row r="140" spans="5:21" ht="12.75">
      <c r="E140" s="58" t="s">
        <v>0</v>
      </c>
      <c r="F140" s="55" t="s">
        <v>12</v>
      </c>
      <c r="G140" s="85" t="s">
        <v>4</v>
      </c>
      <c r="H140" s="55" t="s">
        <v>12</v>
      </c>
      <c r="K140" s="58" t="s">
        <v>0</v>
      </c>
      <c r="L140" s="55" t="s">
        <v>12</v>
      </c>
      <c r="M140" s="85" t="s">
        <v>4</v>
      </c>
      <c r="N140" s="55" t="s">
        <v>12</v>
      </c>
      <c r="R140" s="58" t="s">
        <v>0</v>
      </c>
      <c r="S140" s="55" t="s">
        <v>12</v>
      </c>
      <c r="T140" s="85" t="s">
        <v>4</v>
      </c>
      <c r="U140" s="55" t="s">
        <v>12</v>
      </c>
    </row>
    <row r="141" spans="5:21" ht="12.75">
      <c r="E141" s="56"/>
      <c r="F141" s="28" t="s">
        <v>13</v>
      </c>
      <c r="G141" s="86" t="s">
        <v>6</v>
      </c>
      <c r="H141" s="28" t="s">
        <v>13</v>
      </c>
      <c r="K141" s="56"/>
      <c r="L141" s="28" t="s">
        <v>13</v>
      </c>
      <c r="M141" s="86" t="s">
        <v>6</v>
      </c>
      <c r="N141" s="28" t="s">
        <v>13</v>
      </c>
      <c r="R141" s="56"/>
      <c r="S141" s="28" t="s">
        <v>13</v>
      </c>
      <c r="T141" s="86" t="s">
        <v>6</v>
      </c>
      <c r="U141" s="28" t="s">
        <v>13</v>
      </c>
    </row>
    <row r="142" spans="5:21" ht="13.5" thickBot="1">
      <c r="E142" s="61" t="s">
        <v>7</v>
      </c>
      <c r="F142" s="63" t="s">
        <v>9</v>
      </c>
      <c r="G142" s="87" t="s">
        <v>9</v>
      </c>
      <c r="H142" s="66" t="s">
        <v>8</v>
      </c>
      <c r="K142" s="61" t="s">
        <v>7</v>
      </c>
      <c r="L142" s="63" t="s">
        <v>9</v>
      </c>
      <c r="M142" s="87" t="s">
        <v>9</v>
      </c>
      <c r="N142" s="66" t="s">
        <v>8</v>
      </c>
      <c r="R142" s="61" t="s">
        <v>7</v>
      </c>
      <c r="S142" s="63" t="s">
        <v>9</v>
      </c>
      <c r="T142" s="87" t="s">
        <v>9</v>
      </c>
      <c r="U142" s="66" t="s">
        <v>8</v>
      </c>
    </row>
    <row r="143" spans="5:21" ht="12.75">
      <c r="E143" s="24"/>
      <c r="F143"/>
      <c r="G143" s="31"/>
      <c r="H143" s="40"/>
      <c r="K143" s="24"/>
      <c r="L143"/>
      <c r="M143" s="31"/>
      <c r="N143" s="40"/>
      <c r="R143" s="24"/>
      <c r="S143"/>
      <c r="T143" s="31"/>
      <c r="U143" s="40"/>
    </row>
    <row r="144" spans="5:20" ht="12.75">
      <c r="E144" s="24"/>
      <c r="G144" s="305"/>
      <c r="K144" s="24"/>
      <c r="M144" s="305"/>
      <c r="R144" s="24"/>
      <c r="T144" s="305"/>
    </row>
    <row r="145" spans="5:20" ht="12.75">
      <c r="E145" s="24"/>
      <c r="G145" s="305"/>
      <c r="K145" s="24"/>
      <c r="M145" s="305"/>
      <c r="R145" s="24"/>
      <c r="T145" s="305"/>
    </row>
    <row r="146" spans="5:20" ht="12.75">
      <c r="E146" s="24"/>
      <c r="G146" s="305"/>
      <c r="K146" s="24"/>
      <c r="M146" s="305"/>
      <c r="R146" s="24"/>
      <c r="T146" s="305"/>
    </row>
    <row r="147" spans="5:20" ht="12.75">
      <c r="E147" s="24"/>
      <c r="F147" s="26"/>
      <c r="G147" s="308"/>
      <c r="K147" s="24"/>
      <c r="L147" s="26"/>
      <c r="M147" s="308"/>
      <c r="R147" s="24"/>
      <c r="S147" s="26"/>
      <c r="T147" s="308"/>
    </row>
    <row r="148" spans="5:20" ht="12.75">
      <c r="E148" s="24"/>
      <c r="F148" s="16"/>
      <c r="G148" s="311"/>
      <c r="K148" s="24"/>
      <c r="L148" s="16"/>
      <c r="M148" s="311"/>
      <c r="R148" s="24"/>
      <c r="S148" s="16"/>
      <c r="T148" s="311"/>
    </row>
    <row r="149" spans="5:20" ht="12.75">
      <c r="E149" s="24"/>
      <c r="F149" s="16"/>
      <c r="G149" s="311"/>
      <c r="K149" s="24"/>
      <c r="L149" s="16"/>
      <c r="M149" s="311"/>
      <c r="R149" s="24"/>
      <c r="S149" s="16"/>
      <c r="T149" s="311"/>
    </row>
    <row r="150" spans="5:20" ht="12.75">
      <c r="E150" s="25"/>
      <c r="F150" s="16"/>
      <c r="G150" s="311"/>
      <c r="K150" s="25"/>
      <c r="L150" s="16"/>
      <c r="M150" s="311"/>
      <c r="R150" s="25"/>
      <c r="S150" s="16"/>
      <c r="T150" s="311"/>
    </row>
    <row r="151" spans="5:20" ht="12.75">
      <c r="E151" s="24"/>
      <c r="F151"/>
      <c r="G151" s="311"/>
      <c r="K151" s="24"/>
      <c r="L151"/>
      <c r="M151" s="311"/>
      <c r="R151" s="24"/>
      <c r="S151"/>
      <c r="T151" s="311"/>
    </row>
    <row r="152" spans="5:20" ht="12.75">
      <c r="E152" s="24"/>
      <c r="F152"/>
      <c r="G152" s="311"/>
      <c r="K152" s="24"/>
      <c r="L152"/>
      <c r="M152" s="311"/>
      <c r="R152" s="24"/>
      <c r="S152"/>
      <c r="T152" s="311"/>
    </row>
    <row r="153" spans="5:20" ht="12.75">
      <c r="E153" s="24"/>
      <c r="F153" s="16"/>
      <c r="G153" s="311"/>
      <c r="K153" s="24"/>
      <c r="L153" s="16"/>
      <c r="M153" s="311"/>
      <c r="R153" s="24"/>
      <c r="S153" s="16"/>
      <c r="T153" s="311"/>
    </row>
    <row r="154" spans="6:20" ht="12.75">
      <c r="F154"/>
      <c r="G154" s="311"/>
      <c r="L154"/>
      <c r="M154" s="311"/>
      <c r="S154"/>
      <c r="T154" s="311"/>
    </row>
    <row r="155" spans="7:20" ht="12.75">
      <c r="G155" s="311"/>
      <c r="M155" s="311"/>
      <c r="T155" s="311"/>
    </row>
    <row r="156" spans="5:20" ht="12.75">
      <c r="E156" s="17"/>
      <c r="G156" s="294"/>
      <c r="K156" s="17"/>
      <c r="M156" s="294"/>
      <c r="R156" s="17"/>
      <c r="T156" s="294"/>
    </row>
    <row r="157" spans="7:20" ht="12.75">
      <c r="G157" s="311"/>
      <c r="M157" s="311"/>
      <c r="T157" s="311"/>
    </row>
    <row r="158" spans="5:18" ht="12.75">
      <c r="E158" s="17"/>
      <c r="K158" s="17"/>
      <c r="R158" s="17"/>
    </row>
    <row r="163" spans="7:20" ht="12.75">
      <c r="G163" s="32"/>
      <c r="M163" s="32"/>
      <c r="T163" s="32"/>
    </row>
    <row r="165" spans="5:20" ht="12.75">
      <c r="E165"/>
      <c r="F165"/>
      <c r="G165" s="32"/>
      <c r="K165"/>
      <c r="L165"/>
      <c r="M165" s="32"/>
      <c r="R165"/>
      <c r="S165"/>
      <c r="T165" s="32"/>
    </row>
    <row r="169" spans="5:18" ht="12.75">
      <c r="E169" s="17"/>
      <c r="K169" s="17"/>
      <c r="R169" s="17"/>
    </row>
    <row r="175" spans="5:18" ht="12.75">
      <c r="E175" s="17"/>
      <c r="K175" s="17"/>
      <c r="R175" s="17"/>
    </row>
    <row r="178" spans="7:20" ht="12.75">
      <c r="G178" s="32"/>
      <c r="M178" s="32"/>
      <c r="T178" s="32"/>
    </row>
    <row r="179" spans="5:18" ht="12.75">
      <c r="E179" s="17"/>
      <c r="K179" s="17"/>
      <c r="R179" s="17"/>
    </row>
    <row r="180" spans="7:20" ht="12.75">
      <c r="G180" s="33"/>
      <c r="M180" s="33"/>
      <c r="T180" s="33"/>
    </row>
    <row r="195" spans="7:20" ht="12.75">
      <c r="G195" s="29"/>
      <c r="M195" s="29"/>
      <c r="T195" s="29"/>
    </row>
    <row r="204" spans="5:20" ht="12.75">
      <c r="E204" s="17"/>
      <c r="G204" s="29"/>
      <c r="K204" s="17"/>
      <c r="M204" s="29"/>
      <c r="R204" s="17"/>
      <c r="T204" s="29"/>
    </row>
    <row r="205" spans="7:20" ht="12.75">
      <c r="G205" s="29"/>
      <c r="M205" s="29"/>
      <c r="T205" s="29"/>
    </row>
    <row r="206" spans="7:20" ht="12.75">
      <c r="G206" s="29"/>
      <c r="M206" s="29"/>
      <c r="T206" s="29"/>
    </row>
    <row r="208" spans="6:19" ht="15.75">
      <c r="F208" s="3"/>
      <c r="L208" s="3"/>
      <c r="S208" s="3"/>
    </row>
    <row r="211" spans="5:21" ht="12.75">
      <c r="E211" s="19"/>
      <c r="F211" s="20"/>
      <c r="G211" s="30"/>
      <c r="H211" s="30"/>
      <c r="K211" s="19"/>
      <c r="L211" s="20"/>
      <c r="M211" s="30"/>
      <c r="N211" s="30"/>
      <c r="R211" s="19"/>
      <c r="S211" s="20"/>
      <c r="T211" s="30"/>
      <c r="U211" s="30"/>
    </row>
    <row r="212" spans="5:21" ht="12.75">
      <c r="E212" s="13"/>
      <c r="F212" s="7"/>
      <c r="G212" s="30"/>
      <c r="H212" s="40"/>
      <c r="K212" s="13"/>
      <c r="L212" s="7"/>
      <c r="M212" s="30"/>
      <c r="N212" s="40"/>
      <c r="R212" s="13"/>
      <c r="S212" s="7"/>
      <c r="T212" s="30"/>
      <c r="U212" s="40"/>
    </row>
    <row r="213" spans="5:21" ht="12.75">
      <c r="E213" s="19"/>
      <c r="F213" s="20"/>
      <c r="G213" s="30"/>
      <c r="H213" s="42"/>
      <c r="K213" s="19"/>
      <c r="L213" s="20"/>
      <c r="M213" s="30"/>
      <c r="N213" s="42"/>
      <c r="R213" s="19"/>
      <c r="S213" s="20"/>
      <c r="T213" s="30"/>
      <c r="U213" s="42"/>
    </row>
    <row r="214" spans="5:21" ht="12.75">
      <c r="E214" s="13"/>
      <c r="F214" s="7"/>
      <c r="G214" s="23"/>
      <c r="H214" s="40"/>
      <c r="K214" s="13"/>
      <c r="L214" s="7"/>
      <c r="M214" s="23"/>
      <c r="N214" s="40"/>
      <c r="R214" s="13"/>
      <c r="S214" s="7"/>
      <c r="T214" s="23"/>
      <c r="U214" s="40"/>
    </row>
    <row r="215" spans="5:21" ht="12.75">
      <c r="E215" s="13"/>
      <c r="F215" s="7"/>
      <c r="G215" s="23"/>
      <c r="H215" s="40"/>
      <c r="K215" s="13"/>
      <c r="L215" s="7"/>
      <c r="M215" s="23"/>
      <c r="N215" s="40"/>
      <c r="R215" s="13"/>
      <c r="S215" s="7"/>
      <c r="T215" s="23"/>
      <c r="U215" s="40"/>
    </row>
    <row r="216" spans="5:21" ht="12.75">
      <c r="E216" s="13"/>
      <c r="F216" s="7"/>
      <c r="G216" s="23"/>
      <c r="H216" s="23"/>
      <c r="K216" s="13"/>
      <c r="L216" s="7"/>
      <c r="M216" s="23"/>
      <c r="N216" s="23"/>
      <c r="R216" s="13"/>
      <c r="S216" s="7"/>
      <c r="T216" s="23"/>
      <c r="U216" s="23"/>
    </row>
    <row r="217" spans="5:21" ht="12.75">
      <c r="E217" s="13"/>
      <c r="F217" s="7"/>
      <c r="G217" s="23"/>
      <c r="H217" s="23"/>
      <c r="K217" s="13"/>
      <c r="L217" s="7"/>
      <c r="M217" s="23"/>
      <c r="N217" s="23"/>
      <c r="R217" s="13"/>
      <c r="S217" s="7"/>
      <c r="T217" s="23"/>
      <c r="U217" s="23"/>
    </row>
    <row r="218" spans="5:21" ht="12.75">
      <c r="E218" s="13"/>
      <c r="F218" s="7"/>
      <c r="G218" s="23"/>
      <c r="H218" s="23"/>
      <c r="K218" s="13"/>
      <c r="L218" s="7"/>
      <c r="M218" s="23"/>
      <c r="N218" s="23"/>
      <c r="R218" s="13"/>
      <c r="S218" s="7"/>
      <c r="T218" s="23"/>
      <c r="U218" s="23"/>
    </row>
    <row r="219" spans="5:21" ht="12.75">
      <c r="E219" s="13"/>
      <c r="F219" s="7"/>
      <c r="G219" s="23"/>
      <c r="H219" s="23"/>
      <c r="K219" s="13"/>
      <c r="L219" s="7"/>
      <c r="M219" s="23"/>
      <c r="N219" s="23"/>
      <c r="R219" s="13"/>
      <c r="S219" s="7"/>
      <c r="T219" s="23"/>
      <c r="U219" s="23"/>
    </row>
    <row r="220" spans="5:21" ht="12.75">
      <c r="E220" s="13"/>
      <c r="F220" s="7"/>
      <c r="G220" s="23"/>
      <c r="H220" s="23"/>
      <c r="K220" s="13"/>
      <c r="L220" s="7"/>
      <c r="M220" s="23"/>
      <c r="N220" s="23"/>
      <c r="R220" s="13"/>
      <c r="S220" s="7"/>
      <c r="T220" s="23"/>
      <c r="U220" s="23"/>
    </row>
    <row r="221" spans="5:21" ht="12.75">
      <c r="E221" s="13"/>
      <c r="F221" s="7"/>
      <c r="G221" s="23"/>
      <c r="H221" s="23"/>
      <c r="K221" s="13"/>
      <c r="L221" s="7"/>
      <c r="M221" s="23"/>
      <c r="N221" s="23"/>
      <c r="R221" s="13"/>
      <c r="S221" s="7"/>
      <c r="T221" s="23"/>
      <c r="U221" s="23"/>
    </row>
    <row r="222" spans="5:21" ht="12.75">
      <c r="E222" s="13"/>
      <c r="F222" s="7"/>
      <c r="G222" s="23"/>
      <c r="H222" s="23"/>
      <c r="K222" s="13"/>
      <c r="L222" s="7"/>
      <c r="M222" s="23"/>
      <c r="N222" s="23"/>
      <c r="R222" s="13"/>
      <c r="S222" s="7"/>
      <c r="T222" s="23"/>
      <c r="U222" s="23"/>
    </row>
    <row r="223" spans="5:21" ht="12.75">
      <c r="E223" s="13"/>
      <c r="F223" s="7"/>
      <c r="G223" s="23"/>
      <c r="H223" s="23"/>
      <c r="K223" s="13"/>
      <c r="L223" s="7"/>
      <c r="M223" s="23"/>
      <c r="N223" s="23"/>
      <c r="R223" s="13"/>
      <c r="S223" s="7"/>
      <c r="T223" s="23"/>
      <c r="U223" s="23"/>
    </row>
    <row r="224" spans="5:21" ht="12.75">
      <c r="E224" s="13"/>
      <c r="F224" s="7"/>
      <c r="G224" s="23"/>
      <c r="H224" s="23"/>
      <c r="K224" s="13"/>
      <c r="L224" s="7"/>
      <c r="M224" s="23"/>
      <c r="N224" s="23"/>
      <c r="R224" s="13"/>
      <c r="S224" s="7"/>
      <c r="T224" s="23"/>
      <c r="U224" s="23"/>
    </row>
    <row r="225" spans="5:21" ht="12.75">
      <c r="E225" s="13"/>
      <c r="F225" s="7"/>
      <c r="G225" s="23"/>
      <c r="H225" s="23"/>
      <c r="K225" s="13"/>
      <c r="L225" s="7"/>
      <c r="M225" s="23"/>
      <c r="N225" s="23"/>
      <c r="R225" s="13"/>
      <c r="S225" s="7"/>
      <c r="T225" s="23"/>
      <c r="U225" s="23"/>
    </row>
    <row r="226" spans="5:21" ht="12.75">
      <c r="E226" s="13"/>
      <c r="F226" s="7"/>
      <c r="G226" s="23"/>
      <c r="H226" s="23"/>
      <c r="K226" s="13"/>
      <c r="L226" s="7"/>
      <c r="M226" s="23"/>
      <c r="N226" s="23"/>
      <c r="R226" s="13"/>
      <c r="S226" s="7"/>
      <c r="T226" s="23"/>
      <c r="U226" s="23"/>
    </row>
    <row r="227" spans="5:21" ht="12.75">
      <c r="E227" s="13"/>
      <c r="F227" s="7"/>
      <c r="G227" s="23"/>
      <c r="H227" s="23"/>
      <c r="K227" s="13"/>
      <c r="L227" s="7"/>
      <c r="M227" s="23"/>
      <c r="N227" s="23"/>
      <c r="R227" s="13"/>
      <c r="S227" s="7"/>
      <c r="T227" s="23"/>
      <c r="U227" s="23"/>
    </row>
    <row r="228" spans="5:21" ht="12.75">
      <c r="E228" s="13"/>
      <c r="F228" s="7"/>
      <c r="G228" s="23"/>
      <c r="H228" s="23"/>
      <c r="K228" s="13"/>
      <c r="L228" s="7"/>
      <c r="M228" s="23"/>
      <c r="N228" s="23"/>
      <c r="R228" s="13"/>
      <c r="S228" s="7"/>
      <c r="T228" s="23"/>
      <c r="U228" s="23"/>
    </row>
    <row r="229" spans="5:21" ht="12.75">
      <c r="E229" s="13"/>
      <c r="F229" s="7"/>
      <c r="G229" s="23"/>
      <c r="H229" s="23"/>
      <c r="K229" s="13"/>
      <c r="L229" s="7"/>
      <c r="M229" s="23"/>
      <c r="N229" s="23"/>
      <c r="R229" s="13"/>
      <c r="S229" s="7"/>
      <c r="T229" s="23"/>
      <c r="U229" s="23"/>
    </row>
    <row r="230" spans="5:21" ht="12.75">
      <c r="E230" s="13"/>
      <c r="F230" s="7"/>
      <c r="G230" s="23"/>
      <c r="H230" s="23"/>
      <c r="K230" s="13"/>
      <c r="L230" s="7"/>
      <c r="M230" s="23"/>
      <c r="N230" s="23"/>
      <c r="R230" s="13"/>
      <c r="S230" s="7"/>
      <c r="T230" s="23"/>
      <c r="U230" s="23"/>
    </row>
    <row r="231" spans="5:21" ht="12.75">
      <c r="E231" s="13"/>
      <c r="F231" s="7"/>
      <c r="G231" s="23"/>
      <c r="H231" s="23"/>
      <c r="K231" s="13"/>
      <c r="L231" s="7"/>
      <c r="M231" s="23"/>
      <c r="N231" s="23"/>
      <c r="R231" s="13"/>
      <c r="S231" s="7"/>
      <c r="T231" s="23"/>
      <c r="U231" s="23"/>
    </row>
    <row r="232" spans="5:21" ht="12.75">
      <c r="E232" s="13"/>
      <c r="F232" s="7"/>
      <c r="G232" s="23"/>
      <c r="H232" s="23"/>
      <c r="K232" s="13"/>
      <c r="L232" s="7"/>
      <c r="M232" s="23"/>
      <c r="N232" s="23"/>
      <c r="R232" s="13"/>
      <c r="S232" s="7"/>
      <c r="T232" s="23"/>
      <c r="U232" s="23"/>
    </row>
    <row r="233" spans="5:21" ht="12.75">
      <c r="E233" s="13"/>
      <c r="F233" s="7"/>
      <c r="G233" s="23"/>
      <c r="H233" s="23"/>
      <c r="K233" s="13"/>
      <c r="L233" s="7"/>
      <c r="M233" s="23"/>
      <c r="N233" s="23"/>
      <c r="R233" s="13"/>
      <c r="S233" s="7"/>
      <c r="T233" s="23"/>
      <c r="U233" s="23"/>
    </row>
    <row r="234" spans="5:21" ht="12.75">
      <c r="E234" s="13"/>
      <c r="F234" s="7"/>
      <c r="G234" s="23"/>
      <c r="H234" s="23"/>
      <c r="K234" s="13"/>
      <c r="L234" s="7"/>
      <c r="M234" s="23"/>
      <c r="N234" s="23"/>
      <c r="R234" s="13"/>
      <c r="S234" s="7"/>
      <c r="T234" s="23"/>
      <c r="U234" s="23"/>
    </row>
    <row r="235" spans="5:21" ht="12.75">
      <c r="E235" s="13"/>
      <c r="F235" s="7"/>
      <c r="G235" s="23"/>
      <c r="H235" s="23"/>
      <c r="K235" s="13"/>
      <c r="L235" s="7"/>
      <c r="M235" s="23"/>
      <c r="N235" s="23"/>
      <c r="R235" s="13"/>
      <c r="S235" s="7"/>
      <c r="T235" s="23"/>
      <c r="U235" s="23"/>
    </row>
    <row r="236" spans="5:21" ht="12.75">
      <c r="E236" s="13"/>
      <c r="F236" s="7"/>
      <c r="G236" s="23"/>
      <c r="H236" s="23"/>
      <c r="K236" s="13"/>
      <c r="L236" s="7"/>
      <c r="M236" s="23"/>
      <c r="N236" s="23"/>
      <c r="R236" s="13"/>
      <c r="S236" s="7"/>
      <c r="T236" s="23"/>
      <c r="U236" s="23"/>
    </row>
    <row r="237" spans="5:21" ht="12.75">
      <c r="E237" s="13"/>
      <c r="F237" s="7"/>
      <c r="G237" s="23"/>
      <c r="H237" s="23"/>
      <c r="K237" s="13"/>
      <c r="L237" s="7"/>
      <c r="M237" s="23"/>
      <c r="N237" s="23"/>
      <c r="R237" s="13"/>
      <c r="S237" s="7"/>
      <c r="T237" s="23"/>
      <c r="U237" s="23"/>
    </row>
    <row r="238" spans="5:21" ht="12.75">
      <c r="E238" s="13"/>
      <c r="F238" s="7"/>
      <c r="G238" s="23"/>
      <c r="H238" s="23"/>
      <c r="K238" s="13"/>
      <c r="L238" s="7"/>
      <c r="M238" s="23"/>
      <c r="N238" s="23"/>
      <c r="R238" s="13"/>
      <c r="S238" s="7"/>
      <c r="T238" s="23"/>
      <c r="U238" s="23"/>
    </row>
    <row r="239" spans="5:21" ht="12.75">
      <c r="E239" s="13"/>
      <c r="F239" s="7"/>
      <c r="G239" s="23"/>
      <c r="H239" s="23"/>
      <c r="K239" s="13"/>
      <c r="L239" s="7"/>
      <c r="M239" s="23"/>
      <c r="N239" s="23"/>
      <c r="R239" s="13"/>
      <c r="S239" s="7"/>
      <c r="T239" s="23"/>
      <c r="U239" s="23"/>
    </row>
    <row r="240" spans="5:21" ht="12.75">
      <c r="E240" s="13"/>
      <c r="F240" s="7"/>
      <c r="G240" s="23"/>
      <c r="H240" s="23"/>
      <c r="K240" s="13"/>
      <c r="L240" s="7"/>
      <c r="M240" s="23"/>
      <c r="N240" s="23"/>
      <c r="R240" s="13"/>
      <c r="S240" s="7"/>
      <c r="T240" s="23"/>
      <c r="U240" s="23"/>
    </row>
    <row r="241" spans="5:21" ht="12.75">
      <c r="E241" s="13"/>
      <c r="F241" s="7"/>
      <c r="G241" s="23"/>
      <c r="H241" s="23"/>
      <c r="K241" s="13"/>
      <c r="L241" s="7"/>
      <c r="M241" s="23"/>
      <c r="N241" s="23"/>
      <c r="R241" s="13"/>
      <c r="S241" s="7"/>
      <c r="T241" s="23"/>
      <c r="U241" s="23"/>
    </row>
    <row r="242" spans="5:21" ht="12.75">
      <c r="E242" s="13"/>
      <c r="F242" s="7"/>
      <c r="G242" s="23"/>
      <c r="H242" s="23"/>
      <c r="K242" s="13"/>
      <c r="L242" s="7"/>
      <c r="M242" s="23"/>
      <c r="N242" s="23"/>
      <c r="R242" s="13"/>
      <c r="S242" s="7"/>
      <c r="T242" s="23"/>
      <c r="U242" s="23"/>
    </row>
    <row r="243" spans="5:21" ht="12.75">
      <c r="E243" s="13"/>
      <c r="F243" s="7"/>
      <c r="G243" s="23"/>
      <c r="H243" s="23"/>
      <c r="K243" s="13"/>
      <c r="L243" s="7"/>
      <c r="M243" s="23"/>
      <c r="N243" s="23"/>
      <c r="R243" s="13"/>
      <c r="S243" s="7"/>
      <c r="T243" s="23"/>
      <c r="U243" s="23"/>
    </row>
    <row r="244" spans="5:21" ht="12.75">
      <c r="E244" s="13"/>
      <c r="F244" s="7"/>
      <c r="G244" s="23"/>
      <c r="H244" s="23"/>
      <c r="K244" s="13"/>
      <c r="L244" s="7"/>
      <c r="M244" s="23"/>
      <c r="N244" s="23"/>
      <c r="R244" s="13"/>
      <c r="S244" s="7"/>
      <c r="T244" s="23"/>
      <c r="U244" s="23"/>
    </row>
    <row r="245" spans="5:21" ht="12.75">
      <c r="E245" s="13"/>
      <c r="F245" s="7"/>
      <c r="G245" s="23"/>
      <c r="H245" s="23"/>
      <c r="K245" s="13"/>
      <c r="L245" s="7"/>
      <c r="M245" s="23"/>
      <c r="N245" s="23"/>
      <c r="R245" s="13"/>
      <c r="S245" s="7"/>
      <c r="T245" s="23"/>
      <c r="U245" s="23"/>
    </row>
    <row r="246" spans="5:21" ht="12.75">
      <c r="E246" s="13"/>
      <c r="F246" s="7"/>
      <c r="G246" s="23"/>
      <c r="H246" s="23"/>
      <c r="K246" s="13"/>
      <c r="L246" s="7"/>
      <c r="M246" s="23"/>
      <c r="N246" s="23"/>
      <c r="R246" s="13"/>
      <c r="S246" s="7"/>
      <c r="T246" s="23"/>
      <c r="U246" s="23"/>
    </row>
    <row r="247" spans="5:21" ht="12.75">
      <c r="E247" s="13"/>
      <c r="F247" s="7"/>
      <c r="G247" s="23"/>
      <c r="H247" s="23"/>
      <c r="K247" s="13"/>
      <c r="L247" s="7"/>
      <c r="M247" s="23"/>
      <c r="N247" s="23"/>
      <c r="R247" s="13"/>
      <c r="S247" s="7"/>
      <c r="T247" s="23"/>
      <c r="U247" s="23"/>
    </row>
    <row r="248" spans="5:21" ht="12.75">
      <c r="E248" s="13"/>
      <c r="F248" s="7"/>
      <c r="G248" s="23"/>
      <c r="H248" s="23"/>
      <c r="K248" s="13"/>
      <c r="L248" s="7"/>
      <c r="M248" s="23"/>
      <c r="N248" s="23"/>
      <c r="R248" s="13"/>
      <c r="S248" s="7"/>
      <c r="T248" s="23"/>
      <c r="U248" s="23"/>
    </row>
    <row r="249" spans="5:21" ht="12.75">
      <c r="E249" s="13"/>
      <c r="F249" s="7"/>
      <c r="G249" s="23"/>
      <c r="H249" s="23"/>
      <c r="K249" s="13"/>
      <c r="L249" s="7"/>
      <c r="M249" s="23"/>
      <c r="N249" s="23"/>
      <c r="R249" s="13"/>
      <c r="S249" s="7"/>
      <c r="T249" s="23"/>
      <c r="U249" s="23"/>
    </row>
    <row r="250" spans="5:21" ht="12.75">
      <c r="E250" s="13"/>
      <c r="F250" s="7"/>
      <c r="G250" s="23"/>
      <c r="H250" s="23"/>
      <c r="K250" s="13"/>
      <c r="L250" s="7"/>
      <c r="M250" s="23"/>
      <c r="N250" s="23"/>
      <c r="R250" s="13"/>
      <c r="S250" s="7"/>
      <c r="T250" s="23"/>
      <c r="U250" s="23"/>
    </row>
    <row r="251" spans="5:21" ht="12.75">
      <c r="E251" s="13"/>
      <c r="F251" s="7"/>
      <c r="G251" s="23"/>
      <c r="H251" s="23"/>
      <c r="K251" s="13"/>
      <c r="L251" s="7"/>
      <c r="M251" s="23"/>
      <c r="N251" s="23"/>
      <c r="R251" s="13"/>
      <c r="S251" s="7"/>
      <c r="T251" s="23"/>
      <c r="U251" s="23"/>
    </row>
    <row r="252" spans="5:21" ht="12.75">
      <c r="E252" s="13"/>
      <c r="F252" s="7"/>
      <c r="G252" s="23"/>
      <c r="H252" s="23"/>
      <c r="K252" s="13"/>
      <c r="L252" s="7"/>
      <c r="M252" s="23"/>
      <c r="N252" s="23"/>
      <c r="R252" s="13"/>
      <c r="S252" s="7"/>
      <c r="T252" s="23"/>
      <c r="U252" s="23"/>
    </row>
    <row r="253" spans="5:21" ht="12.75">
      <c r="E253" s="13"/>
      <c r="F253" s="7"/>
      <c r="G253" s="23"/>
      <c r="H253" s="23"/>
      <c r="K253" s="13"/>
      <c r="L253" s="7"/>
      <c r="M253" s="23"/>
      <c r="N253" s="23"/>
      <c r="R253" s="13"/>
      <c r="S253" s="7"/>
      <c r="T253" s="23"/>
      <c r="U253" s="23"/>
    </row>
    <row r="254" spans="5:21" ht="12.75">
      <c r="E254" s="13"/>
      <c r="F254" s="7"/>
      <c r="G254" s="23"/>
      <c r="H254" s="23"/>
      <c r="K254" s="13"/>
      <c r="L254" s="7"/>
      <c r="M254" s="23"/>
      <c r="N254" s="23"/>
      <c r="R254" s="13"/>
      <c r="S254" s="7"/>
      <c r="T254" s="23"/>
      <c r="U254" s="23"/>
    </row>
    <row r="255" spans="5:21" ht="12.75">
      <c r="E255" s="13"/>
      <c r="F255" s="7"/>
      <c r="G255" s="23"/>
      <c r="H255" s="23"/>
      <c r="K255" s="13"/>
      <c r="L255" s="7"/>
      <c r="M255" s="23"/>
      <c r="N255" s="23"/>
      <c r="R255" s="13"/>
      <c r="S255" s="7"/>
      <c r="T255" s="23"/>
      <c r="U255" s="23"/>
    </row>
    <row r="256" spans="5:21" ht="12.75">
      <c r="E256" s="13"/>
      <c r="F256" s="7"/>
      <c r="G256" s="23"/>
      <c r="H256" s="23"/>
      <c r="K256" s="13"/>
      <c r="L256" s="7"/>
      <c r="M256" s="23"/>
      <c r="N256" s="23"/>
      <c r="R256" s="13"/>
      <c r="S256" s="7"/>
      <c r="T256" s="23"/>
      <c r="U256" s="23"/>
    </row>
    <row r="257" spans="5:21" ht="12.75">
      <c r="E257" s="13"/>
      <c r="F257" s="7"/>
      <c r="G257" s="23"/>
      <c r="H257" s="23"/>
      <c r="K257" s="13"/>
      <c r="L257" s="7"/>
      <c r="M257" s="23"/>
      <c r="N257" s="23"/>
      <c r="R257" s="13"/>
      <c r="S257" s="7"/>
      <c r="T257" s="23"/>
      <c r="U257" s="23"/>
    </row>
    <row r="258" spans="5:21" ht="12.75">
      <c r="E258" s="13"/>
      <c r="F258" s="7"/>
      <c r="G258" s="23"/>
      <c r="H258" s="23"/>
      <c r="K258" s="13"/>
      <c r="L258" s="7"/>
      <c r="M258" s="23"/>
      <c r="N258" s="23"/>
      <c r="R258" s="13"/>
      <c r="S258" s="7"/>
      <c r="T258" s="23"/>
      <c r="U258" s="23"/>
    </row>
    <row r="259" spans="5:21" ht="12.75">
      <c r="E259" s="13"/>
      <c r="F259" s="7"/>
      <c r="G259" s="23"/>
      <c r="H259" s="23"/>
      <c r="K259" s="13"/>
      <c r="L259" s="7"/>
      <c r="M259" s="23"/>
      <c r="N259" s="23"/>
      <c r="R259" s="13"/>
      <c r="S259" s="7"/>
      <c r="T259" s="23"/>
      <c r="U259" s="23"/>
    </row>
    <row r="260" spans="5:21" ht="12.75">
      <c r="E260" s="13"/>
      <c r="F260" s="7"/>
      <c r="G260" s="23"/>
      <c r="H260" s="23"/>
      <c r="K260" s="13"/>
      <c r="L260" s="7"/>
      <c r="M260" s="23"/>
      <c r="N260" s="23"/>
      <c r="R260" s="13"/>
      <c r="S260" s="7"/>
      <c r="T260" s="23"/>
      <c r="U260" s="23"/>
    </row>
    <row r="261" spans="5:21" ht="12.75">
      <c r="E261" s="13"/>
      <c r="F261" s="7"/>
      <c r="G261" s="23"/>
      <c r="H261" s="23"/>
      <c r="K261" s="13"/>
      <c r="L261" s="7"/>
      <c r="M261" s="23"/>
      <c r="N261" s="23"/>
      <c r="R261" s="13"/>
      <c r="S261" s="7"/>
      <c r="T261" s="23"/>
      <c r="U261" s="23"/>
    </row>
    <row r="262" spans="5:21" ht="12.75">
      <c r="E262" s="13"/>
      <c r="F262" s="7"/>
      <c r="G262" s="23"/>
      <c r="H262" s="23"/>
      <c r="K262" s="13"/>
      <c r="L262" s="7"/>
      <c r="M262" s="23"/>
      <c r="N262" s="23"/>
      <c r="R262" s="13"/>
      <c r="S262" s="7"/>
      <c r="T262" s="23"/>
      <c r="U262" s="23"/>
    </row>
    <row r="263" spans="5:21" ht="12.75">
      <c r="E263" s="13"/>
      <c r="F263" s="7"/>
      <c r="G263" s="23"/>
      <c r="H263" s="23"/>
      <c r="K263" s="13"/>
      <c r="L263" s="7"/>
      <c r="M263" s="23"/>
      <c r="N263" s="23"/>
      <c r="R263" s="13"/>
      <c r="S263" s="7"/>
      <c r="T263" s="23"/>
      <c r="U263" s="23"/>
    </row>
    <row r="264" spans="5:21" ht="12.75">
      <c r="E264" s="13"/>
      <c r="F264" s="7"/>
      <c r="G264" s="23"/>
      <c r="H264" s="23"/>
      <c r="K264" s="13"/>
      <c r="L264" s="7"/>
      <c r="M264" s="23"/>
      <c r="N264" s="23"/>
      <c r="R264" s="13"/>
      <c r="S264" s="7"/>
      <c r="T264" s="23"/>
      <c r="U264" s="23"/>
    </row>
    <row r="265" spans="5:21" ht="12.75">
      <c r="E265" s="13"/>
      <c r="F265" s="7"/>
      <c r="G265" s="23"/>
      <c r="H265" s="23"/>
      <c r="K265" s="13"/>
      <c r="L265" s="7"/>
      <c r="M265" s="23"/>
      <c r="N265" s="23"/>
      <c r="R265" s="13"/>
      <c r="S265" s="7"/>
      <c r="T265" s="23"/>
      <c r="U265" s="23"/>
    </row>
    <row r="266" spans="5:21" ht="12.75">
      <c r="E266" s="13"/>
      <c r="F266" s="7"/>
      <c r="G266" s="23"/>
      <c r="H266" s="23"/>
      <c r="K266" s="13"/>
      <c r="L266" s="7"/>
      <c r="M266" s="23"/>
      <c r="N266" s="23"/>
      <c r="R266" s="13"/>
      <c r="S266" s="7"/>
      <c r="T266" s="23"/>
      <c r="U266" s="23"/>
    </row>
    <row r="267" spans="5:21" ht="12.75">
      <c r="E267" s="13"/>
      <c r="F267" s="7"/>
      <c r="G267" s="23"/>
      <c r="H267" s="23"/>
      <c r="K267" s="13"/>
      <c r="L267" s="7"/>
      <c r="M267" s="23"/>
      <c r="N267" s="23"/>
      <c r="R267" s="13"/>
      <c r="S267" s="7"/>
      <c r="T267" s="23"/>
      <c r="U267" s="23"/>
    </row>
    <row r="268" spans="5:21" ht="12.75">
      <c r="E268" s="13"/>
      <c r="F268" s="7"/>
      <c r="G268" s="23"/>
      <c r="H268" s="23"/>
      <c r="K268" s="13"/>
      <c r="L268" s="7"/>
      <c r="M268" s="23"/>
      <c r="N268" s="23"/>
      <c r="R268" s="13"/>
      <c r="S268" s="7"/>
      <c r="T268" s="23"/>
      <c r="U268" s="23"/>
    </row>
    <row r="269" spans="5:21" ht="12.75">
      <c r="E269" s="19"/>
      <c r="F269" s="20"/>
      <c r="G269" s="23"/>
      <c r="H269" s="30"/>
      <c r="K269" s="19"/>
      <c r="L269" s="20"/>
      <c r="M269" s="23"/>
      <c r="N269" s="30"/>
      <c r="R269" s="19"/>
      <c r="S269" s="20"/>
      <c r="T269" s="23"/>
      <c r="U269" s="30"/>
    </row>
    <row r="270" spans="5:21" ht="12.75">
      <c r="E270" s="13"/>
      <c r="F270" s="11"/>
      <c r="G270" s="23"/>
      <c r="H270" s="23"/>
      <c r="K270" s="13"/>
      <c r="L270" s="11"/>
      <c r="M270" s="23"/>
      <c r="N270" s="23"/>
      <c r="R270" s="13"/>
      <c r="S270" s="11"/>
      <c r="T270" s="23"/>
      <c r="U270" s="23"/>
    </row>
    <row r="271" spans="5:21" ht="12.75">
      <c r="E271" s="13"/>
      <c r="F271" s="7"/>
      <c r="G271" s="23"/>
      <c r="H271" s="23"/>
      <c r="K271" s="13"/>
      <c r="L271" s="7"/>
      <c r="M271" s="23"/>
      <c r="N271" s="23"/>
      <c r="R271" s="13"/>
      <c r="S271" s="7"/>
      <c r="T271" s="23"/>
      <c r="U271" s="23"/>
    </row>
    <row r="272" spans="5:21" ht="12.75">
      <c r="E272" s="13"/>
      <c r="F272" s="7"/>
      <c r="G272" s="23"/>
      <c r="H272" s="23"/>
      <c r="K272" s="13"/>
      <c r="L272" s="7"/>
      <c r="M272" s="23"/>
      <c r="N272" s="23"/>
      <c r="R272" s="13"/>
      <c r="S272" s="7"/>
      <c r="T272" s="23"/>
      <c r="U272" s="23"/>
    </row>
    <row r="273" spans="5:21" ht="12.75">
      <c r="E273" s="13"/>
      <c r="F273" s="7"/>
      <c r="G273" s="23"/>
      <c r="H273" s="23"/>
      <c r="K273" s="13"/>
      <c r="L273" s="7"/>
      <c r="M273" s="23"/>
      <c r="N273" s="23"/>
      <c r="R273" s="13"/>
      <c r="S273" s="7"/>
      <c r="T273" s="23"/>
      <c r="U273" s="23"/>
    </row>
    <row r="274" spans="5:21" ht="12.75">
      <c r="E274" s="13"/>
      <c r="F274" s="7"/>
      <c r="G274" s="23"/>
      <c r="H274" s="23"/>
      <c r="K274" s="13"/>
      <c r="L274" s="7"/>
      <c r="M274" s="23"/>
      <c r="N274" s="23"/>
      <c r="R274" s="13"/>
      <c r="S274" s="7"/>
      <c r="T274" s="23"/>
      <c r="U274" s="23"/>
    </row>
    <row r="275" spans="5:21" ht="12.75">
      <c r="E275" s="13"/>
      <c r="F275" s="7"/>
      <c r="G275" s="23"/>
      <c r="H275" s="23"/>
      <c r="K275" s="13"/>
      <c r="L275" s="7"/>
      <c r="M275" s="23"/>
      <c r="N275" s="23"/>
      <c r="R275" s="13"/>
      <c r="S275" s="7"/>
      <c r="T275" s="23"/>
      <c r="U275" s="23"/>
    </row>
    <row r="276" spans="5:21" ht="12.75">
      <c r="E276" s="13"/>
      <c r="F276" s="7"/>
      <c r="G276" s="23"/>
      <c r="H276" s="23"/>
      <c r="K276" s="13"/>
      <c r="L276" s="7"/>
      <c r="M276" s="23"/>
      <c r="N276" s="23"/>
      <c r="R276" s="13"/>
      <c r="S276" s="7"/>
      <c r="T276" s="23"/>
      <c r="U276" s="23"/>
    </row>
    <row r="277" spans="5:21" ht="12.75">
      <c r="E277" s="13"/>
      <c r="F277" s="7"/>
      <c r="G277" s="23"/>
      <c r="H277" s="23"/>
      <c r="K277" s="13"/>
      <c r="L277" s="7"/>
      <c r="M277" s="23"/>
      <c r="N277" s="23"/>
      <c r="R277" s="13"/>
      <c r="S277" s="7"/>
      <c r="T277" s="23"/>
      <c r="U277" s="23"/>
    </row>
    <row r="278" spans="5:21" ht="12.75">
      <c r="E278" s="13"/>
      <c r="F278" s="7"/>
      <c r="G278" s="23"/>
      <c r="H278" s="23"/>
      <c r="K278" s="13"/>
      <c r="L278" s="7"/>
      <c r="M278" s="23"/>
      <c r="N278" s="23"/>
      <c r="R278" s="13"/>
      <c r="S278" s="7"/>
      <c r="T278" s="23"/>
      <c r="U278" s="23"/>
    </row>
    <row r="279" spans="5:21" ht="12.75">
      <c r="E279" s="13"/>
      <c r="F279" s="7"/>
      <c r="G279" s="23"/>
      <c r="H279" s="23"/>
      <c r="K279" s="13"/>
      <c r="L279" s="7"/>
      <c r="M279" s="23"/>
      <c r="N279" s="23"/>
      <c r="R279" s="13"/>
      <c r="S279" s="7"/>
      <c r="T279" s="23"/>
      <c r="U279" s="23"/>
    </row>
    <row r="280" spans="5:21" ht="12.75">
      <c r="E280" s="13"/>
      <c r="F280" s="7"/>
      <c r="G280" s="23"/>
      <c r="H280" s="23"/>
      <c r="K280" s="13"/>
      <c r="L280" s="7"/>
      <c r="M280" s="23"/>
      <c r="N280" s="23"/>
      <c r="R280" s="13"/>
      <c r="S280" s="7"/>
      <c r="T280" s="23"/>
      <c r="U280" s="23"/>
    </row>
    <row r="281" spans="5:21" ht="12.75">
      <c r="E281" s="13"/>
      <c r="F281" s="7"/>
      <c r="G281" s="23"/>
      <c r="H281" s="23"/>
      <c r="K281" s="13"/>
      <c r="L281" s="7"/>
      <c r="M281" s="23"/>
      <c r="N281" s="23"/>
      <c r="R281" s="13"/>
      <c r="S281" s="7"/>
      <c r="T281" s="23"/>
      <c r="U281" s="23"/>
    </row>
    <row r="282" spans="5:21" ht="12.75">
      <c r="E282" s="13"/>
      <c r="F282" s="7"/>
      <c r="G282" s="23"/>
      <c r="H282" s="23"/>
      <c r="K282" s="13"/>
      <c r="L282" s="7"/>
      <c r="M282" s="23"/>
      <c r="N282" s="23"/>
      <c r="R282" s="13"/>
      <c r="S282" s="7"/>
      <c r="T282" s="23"/>
      <c r="U282" s="23"/>
    </row>
    <row r="283" spans="5:21" ht="12.75">
      <c r="E283" s="13"/>
      <c r="F283" s="7"/>
      <c r="G283" s="23"/>
      <c r="H283" s="23"/>
      <c r="K283" s="13"/>
      <c r="L283" s="7"/>
      <c r="M283" s="23"/>
      <c r="N283" s="23"/>
      <c r="R283" s="13"/>
      <c r="S283" s="7"/>
      <c r="T283" s="23"/>
      <c r="U283" s="23"/>
    </row>
    <row r="284" spans="5:21" ht="12.75">
      <c r="E284" s="13"/>
      <c r="F284" s="7"/>
      <c r="G284" s="23"/>
      <c r="H284" s="23"/>
      <c r="K284" s="13"/>
      <c r="L284" s="7"/>
      <c r="M284" s="23"/>
      <c r="N284" s="23"/>
      <c r="R284" s="13"/>
      <c r="S284" s="7"/>
      <c r="T284" s="23"/>
      <c r="U284" s="2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5">
      <selection activeCell="F50" sqref="F50"/>
    </sheetView>
  </sheetViews>
  <sheetFormatPr defaultColWidth="9.00390625" defaultRowHeight="12.75"/>
  <cols>
    <col min="1" max="1" width="2.875" style="147" customWidth="1"/>
    <col min="2" max="2" width="20.75390625" style="147" customWidth="1"/>
    <col min="3" max="3" width="12.125" style="174" customWidth="1"/>
    <col min="4" max="4" width="9.75390625" style="155" customWidth="1"/>
    <col min="5" max="5" width="3.875" style="145" customWidth="1"/>
    <col min="6" max="6" width="9.125" style="147" customWidth="1"/>
    <col min="7" max="7" width="8.125" style="147" customWidth="1"/>
    <col min="8" max="11" width="9.125" style="147" customWidth="1"/>
    <col min="12" max="12" width="10.625" style="147" bestFit="1" customWidth="1"/>
    <col min="13" max="16384" width="9.125" style="147" customWidth="1"/>
  </cols>
  <sheetData>
    <row r="1" spans="2:11" s="145" customFormat="1" ht="12.75">
      <c r="B1" s="146" t="s">
        <v>204</v>
      </c>
      <c r="C1" s="147"/>
      <c r="D1" s="147"/>
      <c r="E1" s="147"/>
      <c r="J1" s="148"/>
      <c r="K1" s="148"/>
    </row>
    <row r="2" spans="2:11" s="145" customFormat="1" ht="14.25" customHeight="1">
      <c r="B2" s="149" t="s">
        <v>118</v>
      </c>
      <c r="C2" s="147"/>
      <c r="D2" s="150"/>
      <c r="E2" s="147"/>
      <c r="J2" s="148"/>
      <c r="K2" s="148"/>
    </row>
    <row r="3" spans="2:11" s="145" customFormat="1" ht="4.5" customHeight="1">
      <c r="B3" s="149"/>
      <c r="C3" s="147"/>
      <c r="D3" s="151"/>
      <c r="E3" s="147"/>
      <c r="J3" s="148"/>
      <c r="K3" s="148"/>
    </row>
    <row r="4" spans="2:11" s="145" customFormat="1" ht="12.75">
      <c r="B4" s="152" t="s">
        <v>26</v>
      </c>
      <c r="C4" s="153"/>
      <c r="D4" s="147"/>
      <c r="E4" s="147"/>
      <c r="J4" s="148"/>
      <c r="K4" s="148"/>
    </row>
    <row r="5" spans="3:11" s="145" customFormat="1" ht="6.75" customHeight="1">
      <c r="C5" s="154"/>
      <c r="D5" s="155"/>
      <c r="J5" s="148"/>
      <c r="K5" s="148"/>
    </row>
    <row r="6" spans="2:15" ht="7.5" customHeight="1">
      <c r="B6" s="145"/>
      <c r="C6" s="155"/>
      <c r="E6" s="147"/>
      <c r="L6" s="145"/>
      <c r="M6" s="145"/>
      <c r="N6" s="145"/>
      <c r="O6" s="145"/>
    </row>
    <row r="7" spans="2:15" ht="12.75">
      <c r="B7" s="257" t="s">
        <v>120</v>
      </c>
      <c r="C7" s="155"/>
      <c r="D7" s="147"/>
      <c r="E7" s="147"/>
      <c r="L7" s="145"/>
      <c r="M7" s="145"/>
      <c r="N7" s="145"/>
      <c r="O7" s="145"/>
    </row>
    <row r="8" spans="2:15" ht="12.75">
      <c r="B8" s="145"/>
      <c r="C8" s="155"/>
      <c r="E8" s="147"/>
      <c r="L8" s="145"/>
      <c r="M8" s="145"/>
      <c r="N8" s="145"/>
      <c r="O8" s="145"/>
    </row>
    <row r="9" spans="2:15" ht="12.75">
      <c r="B9" s="145" t="s">
        <v>121</v>
      </c>
      <c r="C9" s="155" t="s">
        <v>122</v>
      </c>
      <c r="D9" s="155" t="s">
        <v>127</v>
      </c>
      <c r="E9" s="147"/>
      <c r="F9" s="174" t="s">
        <v>124</v>
      </c>
      <c r="H9" s="147" t="s">
        <v>124</v>
      </c>
      <c r="J9" s="174" t="s">
        <v>193</v>
      </c>
      <c r="L9" s="145"/>
      <c r="M9" s="145"/>
      <c r="N9" s="145"/>
      <c r="O9" s="145"/>
    </row>
    <row r="10" spans="2:15" ht="12.75">
      <c r="B10" s="145"/>
      <c r="C10" s="155" t="s">
        <v>123</v>
      </c>
      <c r="F10" s="174" t="s">
        <v>11</v>
      </c>
      <c r="H10" s="147" t="s">
        <v>125</v>
      </c>
      <c r="J10" s="174" t="s">
        <v>11</v>
      </c>
      <c r="L10" s="145"/>
      <c r="M10" s="145"/>
      <c r="N10" s="145"/>
      <c r="O10" s="145"/>
    </row>
    <row r="11" spans="2:15" ht="12.75">
      <c r="B11" s="145" t="s">
        <v>669</v>
      </c>
      <c r="C11" s="155">
        <v>3</v>
      </c>
      <c r="D11" s="155">
        <v>40</v>
      </c>
      <c r="F11" s="147">
        <f>D11*C11</f>
        <v>120</v>
      </c>
      <c r="H11" s="147" t="s">
        <v>126</v>
      </c>
      <c r="J11" s="700">
        <f>F11*0.7</f>
        <v>84</v>
      </c>
      <c r="L11" s="145"/>
      <c r="M11" s="145"/>
      <c r="N11" s="145"/>
      <c r="O11" s="145"/>
    </row>
    <row r="12" spans="2:15" ht="12.75">
      <c r="B12" s="145" t="s">
        <v>670</v>
      </c>
      <c r="C12" s="155">
        <v>2</v>
      </c>
      <c r="D12" s="155">
        <v>15</v>
      </c>
      <c r="F12" s="147">
        <f>D12*C12</f>
        <v>30</v>
      </c>
      <c r="H12" s="147" t="s">
        <v>126</v>
      </c>
      <c r="J12" s="700">
        <f>F12*0.7</f>
        <v>21</v>
      </c>
      <c r="L12" s="145"/>
      <c r="M12" s="145"/>
      <c r="N12" s="145"/>
      <c r="O12" s="145"/>
    </row>
    <row r="13" spans="2:15" ht="12.75">
      <c r="B13" s="145"/>
      <c r="C13" s="155"/>
      <c r="F13" s="174"/>
      <c r="J13" s="174"/>
      <c r="L13" s="145"/>
      <c r="M13" s="145"/>
      <c r="N13" s="145"/>
      <c r="O13" s="145"/>
    </row>
    <row r="14" spans="2:15" ht="12.75">
      <c r="B14" s="145" t="s">
        <v>588</v>
      </c>
      <c r="C14" s="155">
        <v>5</v>
      </c>
      <c r="D14" s="155">
        <v>106.5</v>
      </c>
      <c r="F14" s="147">
        <f>D14*C14</f>
        <v>532.5</v>
      </c>
      <c r="H14" s="147" t="s">
        <v>126</v>
      </c>
      <c r="J14" s="666">
        <f>F14*0.7</f>
        <v>372.75</v>
      </c>
      <c r="L14" s="145"/>
      <c r="M14" s="145"/>
      <c r="N14" s="145"/>
      <c r="O14" s="145"/>
    </row>
    <row r="15" spans="2:15" ht="12.75">
      <c r="B15" s="145" t="s">
        <v>589</v>
      </c>
      <c r="C15" s="155">
        <v>1</v>
      </c>
      <c r="D15" s="155">
        <v>44</v>
      </c>
      <c r="F15" s="147">
        <f aca="true" t="shared" si="0" ref="F15:F23">D15*C15</f>
        <v>44</v>
      </c>
      <c r="H15" s="147" t="s">
        <v>126</v>
      </c>
      <c r="J15" s="147">
        <f aca="true" t="shared" si="1" ref="J15:J23">F15*0.7</f>
        <v>30.799999999999997</v>
      </c>
      <c r="L15" s="145"/>
      <c r="M15" s="145"/>
      <c r="N15" s="145"/>
      <c r="O15" s="145"/>
    </row>
    <row r="16" spans="2:15" ht="12.75">
      <c r="B16" s="145" t="s">
        <v>590</v>
      </c>
      <c r="C16" s="155">
        <v>2</v>
      </c>
      <c r="D16" s="155">
        <v>15</v>
      </c>
      <c r="F16" s="147">
        <f t="shared" si="0"/>
        <v>30</v>
      </c>
      <c r="H16" s="147" t="s">
        <v>126</v>
      </c>
      <c r="J16" s="147">
        <f t="shared" si="1"/>
        <v>21</v>
      </c>
      <c r="L16" s="145"/>
      <c r="M16" s="145"/>
      <c r="N16" s="145"/>
      <c r="O16" s="145"/>
    </row>
    <row r="17" spans="2:15" ht="12.75">
      <c r="B17" s="296" t="s">
        <v>591</v>
      </c>
      <c r="C17" s="155">
        <v>3</v>
      </c>
      <c r="D17" s="155">
        <v>36</v>
      </c>
      <c r="F17" s="147">
        <f t="shared" si="0"/>
        <v>108</v>
      </c>
      <c r="H17" s="147" t="s">
        <v>126</v>
      </c>
      <c r="J17" s="666">
        <f t="shared" si="1"/>
        <v>75.6</v>
      </c>
      <c r="L17" s="145"/>
      <c r="M17" s="145"/>
      <c r="N17" s="145"/>
      <c r="O17" s="145"/>
    </row>
    <row r="18" spans="2:15" ht="12.75">
      <c r="B18" s="145" t="s">
        <v>592</v>
      </c>
      <c r="C18" s="155">
        <v>2</v>
      </c>
      <c r="D18" s="155">
        <v>65</v>
      </c>
      <c r="F18" s="147">
        <f t="shared" si="0"/>
        <v>130</v>
      </c>
      <c r="H18" s="147" t="s">
        <v>126</v>
      </c>
      <c r="J18" s="147">
        <f t="shared" si="1"/>
        <v>91</v>
      </c>
      <c r="L18" s="145"/>
      <c r="M18" s="145"/>
      <c r="N18" s="145"/>
      <c r="O18" s="145"/>
    </row>
    <row r="19" spans="2:15" ht="12.75">
      <c r="B19" s="147" t="s">
        <v>595</v>
      </c>
      <c r="C19" s="174">
        <v>3</v>
      </c>
      <c r="D19" s="155">
        <v>40</v>
      </c>
      <c r="F19" s="147">
        <f t="shared" si="0"/>
        <v>120</v>
      </c>
      <c r="H19" s="147" t="s">
        <v>126</v>
      </c>
      <c r="J19" s="666">
        <f t="shared" si="1"/>
        <v>84</v>
      </c>
      <c r="L19" s="145"/>
      <c r="M19" s="145"/>
      <c r="N19" s="145"/>
      <c r="O19" s="145"/>
    </row>
    <row r="20" spans="2:15" ht="12.75">
      <c r="B20" s="145" t="s">
        <v>593</v>
      </c>
      <c r="C20" s="155">
        <v>4</v>
      </c>
      <c r="D20" s="155">
        <v>120</v>
      </c>
      <c r="F20" s="147">
        <f t="shared" si="0"/>
        <v>480</v>
      </c>
      <c r="H20" s="147" t="s">
        <v>126</v>
      </c>
      <c r="J20" s="147">
        <f t="shared" si="1"/>
        <v>336</v>
      </c>
      <c r="L20" s="145"/>
      <c r="M20" s="145"/>
      <c r="N20" s="145"/>
      <c r="O20" s="145"/>
    </row>
    <row r="21" spans="2:15" ht="12.75">
      <c r="B21" s="145" t="s">
        <v>594</v>
      </c>
      <c r="C21" s="155">
        <v>3</v>
      </c>
      <c r="D21" s="155">
        <v>85.3</v>
      </c>
      <c r="F21" s="147">
        <f t="shared" si="0"/>
        <v>255.89999999999998</v>
      </c>
      <c r="H21" s="147" t="s">
        <v>126</v>
      </c>
      <c r="J21" s="666">
        <f t="shared" si="1"/>
        <v>179.12999999999997</v>
      </c>
      <c r="L21" s="145"/>
      <c r="M21" s="145"/>
      <c r="N21" s="145"/>
      <c r="O21" s="145"/>
    </row>
    <row r="22" spans="2:15" ht="12.75">
      <c r="B22" s="147" t="s">
        <v>596</v>
      </c>
      <c r="C22" s="174">
        <v>3</v>
      </c>
      <c r="D22" s="155">
        <v>45.4</v>
      </c>
      <c r="F22" s="147">
        <f t="shared" si="0"/>
        <v>136.2</v>
      </c>
      <c r="H22" s="147" t="s">
        <v>126</v>
      </c>
      <c r="J22" s="666">
        <f t="shared" si="1"/>
        <v>95.33999999999999</v>
      </c>
      <c r="L22" s="145"/>
      <c r="M22" s="145"/>
      <c r="N22" s="145"/>
      <c r="O22" s="145"/>
    </row>
    <row r="23" spans="2:15" ht="12.75">
      <c r="B23" s="147" t="s">
        <v>597</v>
      </c>
      <c r="C23" s="174">
        <v>2</v>
      </c>
      <c r="D23" s="174">
        <v>85</v>
      </c>
      <c r="E23" s="147"/>
      <c r="F23" s="147">
        <f t="shared" si="0"/>
        <v>170</v>
      </c>
      <c r="H23" s="147" t="s">
        <v>126</v>
      </c>
      <c r="J23" s="147">
        <f t="shared" si="1"/>
        <v>118.99999999999999</v>
      </c>
      <c r="L23" s="145"/>
      <c r="M23" s="145"/>
      <c r="N23" s="145"/>
      <c r="O23" s="145"/>
    </row>
    <row r="24" spans="2:15" ht="12.75">
      <c r="B24" s="147" t="s">
        <v>598</v>
      </c>
      <c r="C24" s="174">
        <v>4</v>
      </c>
      <c r="D24" s="174">
        <v>54.2</v>
      </c>
      <c r="E24" s="147"/>
      <c r="F24" s="147">
        <f>D24*C24</f>
        <v>216.8</v>
      </c>
      <c r="H24" s="147" t="s">
        <v>126</v>
      </c>
      <c r="J24" s="666">
        <f>F24*0.7</f>
        <v>151.76</v>
      </c>
      <c r="L24" s="145"/>
      <c r="M24" s="145"/>
      <c r="N24" s="145"/>
      <c r="O24" s="145"/>
    </row>
    <row r="25" spans="2:15" ht="12.75">
      <c r="B25" s="147" t="s">
        <v>599</v>
      </c>
      <c r="C25" s="174">
        <v>4</v>
      </c>
      <c r="D25" s="174">
        <v>51.6</v>
      </c>
      <c r="E25" s="147"/>
      <c r="F25" s="147">
        <f>D25*C25</f>
        <v>206.4</v>
      </c>
      <c r="H25" s="147" t="s">
        <v>126</v>
      </c>
      <c r="J25" s="666">
        <f>F25*0.7</f>
        <v>144.48</v>
      </c>
      <c r="L25" s="145"/>
      <c r="M25" s="145"/>
      <c r="N25" s="145"/>
      <c r="O25" s="145"/>
    </row>
    <row r="26" spans="4:15" ht="12.75">
      <c r="D26" s="174"/>
      <c r="E26" s="147"/>
      <c r="L26" s="145"/>
      <c r="M26" s="145"/>
      <c r="N26" s="145"/>
      <c r="O26" s="145"/>
    </row>
    <row r="27" spans="3:15" ht="12.75">
      <c r="C27" s="147"/>
      <c r="D27" s="147"/>
      <c r="E27" s="147"/>
      <c r="L27" s="145"/>
      <c r="M27" s="145"/>
      <c r="N27" s="145"/>
      <c r="O27" s="145"/>
    </row>
    <row r="28" spans="3:15" ht="12.75">
      <c r="C28" s="262" t="s">
        <v>671</v>
      </c>
      <c r="D28" s="174" t="s">
        <v>11</v>
      </c>
      <c r="F28" s="699">
        <f>SUM(F11:F27)</f>
        <v>2579.8000000000006</v>
      </c>
      <c r="G28" s="147" t="s">
        <v>9</v>
      </c>
      <c r="I28" s="256" t="s">
        <v>194</v>
      </c>
      <c r="J28" s="699">
        <f>J15+J16+J18+J20+J23+J11+J12</f>
        <v>702.8</v>
      </c>
      <c r="L28" s="261"/>
      <c r="M28" s="145"/>
      <c r="N28" s="145"/>
      <c r="O28" s="145"/>
    </row>
    <row r="29" spans="3:15" ht="12.75">
      <c r="C29" s="262" t="s">
        <v>672</v>
      </c>
      <c r="D29" s="701">
        <f>F28*0.7</f>
        <v>1805.8600000000004</v>
      </c>
      <c r="E29" s="147"/>
      <c r="F29" s="256">
        <f>920*0.7</f>
        <v>644</v>
      </c>
      <c r="G29" s="147" t="s">
        <v>8</v>
      </c>
      <c r="H29" s="256"/>
      <c r="I29" s="256" t="s">
        <v>195</v>
      </c>
      <c r="J29" s="672">
        <f>J14+J17+J19+J21+J22+J24+J25</f>
        <v>1103.06</v>
      </c>
      <c r="L29" s="715"/>
      <c r="M29" s="145"/>
      <c r="N29" s="145"/>
      <c r="O29" s="145"/>
    </row>
    <row r="30" spans="10:15" ht="12.75">
      <c r="J30" s="702">
        <f>SUM(J28:J29)</f>
        <v>1805.86</v>
      </c>
      <c r="L30" s="145"/>
      <c r="M30" s="145"/>
      <c r="N30" s="145"/>
      <c r="O30" s="145"/>
    </row>
    <row r="31" spans="12:15" ht="12.75">
      <c r="L31" s="145"/>
      <c r="M31" s="145"/>
      <c r="N31" s="145"/>
      <c r="O31" s="145"/>
    </row>
    <row r="32" spans="3:15" ht="12.75">
      <c r="C32" s="174" t="s">
        <v>124</v>
      </c>
      <c r="D32" s="174">
        <f>SUM(D31:D31)</f>
        <v>0</v>
      </c>
      <c r="F32" s="256">
        <f>SUM(F31:F31)</f>
        <v>0</v>
      </c>
      <c r="G32" s="147" t="s">
        <v>10</v>
      </c>
      <c r="H32" s="256"/>
      <c r="L32" s="145"/>
      <c r="M32" s="145"/>
      <c r="N32" s="145"/>
      <c r="O32" s="145"/>
    </row>
    <row r="33" spans="12:15" ht="12.75">
      <c r="L33" s="145"/>
      <c r="M33" s="145"/>
      <c r="N33" s="145"/>
      <c r="O33" s="145"/>
    </row>
    <row r="34" spans="2:15" ht="12.75">
      <c r="B34" s="257" t="s">
        <v>134</v>
      </c>
      <c r="C34" s="260" t="s">
        <v>141</v>
      </c>
      <c r="D34" s="155" t="s">
        <v>139</v>
      </c>
      <c r="F34" s="258" t="s">
        <v>127</v>
      </c>
      <c r="H34" s="256" t="s">
        <v>142</v>
      </c>
      <c r="I34" s="262" t="s">
        <v>143</v>
      </c>
      <c r="L34" s="145"/>
      <c r="M34" s="145"/>
      <c r="N34" s="145"/>
      <c r="O34" s="145"/>
    </row>
    <row r="35" spans="2:9" ht="12.75">
      <c r="B35" s="257"/>
      <c r="C35" s="260"/>
      <c r="F35" s="258"/>
      <c r="H35" s="256"/>
      <c r="I35" s="262"/>
    </row>
    <row r="36" ht="12.75">
      <c r="B36" s="256"/>
    </row>
    <row r="37" spans="1:11" ht="12.75">
      <c r="A37" s="147" t="s">
        <v>98</v>
      </c>
      <c r="B37" s="147" t="s">
        <v>618</v>
      </c>
      <c r="C37" s="174" t="s">
        <v>136</v>
      </c>
      <c r="D37" s="155" t="s">
        <v>135</v>
      </c>
      <c r="F37" s="147">
        <v>125</v>
      </c>
      <c r="G37" s="668">
        <f>125*0.7*0.5</f>
        <v>43.75</v>
      </c>
      <c r="I37" s="147" t="s">
        <v>624</v>
      </c>
      <c r="J37" s="147" t="s">
        <v>173</v>
      </c>
      <c r="K37" s="147" t="s">
        <v>137</v>
      </c>
    </row>
    <row r="38" spans="2:7" ht="12.75">
      <c r="B38" s="147" t="s">
        <v>617</v>
      </c>
      <c r="C38" s="147" t="s">
        <v>228</v>
      </c>
      <c r="D38" s="155" t="s">
        <v>620</v>
      </c>
      <c r="F38" s="147">
        <f>68+5</f>
        <v>73</v>
      </c>
      <c r="G38" s="668">
        <f>73*0.25</f>
        <v>18.25</v>
      </c>
    </row>
    <row r="39" spans="2:7" ht="12.75">
      <c r="B39" s="147" t="s">
        <v>619</v>
      </c>
      <c r="C39" s="147" t="s">
        <v>228</v>
      </c>
      <c r="D39" s="155" t="s">
        <v>620</v>
      </c>
      <c r="F39" s="147">
        <f>98+3</f>
        <v>101</v>
      </c>
      <c r="G39" s="668">
        <f>10*0.25</f>
        <v>2.5</v>
      </c>
    </row>
    <row r="40" spans="2:11" ht="12.75">
      <c r="B40" s="147" t="s">
        <v>621</v>
      </c>
      <c r="C40" s="174" t="s">
        <v>138</v>
      </c>
      <c r="D40" s="155" t="s">
        <v>620</v>
      </c>
      <c r="E40" s="259"/>
      <c r="F40" s="147">
        <v>204</v>
      </c>
      <c r="G40" s="668">
        <f>204*0.25</f>
        <v>51</v>
      </c>
      <c r="I40" s="147" t="s">
        <v>172</v>
      </c>
      <c r="J40" s="147" t="s">
        <v>173</v>
      </c>
      <c r="K40" s="147" t="s">
        <v>137</v>
      </c>
    </row>
    <row r="41" spans="2:11" ht="12.75">
      <c r="B41" s="147" t="s">
        <v>622</v>
      </c>
      <c r="C41" s="174" t="s">
        <v>138</v>
      </c>
      <c r="D41" s="155" t="s">
        <v>140</v>
      </c>
      <c r="F41" s="147">
        <f>325.4+2+2.5</f>
        <v>329.9</v>
      </c>
      <c r="G41" s="668">
        <f>329.9*0.6*0.4</f>
        <v>79.17599999999999</v>
      </c>
      <c r="K41" s="147" t="s">
        <v>623</v>
      </c>
    </row>
    <row r="42" spans="2:11" ht="12.75">
      <c r="B42" s="147" t="s">
        <v>629</v>
      </c>
      <c r="D42" s="155" t="s">
        <v>630</v>
      </c>
      <c r="F42" s="147">
        <f>68+5</f>
        <v>73</v>
      </c>
      <c r="G42" s="668">
        <f>73*0.5*0.5</f>
        <v>18.25</v>
      </c>
      <c r="K42" s="147" t="s">
        <v>623</v>
      </c>
    </row>
    <row r="43" spans="2:11" ht="12.75">
      <c r="B43" s="147" t="s">
        <v>628</v>
      </c>
      <c r="C43" s="174" t="s">
        <v>136</v>
      </c>
      <c r="D43" s="155" t="s">
        <v>140</v>
      </c>
      <c r="E43" s="145">
        <v>5</v>
      </c>
      <c r="F43" s="147">
        <f>602.8+2.5+59</f>
        <v>664.3</v>
      </c>
      <c r="G43" s="668">
        <f>664.3*0.24</f>
        <v>159.432</v>
      </c>
      <c r="I43" s="147" t="s">
        <v>172</v>
      </c>
      <c r="J43" s="147" t="s">
        <v>173</v>
      </c>
      <c r="K43" s="147" t="s">
        <v>137</v>
      </c>
    </row>
    <row r="44" spans="2:11" ht="12.75">
      <c r="B44" s="147" t="s">
        <v>627</v>
      </c>
      <c r="C44" s="174" t="s">
        <v>136</v>
      </c>
      <c r="D44" s="155" t="s">
        <v>140</v>
      </c>
      <c r="E44" s="261">
        <v>5</v>
      </c>
      <c r="F44" s="592">
        <f>54+5</f>
        <v>59</v>
      </c>
      <c r="G44" s="668">
        <f>59*0.24</f>
        <v>14.16</v>
      </c>
      <c r="K44" s="147" t="s">
        <v>137</v>
      </c>
    </row>
    <row r="45" spans="2:11" ht="12.75">
      <c r="B45" s="592" t="s">
        <v>625</v>
      </c>
      <c r="C45" s="174" t="s">
        <v>136</v>
      </c>
      <c r="D45" s="155" t="s">
        <v>626</v>
      </c>
      <c r="F45" s="258">
        <v>152</v>
      </c>
      <c r="G45" s="668">
        <f>152*0.2</f>
        <v>30.400000000000002</v>
      </c>
      <c r="J45" s="256"/>
      <c r="K45" s="147" t="s">
        <v>137</v>
      </c>
    </row>
    <row r="47" spans="3:8" ht="12.75">
      <c r="C47" s="260" t="s">
        <v>124</v>
      </c>
      <c r="D47" s="260" t="s">
        <v>11</v>
      </c>
      <c r="F47" s="256">
        <f>SUM(F37:F46)</f>
        <v>1781.1999999999998</v>
      </c>
      <c r="G47" s="672">
        <f>SUM(G37:G46)</f>
        <v>416.91799999999995</v>
      </c>
      <c r="H47" s="147" t="s">
        <v>10</v>
      </c>
    </row>
    <row r="49" spans="4:6" ht="12.75">
      <c r="D49" s="155" t="s">
        <v>176</v>
      </c>
      <c r="E49" s="259"/>
      <c r="F49" s="147">
        <f>F37+F38+F43+F41</f>
        <v>1192.1999999999998</v>
      </c>
    </row>
    <row r="54" ht="12.75">
      <c r="E54" s="261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282"/>
  <sheetViews>
    <sheetView tabSelected="1" zoomScalePageLayoutView="0" workbookViewId="0" topLeftCell="A1">
      <pane ySplit="7" topLeftCell="A93" activePane="bottomLeft" state="frozen"/>
      <selection pane="topLeft" activeCell="A1" sqref="A1"/>
      <selection pane="bottomLeft" activeCell="AG66" sqref="AG66"/>
    </sheetView>
  </sheetViews>
  <sheetFormatPr defaultColWidth="9.00390625" defaultRowHeight="12.75"/>
  <cols>
    <col min="1" max="1" width="10.125" style="1" customWidth="1"/>
    <col min="2" max="2" width="6.125" style="331" customWidth="1"/>
    <col min="3" max="3" width="6.25390625" style="2" customWidth="1"/>
    <col min="4" max="4" width="6.125" style="2" customWidth="1"/>
    <col min="5" max="5" width="7.00390625" style="2" customWidth="1"/>
    <col min="6" max="6" width="8.75390625" style="2" customWidth="1"/>
    <col min="7" max="7" width="9.00390625" style="2" customWidth="1"/>
    <col min="8" max="8" width="7.375" style="212" customWidth="1"/>
    <col min="9" max="16" width="7.375" style="2" customWidth="1"/>
    <col min="17" max="17" width="9.00390625" style="27" customWidth="1"/>
    <col min="18" max="20" width="8.125" style="27" customWidth="1"/>
    <col min="21" max="21" width="8.875" style="27" customWidth="1"/>
    <col min="22" max="23" width="9.125" style="27" customWidth="1"/>
    <col min="24" max="24" width="7.125" style="34" customWidth="1"/>
    <col min="25" max="27" width="7.875" style="34" customWidth="1"/>
    <col min="28" max="28" width="9.75390625" style="34" customWidth="1"/>
    <col min="29" max="29" width="7.375" style="2" customWidth="1"/>
    <col min="30" max="30" width="8.75390625" style="34" customWidth="1"/>
    <col min="31" max="31" width="7.75390625" style="2" customWidth="1"/>
    <col min="32" max="32" width="7.375" style="2" customWidth="1"/>
    <col min="38" max="39" width="9.125" style="0" customWidth="1"/>
  </cols>
  <sheetData>
    <row r="1" spans="1:8" ht="15.75" customHeight="1">
      <c r="A1" s="146" t="s">
        <v>204</v>
      </c>
      <c r="H1" s="27"/>
    </row>
    <row r="2" spans="1:13" ht="15.75" customHeight="1">
      <c r="A2" s="149" t="s">
        <v>118</v>
      </c>
      <c r="H2" s="27"/>
      <c r="M2" s="149"/>
    </row>
    <row r="3" spans="4:64" ht="15.75">
      <c r="D3" s="2" t="s">
        <v>220</v>
      </c>
      <c r="I3" s="3"/>
      <c r="J3" s="3"/>
      <c r="K3" s="3"/>
      <c r="L3" s="255" t="s">
        <v>119</v>
      </c>
      <c r="M3" s="3"/>
      <c r="N3" s="3"/>
      <c r="O3" s="3"/>
      <c r="P3" s="3"/>
      <c r="AC3" s="3"/>
      <c r="AE3" s="3"/>
      <c r="AF3" s="3"/>
      <c r="AL3" s="4"/>
      <c r="AS3" s="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100" ht="10.5" customHeight="1" thickBot="1">
      <c r="A4" s="8"/>
      <c r="B4" s="332"/>
      <c r="C4" s="9"/>
      <c r="D4" s="9"/>
      <c r="E4" s="7"/>
      <c r="F4" s="7"/>
      <c r="G4" s="7"/>
      <c r="H4" s="23"/>
      <c r="I4" s="7"/>
      <c r="J4" s="7"/>
      <c r="K4" s="7"/>
      <c r="L4" s="7"/>
      <c r="M4" s="7"/>
      <c r="N4" s="7"/>
      <c r="O4" s="7"/>
      <c r="P4" s="77"/>
      <c r="Q4" s="23"/>
      <c r="R4" s="35"/>
      <c r="S4" s="35"/>
      <c r="T4" s="35"/>
      <c r="U4" s="35"/>
      <c r="V4" s="35"/>
      <c r="W4" s="35"/>
      <c r="X4" s="23"/>
      <c r="Y4" s="23"/>
      <c r="Z4" s="23"/>
      <c r="AA4" s="23"/>
      <c r="AB4" s="23"/>
      <c r="AC4" s="7"/>
      <c r="AD4" s="23"/>
      <c r="AE4" s="7"/>
      <c r="AF4" s="7"/>
      <c r="AR4" s="5"/>
      <c r="AS4" s="13"/>
      <c r="AT4" s="7"/>
      <c r="AU4" s="7"/>
      <c r="AV4" s="7"/>
      <c r="AW4" s="7"/>
      <c r="AX4" s="7"/>
      <c r="AY4" s="7"/>
      <c r="AZ4" s="7"/>
      <c r="BA4" s="7"/>
      <c r="BB4" s="11"/>
      <c r="BC4" s="11"/>
      <c r="BD4" s="10"/>
      <c r="BE4" s="11"/>
      <c r="BF4" s="11"/>
      <c r="BG4" s="11"/>
      <c r="BH4" s="11"/>
      <c r="BI4" s="11"/>
      <c r="BJ4" s="11"/>
      <c r="BK4" s="11"/>
      <c r="BL4" s="11"/>
      <c r="BM4" s="7"/>
      <c r="BN4" s="7"/>
      <c r="BO4" s="7"/>
      <c r="BP4" s="7"/>
      <c r="BQ4" s="7"/>
      <c r="BR4" s="7"/>
      <c r="BS4" s="12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</row>
    <row r="5" spans="1:100" ht="12.75">
      <c r="A5" s="58" t="s">
        <v>0</v>
      </c>
      <c r="B5" s="59" t="s">
        <v>1</v>
      </c>
      <c r="C5" s="59" t="s">
        <v>1</v>
      </c>
      <c r="D5" s="103" t="s">
        <v>2</v>
      </c>
      <c r="E5" s="59" t="s">
        <v>2</v>
      </c>
      <c r="F5" s="54" t="s">
        <v>14</v>
      </c>
      <c r="G5" s="54" t="s">
        <v>14</v>
      </c>
      <c r="H5" s="215" t="s">
        <v>3</v>
      </c>
      <c r="I5" s="55" t="s">
        <v>12</v>
      </c>
      <c r="J5" s="105" t="s">
        <v>14</v>
      </c>
      <c r="K5" s="105" t="s">
        <v>16</v>
      </c>
      <c r="L5" s="107" t="s">
        <v>22</v>
      </c>
      <c r="M5" s="99" t="s">
        <v>22</v>
      </c>
      <c r="N5" s="107" t="s">
        <v>144</v>
      </c>
      <c r="O5" s="99" t="s">
        <v>24</v>
      </c>
      <c r="P5" s="351" t="s">
        <v>224</v>
      </c>
      <c r="Q5" s="85" t="s">
        <v>4</v>
      </c>
      <c r="R5" s="131" t="s">
        <v>1</v>
      </c>
      <c r="S5" s="59" t="s">
        <v>1</v>
      </c>
      <c r="T5" s="103" t="s">
        <v>2</v>
      </c>
      <c r="U5" s="59" t="s">
        <v>2</v>
      </c>
      <c r="V5" s="55" t="s">
        <v>14</v>
      </c>
      <c r="W5" s="54" t="s">
        <v>14</v>
      </c>
      <c r="X5" s="60" t="s">
        <v>3</v>
      </c>
      <c r="Y5" s="55" t="s">
        <v>12</v>
      </c>
      <c r="Z5" s="105" t="s">
        <v>14</v>
      </c>
      <c r="AA5" s="105" t="s">
        <v>16</v>
      </c>
      <c r="AB5" s="107" t="s">
        <v>22</v>
      </c>
      <c r="AC5" s="100" t="s">
        <v>22</v>
      </c>
      <c r="AD5" s="107" t="s">
        <v>144</v>
      </c>
      <c r="AE5" s="100" t="s">
        <v>24</v>
      </c>
      <c r="AF5" s="351" t="s">
        <v>224</v>
      </c>
      <c r="AG5" s="356"/>
      <c r="AR5" s="5"/>
      <c r="AS5" s="13"/>
      <c r="AT5" s="7"/>
      <c r="AU5" s="7"/>
      <c r="AV5" s="7"/>
      <c r="AW5" s="7"/>
      <c r="AX5" s="7"/>
      <c r="AY5" s="7"/>
      <c r="AZ5" s="7"/>
      <c r="BA5" s="7"/>
      <c r="BB5" s="11"/>
      <c r="BC5" s="11"/>
      <c r="BD5" s="10"/>
      <c r="BE5" s="11"/>
      <c r="BF5" s="11"/>
      <c r="BG5" s="11"/>
      <c r="BH5" s="11"/>
      <c r="BI5" s="11"/>
      <c r="BJ5" s="11"/>
      <c r="BK5" s="11"/>
      <c r="BL5" s="11"/>
      <c r="BM5" s="7"/>
      <c r="BN5" s="7"/>
      <c r="BO5" s="7"/>
      <c r="BP5" s="7"/>
      <c r="BQ5" s="7"/>
      <c r="BR5" s="7"/>
      <c r="BS5" s="12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1:100" ht="13.5" thickBot="1">
      <c r="A6" s="56"/>
      <c r="B6" s="14"/>
      <c r="C6" s="102" t="s">
        <v>17</v>
      </c>
      <c r="D6" s="102" t="s">
        <v>17</v>
      </c>
      <c r="E6" s="211" t="s">
        <v>68</v>
      </c>
      <c r="F6" s="210" t="s">
        <v>67</v>
      </c>
      <c r="G6" s="15" t="s">
        <v>15</v>
      </c>
      <c r="H6" s="216" t="s">
        <v>25</v>
      </c>
      <c r="I6" s="28" t="s">
        <v>13</v>
      </c>
      <c r="J6" s="106" t="s">
        <v>21</v>
      </c>
      <c r="K6" s="106" t="s">
        <v>18</v>
      </c>
      <c r="L6" s="108" t="s">
        <v>19</v>
      </c>
      <c r="M6" s="109" t="s">
        <v>20</v>
      </c>
      <c r="N6" s="108" t="s">
        <v>145</v>
      </c>
      <c r="O6" s="109"/>
      <c r="P6" s="354" t="s">
        <v>225</v>
      </c>
      <c r="Q6" s="355" t="s">
        <v>6</v>
      </c>
      <c r="R6" s="132"/>
      <c r="S6" s="102" t="s">
        <v>17</v>
      </c>
      <c r="T6" s="102" t="s">
        <v>17</v>
      </c>
      <c r="U6" s="211" t="s">
        <v>68</v>
      </c>
      <c r="V6" s="36" t="s">
        <v>5</v>
      </c>
      <c r="W6" s="15" t="s">
        <v>15</v>
      </c>
      <c r="X6" s="37"/>
      <c r="Y6" s="28" t="s">
        <v>13</v>
      </c>
      <c r="Z6" s="106" t="s">
        <v>21</v>
      </c>
      <c r="AA6" s="106" t="s">
        <v>18</v>
      </c>
      <c r="AB6" s="108" t="s">
        <v>19</v>
      </c>
      <c r="AC6" s="133" t="s">
        <v>20</v>
      </c>
      <c r="AD6" s="108" t="s">
        <v>145</v>
      </c>
      <c r="AE6" s="133"/>
      <c r="AF6" s="352" t="s">
        <v>225</v>
      </c>
      <c r="AR6" s="5"/>
      <c r="AS6" s="13"/>
      <c r="AT6" s="7"/>
      <c r="AU6" s="7"/>
      <c r="AV6" s="7"/>
      <c r="AW6" s="7"/>
      <c r="AX6" s="7"/>
      <c r="AY6" s="7"/>
      <c r="AZ6" s="7"/>
      <c r="BA6" s="7"/>
      <c r="BB6" s="11"/>
      <c r="BC6" s="11"/>
      <c r="BD6" s="10"/>
      <c r="BE6" s="11"/>
      <c r="BF6" s="11"/>
      <c r="BG6" s="11"/>
      <c r="BH6" s="11"/>
      <c r="BI6" s="11"/>
      <c r="BJ6" s="11"/>
      <c r="BK6" s="11"/>
      <c r="BL6" s="11"/>
      <c r="BM6" s="7"/>
      <c r="BN6" s="7"/>
      <c r="BO6" s="7"/>
      <c r="BP6" s="7"/>
      <c r="BQ6" s="7"/>
      <c r="BR6" s="7"/>
      <c r="BS6" s="12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</row>
    <row r="7" spans="1:100" ht="13.5" customHeight="1" thickBot="1">
      <c r="A7" s="61" t="s">
        <v>7</v>
      </c>
      <c r="B7" s="62" t="s">
        <v>8</v>
      </c>
      <c r="C7" s="62" t="s">
        <v>8</v>
      </c>
      <c r="D7" s="62" t="s">
        <v>8</v>
      </c>
      <c r="E7" s="62" t="s">
        <v>8</v>
      </c>
      <c r="F7" s="129" t="s">
        <v>9</v>
      </c>
      <c r="G7" s="63" t="s">
        <v>8</v>
      </c>
      <c r="H7" s="217" t="s">
        <v>9</v>
      </c>
      <c r="I7" s="63" t="s">
        <v>9</v>
      </c>
      <c r="J7" s="124" t="s">
        <v>8</v>
      </c>
      <c r="K7" s="124" t="s">
        <v>9</v>
      </c>
      <c r="L7" s="125" t="s">
        <v>9</v>
      </c>
      <c r="M7" s="126" t="s">
        <v>9</v>
      </c>
      <c r="N7" s="125" t="s">
        <v>9</v>
      </c>
      <c r="O7" s="126" t="s">
        <v>8</v>
      </c>
      <c r="P7" s="353" t="s">
        <v>9</v>
      </c>
      <c r="Q7" s="355" t="s">
        <v>9</v>
      </c>
      <c r="R7" s="134" t="s">
        <v>10</v>
      </c>
      <c r="S7" s="67" t="s">
        <v>10</v>
      </c>
      <c r="T7" s="67" t="s">
        <v>10</v>
      </c>
      <c r="U7" s="64" t="s">
        <v>10</v>
      </c>
      <c r="V7" s="130" t="s">
        <v>8</v>
      </c>
      <c r="W7" s="63" t="s">
        <v>10</v>
      </c>
      <c r="X7" s="65" t="s">
        <v>8</v>
      </c>
      <c r="Y7" s="66" t="s">
        <v>8</v>
      </c>
      <c r="Z7" s="124" t="s">
        <v>10</v>
      </c>
      <c r="AA7" s="124" t="s">
        <v>8</v>
      </c>
      <c r="AB7" s="125" t="s">
        <v>8</v>
      </c>
      <c r="AC7" s="135" t="s">
        <v>8</v>
      </c>
      <c r="AD7" s="125" t="s">
        <v>8</v>
      </c>
      <c r="AE7" s="135" t="s">
        <v>10</v>
      </c>
      <c r="AF7" s="135" t="s">
        <v>8</v>
      </c>
      <c r="AR7" s="5"/>
      <c r="AS7" s="13"/>
      <c r="AT7" s="7"/>
      <c r="AU7" s="7"/>
      <c r="AV7" s="7"/>
      <c r="AW7" s="7"/>
      <c r="AX7" s="7"/>
      <c r="AY7" s="7"/>
      <c r="AZ7" s="7"/>
      <c r="BA7" s="7"/>
      <c r="BB7" s="11"/>
      <c r="BC7" s="11"/>
      <c r="BD7" s="10"/>
      <c r="BE7" s="11"/>
      <c r="BF7" s="11"/>
      <c r="BG7" s="11"/>
      <c r="BH7" s="11"/>
      <c r="BI7" s="11"/>
      <c r="BJ7" s="11"/>
      <c r="BK7" s="11"/>
      <c r="BL7" s="11"/>
      <c r="BM7" s="7"/>
      <c r="BN7" s="7"/>
      <c r="BO7" s="7"/>
      <c r="BP7" s="7"/>
      <c r="BQ7" s="7"/>
      <c r="BR7" s="7"/>
      <c r="BS7" s="12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0" ht="12.75">
      <c r="A8" s="71"/>
      <c r="B8" s="76"/>
      <c r="C8" s="74"/>
      <c r="D8" s="76"/>
      <c r="E8" s="74"/>
      <c r="F8" s="75"/>
      <c r="G8" s="73"/>
      <c r="H8" s="348"/>
      <c r="I8" s="76"/>
      <c r="J8" s="81"/>
      <c r="K8" s="92"/>
      <c r="L8" s="92"/>
      <c r="M8" s="92"/>
      <c r="N8" s="92"/>
      <c r="O8" s="92"/>
      <c r="P8" s="92"/>
      <c r="Q8" s="88"/>
      <c r="R8" s="79"/>
      <c r="S8" s="82"/>
      <c r="T8" s="79"/>
      <c r="U8" s="80"/>
      <c r="V8" s="79"/>
      <c r="W8" s="80"/>
      <c r="X8" s="79"/>
      <c r="Y8" s="84"/>
      <c r="Z8" s="84"/>
      <c r="AA8" s="84"/>
      <c r="AB8" s="80"/>
      <c r="AC8" s="140"/>
      <c r="AD8" s="82"/>
      <c r="AE8" s="98"/>
      <c r="AF8" s="98"/>
      <c r="AR8" s="5"/>
      <c r="AS8" s="13"/>
      <c r="AT8" s="7"/>
      <c r="AU8" s="7"/>
      <c r="AV8" s="7"/>
      <c r="AW8" s="7"/>
      <c r="AX8" s="7"/>
      <c r="AY8" s="7"/>
      <c r="AZ8" s="7"/>
      <c r="BA8" s="7"/>
      <c r="BB8" s="11"/>
      <c r="BC8" s="11"/>
      <c r="BD8" s="10"/>
      <c r="BE8" s="11"/>
      <c r="BF8" s="11"/>
      <c r="BG8" s="11"/>
      <c r="BH8" s="11"/>
      <c r="BI8" s="11"/>
      <c r="BJ8" s="11"/>
      <c r="BK8" s="11"/>
      <c r="BL8" s="11"/>
      <c r="BM8" s="7"/>
      <c r="BN8" s="7"/>
      <c r="BO8" s="7"/>
      <c r="BP8" s="7"/>
      <c r="BQ8" s="7"/>
      <c r="BR8" s="7"/>
      <c r="BS8" s="12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0" ht="12.75">
      <c r="A9" s="56"/>
      <c r="B9" s="114"/>
      <c r="C9" s="96"/>
      <c r="D9" s="114"/>
      <c r="E9" s="96"/>
      <c r="F9" s="115"/>
      <c r="G9" s="116"/>
      <c r="H9" s="349"/>
      <c r="I9" s="114"/>
      <c r="J9" s="96"/>
      <c r="K9" s="114"/>
      <c r="L9" s="74"/>
      <c r="M9" s="114"/>
      <c r="N9" s="74"/>
      <c r="O9" s="114"/>
      <c r="P9" s="98"/>
      <c r="Q9" s="705"/>
      <c r="R9" s="23"/>
      <c r="S9" s="119"/>
      <c r="T9" s="79"/>
      <c r="U9" s="80"/>
      <c r="V9" s="79"/>
      <c r="W9" s="80"/>
      <c r="X9" s="79"/>
      <c r="Y9" s="84"/>
      <c r="Z9" s="84"/>
      <c r="AA9" s="84"/>
      <c r="AB9" s="80"/>
      <c r="AC9" s="140"/>
      <c r="AD9" s="119"/>
      <c r="AE9" s="98"/>
      <c r="AF9" s="98"/>
      <c r="AR9" s="5"/>
      <c r="AS9" s="13"/>
      <c r="AT9" s="7"/>
      <c r="AU9" s="7"/>
      <c r="AV9" s="7"/>
      <c r="AW9" s="7"/>
      <c r="AX9" s="7"/>
      <c r="AY9" s="7"/>
      <c r="AZ9" s="7"/>
      <c r="BA9" s="7"/>
      <c r="BB9" s="11"/>
      <c r="BC9" s="11"/>
      <c r="BD9" s="10"/>
      <c r="BE9" s="11"/>
      <c r="BF9" s="11"/>
      <c r="BG9" s="11"/>
      <c r="BH9" s="11"/>
      <c r="BI9" s="11"/>
      <c r="BJ9" s="11"/>
      <c r="BK9" s="11"/>
      <c r="BL9" s="11"/>
      <c r="BM9" s="7"/>
      <c r="BN9" s="7"/>
      <c r="BO9" s="7"/>
      <c r="BP9" s="7"/>
      <c r="BQ9" s="7"/>
      <c r="BR9" s="7"/>
      <c r="BS9" s="12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 ht="12.75">
      <c r="A10" s="56">
        <v>1.23</v>
      </c>
      <c r="B10" s="114">
        <v>0</v>
      </c>
      <c r="C10" s="96">
        <v>10.8</v>
      </c>
      <c r="D10" s="114">
        <v>9.1</v>
      </c>
      <c r="E10" s="74">
        <v>0</v>
      </c>
      <c r="F10" s="115">
        <v>1.5</v>
      </c>
      <c r="G10" s="116">
        <v>0.3</v>
      </c>
      <c r="H10" s="349"/>
      <c r="I10" s="114">
        <v>2.5</v>
      </c>
      <c r="J10" s="74">
        <v>0</v>
      </c>
      <c r="K10" s="114">
        <v>2.5</v>
      </c>
      <c r="L10" s="74">
        <v>0</v>
      </c>
      <c r="M10" s="706">
        <v>0.8</v>
      </c>
      <c r="N10" s="74">
        <v>9</v>
      </c>
      <c r="O10" s="114">
        <v>0</v>
      </c>
      <c r="P10" s="98">
        <v>0</v>
      </c>
      <c r="Q10" s="705"/>
      <c r="R10" s="23"/>
      <c r="S10" s="119"/>
      <c r="T10" s="79"/>
      <c r="U10" s="80"/>
      <c r="V10" s="79"/>
      <c r="W10" s="80"/>
      <c r="X10" s="79"/>
      <c r="Y10" s="84"/>
      <c r="Z10" s="84"/>
      <c r="AA10" s="84"/>
      <c r="AB10" s="80"/>
      <c r="AC10" s="140"/>
      <c r="AD10" s="119"/>
      <c r="AE10" s="98"/>
      <c r="AF10" s="98"/>
      <c r="AR10" s="5"/>
      <c r="AS10" s="13"/>
      <c r="AT10" s="7"/>
      <c r="AU10" s="7"/>
      <c r="AV10" s="7"/>
      <c r="AW10" s="7"/>
      <c r="AX10" s="7"/>
      <c r="AY10" s="7"/>
      <c r="AZ10" s="7"/>
      <c r="BA10" s="7"/>
      <c r="BB10" s="11"/>
      <c r="BC10" s="11"/>
      <c r="BD10" s="10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7"/>
      <c r="BP10" s="7"/>
      <c r="BQ10" s="7"/>
      <c r="BR10" s="7"/>
      <c r="BS10" s="12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ht="12.75">
      <c r="A11" s="56"/>
      <c r="B11" s="114"/>
      <c r="C11" s="96"/>
      <c r="D11" s="114"/>
      <c r="E11" s="74"/>
      <c r="F11" s="115"/>
      <c r="G11" s="116"/>
      <c r="H11" s="349"/>
      <c r="I11" s="114"/>
      <c r="J11" s="74"/>
      <c r="K11" s="114"/>
      <c r="L11" s="74"/>
      <c r="M11" s="114"/>
      <c r="N11" s="74"/>
      <c r="O11" s="114"/>
      <c r="P11" s="98"/>
      <c r="Q11" s="88">
        <f>1000*(A12-A10)</f>
        <v>10.000000000000009</v>
      </c>
      <c r="R11" s="79">
        <f>0.5*Q11*(B10+B12)</f>
        <v>0</v>
      </c>
      <c r="S11" s="80">
        <f>0.5*Q11*(C10+C12)</f>
        <v>92.50000000000009</v>
      </c>
      <c r="T11" s="80">
        <f>0.5*Q11*(D10+D12)</f>
        <v>73.00000000000006</v>
      </c>
      <c r="U11" s="80">
        <f>0.5*Q11*(E10+E12)</f>
        <v>0</v>
      </c>
      <c r="V11" s="79">
        <f>0.5*Q11*(F10+F12)</f>
        <v>15.000000000000014</v>
      </c>
      <c r="W11" s="80">
        <f>0.5*Q11*(G10+G12)</f>
        <v>3.0000000000000027</v>
      </c>
      <c r="X11" s="79">
        <f>0.5*Q11*(H10+H12)</f>
        <v>0</v>
      </c>
      <c r="Y11" s="84">
        <f>0.5*Q11*(I10+I12)</f>
        <v>26.000000000000025</v>
      </c>
      <c r="Z11" s="80">
        <f>0.5*Q11*(J10+J12)</f>
        <v>0</v>
      </c>
      <c r="AA11" s="80">
        <f>0.5*Q11*(K10+K12)</f>
        <v>26.000000000000025</v>
      </c>
      <c r="AB11" s="80">
        <f>0.5*Q11*(L10+L12)</f>
        <v>0</v>
      </c>
      <c r="AC11" s="342">
        <f>0.5*Q11*(M10+M12)</f>
        <v>8.000000000000007</v>
      </c>
      <c r="AD11" s="80">
        <f>0.5*Q11*(N10+N12)</f>
        <v>80.00000000000007</v>
      </c>
      <c r="AE11" s="98">
        <f>0.5*Q11*(O10+O12)</f>
        <v>0</v>
      </c>
      <c r="AF11" s="98">
        <f>0.5*Q11*(P10+P12)</f>
        <v>0</v>
      </c>
      <c r="AR11" s="5"/>
      <c r="AS11" s="13"/>
      <c r="AT11" s="7"/>
      <c r="AU11" s="7"/>
      <c r="AV11" s="7"/>
      <c r="AW11" s="7"/>
      <c r="AX11" s="7"/>
      <c r="AY11" s="7"/>
      <c r="AZ11" s="7"/>
      <c r="BA11" s="7"/>
      <c r="BB11" s="11"/>
      <c r="BC11" s="11"/>
      <c r="BD11" s="10"/>
      <c r="BE11" s="11"/>
      <c r="BF11" s="11"/>
      <c r="BG11" s="11"/>
      <c r="BH11" s="11"/>
      <c r="BI11" s="11"/>
      <c r="BJ11" s="11"/>
      <c r="BK11" s="11"/>
      <c r="BL11" s="11"/>
      <c r="BM11" s="7"/>
      <c r="BN11" s="7"/>
      <c r="BO11" s="7"/>
      <c r="BP11" s="7"/>
      <c r="BQ11" s="7"/>
      <c r="BR11" s="7"/>
      <c r="BS11" s="12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00" ht="12.75">
      <c r="A12" s="56">
        <v>1.24</v>
      </c>
      <c r="B12" s="114">
        <v>0</v>
      </c>
      <c r="C12" s="96">
        <v>7.7</v>
      </c>
      <c r="D12" s="114">
        <v>5.5</v>
      </c>
      <c r="E12" s="74">
        <v>0</v>
      </c>
      <c r="F12" s="115">
        <v>1.5</v>
      </c>
      <c r="G12" s="116">
        <v>0.3</v>
      </c>
      <c r="H12" s="349"/>
      <c r="I12" s="114">
        <v>2.7</v>
      </c>
      <c r="J12" s="74">
        <v>0</v>
      </c>
      <c r="K12" s="114">
        <v>2.7</v>
      </c>
      <c r="L12" s="74">
        <v>0</v>
      </c>
      <c r="M12" s="706">
        <v>0.8</v>
      </c>
      <c r="N12" s="74">
        <v>7</v>
      </c>
      <c r="O12" s="114">
        <v>0</v>
      </c>
      <c r="P12" s="98">
        <v>0</v>
      </c>
      <c r="Q12" s="705"/>
      <c r="R12" s="23"/>
      <c r="S12" s="119"/>
      <c r="T12" s="79"/>
      <c r="U12" s="80"/>
      <c r="V12" s="79"/>
      <c r="W12" s="80"/>
      <c r="X12" s="79"/>
      <c r="Y12" s="84"/>
      <c r="Z12" s="84"/>
      <c r="AA12" s="84"/>
      <c r="AB12" s="80"/>
      <c r="AC12" s="342"/>
      <c r="AD12" s="119"/>
      <c r="AE12" s="98"/>
      <c r="AF12" s="98"/>
      <c r="AR12" s="5"/>
      <c r="AS12" s="13"/>
      <c r="AT12" s="7"/>
      <c r="AU12" s="7"/>
      <c r="AV12" s="7"/>
      <c r="AW12" s="7"/>
      <c r="AX12" s="7"/>
      <c r="AY12" s="7"/>
      <c r="AZ12" s="7"/>
      <c r="BA12" s="7"/>
      <c r="BB12" s="11"/>
      <c r="BC12" s="11"/>
      <c r="BD12" s="10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7"/>
      <c r="BP12" s="7"/>
      <c r="BQ12" s="7"/>
      <c r="BR12" s="7"/>
      <c r="BS12" s="12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ht="12.75">
      <c r="A13" s="56"/>
      <c r="B13" s="114"/>
      <c r="C13" s="96"/>
      <c r="D13" s="114"/>
      <c r="E13" s="74"/>
      <c r="F13" s="115"/>
      <c r="G13" s="116"/>
      <c r="H13" s="349"/>
      <c r="I13" s="114"/>
      <c r="J13" s="74"/>
      <c r="K13" s="114"/>
      <c r="L13" s="74"/>
      <c r="M13" s="114"/>
      <c r="N13" s="74"/>
      <c r="O13" s="114"/>
      <c r="P13" s="98"/>
      <c r="Q13" s="88">
        <f>1000*(A14-A12)</f>
        <v>20.000000000000018</v>
      </c>
      <c r="R13" s="79">
        <f>0.5*Q13*(B12+B14)</f>
        <v>0</v>
      </c>
      <c r="S13" s="80">
        <f>0.5*Q13*(C12+C14)</f>
        <v>153.00000000000014</v>
      </c>
      <c r="T13" s="80">
        <f>0.5*Q13*(D12+D14)</f>
        <v>109.0000000000001</v>
      </c>
      <c r="U13" s="80">
        <f>0.5*Q13*(E12+E14)</f>
        <v>0</v>
      </c>
      <c r="V13" s="79">
        <f>0.5*Q13*(F12+F14)</f>
        <v>30.00000000000003</v>
      </c>
      <c r="W13" s="80">
        <f>0.5*Q13*(G12+G14)</f>
        <v>6.000000000000005</v>
      </c>
      <c r="X13" s="79">
        <f>0.5*Q13*(H12+H14)</f>
        <v>0</v>
      </c>
      <c r="Y13" s="84">
        <f>0.5*Q13*(I12+I14)</f>
        <v>54.00000000000005</v>
      </c>
      <c r="Z13" s="80">
        <f>0.5*Q13*(J12+J14)</f>
        <v>0</v>
      </c>
      <c r="AA13" s="80">
        <f>0.5*Q13*(K12+K14)</f>
        <v>54.00000000000005</v>
      </c>
      <c r="AB13" s="80">
        <f>0.5*Q13*(L12+L14)</f>
        <v>0</v>
      </c>
      <c r="AC13" s="342">
        <f>0.5*Q13*(M12+M14)</f>
        <v>16.000000000000014</v>
      </c>
      <c r="AD13" s="80">
        <f>0.5*Q13*(N12+N14)</f>
        <v>142.0000000000001</v>
      </c>
      <c r="AE13" s="98">
        <f>0.5*Q13*(O12+O14)</f>
        <v>0</v>
      </c>
      <c r="AF13" s="98">
        <f>0.5*Q13*(P12+P14)</f>
        <v>0</v>
      </c>
      <c r="AR13" s="5"/>
      <c r="AS13" s="13"/>
      <c r="AT13" s="7"/>
      <c r="AU13" s="7"/>
      <c r="AV13" s="7"/>
      <c r="AW13" s="7"/>
      <c r="AX13" s="7"/>
      <c r="AY13" s="7"/>
      <c r="AZ13" s="7"/>
      <c r="BA13" s="7"/>
      <c r="BB13" s="11"/>
      <c r="BC13" s="11"/>
      <c r="BD13" s="10"/>
      <c r="BE13" s="11"/>
      <c r="BF13" s="11"/>
      <c r="BG13" s="11"/>
      <c r="BH13" s="11"/>
      <c r="BI13" s="11"/>
      <c r="BJ13" s="11"/>
      <c r="BK13" s="11"/>
      <c r="BL13" s="11"/>
      <c r="BM13" s="7"/>
      <c r="BN13" s="7"/>
      <c r="BO13" s="7"/>
      <c r="BP13" s="7"/>
      <c r="BQ13" s="7"/>
      <c r="BR13" s="7"/>
      <c r="BS13" s="12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ht="12.75">
      <c r="A14" s="56">
        <v>1.26</v>
      </c>
      <c r="B14" s="114">
        <v>0</v>
      </c>
      <c r="C14" s="96">
        <v>7.6</v>
      </c>
      <c r="D14" s="114">
        <v>5.4</v>
      </c>
      <c r="E14" s="74">
        <v>0</v>
      </c>
      <c r="F14" s="115">
        <v>1.5</v>
      </c>
      <c r="G14" s="116">
        <v>0.3</v>
      </c>
      <c r="H14" s="349"/>
      <c r="I14" s="114">
        <v>2.7</v>
      </c>
      <c r="J14" s="74">
        <v>0</v>
      </c>
      <c r="K14" s="114">
        <v>2.7</v>
      </c>
      <c r="L14" s="74">
        <v>0</v>
      </c>
      <c r="M14" s="706">
        <v>0.8</v>
      </c>
      <c r="N14" s="74">
        <v>7.2</v>
      </c>
      <c r="O14" s="114">
        <v>0</v>
      </c>
      <c r="P14" s="98">
        <v>0</v>
      </c>
      <c r="Q14" s="705"/>
      <c r="R14" s="23"/>
      <c r="S14" s="119"/>
      <c r="T14" s="79"/>
      <c r="U14" s="80"/>
      <c r="V14" s="79"/>
      <c r="W14" s="80"/>
      <c r="X14" s="79"/>
      <c r="Y14" s="84"/>
      <c r="Z14" s="84"/>
      <c r="AA14" s="84"/>
      <c r="AB14" s="80"/>
      <c r="AC14" s="342"/>
      <c r="AD14" s="119"/>
      <c r="AE14" s="98"/>
      <c r="AF14" s="98"/>
      <c r="AR14" s="5"/>
      <c r="AS14" s="13"/>
      <c r="AT14" s="7"/>
      <c r="AU14" s="7"/>
      <c r="AV14" s="7"/>
      <c r="AW14" s="7"/>
      <c r="AX14" s="7"/>
      <c r="AY14" s="7"/>
      <c r="AZ14" s="7"/>
      <c r="BA14" s="7"/>
      <c r="BB14" s="11"/>
      <c r="BC14" s="11"/>
      <c r="BD14" s="10"/>
      <c r="BE14" s="11"/>
      <c r="BF14" s="11"/>
      <c r="BG14" s="11"/>
      <c r="BH14" s="11"/>
      <c r="BI14" s="11"/>
      <c r="BJ14" s="11"/>
      <c r="BK14" s="11"/>
      <c r="BL14" s="11"/>
      <c r="BM14" s="7"/>
      <c r="BN14" s="7"/>
      <c r="BO14" s="7"/>
      <c r="BP14" s="7"/>
      <c r="BQ14" s="7"/>
      <c r="BR14" s="7"/>
      <c r="BS14" s="12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ht="12.75">
      <c r="A15" s="56"/>
      <c r="B15" s="114"/>
      <c r="C15" s="96"/>
      <c r="D15" s="114"/>
      <c r="E15" s="74"/>
      <c r="F15" s="115"/>
      <c r="G15" s="116"/>
      <c r="H15" s="349"/>
      <c r="I15" s="114"/>
      <c r="J15" s="74"/>
      <c r="K15" s="114"/>
      <c r="L15" s="74"/>
      <c r="M15" s="114"/>
      <c r="N15" s="74"/>
      <c r="O15" s="114"/>
      <c r="P15" s="98"/>
      <c r="Q15" s="88">
        <f>1000*(A16-A14)</f>
        <v>20.000000000000018</v>
      </c>
      <c r="R15" s="79">
        <f>0.5*Q15*(B14+B16)</f>
        <v>0</v>
      </c>
      <c r="S15" s="80">
        <f>0.5*Q15*(C14+C16)</f>
        <v>122.0000000000001</v>
      </c>
      <c r="T15" s="80">
        <f>0.5*Q15*(D14+D16)</f>
        <v>90.00000000000009</v>
      </c>
      <c r="U15" s="80">
        <f>0.5*Q15*(E14+E16)</f>
        <v>0</v>
      </c>
      <c r="V15" s="79">
        <f>0.5*Q15*(F14+F16)</f>
        <v>30.00000000000003</v>
      </c>
      <c r="W15" s="80">
        <f>0.5*Q15*(G14+G16)</f>
        <v>6.000000000000005</v>
      </c>
      <c r="X15" s="79">
        <f>0.5*Q15*(H14+H16)</f>
        <v>0</v>
      </c>
      <c r="Y15" s="84">
        <f>0.5*Q15*(I14+I16)</f>
        <v>54.00000000000005</v>
      </c>
      <c r="Z15" s="80">
        <f>0.5*Q15*(J14+J16)</f>
        <v>0</v>
      </c>
      <c r="AA15" s="80">
        <f>0.5*Q15*(K14+K16)</f>
        <v>54.00000000000005</v>
      </c>
      <c r="AB15" s="80">
        <f>0.5*Q15*(L14+L16)</f>
        <v>0</v>
      </c>
      <c r="AC15" s="342">
        <f>0.5*Q15*(M14+M16)</f>
        <v>16.000000000000014</v>
      </c>
      <c r="AD15" s="80">
        <f>0.5*Q15*(N14+N16)</f>
        <v>72.00000000000007</v>
      </c>
      <c r="AE15" s="98">
        <f>0.5*Q15*(O14+O16)</f>
        <v>0</v>
      </c>
      <c r="AF15" s="98">
        <f>0.5*Q15*(P14+P16)</f>
        <v>0</v>
      </c>
      <c r="AR15" s="5"/>
      <c r="AS15" s="13"/>
      <c r="AT15" s="7"/>
      <c r="AU15" s="7"/>
      <c r="AV15" s="7"/>
      <c r="AW15" s="7"/>
      <c r="AX15" s="7"/>
      <c r="AY15" s="7"/>
      <c r="AZ15" s="7"/>
      <c r="BA15" s="7"/>
      <c r="BB15" s="11"/>
      <c r="BC15" s="11"/>
      <c r="BD15" s="10"/>
      <c r="BE15" s="11"/>
      <c r="BF15" s="11"/>
      <c r="BG15" s="11"/>
      <c r="BH15" s="11"/>
      <c r="BI15" s="11"/>
      <c r="BJ15" s="11"/>
      <c r="BK15" s="11"/>
      <c r="BL15" s="11"/>
      <c r="BM15" s="7"/>
      <c r="BN15" s="7"/>
      <c r="BO15" s="7"/>
      <c r="BP15" s="7"/>
      <c r="BQ15" s="7"/>
      <c r="BR15" s="7"/>
      <c r="BS15" s="12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ht="12.75">
      <c r="A16" s="56">
        <v>1.28</v>
      </c>
      <c r="B16" s="114">
        <v>0</v>
      </c>
      <c r="C16" s="96">
        <v>4.6</v>
      </c>
      <c r="D16" s="114">
        <v>3.6</v>
      </c>
      <c r="E16" s="74">
        <v>0</v>
      </c>
      <c r="F16" s="115">
        <v>1.5</v>
      </c>
      <c r="G16" s="116">
        <v>0.3</v>
      </c>
      <c r="H16" s="349"/>
      <c r="I16" s="114">
        <v>2.7</v>
      </c>
      <c r="J16" s="74">
        <v>0</v>
      </c>
      <c r="K16" s="114">
        <v>2.7</v>
      </c>
      <c r="L16" s="74">
        <v>0</v>
      </c>
      <c r="M16" s="706">
        <v>0.8</v>
      </c>
      <c r="N16" s="74"/>
      <c r="O16" s="114">
        <v>0</v>
      </c>
      <c r="P16" s="98">
        <v>0</v>
      </c>
      <c r="Q16" s="705"/>
      <c r="R16" s="23"/>
      <c r="S16" s="119"/>
      <c r="T16" s="79"/>
      <c r="U16" s="80"/>
      <c r="V16" s="79"/>
      <c r="W16" s="80"/>
      <c r="X16" s="79"/>
      <c r="Y16" s="84"/>
      <c r="Z16" s="84"/>
      <c r="AA16" s="84"/>
      <c r="AB16" s="80"/>
      <c r="AC16" s="342"/>
      <c r="AD16" s="119"/>
      <c r="AE16" s="98"/>
      <c r="AF16" s="98"/>
      <c r="AR16" s="5"/>
      <c r="AS16" s="13"/>
      <c r="AT16" s="7"/>
      <c r="AU16" s="7"/>
      <c r="AV16" s="7"/>
      <c r="AW16" s="7"/>
      <c r="AX16" s="7"/>
      <c r="AY16" s="7"/>
      <c r="AZ16" s="7"/>
      <c r="BA16" s="7"/>
      <c r="BB16" s="11"/>
      <c r="BC16" s="11"/>
      <c r="BD16" s="10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7"/>
      <c r="BP16" s="7"/>
      <c r="BQ16" s="7"/>
      <c r="BR16" s="7"/>
      <c r="BS16" s="12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ht="12.75">
      <c r="A17" s="56"/>
      <c r="B17" s="114"/>
      <c r="C17" s="96"/>
      <c r="D17" s="114"/>
      <c r="E17" s="74"/>
      <c r="F17" s="115"/>
      <c r="G17" s="116"/>
      <c r="H17" s="349"/>
      <c r="I17" s="114"/>
      <c r="J17" s="74"/>
      <c r="K17" s="114"/>
      <c r="L17" s="74"/>
      <c r="M17" s="114"/>
      <c r="N17" s="74"/>
      <c r="O17" s="114"/>
      <c r="P17" s="98"/>
      <c r="Q17" s="88">
        <v>20</v>
      </c>
      <c r="R17" s="79">
        <f>0.5*Q17*(B16+B18)</f>
        <v>0</v>
      </c>
      <c r="S17" s="80">
        <f>0.5*Q17*(C16+C18)</f>
        <v>46</v>
      </c>
      <c r="T17" s="80">
        <f>0.5*Q17*(D16+D18)</f>
        <v>36</v>
      </c>
      <c r="U17" s="80">
        <f>0.5*Q17*(E16+E18)</f>
        <v>0</v>
      </c>
      <c r="V17" s="79">
        <f>0.5*Q17*(F16+F18)</f>
        <v>30</v>
      </c>
      <c r="W17" s="80">
        <f>0.5*Q17*(G16+G18)</f>
        <v>3</v>
      </c>
      <c r="X17" s="79">
        <f>0.5*Q17*(H16+H18)</f>
        <v>0</v>
      </c>
      <c r="Y17" s="84">
        <f>0.5*Q17*(I16+I18)</f>
        <v>27</v>
      </c>
      <c r="Z17" s="80">
        <f>0.5*Q17*(J16+J18)</f>
        <v>0</v>
      </c>
      <c r="AA17" s="80">
        <f>0.5*Q17*(K16+K18)</f>
        <v>27</v>
      </c>
      <c r="AB17" s="80">
        <f>0.5*Q17*(L16+L18)</f>
        <v>0</v>
      </c>
      <c r="AC17" s="342">
        <f>0.5*Q17*(M16+M18)</f>
        <v>8</v>
      </c>
      <c r="AD17" s="80">
        <f>0.5*Q17*(N16+N18)</f>
        <v>0</v>
      </c>
      <c r="AE17" s="98">
        <f>0.5*Q17*(O16+O18)</f>
        <v>0</v>
      </c>
      <c r="AF17" s="98">
        <f>0.5*Q17*(P16+P18)</f>
        <v>0</v>
      </c>
      <c r="AR17" s="5"/>
      <c r="AS17" s="13"/>
      <c r="AT17" s="7"/>
      <c r="AU17" s="7"/>
      <c r="AV17" s="7"/>
      <c r="AW17" s="7"/>
      <c r="AX17" s="7"/>
      <c r="AY17" s="7"/>
      <c r="AZ17" s="7"/>
      <c r="BA17" s="7"/>
      <c r="BB17" s="11"/>
      <c r="BC17" s="11"/>
      <c r="BD17" s="10"/>
      <c r="BE17" s="11"/>
      <c r="BF17" s="11"/>
      <c r="BG17" s="11"/>
      <c r="BH17" s="11"/>
      <c r="BI17" s="11"/>
      <c r="BJ17" s="11"/>
      <c r="BK17" s="11"/>
      <c r="BL17" s="11"/>
      <c r="BM17" s="7"/>
      <c r="BN17" s="7"/>
      <c r="BO17" s="7"/>
      <c r="BP17" s="7"/>
      <c r="BQ17" s="7"/>
      <c r="BR17" s="7"/>
      <c r="BS17" s="12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ht="12.75">
      <c r="A18" s="56">
        <v>1.3</v>
      </c>
      <c r="B18" s="114">
        <v>0</v>
      </c>
      <c r="C18" s="96">
        <v>0</v>
      </c>
      <c r="D18" s="114">
        <v>0</v>
      </c>
      <c r="E18" s="74">
        <v>0</v>
      </c>
      <c r="F18" s="115">
        <v>1.5</v>
      </c>
      <c r="G18" s="116">
        <v>0</v>
      </c>
      <c r="H18" s="349"/>
      <c r="I18" s="114">
        <v>0</v>
      </c>
      <c r="J18" s="74">
        <v>0</v>
      </c>
      <c r="K18" s="114">
        <v>0</v>
      </c>
      <c r="L18" s="74">
        <v>0</v>
      </c>
      <c r="M18" s="114">
        <v>0</v>
      </c>
      <c r="N18" s="74">
        <v>0</v>
      </c>
      <c r="O18" s="114">
        <v>0</v>
      </c>
      <c r="P18" s="98">
        <v>0</v>
      </c>
      <c r="Q18" s="705"/>
      <c r="R18" s="23"/>
      <c r="S18" s="119"/>
      <c r="T18" s="79"/>
      <c r="U18" s="80"/>
      <c r="V18" s="79"/>
      <c r="W18" s="80"/>
      <c r="X18" s="79"/>
      <c r="Y18" s="84"/>
      <c r="Z18" s="84"/>
      <c r="AA18" s="84"/>
      <c r="AB18" s="80"/>
      <c r="AC18" s="140"/>
      <c r="AD18" s="119"/>
      <c r="AE18" s="98"/>
      <c r="AF18" s="98"/>
      <c r="AR18" s="5"/>
      <c r="AS18" s="13"/>
      <c r="AT18" s="7"/>
      <c r="AU18" s="7"/>
      <c r="AV18" s="7"/>
      <c r="AW18" s="7"/>
      <c r="AX18" s="7"/>
      <c r="AY18" s="7"/>
      <c r="AZ18" s="7"/>
      <c r="BA18" s="7"/>
      <c r="BB18" s="11"/>
      <c r="BC18" s="11"/>
      <c r="BD18" s="10"/>
      <c r="BE18" s="11"/>
      <c r="BF18" s="11"/>
      <c r="BG18" s="11"/>
      <c r="BH18" s="11"/>
      <c r="BI18" s="11"/>
      <c r="BJ18" s="11"/>
      <c r="BK18" s="11"/>
      <c r="BL18" s="11"/>
      <c r="BM18" s="7"/>
      <c r="BN18" s="7"/>
      <c r="BO18" s="7"/>
      <c r="BP18" s="7"/>
      <c r="BQ18" s="7"/>
      <c r="BR18" s="7"/>
      <c r="BS18" s="12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t="12.75">
      <c r="A19" s="56"/>
      <c r="B19" s="114"/>
      <c r="C19" s="96"/>
      <c r="D19" s="114"/>
      <c r="E19" s="96"/>
      <c r="F19" s="115"/>
      <c r="G19" s="116"/>
      <c r="H19" s="349"/>
      <c r="I19" s="114"/>
      <c r="J19" s="96"/>
      <c r="K19" s="114"/>
      <c r="L19" s="74"/>
      <c r="M19" s="114"/>
      <c r="N19" s="74"/>
      <c r="O19" s="114"/>
      <c r="P19" s="98"/>
      <c r="Q19" s="88">
        <f>1000*(A20-A18)</f>
        <v>20.000000000000018</v>
      </c>
      <c r="R19" s="79">
        <f>0.5*Q19*(B18+B20)</f>
        <v>0</v>
      </c>
      <c r="S19" s="80">
        <f>0.5*Q19*(C18+C20)</f>
        <v>0</v>
      </c>
      <c r="T19" s="80">
        <f>0.5*Q19*(D18+D20)</f>
        <v>0</v>
      </c>
      <c r="U19" s="80">
        <f>0.5*Q19*(E18+E20)</f>
        <v>0</v>
      </c>
      <c r="V19" s="79">
        <f>0.5*Q19*(F18+F20)</f>
        <v>15.000000000000014</v>
      </c>
      <c r="W19" s="80">
        <f>0.5*Q19*(G18+G20)</f>
        <v>0</v>
      </c>
      <c r="X19" s="79">
        <f>0.5*Q19*(H18+H20)</f>
        <v>0</v>
      </c>
      <c r="Y19" s="84">
        <f>0.5*Q19*(I18+I20)</f>
        <v>0</v>
      </c>
      <c r="Z19" s="80">
        <f>0.5*Q19*(J18+J20)</f>
        <v>0</v>
      </c>
      <c r="AA19" s="80">
        <f>0.5*Q19*(K18+K20)</f>
        <v>0</v>
      </c>
      <c r="AB19" s="80">
        <f>0.5*Q19*(L18+L20)</f>
        <v>0</v>
      </c>
      <c r="AC19" s="140">
        <f>0.5*Q19*(M18+M20)</f>
        <v>0</v>
      </c>
      <c r="AD19" s="80">
        <f>0.5*Q19*(N18+N20)</f>
        <v>0</v>
      </c>
      <c r="AE19" s="98">
        <f>0.5*Q19*(O18+O20)</f>
        <v>0</v>
      </c>
      <c r="AF19" s="98">
        <f>0.5*Q19*(P18+P20)</f>
        <v>0</v>
      </c>
      <c r="AR19" s="5"/>
      <c r="AS19" s="13"/>
      <c r="AT19" s="7"/>
      <c r="AU19" s="7"/>
      <c r="AV19" s="7"/>
      <c r="AW19" s="7"/>
      <c r="AX19" s="7"/>
      <c r="AY19" s="7"/>
      <c r="AZ19" s="7"/>
      <c r="BA19" s="7"/>
      <c r="BB19" s="11"/>
      <c r="BC19" s="11"/>
      <c r="BD19" s="10"/>
      <c r="BE19" s="11"/>
      <c r="BF19" s="11"/>
      <c r="BG19" s="11"/>
      <c r="BH19" s="11"/>
      <c r="BI19" s="11"/>
      <c r="BJ19" s="11"/>
      <c r="BK19" s="11"/>
      <c r="BL19" s="11"/>
      <c r="BM19" s="7"/>
      <c r="BN19" s="7"/>
      <c r="BO19" s="7"/>
      <c r="BP19" s="7"/>
      <c r="BQ19" s="7"/>
      <c r="BR19" s="7"/>
      <c r="BS19" s="12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3.5" customHeight="1">
      <c r="A20" s="110">
        <v>1.32</v>
      </c>
      <c r="B20" s="114">
        <v>0</v>
      </c>
      <c r="C20" s="96">
        <v>0</v>
      </c>
      <c r="D20" s="114">
        <v>0</v>
      </c>
      <c r="E20" s="96">
        <v>0</v>
      </c>
      <c r="F20" s="115">
        <v>0</v>
      </c>
      <c r="G20" s="116">
        <v>0</v>
      </c>
      <c r="H20" s="349"/>
      <c r="I20" s="114">
        <v>0</v>
      </c>
      <c r="J20" s="96">
        <v>0</v>
      </c>
      <c r="K20" s="114">
        <v>0</v>
      </c>
      <c r="L20" s="74">
        <v>0</v>
      </c>
      <c r="M20" s="114">
        <v>0</v>
      </c>
      <c r="N20" s="74">
        <v>0</v>
      </c>
      <c r="O20" s="114">
        <v>0</v>
      </c>
      <c r="P20" s="98">
        <v>0</v>
      </c>
      <c r="Q20" s="111"/>
      <c r="R20" s="30"/>
      <c r="S20" s="80"/>
      <c r="T20" s="79"/>
      <c r="U20" s="80"/>
      <c r="V20" s="79"/>
      <c r="W20" s="80"/>
      <c r="X20" s="79"/>
      <c r="Y20" s="84"/>
      <c r="Z20" s="84"/>
      <c r="AA20" s="84"/>
      <c r="AB20" s="80"/>
      <c r="AC20" s="140"/>
      <c r="AD20" s="80"/>
      <c r="AE20" s="98"/>
      <c r="AF20" s="98"/>
      <c r="AR20" s="5"/>
      <c r="AS20" s="13"/>
      <c r="AT20" s="7"/>
      <c r="AU20" s="7"/>
      <c r="AV20" s="7"/>
      <c r="AW20" s="7"/>
      <c r="AX20" s="7"/>
      <c r="AY20" s="7"/>
      <c r="AZ20" s="7"/>
      <c r="BA20" s="7"/>
      <c r="BB20" s="11"/>
      <c r="BC20" s="11"/>
      <c r="BD20" s="10"/>
      <c r="BE20" s="11"/>
      <c r="BF20" s="11"/>
      <c r="BG20" s="11"/>
      <c r="BH20" s="11"/>
      <c r="BI20" s="11"/>
      <c r="BJ20" s="11"/>
      <c r="BK20" s="11"/>
      <c r="BL20" s="11"/>
      <c r="BM20" s="7"/>
      <c r="BN20" s="7"/>
      <c r="BO20" s="7"/>
      <c r="BP20" s="7"/>
      <c r="BQ20" s="7"/>
      <c r="BR20" s="7"/>
      <c r="BS20" s="12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t="12.75">
      <c r="A21" s="71"/>
      <c r="B21" s="76"/>
      <c r="C21" s="80"/>
      <c r="D21" s="79"/>
      <c r="E21" s="80"/>
      <c r="F21" s="75"/>
      <c r="G21" s="73"/>
      <c r="H21" s="350"/>
      <c r="I21" s="114"/>
      <c r="J21" s="96"/>
      <c r="K21" s="114"/>
      <c r="L21" s="96"/>
      <c r="M21" s="114"/>
      <c r="N21" s="96"/>
      <c r="O21" s="114"/>
      <c r="P21" s="123"/>
      <c r="Q21" s="88">
        <f>1000*(A22-A20)</f>
        <v>79.99999999999984</v>
      </c>
      <c r="R21" s="79">
        <f>0.5*Q21*(B20+B22)</f>
        <v>0</v>
      </c>
      <c r="S21" s="80">
        <f>0.5*Q21*(C20+C22)</f>
        <v>0</v>
      </c>
      <c r="T21" s="80">
        <f>0.5*Q21*(D20+D22)</f>
        <v>0</v>
      </c>
      <c r="U21" s="80">
        <f>0.5*Q21*(E20+E22)</f>
        <v>0</v>
      </c>
      <c r="V21" s="79">
        <f>0.5*Q21*(F20+F22)</f>
        <v>89.99999999999983</v>
      </c>
      <c r="W21" s="80">
        <f>0.5*Q21*(G20+G22)</f>
        <v>0</v>
      </c>
      <c r="X21" s="79">
        <f>0.5*Q21*(H20+H22)</f>
        <v>0</v>
      </c>
      <c r="Y21" s="84">
        <f>0.5*Q21*(I20+I22)</f>
        <v>0</v>
      </c>
      <c r="Z21" s="80">
        <f>0.5*Q21*(J20+J22)</f>
        <v>0</v>
      </c>
      <c r="AA21" s="80">
        <f>0.5*Q21*(K20+K22)</f>
        <v>0</v>
      </c>
      <c r="AB21" s="80">
        <f>0.5*Q21*(L20+L22)</f>
        <v>0</v>
      </c>
      <c r="AC21" s="140">
        <f>0.5*Q21*(M20+M22)</f>
        <v>0</v>
      </c>
      <c r="AD21" s="80">
        <f>0.5*Q21*(N20+N22)</f>
        <v>0</v>
      </c>
      <c r="AE21" s="98">
        <f>0.5*Q21*(O20+O22)</f>
        <v>0</v>
      </c>
      <c r="AF21" s="98">
        <f>0.5*Q21*(P20+P22)</f>
        <v>0</v>
      </c>
      <c r="AR21" s="5"/>
      <c r="AS21" s="13"/>
      <c r="AT21" s="7"/>
      <c r="AU21" s="7"/>
      <c r="AV21" s="7"/>
      <c r="AW21" s="7"/>
      <c r="AX21" s="7"/>
      <c r="AY21" s="7"/>
      <c r="AZ21" s="7"/>
      <c r="BA21" s="7"/>
      <c r="BB21" s="11"/>
      <c r="BC21" s="11"/>
      <c r="BD21" s="10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  <c r="BP21" s="7"/>
      <c r="BQ21" s="7"/>
      <c r="BR21" s="7"/>
      <c r="BS21" s="12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t="13.5" customHeight="1">
      <c r="A22" s="110">
        <v>1.4</v>
      </c>
      <c r="B22" s="114">
        <v>0</v>
      </c>
      <c r="C22" s="96">
        <v>0</v>
      </c>
      <c r="D22" s="114">
        <v>0</v>
      </c>
      <c r="E22" s="96">
        <v>0</v>
      </c>
      <c r="F22" s="115">
        <v>2.25</v>
      </c>
      <c r="G22" s="116">
        <v>0</v>
      </c>
      <c r="H22" s="349"/>
      <c r="I22" s="114">
        <v>0</v>
      </c>
      <c r="J22" s="96">
        <v>0</v>
      </c>
      <c r="K22" s="114">
        <v>0</v>
      </c>
      <c r="L22" s="96">
        <v>0</v>
      </c>
      <c r="M22" s="114">
        <v>0</v>
      </c>
      <c r="N22" s="96">
        <v>0</v>
      </c>
      <c r="O22" s="114">
        <v>0</v>
      </c>
      <c r="P22" s="123">
        <v>0</v>
      </c>
      <c r="Q22" s="111"/>
      <c r="R22" s="30"/>
      <c r="S22" s="80"/>
      <c r="T22" s="79"/>
      <c r="U22" s="80"/>
      <c r="V22" s="79"/>
      <c r="W22" s="80"/>
      <c r="X22" s="79"/>
      <c r="Y22" s="84"/>
      <c r="Z22" s="84"/>
      <c r="AA22" s="84"/>
      <c r="AB22" s="80"/>
      <c r="AC22" s="140"/>
      <c r="AD22" s="80"/>
      <c r="AE22" s="98"/>
      <c r="AF22" s="98"/>
      <c r="AR22" s="5"/>
      <c r="AS22" s="13"/>
      <c r="AT22" s="7"/>
      <c r="AU22" s="7"/>
      <c r="AV22" s="7"/>
      <c r="AW22" s="7"/>
      <c r="AX22" s="7"/>
      <c r="AY22" s="7"/>
      <c r="AZ22" s="7"/>
      <c r="BA22" s="7"/>
      <c r="BB22" s="11"/>
      <c r="BC22" s="11"/>
      <c r="BD22" s="10"/>
      <c r="BE22" s="11"/>
      <c r="BF22" s="11"/>
      <c r="BG22" s="11"/>
      <c r="BH22" s="11"/>
      <c r="BI22" s="11"/>
      <c r="BJ22" s="11"/>
      <c r="BK22" s="11"/>
      <c r="BL22" s="11"/>
      <c r="BM22" s="7"/>
      <c r="BN22" s="7"/>
      <c r="BO22" s="7"/>
      <c r="BP22" s="7"/>
      <c r="BQ22" s="7"/>
      <c r="BR22" s="7"/>
      <c r="BS22" s="12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t="12.75">
      <c r="A23" s="71"/>
      <c r="B23" s="76"/>
      <c r="C23" s="80"/>
      <c r="D23" s="79"/>
      <c r="E23" s="80"/>
      <c r="F23" s="75"/>
      <c r="G23" s="73"/>
      <c r="H23" s="350"/>
      <c r="I23" s="114"/>
      <c r="J23" s="96"/>
      <c r="K23" s="114"/>
      <c r="L23" s="96"/>
      <c r="M23" s="114"/>
      <c r="N23" s="96"/>
      <c r="O23" s="114"/>
      <c r="P23" s="123"/>
      <c r="Q23" s="88">
        <f>1000*(A24-A22)</f>
        <v>40.000000000000036</v>
      </c>
      <c r="R23" s="79">
        <f>0.5*Q23*(B22+B24)</f>
        <v>0</v>
      </c>
      <c r="S23" s="80">
        <f>0.5*Q23*(C22+C24)</f>
        <v>0</v>
      </c>
      <c r="T23" s="80">
        <f>0.5*Q23*(D22+D24)</f>
        <v>0</v>
      </c>
      <c r="U23" s="80">
        <f>0.5*Q23*(E22+E24)</f>
        <v>0</v>
      </c>
      <c r="V23" s="79">
        <f>0.5*Q23*(F22+F24)</f>
        <v>90.00000000000009</v>
      </c>
      <c r="W23" s="80">
        <f>0.5*Q23*(G22+G24)</f>
        <v>0</v>
      </c>
      <c r="X23" s="79">
        <f>0.5*Q23*(H22+H24)</f>
        <v>0</v>
      </c>
      <c r="Y23" s="84">
        <f>0.5*Q23*(I22+I24)</f>
        <v>0</v>
      </c>
      <c r="Z23" s="80">
        <f>0.5*Q23*(J22+J24)</f>
        <v>0</v>
      </c>
      <c r="AA23" s="80">
        <f>0.5*Q23*(K22+K24)</f>
        <v>0</v>
      </c>
      <c r="AB23" s="80">
        <f>0.5*Q23*(L22+L24)</f>
        <v>0</v>
      </c>
      <c r="AC23" s="140">
        <f>0.5*Q23*(M22+M24)</f>
        <v>0</v>
      </c>
      <c r="AD23" s="80">
        <f>0.5*Q23*(N22+N24)</f>
        <v>0</v>
      </c>
      <c r="AE23" s="98">
        <f>0.5*Q23*(O22+O24)</f>
        <v>0</v>
      </c>
      <c r="AF23" s="98">
        <f aca="true" t="shared" si="0" ref="AF23:AF85">0.5*Q23*(P22+P24)</f>
        <v>0</v>
      </c>
      <c r="AR23" s="5"/>
      <c r="AS23" s="13"/>
      <c r="AT23" s="7"/>
      <c r="AU23" s="7"/>
      <c r="AV23" s="7"/>
      <c r="AW23" s="7"/>
      <c r="AX23" s="7"/>
      <c r="AY23" s="7"/>
      <c r="AZ23" s="7"/>
      <c r="BA23" s="7"/>
      <c r="BB23" s="11"/>
      <c r="BC23" s="11"/>
      <c r="BD23" s="10"/>
      <c r="BE23" s="11"/>
      <c r="BF23" s="11"/>
      <c r="BG23" s="11"/>
      <c r="BH23" s="11"/>
      <c r="BI23" s="11"/>
      <c r="BJ23" s="11"/>
      <c r="BK23" s="11"/>
      <c r="BL23" s="11"/>
      <c r="BM23" s="7"/>
      <c r="BN23" s="7"/>
      <c r="BO23" s="7"/>
      <c r="BP23" s="7"/>
      <c r="BQ23" s="7"/>
      <c r="BR23" s="7"/>
      <c r="BS23" s="12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3.5" customHeight="1">
      <c r="A24" s="110">
        <v>1.44</v>
      </c>
      <c r="B24" s="114">
        <v>0</v>
      </c>
      <c r="C24" s="96">
        <v>0</v>
      </c>
      <c r="D24" s="114">
        <v>0</v>
      </c>
      <c r="E24" s="96">
        <v>0</v>
      </c>
      <c r="F24" s="115">
        <v>2.25</v>
      </c>
      <c r="G24" s="116">
        <v>0</v>
      </c>
      <c r="H24" s="349"/>
      <c r="I24" s="114">
        <v>0</v>
      </c>
      <c r="J24" s="96">
        <v>0</v>
      </c>
      <c r="K24" s="114">
        <v>0</v>
      </c>
      <c r="L24" s="96">
        <v>0</v>
      </c>
      <c r="M24" s="114">
        <v>0</v>
      </c>
      <c r="N24" s="96">
        <v>0</v>
      </c>
      <c r="O24" s="114">
        <v>0</v>
      </c>
      <c r="P24" s="123">
        <v>0</v>
      </c>
      <c r="Q24" s="111"/>
      <c r="R24" s="30"/>
      <c r="S24" s="80"/>
      <c r="T24" s="79"/>
      <c r="U24" s="80"/>
      <c r="V24" s="79"/>
      <c r="W24" s="80"/>
      <c r="X24" s="79"/>
      <c r="Y24" s="84"/>
      <c r="Z24" s="84"/>
      <c r="AA24" s="84"/>
      <c r="AB24" s="80"/>
      <c r="AC24" s="140"/>
      <c r="AD24" s="80"/>
      <c r="AE24" s="98"/>
      <c r="AF24" s="98"/>
      <c r="AR24" s="5"/>
      <c r="AS24" s="13"/>
      <c r="AT24" s="7"/>
      <c r="AU24" s="7"/>
      <c r="AV24" s="7"/>
      <c r="AW24" s="7"/>
      <c r="AX24" s="7"/>
      <c r="AY24" s="7"/>
      <c r="AZ24" s="7"/>
      <c r="BA24" s="7"/>
      <c r="BB24" s="11"/>
      <c r="BC24" s="11"/>
      <c r="BD24" s="10"/>
      <c r="BE24" s="11"/>
      <c r="BF24" s="11"/>
      <c r="BG24" s="11"/>
      <c r="BH24" s="11"/>
      <c r="BI24" s="11"/>
      <c r="BJ24" s="11"/>
      <c r="BK24" s="11"/>
      <c r="BL24" s="11"/>
      <c r="BM24" s="7"/>
      <c r="BN24" s="7"/>
      <c r="BO24" s="7"/>
      <c r="BP24" s="7"/>
      <c r="BQ24" s="7"/>
      <c r="BR24" s="7"/>
      <c r="BS24" s="12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2.75">
      <c r="A25" s="71"/>
      <c r="B25" s="76"/>
      <c r="C25" s="80"/>
      <c r="D25" s="79"/>
      <c r="E25" s="80"/>
      <c r="F25" s="75"/>
      <c r="G25" s="73"/>
      <c r="H25" s="350"/>
      <c r="I25" s="114"/>
      <c r="J25" s="96"/>
      <c r="K25" s="114"/>
      <c r="L25" s="96"/>
      <c r="M25" s="114"/>
      <c r="N25" s="96"/>
      <c r="O25" s="114"/>
      <c r="P25" s="123"/>
      <c r="Q25" s="88">
        <f>1000*(A26-A24)</f>
        <v>80.00000000000007</v>
      </c>
      <c r="R25" s="79">
        <f>0.5*Q25*(B24+B26)</f>
        <v>0</v>
      </c>
      <c r="S25" s="80">
        <f>0.5*Q25*(C24+C26)</f>
        <v>0</v>
      </c>
      <c r="T25" s="80">
        <f>0.5*Q25*(D24+D26)</f>
        <v>0</v>
      </c>
      <c r="U25" s="80">
        <f>0.5*Q25*(E24+E26)</f>
        <v>0</v>
      </c>
      <c r="V25" s="79">
        <f>0.5*Q25*(F24+F26)</f>
        <v>180.00000000000017</v>
      </c>
      <c r="W25" s="80">
        <f>0.5*Q25*(G24+G26)</f>
        <v>0</v>
      </c>
      <c r="X25" s="79">
        <f>0.5*Q25*(H24+H26)</f>
        <v>0</v>
      </c>
      <c r="Y25" s="84">
        <f>0.5*Q25*(I24+I26)</f>
        <v>0</v>
      </c>
      <c r="Z25" s="80">
        <f>0.5*Q25*(J24+J26)</f>
        <v>0</v>
      </c>
      <c r="AA25" s="80">
        <f>0.5*Q25*(K24+K26)</f>
        <v>0</v>
      </c>
      <c r="AB25" s="80">
        <f>0.5*Q25*(L24+L26)</f>
        <v>0</v>
      </c>
      <c r="AC25" s="140">
        <f>0.5*Q25*(M24+M26)</f>
        <v>0</v>
      </c>
      <c r="AD25" s="80">
        <f>0.5*Q25*(N24+N26)</f>
        <v>0</v>
      </c>
      <c r="AE25" s="98">
        <f>0.5*Q25*(O24+O26)</f>
        <v>0</v>
      </c>
      <c r="AF25" s="98">
        <f t="shared" si="0"/>
        <v>0</v>
      </c>
      <c r="AR25" s="5"/>
      <c r="AS25" s="13"/>
      <c r="AT25" s="7"/>
      <c r="AU25" s="7"/>
      <c r="AV25" s="7"/>
      <c r="AW25" s="7"/>
      <c r="AX25" s="7"/>
      <c r="AY25" s="7"/>
      <c r="AZ25" s="7"/>
      <c r="BA25" s="7"/>
      <c r="BB25" s="11"/>
      <c r="BC25" s="11"/>
      <c r="BD25" s="10"/>
      <c r="BE25" s="11"/>
      <c r="BF25" s="11"/>
      <c r="BG25" s="11"/>
      <c r="BH25" s="11"/>
      <c r="BI25" s="11"/>
      <c r="BJ25" s="11"/>
      <c r="BK25" s="11"/>
      <c r="BL25" s="11"/>
      <c r="BM25" s="7"/>
      <c r="BN25" s="7"/>
      <c r="BO25" s="7"/>
      <c r="BP25" s="7"/>
      <c r="BQ25" s="7"/>
      <c r="BR25" s="7"/>
      <c r="BS25" s="12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12.75">
      <c r="A26" s="113">
        <v>1.52</v>
      </c>
      <c r="B26" s="114">
        <v>0</v>
      </c>
      <c r="C26" s="96">
        <v>0</v>
      </c>
      <c r="D26" s="114">
        <v>0</v>
      </c>
      <c r="E26" s="96">
        <v>0</v>
      </c>
      <c r="F26" s="115">
        <v>2.25</v>
      </c>
      <c r="G26" s="116">
        <v>0</v>
      </c>
      <c r="H26" s="349"/>
      <c r="I26" s="114">
        <v>0</v>
      </c>
      <c r="J26" s="96">
        <v>0</v>
      </c>
      <c r="K26" s="114">
        <v>0</v>
      </c>
      <c r="L26" s="96">
        <v>0</v>
      </c>
      <c r="M26" s="114">
        <v>0</v>
      </c>
      <c r="N26" s="96">
        <v>0</v>
      </c>
      <c r="O26" s="114">
        <v>0</v>
      </c>
      <c r="P26" s="123"/>
      <c r="Q26" s="117"/>
      <c r="R26" s="118"/>
      <c r="S26" s="119"/>
      <c r="T26" s="118"/>
      <c r="U26" s="119"/>
      <c r="V26" s="118"/>
      <c r="W26" s="119"/>
      <c r="X26" s="120"/>
      <c r="Y26" s="121"/>
      <c r="Z26" s="121"/>
      <c r="AA26" s="121"/>
      <c r="AB26" s="122"/>
      <c r="AC26" s="141"/>
      <c r="AD26" s="122"/>
      <c r="AE26" s="123"/>
      <c r="AF26" s="98"/>
      <c r="AR26" s="5"/>
      <c r="AS26" s="13"/>
      <c r="AT26" s="7"/>
      <c r="AU26" s="7"/>
      <c r="AV26" s="7"/>
      <c r="AW26" s="7"/>
      <c r="AX26" s="7"/>
      <c r="AY26" s="7"/>
      <c r="AZ26" s="7"/>
      <c r="BA26" s="7"/>
      <c r="BB26" s="11"/>
      <c r="BC26" s="11"/>
      <c r="BD26" s="10"/>
      <c r="BE26" s="11"/>
      <c r="BF26" s="11"/>
      <c r="BG26" s="11"/>
      <c r="BH26" s="11"/>
      <c r="BI26" s="11"/>
      <c r="BJ26" s="11"/>
      <c r="BK26" s="11"/>
      <c r="BL26" s="11"/>
      <c r="BM26" s="7"/>
      <c r="BN26" s="7"/>
      <c r="BO26" s="7"/>
      <c r="BP26" s="7"/>
      <c r="BQ26" s="7"/>
      <c r="BR26" s="7"/>
      <c r="BS26" s="12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2.75">
      <c r="A27" s="71"/>
      <c r="B27" s="76"/>
      <c r="C27" s="80"/>
      <c r="D27" s="79"/>
      <c r="E27" s="80"/>
      <c r="F27" s="75"/>
      <c r="G27" s="73"/>
      <c r="H27" s="350"/>
      <c r="I27" s="114"/>
      <c r="J27" s="96"/>
      <c r="K27" s="114"/>
      <c r="L27" s="96"/>
      <c r="M27" s="114"/>
      <c r="N27" s="96"/>
      <c r="O27" s="114"/>
      <c r="P27" s="123"/>
      <c r="Q27" s="88">
        <f>1000*(A28-A26)</f>
        <v>60.00000000000006</v>
      </c>
      <c r="R27" s="79">
        <f>0.5*Q27*(B26+B28)</f>
        <v>0</v>
      </c>
      <c r="S27" s="80">
        <f>0.5*Q27*(C26+C28)</f>
        <v>0</v>
      </c>
      <c r="T27" s="80">
        <f>0.5*Q27*(D26+D28)</f>
        <v>0</v>
      </c>
      <c r="U27" s="80">
        <f>0.5*Q27*(E26+E28)</f>
        <v>0</v>
      </c>
      <c r="V27" s="79">
        <f>0.5*Q27*(F26+F28)</f>
        <v>142.50000000000014</v>
      </c>
      <c r="W27" s="80">
        <f>0.5*Q27*(G26+G28)</f>
        <v>0</v>
      </c>
      <c r="X27" s="79">
        <f>0.5*Q27*(H26+H28)</f>
        <v>0</v>
      </c>
      <c r="Y27" s="84">
        <f>0.5*Q27*(I26+I28)</f>
        <v>0</v>
      </c>
      <c r="Z27" s="80">
        <f>0.5*Q27*(J26+J28)</f>
        <v>0</v>
      </c>
      <c r="AA27" s="80">
        <f>0.5*Q27*(K26+K28)</f>
        <v>0</v>
      </c>
      <c r="AB27" s="80">
        <f>0.5*Q27*(L26+L28)</f>
        <v>0</v>
      </c>
      <c r="AC27" s="140">
        <f>0.5*Q27*(M26+M28)</f>
        <v>0</v>
      </c>
      <c r="AD27" s="80">
        <f>0.5*Q27*(N26+N28)</f>
        <v>0</v>
      </c>
      <c r="AE27" s="98">
        <f>0.5*Q27*(O26+O28)</f>
        <v>0</v>
      </c>
      <c r="AF27" s="98">
        <f t="shared" si="0"/>
        <v>0</v>
      </c>
      <c r="AR27" s="5"/>
      <c r="AS27" s="13"/>
      <c r="AT27" s="7"/>
      <c r="AU27" s="7"/>
      <c r="AV27" s="7"/>
      <c r="AW27" s="7"/>
      <c r="AX27" s="7"/>
      <c r="AY27" s="7"/>
      <c r="AZ27" s="7"/>
      <c r="BA27" s="7"/>
      <c r="BB27" s="11"/>
      <c r="BC27" s="11"/>
      <c r="BD27" s="10"/>
      <c r="BE27" s="11"/>
      <c r="BF27" s="11"/>
      <c r="BG27" s="11"/>
      <c r="BH27" s="11"/>
      <c r="BI27" s="11"/>
      <c r="BJ27" s="11"/>
      <c r="BK27" s="11"/>
      <c r="BL27" s="11"/>
      <c r="BM27" s="7"/>
      <c r="BN27" s="7"/>
      <c r="BO27" s="7"/>
      <c r="BP27" s="7"/>
      <c r="BQ27" s="7"/>
      <c r="BR27" s="7"/>
      <c r="BS27" s="12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2.75">
      <c r="A28" s="71">
        <v>1.58</v>
      </c>
      <c r="B28" s="114">
        <v>0</v>
      </c>
      <c r="C28" s="96">
        <v>0</v>
      </c>
      <c r="D28" s="114">
        <v>0</v>
      </c>
      <c r="E28" s="96">
        <v>0</v>
      </c>
      <c r="F28" s="75">
        <v>2.5</v>
      </c>
      <c r="G28" s="116">
        <v>0</v>
      </c>
      <c r="H28" s="350"/>
      <c r="I28" s="114">
        <v>0</v>
      </c>
      <c r="J28" s="96">
        <v>0</v>
      </c>
      <c r="K28" s="114">
        <v>0</v>
      </c>
      <c r="L28" s="96">
        <v>0</v>
      </c>
      <c r="M28" s="114">
        <v>0</v>
      </c>
      <c r="N28" s="96">
        <v>0</v>
      </c>
      <c r="O28" s="114">
        <v>0</v>
      </c>
      <c r="P28" s="123"/>
      <c r="Q28" s="88"/>
      <c r="R28" s="79"/>
      <c r="S28" s="80"/>
      <c r="T28" s="79"/>
      <c r="U28" s="80"/>
      <c r="V28" s="79"/>
      <c r="W28" s="80"/>
      <c r="X28" s="79"/>
      <c r="Y28" s="84"/>
      <c r="Z28" s="84"/>
      <c r="AA28" s="84"/>
      <c r="AB28" s="80"/>
      <c r="AC28" s="140"/>
      <c r="AD28" s="80"/>
      <c r="AE28" s="98"/>
      <c r="AF28" s="98"/>
      <c r="AR28" s="5"/>
      <c r="AS28" s="13"/>
      <c r="AT28" s="7"/>
      <c r="AU28" s="7"/>
      <c r="AV28" s="7"/>
      <c r="AW28" s="7"/>
      <c r="AX28" s="7"/>
      <c r="AY28" s="7"/>
      <c r="AZ28" s="7"/>
      <c r="BA28" s="7"/>
      <c r="BB28" s="11"/>
      <c r="BC28" s="11"/>
      <c r="BD28" s="10"/>
      <c r="BE28" s="11"/>
      <c r="BF28" s="11"/>
      <c r="BG28" s="11"/>
      <c r="BH28" s="11"/>
      <c r="BI28" s="11"/>
      <c r="BJ28" s="11"/>
      <c r="BK28" s="11"/>
      <c r="BL28" s="11"/>
      <c r="BM28" s="7"/>
      <c r="BN28" s="7"/>
      <c r="BO28" s="7"/>
      <c r="BP28" s="7"/>
      <c r="BQ28" s="7"/>
      <c r="BR28" s="7"/>
      <c r="BS28" s="12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12.75">
      <c r="A29" s="71"/>
      <c r="B29" s="76"/>
      <c r="C29" s="80"/>
      <c r="D29" s="79"/>
      <c r="E29" s="80"/>
      <c r="F29" s="75"/>
      <c r="G29" s="73"/>
      <c r="H29" s="350"/>
      <c r="I29" s="114"/>
      <c r="J29" s="96"/>
      <c r="K29" s="114"/>
      <c r="L29" s="96"/>
      <c r="M29" s="114"/>
      <c r="N29" s="96"/>
      <c r="O29" s="114"/>
      <c r="P29" s="123"/>
      <c r="Q29" s="88">
        <f>1000*(A30-A28)</f>
        <v>59.99999999999983</v>
      </c>
      <c r="R29" s="79">
        <f>0.5*Q29*(B28+B30)</f>
        <v>0</v>
      </c>
      <c r="S29" s="80">
        <f>0.5*Q29*(C28+C30)</f>
        <v>0</v>
      </c>
      <c r="T29" s="80">
        <f>0.5*Q29*(D28+D30)</f>
        <v>0</v>
      </c>
      <c r="U29" s="80">
        <f>0.5*Q29*(E28+E30)</f>
        <v>0</v>
      </c>
      <c r="V29" s="79">
        <f>0.5*Q29*(F28+F30)</f>
        <v>142.4999999999996</v>
      </c>
      <c r="W29" s="80">
        <f>0.5*Q29*(G28+G30)</f>
        <v>0</v>
      </c>
      <c r="X29" s="79">
        <f>0.5*Q29*(H28+H30)</f>
        <v>0</v>
      </c>
      <c r="Y29" s="84">
        <f>0.5*Q29*(I28+I30)</f>
        <v>0</v>
      </c>
      <c r="Z29" s="80">
        <f>0.5*Q29*(J28+J30)</f>
        <v>0</v>
      </c>
      <c r="AA29" s="80">
        <f>0.5*Q29*(K28+K30)</f>
        <v>0</v>
      </c>
      <c r="AB29" s="80">
        <f>0.5*Q29*(L28+L30)</f>
        <v>0</v>
      </c>
      <c r="AC29" s="140">
        <f>0.5*Q29*(M28+M30)</f>
        <v>0</v>
      </c>
      <c r="AD29" s="80">
        <f>0.5*Q29*(N28+N30)</f>
        <v>0</v>
      </c>
      <c r="AE29" s="98">
        <f>0.5*Q29*(O28+O30)</f>
        <v>0</v>
      </c>
      <c r="AF29" s="98">
        <f t="shared" si="0"/>
        <v>0</v>
      </c>
      <c r="AR29" s="5"/>
      <c r="AS29" s="13"/>
      <c r="AT29" s="7"/>
      <c r="AU29" s="7"/>
      <c r="AV29" s="7"/>
      <c r="AW29" s="7"/>
      <c r="AX29" s="7"/>
      <c r="AY29" s="7"/>
      <c r="AZ29" s="7"/>
      <c r="BA29" s="7"/>
      <c r="BB29" s="11"/>
      <c r="BC29" s="11"/>
      <c r="BD29" s="10"/>
      <c r="BE29" s="11"/>
      <c r="BF29" s="11"/>
      <c r="BG29" s="11"/>
      <c r="BH29" s="11"/>
      <c r="BI29" s="11"/>
      <c r="BJ29" s="11"/>
      <c r="BK29" s="11"/>
      <c r="BL29" s="11"/>
      <c r="BM29" s="7"/>
      <c r="BN29" s="7"/>
      <c r="BO29" s="7"/>
      <c r="BP29" s="7"/>
      <c r="BQ29" s="7"/>
      <c r="BR29" s="7"/>
      <c r="BS29" s="12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2.75">
      <c r="A30" s="71">
        <v>1.64</v>
      </c>
      <c r="B30" s="114">
        <v>0</v>
      </c>
      <c r="C30" s="96">
        <v>0</v>
      </c>
      <c r="D30" s="114">
        <v>0</v>
      </c>
      <c r="E30" s="96">
        <v>0</v>
      </c>
      <c r="F30" s="75">
        <v>2.25</v>
      </c>
      <c r="G30" s="116">
        <v>0</v>
      </c>
      <c r="H30" s="350"/>
      <c r="I30" s="114">
        <v>0</v>
      </c>
      <c r="J30" s="96">
        <v>0</v>
      </c>
      <c r="K30" s="114">
        <v>0</v>
      </c>
      <c r="L30" s="96">
        <v>0</v>
      </c>
      <c r="M30" s="114">
        <v>0</v>
      </c>
      <c r="N30" s="96">
        <v>0</v>
      </c>
      <c r="O30" s="114">
        <v>0</v>
      </c>
      <c r="P30" s="123"/>
      <c r="Q30" s="88"/>
      <c r="R30" s="79"/>
      <c r="S30" s="80"/>
      <c r="T30" s="80"/>
      <c r="U30" s="80"/>
      <c r="V30" s="79"/>
      <c r="W30" s="80"/>
      <c r="X30" s="79"/>
      <c r="Y30" s="84"/>
      <c r="Z30" s="84"/>
      <c r="AA30" s="84"/>
      <c r="AB30" s="80"/>
      <c r="AC30" s="140"/>
      <c r="AD30" s="80"/>
      <c r="AE30" s="98"/>
      <c r="AF30" s="98"/>
      <c r="AR30" s="5"/>
      <c r="AS30" s="13"/>
      <c r="AT30" s="7"/>
      <c r="AU30" s="7"/>
      <c r="AV30" s="7"/>
      <c r="AW30" s="7"/>
      <c r="AX30" s="7"/>
      <c r="AY30" s="7"/>
      <c r="AZ30" s="7"/>
      <c r="BA30" s="7"/>
      <c r="BB30" s="11"/>
      <c r="BC30" s="11"/>
      <c r="BD30" s="10"/>
      <c r="BE30" s="11"/>
      <c r="BF30" s="11"/>
      <c r="BG30" s="11"/>
      <c r="BH30" s="11"/>
      <c r="BI30" s="11"/>
      <c r="BJ30" s="11"/>
      <c r="BK30" s="11"/>
      <c r="BL30" s="11"/>
      <c r="BM30" s="7"/>
      <c r="BN30" s="7"/>
      <c r="BO30" s="7"/>
      <c r="BP30" s="7"/>
      <c r="BQ30" s="7"/>
      <c r="BR30" s="7"/>
      <c r="BS30" s="12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2.75">
      <c r="A31" s="142" t="s">
        <v>205</v>
      </c>
      <c r="B31" s="76" t="s">
        <v>221</v>
      </c>
      <c r="C31" s="143"/>
      <c r="D31" s="27"/>
      <c r="E31" s="80"/>
      <c r="F31" s="75"/>
      <c r="G31" s="73"/>
      <c r="H31" s="350"/>
      <c r="I31" s="114"/>
      <c r="J31" s="96"/>
      <c r="K31" s="114"/>
      <c r="L31" s="96"/>
      <c r="M31" s="114"/>
      <c r="N31" s="96"/>
      <c r="O31" s="114"/>
      <c r="P31" s="123"/>
      <c r="Q31" s="88">
        <f>1000*(A32-A30)</f>
        <v>60.00000000000006</v>
      </c>
      <c r="R31" s="79">
        <f>0.5*Q31*(B30+B32)</f>
        <v>0</v>
      </c>
      <c r="S31" s="80">
        <f>0.5*Q31*(C30+C32)</f>
        <v>531.0000000000005</v>
      </c>
      <c r="T31" s="80">
        <f>0.5*Q31*(D30+D32)</f>
        <v>522.0000000000005</v>
      </c>
      <c r="U31" s="80">
        <f>0.5*Q31*(E30+E32)</f>
        <v>0</v>
      </c>
      <c r="V31" s="79">
        <f>0.5*Q31*(F30+F32)</f>
        <v>112.50000000000011</v>
      </c>
      <c r="W31" s="80">
        <f>0.5*Q31*(G30+G32)</f>
        <v>9.000000000000009</v>
      </c>
      <c r="X31" s="79">
        <f>0.7*10</f>
        <v>7</v>
      </c>
      <c r="Y31" s="84">
        <f>0.5*Q31*(I30+I32)</f>
        <v>126.00000000000013</v>
      </c>
      <c r="Z31" s="80">
        <f>0.5*Q31*(J30+J32)</f>
        <v>12.000000000000012</v>
      </c>
      <c r="AA31" s="80">
        <f>0.5*Q31*(K30+K32)</f>
        <v>120.00000000000011</v>
      </c>
      <c r="AB31" s="80">
        <f>0.5*Q31*(L30+L32)</f>
        <v>0</v>
      </c>
      <c r="AC31" s="140">
        <f>0.5*Q31*(M30+M32)</f>
        <v>24.000000000000025</v>
      </c>
      <c r="AD31" s="80">
        <f>0.5*Q31*(N30+N32)</f>
        <v>321.0000000000003</v>
      </c>
      <c r="AE31" s="98">
        <f>0.5*Q31*(O30+O32)</f>
        <v>27.000000000000025</v>
      </c>
      <c r="AF31" s="98">
        <f t="shared" si="0"/>
        <v>0</v>
      </c>
      <c r="AR31" s="5"/>
      <c r="AS31" s="13"/>
      <c r="AT31" s="7"/>
      <c r="AU31" s="7"/>
      <c r="AV31" s="7"/>
      <c r="AW31" s="7"/>
      <c r="AX31" s="7"/>
      <c r="AY31" s="7"/>
      <c r="AZ31" s="7"/>
      <c r="BA31" s="7"/>
      <c r="BB31" s="11"/>
      <c r="BC31" s="11"/>
      <c r="BD31" s="10"/>
      <c r="BE31" s="11"/>
      <c r="BF31" s="11"/>
      <c r="BG31" s="11"/>
      <c r="BH31" s="11"/>
      <c r="BI31" s="11"/>
      <c r="BJ31" s="11"/>
      <c r="BK31" s="11"/>
      <c r="BL31" s="11"/>
      <c r="BM31" s="7"/>
      <c r="BN31" s="7"/>
      <c r="BO31" s="7"/>
      <c r="BP31" s="7"/>
      <c r="BQ31" s="7"/>
      <c r="BR31" s="7"/>
      <c r="BS31" s="12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2.75">
      <c r="A32" s="71">
        <v>1.7</v>
      </c>
      <c r="B32" s="76">
        <v>0</v>
      </c>
      <c r="C32" s="143">
        <v>17.7</v>
      </c>
      <c r="D32" s="80">
        <v>17.4</v>
      </c>
      <c r="E32" s="80">
        <v>0</v>
      </c>
      <c r="F32" s="75">
        <v>1.5</v>
      </c>
      <c r="G32" s="73">
        <v>0.3</v>
      </c>
      <c r="H32" s="335"/>
      <c r="I32" s="76">
        <v>4.2</v>
      </c>
      <c r="J32" s="74">
        <v>0.4</v>
      </c>
      <c r="K32" s="92">
        <v>4</v>
      </c>
      <c r="L32" s="92">
        <v>0</v>
      </c>
      <c r="M32" s="76">
        <v>0.8</v>
      </c>
      <c r="N32" s="74">
        <v>10.7</v>
      </c>
      <c r="O32" s="76">
        <v>0.9</v>
      </c>
      <c r="P32" s="98"/>
      <c r="Q32" s="88"/>
      <c r="R32" s="79"/>
      <c r="S32" s="80"/>
      <c r="T32" s="80"/>
      <c r="U32" s="143"/>
      <c r="V32" s="79"/>
      <c r="W32" s="80"/>
      <c r="Y32" s="84"/>
      <c r="Z32" s="84"/>
      <c r="AA32" s="84"/>
      <c r="AB32" s="80"/>
      <c r="AC32" s="140"/>
      <c r="AD32" s="80"/>
      <c r="AE32" s="98"/>
      <c r="AF32" s="98"/>
      <c r="AR32" s="5"/>
      <c r="AS32" s="13"/>
      <c r="AT32" s="7"/>
      <c r="AU32" s="7"/>
      <c r="AV32" s="7"/>
      <c r="AW32" s="7"/>
      <c r="AX32" s="7"/>
      <c r="AY32" s="7"/>
      <c r="AZ32" s="7"/>
      <c r="BA32" s="7"/>
      <c r="BB32" s="11"/>
      <c r="BC32" s="11"/>
      <c r="BD32" s="10"/>
      <c r="BE32" s="11"/>
      <c r="BF32" s="11"/>
      <c r="BG32" s="11"/>
      <c r="BH32" s="11"/>
      <c r="BI32" s="11"/>
      <c r="BJ32" s="11"/>
      <c r="BK32" s="11"/>
      <c r="BL32" s="11"/>
      <c r="BM32" s="7"/>
      <c r="BN32" s="7"/>
      <c r="BO32" s="7"/>
      <c r="BP32" s="7"/>
      <c r="BQ32" s="7"/>
      <c r="BR32" s="7"/>
      <c r="BS32" s="12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2.75">
      <c r="A33" s="71"/>
      <c r="B33" s="76"/>
      <c r="C33" s="143"/>
      <c r="D33" s="27"/>
      <c r="E33" s="80"/>
      <c r="F33" s="75"/>
      <c r="G33" s="73"/>
      <c r="H33" s="218"/>
      <c r="I33" s="140"/>
      <c r="J33" s="74"/>
      <c r="K33" s="92"/>
      <c r="L33" s="92"/>
      <c r="M33" s="76"/>
      <c r="N33" s="74"/>
      <c r="O33" s="76"/>
      <c r="P33" s="98"/>
      <c r="Q33" s="88">
        <f>1000*(A34-A32)</f>
        <v>40.000000000000036</v>
      </c>
      <c r="R33" s="79">
        <f>0.5*Q33*(B32+B34)</f>
        <v>0</v>
      </c>
      <c r="S33" s="80">
        <f>0.5*Q33*(C32+C34)</f>
        <v>710.0000000000007</v>
      </c>
      <c r="T33" s="80">
        <f>0.5*Q33*(D32+D34)</f>
        <v>698.0000000000006</v>
      </c>
      <c r="U33" s="80">
        <f>0.5*Q33*(E32+E34)</f>
        <v>0</v>
      </c>
      <c r="V33" s="79">
        <f>0.5*Q33*(F32+F34)</f>
        <v>60.00000000000006</v>
      </c>
      <c r="W33" s="80">
        <f>0.5*Q33*(G32+G34)</f>
        <v>12.00000000000001</v>
      </c>
      <c r="X33" s="79">
        <f>0.5*Q33*(H32+H34)</f>
        <v>0</v>
      </c>
      <c r="Y33" s="84">
        <f>0.5*Q33*(I32+I34)</f>
        <v>166.00000000000017</v>
      </c>
      <c r="Z33" s="80">
        <f>0.5*Q33*(J32+J34)</f>
        <v>16.000000000000014</v>
      </c>
      <c r="AA33" s="80">
        <f>0.5*Q33*(K32+K34)</f>
        <v>160.00000000000014</v>
      </c>
      <c r="AB33" s="80">
        <f>0.5*Q33*(L32+L34)</f>
        <v>0</v>
      </c>
      <c r="AC33" s="140">
        <f>0.5*Q33*(M32+M34)</f>
        <v>32.00000000000003</v>
      </c>
      <c r="AD33" s="80">
        <f>0.5*Q33*(N32+N34)</f>
        <v>418.00000000000034</v>
      </c>
      <c r="AE33" s="98">
        <f>0.5*Q33*(O32+O34)</f>
        <v>36.000000000000036</v>
      </c>
      <c r="AF33" s="98">
        <f t="shared" si="0"/>
        <v>0</v>
      </c>
      <c r="AR33" s="5"/>
      <c r="AS33" s="13"/>
      <c r="AT33" s="7"/>
      <c r="AU33" s="7"/>
      <c r="AV33" s="7"/>
      <c r="AW33" s="7"/>
      <c r="AX33" s="7"/>
      <c r="AY33" s="7"/>
      <c r="AZ33" s="7"/>
      <c r="BA33" s="7"/>
      <c r="BB33" s="11"/>
      <c r="BC33" s="11"/>
      <c r="BD33" s="10"/>
      <c r="BE33" s="11"/>
      <c r="BF33" s="11"/>
      <c r="BG33" s="11"/>
      <c r="BH33" s="11"/>
      <c r="BI33" s="11"/>
      <c r="BJ33" s="11"/>
      <c r="BK33" s="11"/>
      <c r="BL33" s="11"/>
      <c r="BM33" s="7"/>
      <c r="BN33" s="7"/>
      <c r="BO33" s="7"/>
      <c r="BP33" s="7"/>
      <c r="BQ33" s="7"/>
      <c r="BR33" s="7"/>
      <c r="BS33" s="12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2.75">
      <c r="A34" s="71">
        <v>1.74</v>
      </c>
      <c r="B34" s="76">
        <v>0</v>
      </c>
      <c r="C34" s="143">
        <v>17.8</v>
      </c>
      <c r="D34" s="80">
        <v>17.5</v>
      </c>
      <c r="E34" s="80">
        <v>0</v>
      </c>
      <c r="F34" s="75">
        <v>1.5</v>
      </c>
      <c r="G34" s="73">
        <v>0.3</v>
      </c>
      <c r="H34" s="335"/>
      <c r="I34" s="140">
        <v>4.1</v>
      </c>
      <c r="J34" s="74">
        <v>0.4</v>
      </c>
      <c r="K34" s="92">
        <v>4</v>
      </c>
      <c r="L34" s="92">
        <v>0</v>
      </c>
      <c r="M34" s="76">
        <v>0.8</v>
      </c>
      <c r="N34" s="74">
        <v>10.2</v>
      </c>
      <c r="O34" s="76">
        <v>0.9</v>
      </c>
      <c r="P34" s="98"/>
      <c r="Q34" s="88"/>
      <c r="R34" s="79"/>
      <c r="S34" s="80"/>
      <c r="T34" s="80"/>
      <c r="U34" s="80"/>
      <c r="V34" s="79"/>
      <c r="W34" s="80"/>
      <c r="X34" s="79"/>
      <c r="Y34" s="84"/>
      <c r="Z34" s="84"/>
      <c r="AA34" s="84"/>
      <c r="AB34" s="80"/>
      <c r="AC34" s="140"/>
      <c r="AD34" s="80"/>
      <c r="AE34" s="98"/>
      <c r="AF34" s="98"/>
      <c r="AR34" s="5"/>
      <c r="AS34" s="13"/>
      <c r="AT34" s="7"/>
      <c r="AU34" s="7"/>
      <c r="AV34" s="7"/>
      <c r="AW34" s="7"/>
      <c r="AX34" s="7"/>
      <c r="AY34" s="7"/>
      <c r="AZ34" s="7"/>
      <c r="BA34" s="7"/>
      <c r="BB34" s="11"/>
      <c r="BC34" s="11"/>
      <c r="BD34" s="10"/>
      <c r="BE34" s="11"/>
      <c r="BF34" s="11"/>
      <c r="BG34" s="11"/>
      <c r="BH34" s="11"/>
      <c r="BI34" s="11"/>
      <c r="BJ34" s="11"/>
      <c r="BK34" s="11"/>
      <c r="BL34" s="11"/>
      <c r="BM34" s="7"/>
      <c r="BN34" s="7"/>
      <c r="BO34" s="7"/>
      <c r="BP34" s="7"/>
      <c r="BQ34" s="7"/>
      <c r="BR34" s="7"/>
      <c r="BS34" s="12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2.75">
      <c r="A35" s="142" t="s">
        <v>206</v>
      </c>
      <c r="C35" s="143"/>
      <c r="D35" s="80"/>
      <c r="E35" s="80"/>
      <c r="F35" s="75"/>
      <c r="G35" s="73"/>
      <c r="H35" s="218"/>
      <c r="I35" s="74"/>
      <c r="J35" s="92"/>
      <c r="K35" s="92"/>
      <c r="L35" s="92"/>
      <c r="M35" s="76" t="s">
        <v>222</v>
      </c>
      <c r="N35" s="74"/>
      <c r="O35" s="76"/>
      <c r="P35" s="98"/>
      <c r="Q35" s="88">
        <f>1000*(A36-A34)</f>
        <v>40.000000000000036</v>
      </c>
      <c r="R35" s="79">
        <f>0.5*Q35*(B34+B36)</f>
        <v>58.00000000000005</v>
      </c>
      <c r="S35" s="80">
        <f>0.5*Q35*(C34+C36)</f>
        <v>356.00000000000034</v>
      </c>
      <c r="T35" s="80">
        <f>0.5*Q35*(D35+D36)</f>
        <v>0</v>
      </c>
      <c r="U35" s="143" t="s">
        <v>34</v>
      </c>
      <c r="V35" s="79">
        <f>0.5*Q35*(F34+F36)</f>
        <v>60.00000000000006</v>
      </c>
      <c r="W35" s="80">
        <f>0.5*Q35*(G34+G36)</f>
        <v>12.00000000000001</v>
      </c>
      <c r="X35" s="79">
        <f>0.5*Q35*(H34+H36)</f>
        <v>0</v>
      </c>
      <c r="Y35" s="84">
        <f>0.5*Q35*(I34+I36)</f>
        <v>82.00000000000007</v>
      </c>
      <c r="Z35" s="80">
        <f>0.5*Q35*(J34+J36)</f>
        <v>20.000000000000018</v>
      </c>
      <c r="AA35" s="80">
        <f>0.5*Q35*(K34+K36)</f>
        <v>80.00000000000007</v>
      </c>
      <c r="AB35" s="80">
        <f>0.5*Q35*(L34+L36)</f>
        <v>0</v>
      </c>
      <c r="AC35" s="140">
        <f>0.5*Q35*(M34+M36)</f>
        <v>158.00000000000014</v>
      </c>
      <c r="AD35" s="80">
        <f>0.5*Q35*(N34+N36)</f>
        <v>204.00000000000017</v>
      </c>
      <c r="AE35" s="98">
        <f>0.5*Q35*(O34+O36)</f>
        <v>18.000000000000018</v>
      </c>
      <c r="AF35" s="98">
        <f t="shared" si="0"/>
        <v>44.00000000000004</v>
      </c>
      <c r="AR35" s="5"/>
      <c r="AS35" s="13"/>
      <c r="AT35" s="7"/>
      <c r="AU35" s="7"/>
      <c r="AV35" s="7"/>
      <c r="AW35" s="7"/>
      <c r="AX35" s="7"/>
      <c r="AY35" s="7"/>
      <c r="AZ35" s="7"/>
      <c r="BA35" s="7"/>
      <c r="BB35" s="11"/>
      <c r="BC35" s="11"/>
      <c r="BD35" s="10"/>
      <c r="BE35" s="11"/>
      <c r="BF35" s="11"/>
      <c r="BG35" s="11"/>
      <c r="BH35" s="11"/>
      <c r="BI35" s="11"/>
      <c r="BJ35" s="11"/>
      <c r="BK35" s="11"/>
      <c r="BL35" s="11"/>
      <c r="BM35" s="7"/>
      <c r="BN35" s="7"/>
      <c r="BO35" s="7"/>
      <c r="BP35" s="7"/>
      <c r="BQ35" s="7"/>
      <c r="BR35" s="7"/>
      <c r="BS35" s="12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2.75">
      <c r="A36" s="71">
        <v>1.78</v>
      </c>
      <c r="B36" s="76">
        <v>2.9</v>
      </c>
      <c r="C36" s="335"/>
      <c r="D36" s="336"/>
      <c r="E36" s="80">
        <v>4.8</v>
      </c>
      <c r="F36" s="75">
        <v>1.5</v>
      </c>
      <c r="G36" s="73">
        <v>0.3</v>
      </c>
      <c r="H36" s="218"/>
      <c r="I36" s="74">
        <v>0</v>
      </c>
      <c r="J36" s="92">
        <v>0.6</v>
      </c>
      <c r="K36" s="92">
        <v>0</v>
      </c>
      <c r="L36" s="92">
        <v>0</v>
      </c>
      <c r="M36" s="334">
        <v>7.1</v>
      </c>
      <c r="N36" s="335"/>
      <c r="O36" s="76">
        <v>0</v>
      </c>
      <c r="P36" s="98">
        <v>2.2</v>
      </c>
      <c r="Q36" s="88"/>
      <c r="R36" s="79"/>
      <c r="S36" s="80"/>
      <c r="T36" s="80"/>
      <c r="U36" s="80"/>
      <c r="V36" s="79"/>
      <c r="W36" s="80"/>
      <c r="X36" s="79"/>
      <c r="Y36" s="84"/>
      <c r="Z36" s="80"/>
      <c r="AA36" s="80"/>
      <c r="AB36" s="80"/>
      <c r="AC36" s="140"/>
      <c r="AD36" s="80"/>
      <c r="AE36" s="98"/>
      <c r="AF36" s="98"/>
      <c r="AR36" s="5"/>
      <c r="AS36" s="13"/>
      <c r="AT36" s="7"/>
      <c r="AU36" s="7"/>
      <c r="AV36" s="7"/>
      <c r="AW36" s="7"/>
      <c r="AX36" s="7"/>
      <c r="AY36" s="7"/>
      <c r="AZ36" s="7"/>
      <c r="BA36" s="7"/>
      <c r="BB36" s="11"/>
      <c r="BC36" s="11"/>
      <c r="BD36" s="10"/>
      <c r="BE36" s="11"/>
      <c r="BF36" s="11"/>
      <c r="BG36" s="11"/>
      <c r="BH36" s="11"/>
      <c r="BI36" s="11"/>
      <c r="BJ36" s="11"/>
      <c r="BK36" s="11"/>
      <c r="BL36" s="11"/>
      <c r="BM36" s="7"/>
      <c r="BN36" s="7"/>
      <c r="BO36" s="7"/>
      <c r="BP36" s="7"/>
      <c r="BQ36" s="7"/>
      <c r="BR36" s="7"/>
      <c r="BS36" s="12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2.75">
      <c r="A37" s="71"/>
      <c r="B37" s="76"/>
      <c r="C37" s="80"/>
      <c r="D37" s="79"/>
      <c r="E37" s="80"/>
      <c r="F37" s="75"/>
      <c r="G37" s="73"/>
      <c r="H37" s="218"/>
      <c r="I37" s="74"/>
      <c r="J37" s="92"/>
      <c r="K37" s="92"/>
      <c r="L37" s="92"/>
      <c r="M37" s="76"/>
      <c r="N37" s="74"/>
      <c r="O37" s="76"/>
      <c r="P37" s="98"/>
      <c r="Q37" s="88">
        <f>1000*(A38-A36)</f>
        <v>40.000000000000036</v>
      </c>
      <c r="R37" s="79">
        <f>0.5*Q37*(B36+B38)</f>
        <v>176.00000000000017</v>
      </c>
      <c r="S37" s="80">
        <f>0.5*Q37*(C36+C38)</f>
        <v>0</v>
      </c>
      <c r="T37" s="80">
        <f>0.5*Q37*(D36+D38)</f>
        <v>0</v>
      </c>
      <c r="U37" s="80">
        <f>0.5*Q37*(E36+E38)</f>
        <v>136.0000000000001</v>
      </c>
      <c r="V37" s="79">
        <f>0.5*Q37*(F36+F38)</f>
        <v>60.00000000000006</v>
      </c>
      <c r="W37" s="80">
        <f>0.5*Q37*(G36+G38)</f>
        <v>12.00000000000001</v>
      </c>
      <c r="X37" s="79">
        <f>0.5*Q37*(H36+H38)</f>
        <v>0</v>
      </c>
      <c r="Y37" s="84">
        <f>0.5*Q37*(I36+I38)</f>
        <v>0</v>
      </c>
      <c r="Z37" s="80">
        <f>0.5*Q37*(J36+J38)</f>
        <v>12.00000000000001</v>
      </c>
      <c r="AA37" s="80">
        <f>0.5*Q37*(K36+K38)</f>
        <v>0</v>
      </c>
      <c r="AB37" s="80">
        <f>0.5*Q37*(L36+L38)</f>
        <v>0</v>
      </c>
      <c r="AC37" s="342">
        <f>0.5*Q37*(M36+M38)</f>
        <v>330.0000000000003</v>
      </c>
      <c r="AD37" s="80">
        <f>0.5*Q37*(N36+N38)</f>
        <v>0</v>
      </c>
      <c r="AE37" s="98">
        <f>0.5*Q37*(O36+O38)</f>
        <v>0</v>
      </c>
      <c r="AF37" s="98">
        <f t="shared" si="0"/>
        <v>108.0000000000001</v>
      </c>
      <c r="AR37" s="5"/>
      <c r="AS37" s="13"/>
      <c r="AT37" s="7"/>
      <c r="AU37" s="7"/>
      <c r="AV37" s="7"/>
      <c r="AW37" s="7"/>
      <c r="AX37" s="7"/>
      <c r="AY37" s="7"/>
      <c r="AZ37" s="7"/>
      <c r="BA37" s="7"/>
      <c r="BB37" s="11"/>
      <c r="BC37" s="11"/>
      <c r="BD37" s="10"/>
      <c r="BE37" s="11"/>
      <c r="BF37" s="11"/>
      <c r="BG37" s="11"/>
      <c r="BH37" s="11"/>
      <c r="BI37" s="11"/>
      <c r="BJ37" s="11"/>
      <c r="BK37" s="11"/>
      <c r="BL37" s="11"/>
      <c r="BM37" s="7"/>
      <c r="BN37" s="7"/>
      <c r="BO37" s="7"/>
      <c r="BP37" s="7"/>
      <c r="BQ37" s="7"/>
      <c r="BR37" s="7"/>
      <c r="BS37" s="12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2.75">
      <c r="A38" s="71">
        <v>1.82</v>
      </c>
      <c r="B38" s="76">
        <v>5.9</v>
      </c>
      <c r="C38" s="335"/>
      <c r="D38" s="336"/>
      <c r="E38" s="80">
        <v>2</v>
      </c>
      <c r="F38" s="75">
        <v>1.5</v>
      </c>
      <c r="G38" s="73">
        <v>0.3</v>
      </c>
      <c r="H38" s="218"/>
      <c r="I38" s="74">
        <v>0</v>
      </c>
      <c r="J38" s="92"/>
      <c r="K38" s="92">
        <v>0</v>
      </c>
      <c r="L38" s="92">
        <v>0</v>
      </c>
      <c r="M38" s="334">
        <v>9.4</v>
      </c>
      <c r="N38" s="335"/>
      <c r="O38" s="76">
        <v>0</v>
      </c>
      <c r="P38" s="98">
        <f>2+1.2</f>
        <v>3.2</v>
      </c>
      <c r="Q38" s="88"/>
      <c r="R38" s="79"/>
      <c r="S38" s="80"/>
      <c r="T38" s="80"/>
      <c r="U38" s="80"/>
      <c r="V38" s="79"/>
      <c r="W38" s="80"/>
      <c r="X38" s="79"/>
      <c r="Y38" s="84"/>
      <c r="Z38" s="84"/>
      <c r="AA38" s="84"/>
      <c r="AB38" s="80"/>
      <c r="AC38" s="342"/>
      <c r="AD38" s="80"/>
      <c r="AE38" s="98"/>
      <c r="AF38" s="98"/>
      <c r="AR38" s="5"/>
      <c r="AS38" s="13"/>
      <c r="AT38" s="7"/>
      <c r="AU38" s="7"/>
      <c r="AV38" s="7"/>
      <c r="AW38" s="7"/>
      <c r="AX38" s="7"/>
      <c r="AY38" s="7"/>
      <c r="AZ38" s="7"/>
      <c r="BA38" s="7"/>
      <c r="BB38" s="11"/>
      <c r="BC38" s="11"/>
      <c r="BD38" s="10"/>
      <c r="BE38" s="11"/>
      <c r="BF38" s="11"/>
      <c r="BG38" s="11"/>
      <c r="BH38" s="11"/>
      <c r="BI38" s="11"/>
      <c r="BJ38" s="11"/>
      <c r="BK38" s="11"/>
      <c r="BL38" s="11"/>
      <c r="BM38" s="7"/>
      <c r="BN38" s="7"/>
      <c r="BO38" s="7"/>
      <c r="BP38" s="7"/>
      <c r="BQ38" s="7"/>
      <c r="BR38" s="7"/>
      <c r="BS38" s="12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t="12.75">
      <c r="A39" s="71"/>
      <c r="B39" s="76"/>
      <c r="C39" s="80"/>
      <c r="D39" s="79"/>
      <c r="E39" s="80"/>
      <c r="F39" s="75"/>
      <c r="G39" s="73"/>
      <c r="H39" s="218"/>
      <c r="I39" s="74"/>
      <c r="J39" s="92"/>
      <c r="K39" s="92"/>
      <c r="L39" s="92"/>
      <c r="M39" s="76"/>
      <c r="N39" s="74"/>
      <c r="O39" s="76"/>
      <c r="P39" s="98"/>
      <c r="Q39" s="88">
        <f>1000*(A40-A38)</f>
        <v>40.000000000000036</v>
      </c>
      <c r="R39" s="79">
        <f>0.5*Q39*(B38+B40)</f>
        <v>134.0000000000001</v>
      </c>
      <c r="S39" s="80">
        <f>0.5*Q39*(C38+C40)</f>
        <v>0</v>
      </c>
      <c r="T39" s="80">
        <f>0.5*Q39*(D38+D40)</f>
        <v>0</v>
      </c>
      <c r="U39" s="80">
        <f>0.5*Q39*(E38+E40)</f>
        <v>72.00000000000007</v>
      </c>
      <c r="V39" s="79">
        <f>0.5*Q39*(F38+F40)</f>
        <v>60.00000000000006</v>
      </c>
      <c r="W39" s="80">
        <f>0.5*Q39*(G38+G40)</f>
        <v>12.00000000000001</v>
      </c>
      <c r="X39" s="79">
        <f>0.5*Q39*(H38+H40)</f>
        <v>36.000000000000036</v>
      </c>
      <c r="Y39" s="84">
        <f>0.5*Q39*(I38+I40)</f>
        <v>20.000000000000018</v>
      </c>
      <c r="Z39" s="80">
        <f>0.5*Q39*(J38+J40)</f>
        <v>0</v>
      </c>
      <c r="AA39" s="80">
        <f>0.5*Q39*(K38+K40)</f>
        <v>6.000000000000005</v>
      </c>
      <c r="AB39" s="80">
        <f>0.5*Q39*(L38+L40)</f>
        <v>0</v>
      </c>
      <c r="AC39" s="342">
        <f>0.5*Q39*(M38+M40)</f>
        <v>320.0000000000003</v>
      </c>
      <c r="AD39" s="80">
        <f>0.5*Q39*(N38+N40)</f>
        <v>0</v>
      </c>
      <c r="AE39" s="98">
        <f>0.5*Q39*(O38+O40)</f>
        <v>42.00000000000004</v>
      </c>
      <c r="AF39" s="98">
        <f t="shared" si="0"/>
        <v>102.00000000000009</v>
      </c>
      <c r="AR39" s="5"/>
      <c r="AS39" s="13"/>
      <c r="AT39" s="7"/>
      <c r="AU39" s="7"/>
      <c r="AV39" s="7"/>
      <c r="AW39" s="7"/>
      <c r="AX39" s="7"/>
      <c r="AY39" s="7"/>
      <c r="AZ39" s="7"/>
      <c r="BA39" s="7"/>
      <c r="BB39" s="11"/>
      <c r="BC39" s="11"/>
      <c r="BD39" s="10"/>
      <c r="BE39" s="11"/>
      <c r="BF39" s="11"/>
      <c r="BG39" s="11"/>
      <c r="BH39" s="11"/>
      <c r="BI39" s="11"/>
      <c r="BJ39" s="11"/>
      <c r="BK39" s="11"/>
      <c r="BL39" s="11"/>
      <c r="BM39" s="7"/>
      <c r="BN39" s="7"/>
      <c r="BO39" s="7"/>
      <c r="BP39" s="7"/>
      <c r="BQ39" s="7"/>
      <c r="BR39" s="7"/>
      <c r="BS39" s="12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t="12.75">
      <c r="A40" s="71">
        <v>1.86</v>
      </c>
      <c r="B40" s="76">
        <v>0.8</v>
      </c>
      <c r="C40" s="335"/>
      <c r="D40" s="336"/>
      <c r="E40" s="80">
        <v>1.6</v>
      </c>
      <c r="F40" s="75">
        <v>1.5</v>
      </c>
      <c r="G40" s="73">
        <v>0.3</v>
      </c>
      <c r="H40" s="218">
        <v>1.8</v>
      </c>
      <c r="I40" s="74">
        <v>1</v>
      </c>
      <c r="J40" s="92"/>
      <c r="K40" s="92">
        <v>0.3</v>
      </c>
      <c r="L40" s="92">
        <v>0</v>
      </c>
      <c r="M40" s="334">
        <v>6.6</v>
      </c>
      <c r="N40" s="335"/>
      <c r="O40" s="343">
        <v>2.1</v>
      </c>
      <c r="P40" s="98">
        <v>1.9</v>
      </c>
      <c r="Q40" s="88"/>
      <c r="R40" s="79"/>
      <c r="S40" s="80"/>
      <c r="T40" s="80"/>
      <c r="U40" s="80"/>
      <c r="V40" s="79"/>
      <c r="W40" s="80"/>
      <c r="X40" s="79"/>
      <c r="Y40" s="84"/>
      <c r="Z40" s="84"/>
      <c r="AA40" s="84"/>
      <c r="AB40" s="80"/>
      <c r="AC40" s="342"/>
      <c r="AD40" s="80"/>
      <c r="AE40" s="98"/>
      <c r="AF40" s="98"/>
      <c r="AR40" s="5"/>
      <c r="AS40" s="13"/>
      <c r="AT40" s="7"/>
      <c r="AU40" s="7"/>
      <c r="AV40" s="7"/>
      <c r="AW40" s="7"/>
      <c r="AX40" s="7"/>
      <c r="AY40" s="7"/>
      <c r="AZ40" s="7"/>
      <c r="BA40" s="7"/>
      <c r="BB40" s="11"/>
      <c r="BC40" s="11"/>
      <c r="BD40" s="10"/>
      <c r="BE40" s="11"/>
      <c r="BF40" s="11"/>
      <c r="BG40" s="11"/>
      <c r="BH40" s="11"/>
      <c r="BI40" s="11"/>
      <c r="BJ40" s="11"/>
      <c r="BK40" s="11"/>
      <c r="BL40" s="11"/>
      <c r="BM40" s="7"/>
      <c r="BN40" s="7"/>
      <c r="BO40" s="7"/>
      <c r="BP40" s="7"/>
      <c r="BQ40" s="7"/>
      <c r="BR40" s="7"/>
      <c r="BS40" s="12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12.75">
      <c r="A41" s="142"/>
      <c r="B41" s="76"/>
      <c r="C41" s="143"/>
      <c r="D41" s="80"/>
      <c r="E41" s="80"/>
      <c r="F41" s="75"/>
      <c r="G41" s="73"/>
      <c r="H41" s="218"/>
      <c r="I41" s="74"/>
      <c r="J41" s="74"/>
      <c r="K41" s="74"/>
      <c r="L41" s="74"/>
      <c r="M41" s="76"/>
      <c r="N41" s="74"/>
      <c r="O41" s="76"/>
      <c r="P41" s="98"/>
      <c r="Q41" s="88">
        <f>1000*(A42-A40)</f>
        <v>39.999999999999815</v>
      </c>
      <c r="R41" s="79">
        <f>0.5*Q41*(B40+B42)</f>
        <v>33.999999999999844</v>
      </c>
      <c r="S41" s="80">
        <f>0.5*Q41*(C40+C42)</f>
        <v>0</v>
      </c>
      <c r="T41" s="80">
        <f>0.5*Q41*(D40+D42)</f>
        <v>0</v>
      </c>
      <c r="U41" s="80">
        <f>0.5*Q41*(E40+E42)</f>
        <v>71.99999999999967</v>
      </c>
      <c r="V41" s="79">
        <f>0.5*Q41*(F40+F42)</f>
        <v>59.99999999999972</v>
      </c>
      <c r="W41" s="80">
        <f>0.5*Q41*(G40+G42)</f>
        <v>11.999999999999945</v>
      </c>
      <c r="X41" s="79">
        <f>0.5*Q41*(H40+H42)</f>
        <v>57.99999999999974</v>
      </c>
      <c r="Y41" s="84">
        <f>0.5*Q41*(I40+I42)</f>
        <v>39.999999999999815</v>
      </c>
      <c r="Z41" s="80">
        <f>0.5*Q41*(J40+J42)</f>
        <v>0</v>
      </c>
      <c r="AA41" s="80">
        <f>0.5*Q41*(K40+K42)</f>
        <v>25.99999999999988</v>
      </c>
      <c r="AB41" s="80">
        <f>0.5*Q41*(L40+L42)</f>
        <v>0</v>
      </c>
      <c r="AC41" s="342">
        <f>0.5*Q41*(M40+M42)</f>
        <v>259.9999999999988</v>
      </c>
      <c r="AD41" s="80">
        <f>0.5*Q41*(N40+N42)</f>
        <v>0</v>
      </c>
      <c r="AE41" s="98">
        <f>0.5*Q41*(O40+O42)</f>
        <v>41.99999999999981</v>
      </c>
      <c r="AF41" s="98">
        <f t="shared" si="0"/>
        <v>117.99999999999946</v>
      </c>
      <c r="AR41" s="5"/>
      <c r="AS41" s="13"/>
      <c r="AT41" s="7"/>
      <c r="AU41" s="7"/>
      <c r="AV41" s="7"/>
      <c r="AW41" s="7"/>
      <c r="AX41" s="7"/>
      <c r="AY41" s="7"/>
      <c r="AZ41" s="7"/>
      <c r="BA41" s="7"/>
      <c r="BB41" s="11"/>
      <c r="BC41" s="11"/>
      <c r="BD41" s="10"/>
      <c r="BE41" s="11"/>
      <c r="BF41" s="11"/>
      <c r="BG41" s="11"/>
      <c r="BH41" s="11"/>
      <c r="BI41" s="11"/>
      <c r="BJ41" s="11"/>
      <c r="BK41" s="11"/>
      <c r="BL41" s="11"/>
      <c r="BM41" s="7"/>
      <c r="BN41" s="7"/>
      <c r="BO41" s="7"/>
      <c r="BP41" s="7"/>
      <c r="BQ41" s="7"/>
      <c r="BR41" s="7"/>
      <c r="BS41" s="12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12.75">
      <c r="A42" s="71">
        <v>1.9</v>
      </c>
      <c r="B42" s="76">
        <v>0.9</v>
      </c>
      <c r="C42" s="335"/>
      <c r="D42" s="336"/>
      <c r="E42" s="80">
        <v>2</v>
      </c>
      <c r="F42" s="75">
        <v>1.5</v>
      </c>
      <c r="G42" s="73">
        <v>0.3</v>
      </c>
      <c r="H42" s="218">
        <v>1.1</v>
      </c>
      <c r="I42" s="74">
        <v>1</v>
      </c>
      <c r="J42" s="74"/>
      <c r="K42" s="74">
        <v>1</v>
      </c>
      <c r="L42" s="74">
        <v>0</v>
      </c>
      <c r="M42" s="334">
        <v>6.4</v>
      </c>
      <c r="N42" s="335"/>
      <c r="O42" s="76">
        <v>0</v>
      </c>
      <c r="P42" s="98">
        <v>4</v>
      </c>
      <c r="Q42" s="88"/>
      <c r="R42" s="79"/>
      <c r="S42" s="80"/>
      <c r="T42" s="80"/>
      <c r="U42" s="143"/>
      <c r="V42" s="79"/>
      <c r="W42" s="80"/>
      <c r="X42" s="79"/>
      <c r="Y42" s="84"/>
      <c r="Z42" s="84"/>
      <c r="AA42" s="84"/>
      <c r="AB42" s="80"/>
      <c r="AC42" s="342"/>
      <c r="AD42" s="80"/>
      <c r="AE42" s="98"/>
      <c r="AF42" s="98"/>
      <c r="AR42" s="5"/>
      <c r="AS42" s="13"/>
      <c r="AT42" s="7"/>
      <c r="AU42" s="7"/>
      <c r="AV42" s="7"/>
      <c r="AW42" s="7"/>
      <c r="AX42" s="7"/>
      <c r="AY42" s="7"/>
      <c r="AZ42" s="7"/>
      <c r="BA42" s="7"/>
      <c r="BB42" s="11"/>
      <c r="BC42" s="11"/>
      <c r="BD42" s="10"/>
      <c r="BE42" s="11"/>
      <c r="BF42" s="11"/>
      <c r="BG42" s="11"/>
      <c r="BH42" s="11"/>
      <c r="BI42" s="11"/>
      <c r="BJ42" s="11"/>
      <c r="BK42" s="11"/>
      <c r="BL42" s="11"/>
      <c r="BM42" s="7"/>
      <c r="BN42" s="7"/>
      <c r="BO42" s="7"/>
      <c r="BP42" s="7"/>
      <c r="BQ42" s="7"/>
      <c r="BR42" s="7"/>
      <c r="BS42" s="12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t="12.75">
      <c r="A43" s="71"/>
      <c r="B43" s="76"/>
      <c r="C43" s="80"/>
      <c r="D43" s="79"/>
      <c r="E43" s="80"/>
      <c r="F43" s="75"/>
      <c r="G43" s="73"/>
      <c r="H43" s="218"/>
      <c r="I43" s="74"/>
      <c r="J43" s="74"/>
      <c r="K43" s="74"/>
      <c r="L43" s="74"/>
      <c r="M43" s="76"/>
      <c r="N43" s="74"/>
      <c r="O43" s="76"/>
      <c r="P43" s="98"/>
      <c r="Q43" s="88">
        <f>1000*(A44-A42)</f>
        <v>40.000000000000036</v>
      </c>
      <c r="R43" s="79">
        <f>0.5*Q43*(B42+B44)</f>
        <v>76.00000000000006</v>
      </c>
      <c r="S43" s="80">
        <f>0.5*Q43*(C42+C44)</f>
        <v>0</v>
      </c>
      <c r="T43" s="80">
        <f>0.5*Q43*(D42+D44)</f>
        <v>0</v>
      </c>
      <c r="U43" s="80">
        <f>0.5*Q43*(E42+E44)</f>
        <v>92.00000000000007</v>
      </c>
      <c r="V43" s="79">
        <f>0.5*Q43*(F42+F44)</f>
        <v>60.00000000000006</v>
      </c>
      <c r="W43" s="80">
        <f>0.5*Q43*(G42+J44)</f>
        <v>20.000000000000018</v>
      </c>
      <c r="X43" s="79">
        <f>0.5*Q43*(H42+H44)</f>
        <v>22.00000000000002</v>
      </c>
      <c r="Y43" s="84">
        <f>0.5*Q43*(I42+I44)</f>
        <v>20.000000000000018</v>
      </c>
      <c r="Z43" s="80">
        <f>0.5*Q43*(J42+J44)</f>
        <v>14.00000000000001</v>
      </c>
      <c r="AA43" s="80">
        <f>0.5*Q43*(K42+K44)</f>
        <v>28.00000000000002</v>
      </c>
      <c r="AB43" s="80">
        <f>0.5*Q43*(L42+L44)</f>
        <v>0</v>
      </c>
      <c r="AC43" s="342">
        <f>0.5*Q43*(M42+M44)</f>
        <v>256.0000000000002</v>
      </c>
      <c r="AD43" s="80">
        <f>0.5*Q43*(N42+N44)</f>
        <v>0</v>
      </c>
      <c r="AE43" s="98">
        <f>0.5*Q43*(O42+O44)</f>
        <v>0</v>
      </c>
      <c r="AF43" s="98">
        <f t="shared" si="0"/>
        <v>152.0000000000001</v>
      </c>
      <c r="AR43" s="5"/>
      <c r="AS43" s="13"/>
      <c r="AT43" s="7"/>
      <c r="AU43" s="7"/>
      <c r="AV43" s="7"/>
      <c r="AW43" s="7"/>
      <c r="AX43" s="7"/>
      <c r="AY43" s="7"/>
      <c r="AZ43" s="7"/>
      <c r="BA43" s="7"/>
      <c r="BB43" s="11"/>
      <c r="BC43" s="11"/>
      <c r="BD43" s="10"/>
      <c r="BE43" s="11"/>
      <c r="BF43" s="11"/>
      <c r="BG43" s="11"/>
      <c r="BH43" s="11"/>
      <c r="BI43" s="11"/>
      <c r="BJ43" s="11"/>
      <c r="BK43" s="11"/>
      <c r="BL43" s="11"/>
      <c r="BM43" s="7"/>
      <c r="BN43" s="7"/>
      <c r="BO43" s="7"/>
      <c r="BP43" s="7"/>
      <c r="BQ43" s="7"/>
      <c r="BR43" s="7"/>
      <c r="BS43" s="12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t="12.75">
      <c r="A44" s="71">
        <v>1.94</v>
      </c>
      <c r="B44" s="76">
        <v>2.9</v>
      </c>
      <c r="C44" s="335"/>
      <c r="D44" s="336"/>
      <c r="E44" s="80">
        <v>2.6</v>
      </c>
      <c r="F44" s="75">
        <v>1.5</v>
      </c>
      <c r="G44" s="339"/>
      <c r="H44" s="218">
        <v>0</v>
      </c>
      <c r="I44" s="74">
        <v>0</v>
      </c>
      <c r="J44" s="337">
        <v>0.7</v>
      </c>
      <c r="K44" s="74">
        <v>0.4</v>
      </c>
      <c r="L44" s="74">
        <v>0</v>
      </c>
      <c r="M44" s="334">
        <v>6.4</v>
      </c>
      <c r="N44" s="335"/>
      <c r="O44" s="76">
        <v>0</v>
      </c>
      <c r="P44" s="98">
        <v>3.6</v>
      </c>
      <c r="Q44" s="88"/>
      <c r="R44" s="79"/>
      <c r="S44" s="80"/>
      <c r="T44" s="80"/>
      <c r="U44" s="80"/>
      <c r="V44" s="79"/>
      <c r="W44" s="80"/>
      <c r="X44" s="79"/>
      <c r="Y44" s="84"/>
      <c r="Z44" s="84"/>
      <c r="AA44" s="84"/>
      <c r="AB44" s="80"/>
      <c r="AC44" s="342"/>
      <c r="AD44" s="80"/>
      <c r="AE44" s="98"/>
      <c r="AF44" s="98"/>
      <c r="AR44" s="5"/>
      <c r="AS44" s="13"/>
      <c r="AT44" s="7"/>
      <c r="AU44" s="7"/>
      <c r="AV44" s="7"/>
      <c r="AW44" s="7"/>
      <c r="AX44" s="7"/>
      <c r="AY44" s="7"/>
      <c r="AZ44" s="7"/>
      <c r="BA44" s="7"/>
      <c r="BB44" s="11"/>
      <c r="BC44" s="11"/>
      <c r="BD44" s="10"/>
      <c r="BE44" s="11"/>
      <c r="BF44" s="11"/>
      <c r="BG44" s="11"/>
      <c r="BH44" s="11"/>
      <c r="BI44" s="11"/>
      <c r="BJ44" s="11"/>
      <c r="BK44" s="11"/>
      <c r="BL44" s="11"/>
      <c r="BM44" s="7"/>
      <c r="BN44" s="7"/>
      <c r="BO44" s="7"/>
      <c r="BP44" s="7"/>
      <c r="BQ44" s="7"/>
      <c r="BR44" s="7"/>
      <c r="BS44" s="12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t="12.75">
      <c r="A45" s="71"/>
      <c r="B45" s="76"/>
      <c r="C45" s="80"/>
      <c r="D45" s="79"/>
      <c r="E45" s="80"/>
      <c r="F45" s="75"/>
      <c r="G45" s="340"/>
      <c r="H45" s="218"/>
      <c r="I45" s="74"/>
      <c r="J45" s="337"/>
      <c r="K45" s="74"/>
      <c r="L45" s="74"/>
      <c r="M45" s="76"/>
      <c r="N45" s="74"/>
      <c r="O45" s="76"/>
      <c r="P45" s="98"/>
      <c r="Q45" s="88">
        <f>1000*(A46-A44)</f>
        <v>60.00000000000006</v>
      </c>
      <c r="R45" s="79">
        <f>0.5*Q45*(B44+B46)</f>
        <v>141.00000000000014</v>
      </c>
      <c r="S45" s="80">
        <f>0.5*Q45*(C44+C46)</f>
        <v>0</v>
      </c>
      <c r="T45" s="80">
        <f>0.5*Q45*(D44+D46)</f>
        <v>0</v>
      </c>
      <c r="U45" s="80">
        <f>0.5*Q45*(E44+E46)</f>
        <v>111.00000000000011</v>
      </c>
      <c r="V45" s="79">
        <f>0.5*Q45*(F44+F46)</f>
        <v>90.00000000000009</v>
      </c>
      <c r="W45" s="80">
        <f>0.5*Q45*(J44+J46)</f>
        <v>45.00000000000004</v>
      </c>
      <c r="X45" s="79">
        <f>0.5*Q45*(H44+H46)</f>
        <v>99.00000000000009</v>
      </c>
      <c r="Y45" s="84">
        <f>0.5*Q45*(I44+I46)</f>
        <v>99.00000000000009</v>
      </c>
      <c r="Z45" s="80">
        <f>0.5*Q45*(J44+J46)</f>
        <v>45.00000000000004</v>
      </c>
      <c r="AA45" s="80">
        <f>0.5*Q45*(K44+K46)</f>
        <v>123.00000000000013</v>
      </c>
      <c r="AB45" s="80">
        <f>0.5*Q45*(L44+L46)</f>
        <v>0</v>
      </c>
      <c r="AC45" s="342">
        <f>0.5*Q45*(M44+M46)</f>
        <v>366.00000000000034</v>
      </c>
      <c r="AD45" s="80">
        <f>0.5*Q45*(N44+N46)</f>
        <v>0</v>
      </c>
      <c r="AE45" s="98">
        <f>0.5*Q45*(O44+O46)</f>
        <v>0</v>
      </c>
      <c r="AF45" s="98">
        <f t="shared" si="0"/>
        <v>156.00000000000014</v>
      </c>
      <c r="AR45" s="5"/>
      <c r="AS45" s="13"/>
      <c r="AT45" s="7"/>
      <c r="AU45" s="7"/>
      <c r="AV45" s="7"/>
      <c r="AW45" s="7"/>
      <c r="AX45" s="7"/>
      <c r="AY45" s="7"/>
      <c r="AZ45" s="7"/>
      <c r="BA45" s="7"/>
      <c r="BB45" s="11"/>
      <c r="BC45" s="11"/>
      <c r="BD45" s="10"/>
      <c r="BE45" s="11"/>
      <c r="BF45" s="11"/>
      <c r="BG45" s="11"/>
      <c r="BH45" s="11"/>
      <c r="BI45" s="11"/>
      <c r="BJ45" s="11"/>
      <c r="BK45" s="11"/>
      <c r="BL45" s="11"/>
      <c r="BM45" s="7"/>
      <c r="BN45" s="7"/>
      <c r="BO45" s="7"/>
      <c r="BP45" s="7"/>
      <c r="BQ45" s="7"/>
      <c r="BR45" s="7"/>
      <c r="BS45" s="12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t="12.75">
      <c r="A46" s="71">
        <v>2</v>
      </c>
      <c r="B46" s="76">
        <v>1.8</v>
      </c>
      <c r="C46" s="335"/>
      <c r="D46" s="336"/>
      <c r="E46" s="80">
        <v>1.1</v>
      </c>
      <c r="F46" s="75">
        <v>1.5</v>
      </c>
      <c r="G46" s="340"/>
      <c r="H46" s="218">
        <v>3.3</v>
      </c>
      <c r="I46" s="74">
        <v>3.3</v>
      </c>
      <c r="J46" s="337">
        <v>0.8</v>
      </c>
      <c r="K46" s="74">
        <v>3.7</v>
      </c>
      <c r="L46" s="74">
        <v>0</v>
      </c>
      <c r="M46" s="334">
        <v>5.8</v>
      </c>
      <c r="N46" s="335"/>
      <c r="O46" s="76">
        <v>0</v>
      </c>
      <c r="P46" s="98">
        <v>1.6</v>
      </c>
      <c r="Q46" s="88"/>
      <c r="R46" s="79"/>
      <c r="S46" s="80"/>
      <c r="T46" s="80"/>
      <c r="U46" s="80"/>
      <c r="V46" s="79"/>
      <c r="W46" s="80"/>
      <c r="X46" s="79"/>
      <c r="Y46" s="84"/>
      <c r="Z46" s="84"/>
      <c r="AA46" s="84"/>
      <c r="AB46" s="80"/>
      <c r="AC46" s="342"/>
      <c r="AD46" s="80"/>
      <c r="AE46" s="98"/>
      <c r="AF46" s="98"/>
      <c r="AR46" s="5"/>
      <c r="AS46" s="13"/>
      <c r="AT46" s="7"/>
      <c r="AU46" s="7"/>
      <c r="AV46" s="7"/>
      <c r="AW46" s="7"/>
      <c r="AX46" s="7"/>
      <c r="AY46" s="7"/>
      <c r="AZ46" s="7"/>
      <c r="BA46" s="7"/>
      <c r="BB46" s="11"/>
      <c r="BC46" s="11"/>
      <c r="BD46" s="10"/>
      <c r="BE46" s="11"/>
      <c r="BF46" s="11"/>
      <c r="BG46" s="11"/>
      <c r="BH46" s="11"/>
      <c r="BI46" s="11"/>
      <c r="BJ46" s="11"/>
      <c r="BK46" s="11"/>
      <c r="BL46" s="11"/>
      <c r="BM46" s="7"/>
      <c r="BN46" s="7"/>
      <c r="BO46" s="7"/>
      <c r="BP46" s="7"/>
      <c r="BQ46" s="7"/>
      <c r="BR46" s="7"/>
      <c r="BS46" s="12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t="12.75">
      <c r="A47" s="71"/>
      <c r="B47" s="76"/>
      <c r="C47" s="143"/>
      <c r="D47" s="80"/>
      <c r="E47" s="80"/>
      <c r="F47" s="75"/>
      <c r="G47" s="340"/>
      <c r="H47" s="218"/>
      <c r="I47" s="74"/>
      <c r="J47" s="337"/>
      <c r="K47" s="74"/>
      <c r="L47" s="74"/>
      <c r="M47" s="76"/>
      <c r="N47" s="74"/>
      <c r="O47" s="76"/>
      <c r="P47" s="98"/>
      <c r="Q47" s="88">
        <f>1000*(A48-A46)</f>
        <v>40.000000000000036</v>
      </c>
      <c r="R47" s="79">
        <f>0.5*Q47*(B46+B48)</f>
        <v>108.0000000000001</v>
      </c>
      <c r="S47" s="80">
        <f>0.5*Q47*(C46+C48)</f>
        <v>0</v>
      </c>
      <c r="T47" s="80">
        <f>0.5*Q47*(D46+D48)</f>
        <v>0</v>
      </c>
      <c r="U47" s="80">
        <f>0.5*Q47*(E46+E48)</f>
        <v>100.00000000000009</v>
      </c>
      <c r="V47" s="79">
        <f>0.5*Q47*(F46+F48)</f>
        <v>60.00000000000006</v>
      </c>
      <c r="W47" s="80">
        <f>0.5*Q47*(J46+J48)</f>
        <v>34.000000000000036</v>
      </c>
      <c r="X47" s="79">
        <f>0.5*Q47*(H46+H48)</f>
        <v>66.00000000000006</v>
      </c>
      <c r="Y47" s="84">
        <f>0.5*Q47*(I46+I48)</f>
        <v>66.00000000000006</v>
      </c>
      <c r="Z47" s="80">
        <f>0.5*Q47*(J46+J48)</f>
        <v>34.000000000000036</v>
      </c>
      <c r="AA47" s="80">
        <f>0.5*Q47*(K46+K48)</f>
        <v>84.00000000000009</v>
      </c>
      <c r="AB47" s="80">
        <f>0.5*Q47*(L46+L48)</f>
        <v>0</v>
      </c>
      <c r="AC47" s="342">
        <f>0.5*Q47*(M46+M48)</f>
        <v>256.0000000000002</v>
      </c>
      <c r="AD47" s="80">
        <f>0.5*Q47*(N46+N48)</f>
        <v>0</v>
      </c>
      <c r="AE47" s="98">
        <f>0.5*Q47*(O46+O48)</f>
        <v>0</v>
      </c>
      <c r="AF47" s="98">
        <f t="shared" si="0"/>
        <v>108.0000000000001</v>
      </c>
      <c r="AR47" s="5"/>
      <c r="AS47" s="13"/>
      <c r="AT47" s="7"/>
      <c r="AU47" s="7"/>
      <c r="AV47" s="7"/>
      <c r="AW47" s="7"/>
      <c r="AX47" s="7"/>
      <c r="AY47" s="7"/>
      <c r="AZ47" s="7"/>
      <c r="BA47" s="7"/>
      <c r="BB47" s="11"/>
      <c r="BC47" s="11"/>
      <c r="BD47" s="10"/>
      <c r="BE47" s="11"/>
      <c r="BF47" s="11"/>
      <c r="BG47" s="11"/>
      <c r="BH47" s="11"/>
      <c r="BI47" s="11"/>
      <c r="BJ47" s="11"/>
      <c r="BK47" s="11"/>
      <c r="BL47" s="11"/>
      <c r="BM47" s="7"/>
      <c r="BN47" s="7"/>
      <c r="BO47" s="7"/>
      <c r="BP47" s="7"/>
      <c r="BQ47" s="7"/>
      <c r="BR47" s="7"/>
      <c r="BS47" s="12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t="12.75">
      <c r="A48" s="71">
        <v>2.04</v>
      </c>
      <c r="B48" s="76">
        <v>3.6</v>
      </c>
      <c r="C48" s="335"/>
      <c r="D48" s="336"/>
      <c r="E48" s="80">
        <v>3.9</v>
      </c>
      <c r="F48" s="75">
        <v>1.5</v>
      </c>
      <c r="G48" s="340"/>
      <c r="H48" s="218">
        <v>0</v>
      </c>
      <c r="I48" s="74">
        <v>0</v>
      </c>
      <c r="J48" s="338">
        <v>0.9</v>
      </c>
      <c r="K48" s="74">
        <v>0.5</v>
      </c>
      <c r="L48" s="74">
        <v>0</v>
      </c>
      <c r="M48" s="334">
        <v>7</v>
      </c>
      <c r="N48" s="335"/>
      <c r="O48" s="76">
        <v>0</v>
      </c>
      <c r="P48" s="98">
        <v>3.8</v>
      </c>
      <c r="Q48" s="88"/>
      <c r="R48" s="79"/>
      <c r="S48" s="80"/>
      <c r="T48" s="80"/>
      <c r="U48" s="80"/>
      <c r="V48" s="79"/>
      <c r="W48" s="80"/>
      <c r="X48" s="79"/>
      <c r="Y48" s="84"/>
      <c r="Z48" s="84"/>
      <c r="AA48" s="84"/>
      <c r="AB48" s="80"/>
      <c r="AC48" s="342"/>
      <c r="AD48" s="80"/>
      <c r="AE48" s="98"/>
      <c r="AF48" s="98"/>
      <c r="AR48" s="5"/>
      <c r="AS48" s="13"/>
      <c r="AT48" s="7"/>
      <c r="AU48" s="7"/>
      <c r="AV48" s="7"/>
      <c r="AW48" s="7"/>
      <c r="AX48" s="7"/>
      <c r="AY48" s="7"/>
      <c r="AZ48" s="7"/>
      <c r="BA48" s="7"/>
      <c r="BB48" s="11"/>
      <c r="BC48" s="11"/>
      <c r="BD48" s="10"/>
      <c r="BE48" s="11"/>
      <c r="BF48" s="11"/>
      <c r="BG48" s="11"/>
      <c r="BH48" s="11"/>
      <c r="BI48" s="11"/>
      <c r="BJ48" s="11"/>
      <c r="BK48" s="11"/>
      <c r="BL48" s="11"/>
      <c r="BM48" s="7"/>
      <c r="BN48" s="7"/>
      <c r="BO48" s="7"/>
      <c r="BP48" s="7"/>
      <c r="BQ48" s="7"/>
      <c r="BR48" s="7"/>
      <c r="BS48" s="12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t="12.75">
      <c r="A49" s="142"/>
      <c r="B49" s="76"/>
      <c r="C49" s="143"/>
      <c r="D49" s="80"/>
      <c r="E49" s="80"/>
      <c r="F49" s="75"/>
      <c r="G49" s="340"/>
      <c r="H49" s="218"/>
      <c r="I49" s="74"/>
      <c r="J49" s="337"/>
      <c r="K49" s="74"/>
      <c r="L49" s="74"/>
      <c r="M49" s="76"/>
      <c r="N49" s="74"/>
      <c r="O49" s="76"/>
      <c r="P49" s="98"/>
      <c r="Q49" s="88">
        <f>1000*(A50-A48)</f>
        <v>40.000000000000036</v>
      </c>
      <c r="R49" s="79">
        <f>0.5*Q49*(B48+B50)</f>
        <v>140.0000000000001</v>
      </c>
      <c r="S49" s="80">
        <f>0.5*Q49*(C48+C50)</f>
        <v>0</v>
      </c>
      <c r="T49" s="80">
        <f>0.5*Q49*(D48+D50)</f>
        <v>0</v>
      </c>
      <c r="U49" s="80">
        <f>0.5*Q49*(E48+E50)</f>
        <v>204.00000000000017</v>
      </c>
      <c r="V49" s="79">
        <f>0.5*Q49*(F48+F50)</f>
        <v>60.00000000000006</v>
      </c>
      <c r="W49" s="80">
        <f>0.5*Q49*(J48+J50)</f>
        <v>36.000000000000036</v>
      </c>
      <c r="X49" s="79">
        <f>0.5*Q49*(H48+H50)</f>
        <v>0</v>
      </c>
      <c r="Y49" s="84">
        <f>0.5*Q49*(I48+I50)</f>
        <v>0</v>
      </c>
      <c r="Z49" s="80">
        <f>0.5*Q49*(J48+J50)</f>
        <v>36.000000000000036</v>
      </c>
      <c r="AA49" s="80">
        <f>0.5*Q49*(K48+K50)</f>
        <v>10.000000000000009</v>
      </c>
      <c r="AB49" s="80">
        <f>0.5*Q49*(L48+L50)</f>
        <v>0</v>
      </c>
      <c r="AC49" s="342">
        <f>0.5*Q49*(M48+M50)</f>
        <v>264.0000000000002</v>
      </c>
      <c r="AD49" s="80">
        <f>0.5*Q49*(N48+N50)</f>
        <v>0</v>
      </c>
      <c r="AE49" s="98">
        <f>0.5*Q49*(O48+O50)</f>
        <v>0</v>
      </c>
      <c r="AF49" s="98">
        <f t="shared" si="0"/>
        <v>148.00000000000014</v>
      </c>
      <c r="AR49" s="5"/>
      <c r="AS49" s="13"/>
      <c r="AT49" s="7"/>
      <c r="AU49" s="7"/>
      <c r="AV49" s="7"/>
      <c r="AW49" s="7"/>
      <c r="AX49" s="7"/>
      <c r="AY49" s="7"/>
      <c r="AZ49" s="7"/>
      <c r="BA49" s="7"/>
      <c r="BB49" s="11"/>
      <c r="BC49" s="11"/>
      <c r="BD49" s="10"/>
      <c r="BE49" s="11"/>
      <c r="BF49" s="11"/>
      <c r="BG49" s="11"/>
      <c r="BH49" s="11"/>
      <c r="BI49" s="11"/>
      <c r="BJ49" s="11"/>
      <c r="BK49" s="11"/>
      <c r="BL49" s="11"/>
      <c r="BM49" s="7"/>
      <c r="BN49" s="7"/>
      <c r="BO49" s="7"/>
      <c r="BP49" s="7"/>
      <c r="BQ49" s="7"/>
      <c r="BR49" s="7"/>
      <c r="BS49" s="12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t="12.75">
      <c r="A50" s="71">
        <v>2.08</v>
      </c>
      <c r="B50" s="76">
        <v>3.4</v>
      </c>
      <c r="C50" s="335"/>
      <c r="D50" s="336"/>
      <c r="E50" s="80">
        <v>6.3</v>
      </c>
      <c r="F50" s="75">
        <v>1.5</v>
      </c>
      <c r="G50" s="340"/>
      <c r="H50" s="218">
        <v>0</v>
      </c>
      <c r="I50" s="74">
        <v>0</v>
      </c>
      <c r="J50" s="337">
        <v>0.9</v>
      </c>
      <c r="K50" s="74">
        <v>0</v>
      </c>
      <c r="L50" s="74">
        <v>0</v>
      </c>
      <c r="M50" s="334">
        <v>6.2</v>
      </c>
      <c r="N50" s="335"/>
      <c r="O50" s="76">
        <v>0</v>
      </c>
      <c r="P50" s="98">
        <v>3.6</v>
      </c>
      <c r="Q50" s="88"/>
      <c r="R50" s="79"/>
      <c r="S50" s="80"/>
      <c r="T50" s="80"/>
      <c r="U50" s="80"/>
      <c r="V50" s="79"/>
      <c r="W50" s="80"/>
      <c r="X50" s="79"/>
      <c r="Y50" s="84"/>
      <c r="Z50" s="84"/>
      <c r="AA50" s="84"/>
      <c r="AB50" s="80"/>
      <c r="AC50" s="342"/>
      <c r="AD50" s="80"/>
      <c r="AE50" s="98"/>
      <c r="AF50" s="98"/>
      <c r="AR50" s="5"/>
      <c r="AS50" s="13"/>
      <c r="AT50" s="7"/>
      <c r="AU50" s="7"/>
      <c r="AV50" s="7"/>
      <c r="AW50" s="7"/>
      <c r="AX50" s="7"/>
      <c r="AY50" s="7"/>
      <c r="AZ50" s="7"/>
      <c r="BA50" s="7"/>
      <c r="BB50" s="11"/>
      <c r="BC50" s="11"/>
      <c r="BD50" s="10"/>
      <c r="BE50" s="11"/>
      <c r="BF50" s="11"/>
      <c r="BG50" s="11"/>
      <c r="BH50" s="11"/>
      <c r="BI50" s="11"/>
      <c r="BJ50" s="11"/>
      <c r="BK50" s="11"/>
      <c r="BL50" s="11"/>
      <c r="BM50" s="7"/>
      <c r="BN50" s="7"/>
      <c r="BO50" s="7"/>
      <c r="BP50" s="7"/>
      <c r="BQ50" s="7"/>
      <c r="BR50" s="7"/>
      <c r="BS50" s="12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t="12.75">
      <c r="A51" s="71"/>
      <c r="B51" s="76"/>
      <c r="C51" s="80"/>
      <c r="D51" s="79"/>
      <c r="E51" s="80"/>
      <c r="F51" s="75"/>
      <c r="G51" s="73"/>
      <c r="H51" s="218"/>
      <c r="I51" s="80"/>
      <c r="J51" s="80"/>
      <c r="K51" s="80"/>
      <c r="L51" s="80"/>
      <c r="M51" s="76"/>
      <c r="N51" s="74"/>
      <c r="O51" s="76"/>
      <c r="P51" s="98"/>
      <c r="Q51" s="88">
        <f>1000*(A52-A50)</f>
        <v>40.000000000000036</v>
      </c>
      <c r="R51" s="79">
        <f>0.5*Q51*(B50+B52)</f>
        <v>104.0000000000001</v>
      </c>
      <c r="S51" s="80">
        <f>0.5*Q51*(C50+C52)</f>
        <v>0</v>
      </c>
      <c r="T51" s="80">
        <f>0.5*Q51*(D50+D52)</f>
        <v>0</v>
      </c>
      <c r="U51" s="80">
        <f>0.5*Q51*(E50+E52)</f>
        <v>200.00000000000017</v>
      </c>
      <c r="V51" s="79">
        <f>0.5*Q51*(F50+F52)</f>
        <v>60.00000000000006</v>
      </c>
      <c r="W51" s="80">
        <f>0.5*Q51*(J50+G52)</f>
        <v>22.00000000000002</v>
      </c>
      <c r="X51" s="79">
        <f>0.5*Q51*(H50+H52)</f>
        <v>0</v>
      </c>
      <c r="Y51" s="84">
        <v>0</v>
      </c>
      <c r="Z51" s="80">
        <f>0.5*Q51*(J50+J52)</f>
        <v>18.000000000000018</v>
      </c>
      <c r="AA51" s="80">
        <f>0.5*Q51*(K50+K52)</f>
        <v>18.000000000000018</v>
      </c>
      <c r="AB51" s="80">
        <f>0.5*Q51*(L50+L52)</f>
        <v>0</v>
      </c>
      <c r="AC51" s="342">
        <f>0.5*Q51*(M50+M52)</f>
        <v>222.00000000000023</v>
      </c>
      <c r="AD51" s="80">
        <f>0.5*Q51*(N50+N52)</f>
        <v>0</v>
      </c>
      <c r="AE51" s="98">
        <f>0.5*Q51*(O50+O52)</f>
        <v>0</v>
      </c>
      <c r="AF51" s="98">
        <f t="shared" si="0"/>
        <v>124.00000000000011</v>
      </c>
      <c r="AR51" s="5"/>
      <c r="AS51" s="13"/>
      <c r="AT51" s="7"/>
      <c r="AU51" s="7"/>
      <c r="AV51" s="7"/>
      <c r="AW51" s="7"/>
      <c r="AX51" s="7"/>
      <c r="AY51" s="7"/>
      <c r="AZ51" s="7"/>
      <c r="BA51" s="7"/>
      <c r="BB51" s="11"/>
      <c r="BC51" s="11"/>
      <c r="BD51" s="10"/>
      <c r="BE51" s="11"/>
      <c r="BF51" s="11"/>
      <c r="BG51" s="11"/>
      <c r="BH51" s="11"/>
      <c r="BI51" s="11"/>
      <c r="BJ51" s="11"/>
      <c r="BK51" s="11"/>
      <c r="BL51" s="11"/>
      <c r="BM51" s="7"/>
      <c r="BN51" s="7"/>
      <c r="BO51" s="7"/>
      <c r="BP51" s="7"/>
      <c r="BQ51" s="7"/>
      <c r="BR51" s="7"/>
      <c r="BS51" s="12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t="12.75">
      <c r="A52" s="71">
        <v>2.12</v>
      </c>
      <c r="B52" s="76">
        <v>1.8</v>
      </c>
      <c r="C52" s="335"/>
      <c r="D52" s="336"/>
      <c r="E52" s="80">
        <v>3.7</v>
      </c>
      <c r="F52" s="75">
        <v>1.5</v>
      </c>
      <c r="G52" s="73">
        <v>0.2</v>
      </c>
      <c r="H52" s="218">
        <v>0</v>
      </c>
      <c r="I52" s="80">
        <v>0</v>
      </c>
      <c r="J52" s="80"/>
      <c r="K52" s="80">
        <v>0.9</v>
      </c>
      <c r="L52" s="80">
        <v>0</v>
      </c>
      <c r="M52" s="334">
        <v>4.9</v>
      </c>
      <c r="N52" s="335"/>
      <c r="O52" s="76">
        <v>0</v>
      </c>
      <c r="P52" s="98">
        <v>2.6</v>
      </c>
      <c r="Q52" s="88"/>
      <c r="R52" s="79"/>
      <c r="S52" s="80"/>
      <c r="T52" s="80"/>
      <c r="U52" s="80"/>
      <c r="V52" s="79"/>
      <c r="W52" s="80"/>
      <c r="X52" s="79"/>
      <c r="Y52" s="84"/>
      <c r="Z52" s="84"/>
      <c r="AA52" s="84"/>
      <c r="AB52" s="80"/>
      <c r="AC52" s="342"/>
      <c r="AD52" s="80"/>
      <c r="AE52" s="98"/>
      <c r="AF52" s="98"/>
      <c r="AR52" s="5"/>
      <c r="AS52" s="13"/>
      <c r="AT52" s="7"/>
      <c r="AU52" s="7"/>
      <c r="AV52" s="7"/>
      <c r="AW52" s="7"/>
      <c r="AX52" s="7"/>
      <c r="AY52" s="7"/>
      <c r="AZ52" s="7"/>
      <c r="BA52" s="7"/>
      <c r="BB52" s="11"/>
      <c r="BC52" s="11"/>
      <c r="BD52" s="10"/>
      <c r="BE52" s="11"/>
      <c r="BF52" s="11"/>
      <c r="BG52" s="11"/>
      <c r="BH52" s="11"/>
      <c r="BI52" s="11"/>
      <c r="BJ52" s="11"/>
      <c r="BK52" s="11"/>
      <c r="BL52" s="11"/>
      <c r="BM52" s="7"/>
      <c r="BN52" s="7"/>
      <c r="BO52" s="7"/>
      <c r="BP52" s="7"/>
      <c r="BQ52" s="7"/>
      <c r="BR52" s="7"/>
      <c r="BS52" s="12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t="12.75">
      <c r="A53" s="71"/>
      <c r="B53" s="76"/>
      <c r="C53" s="80"/>
      <c r="D53" s="79"/>
      <c r="E53" s="80"/>
      <c r="F53" s="75"/>
      <c r="G53" s="73"/>
      <c r="H53" s="218"/>
      <c r="I53" s="80" t="s">
        <v>223</v>
      </c>
      <c r="J53" s="80"/>
      <c r="K53" s="80"/>
      <c r="L53" s="80"/>
      <c r="M53" s="76"/>
      <c r="N53" s="74"/>
      <c r="O53" s="76"/>
      <c r="P53" s="98"/>
      <c r="Q53" s="88">
        <f>1000*(A54-A52)</f>
        <v>20.000000000000018</v>
      </c>
      <c r="R53" s="79">
        <f>0.5*Q53*(B52+B54)</f>
        <v>18.000000000000018</v>
      </c>
      <c r="S53" s="80">
        <f>0.5*Q53*(C52+C54)</f>
        <v>0</v>
      </c>
      <c r="T53" s="80">
        <f>0.5*Q53*(D52+D54)</f>
        <v>0</v>
      </c>
      <c r="U53" s="80">
        <f>0.5*Q53*(E52+E54)</f>
        <v>45.00000000000004</v>
      </c>
      <c r="V53" s="79">
        <f>0.5*Q53*(F52+F54)</f>
        <v>35.00000000000003</v>
      </c>
      <c r="W53" s="80">
        <f>0.5*Q53*(G52+G54)</f>
        <v>4.0000000000000036</v>
      </c>
      <c r="X53" s="79">
        <f>0.5*Q53*(H52+H54)</f>
        <v>52.00000000000005</v>
      </c>
      <c r="Y53" s="84">
        <f>0.5*Q53*(I52+I54)</f>
        <v>21.00000000000002</v>
      </c>
      <c r="Z53" s="80">
        <f>0.5*Q53*(J52+J54)</f>
        <v>0</v>
      </c>
      <c r="AA53" s="80">
        <f>0.5*Q53*(K52+K54)</f>
        <v>75.00000000000007</v>
      </c>
      <c r="AB53" s="80">
        <f>0.5*Q53*(L52+L54)</f>
        <v>0</v>
      </c>
      <c r="AC53" s="342">
        <f>0.5*Q53*(M52+M54)</f>
        <v>75.00000000000007</v>
      </c>
      <c r="AD53" s="80">
        <f>0.5*Q53*(N52+N54)</f>
        <v>0</v>
      </c>
      <c r="AE53" s="98">
        <f>0.5*Q53*(O52+O54)</f>
        <v>0</v>
      </c>
      <c r="AF53" s="98">
        <f t="shared" si="0"/>
        <v>26.000000000000025</v>
      </c>
      <c r="AR53" s="5"/>
      <c r="AS53" s="13"/>
      <c r="AT53" s="7"/>
      <c r="AU53" s="7"/>
      <c r="AV53" s="7"/>
      <c r="AW53" s="7"/>
      <c r="AX53" s="7"/>
      <c r="AY53" s="7"/>
      <c r="AZ53" s="7"/>
      <c r="BA53" s="7"/>
      <c r="BB53" s="11"/>
      <c r="BC53" s="11"/>
      <c r="BD53" s="10"/>
      <c r="BE53" s="11"/>
      <c r="BF53" s="11"/>
      <c r="BG53" s="11"/>
      <c r="BH53" s="11"/>
      <c r="BI53" s="11"/>
      <c r="BJ53" s="11"/>
      <c r="BK53" s="11"/>
      <c r="BL53" s="11"/>
      <c r="BM53" s="7"/>
      <c r="BN53" s="7"/>
      <c r="BO53" s="7"/>
      <c r="BP53" s="7"/>
      <c r="BQ53" s="7"/>
      <c r="BR53" s="7"/>
      <c r="BS53" s="12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t="12.75">
      <c r="A54" s="71">
        <v>2.14</v>
      </c>
      <c r="B54" s="76">
        <v>0</v>
      </c>
      <c r="C54" s="335"/>
      <c r="D54" s="336"/>
      <c r="E54" s="80">
        <v>0.8</v>
      </c>
      <c r="F54" s="75">
        <v>2</v>
      </c>
      <c r="G54" s="73">
        <v>0.2</v>
      </c>
      <c r="H54" s="218">
        <v>5.2</v>
      </c>
      <c r="I54" s="80">
        <v>2.1</v>
      </c>
      <c r="J54" s="80"/>
      <c r="K54" s="80">
        <v>6.6</v>
      </c>
      <c r="L54" s="143">
        <v>0</v>
      </c>
      <c r="M54" s="334">
        <v>2.6</v>
      </c>
      <c r="N54" s="335"/>
      <c r="O54" s="76">
        <v>0</v>
      </c>
      <c r="P54" s="98"/>
      <c r="Q54" s="88"/>
      <c r="R54" s="79"/>
      <c r="S54" s="80"/>
      <c r="T54" s="80"/>
      <c r="U54" s="80"/>
      <c r="V54" s="79"/>
      <c r="W54" s="80"/>
      <c r="X54" s="79"/>
      <c r="Y54" s="84"/>
      <c r="Z54" s="84"/>
      <c r="AA54" s="84"/>
      <c r="AB54" s="80"/>
      <c r="AC54" s="342"/>
      <c r="AD54" s="80"/>
      <c r="AE54" s="98"/>
      <c r="AF54" s="98"/>
      <c r="AR54" s="5"/>
      <c r="AS54" s="13"/>
      <c r="AT54" s="7"/>
      <c r="AU54" s="7"/>
      <c r="AV54" s="7"/>
      <c r="AW54" s="7"/>
      <c r="AX54" s="7"/>
      <c r="AY54" s="7"/>
      <c r="AZ54" s="7"/>
      <c r="BA54" s="7"/>
      <c r="BB54" s="11"/>
      <c r="BC54" s="11"/>
      <c r="BD54" s="10"/>
      <c r="BE54" s="11"/>
      <c r="BF54" s="11"/>
      <c r="BG54" s="11"/>
      <c r="BH54" s="11"/>
      <c r="BI54" s="11"/>
      <c r="BJ54" s="11"/>
      <c r="BK54" s="11"/>
      <c r="BL54" s="11"/>
      <c r="BM54" s="7"/>
      <c r="BN54" s="7"/>
      <c r="BO54" s="7"/>
      <c r="BP54" s="7"/>
      <c r="BQ54" s="7"/>
      <c r="BR54" s="7"/>
      <c r="BS54" s="12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t="12.75">
      <c r="A55" s="71"/>
      <c r="B55" s="76"/>
      <c r="C55" s="80"/>
      <c r="D55" s="79"/>
      <c r="E55" s="80"/>
      <c r="F55" s="75"/>
      <c r="G55" s="73"/>
      <c r="H55" s="218"/>
      <c r="I55" s="80" t="s">
        <v>223</v>
      </c>
      <c r="J55" s="80"/>
      <c r="K55" s="80"/>
      <c r="L55" s="80"/>
      <c r="M55" s="76"/>
      <c r="N55" s="74"/>
      <c r="O55" s="76"/>
      <c r="P55" s="98"/>
      <c r="Q55" s="88">
        <f aca="true" t="shared" si="1" ref="Q55:Q97">1000*(A56-A54)</f>
        <v>40.000000000000036</v>
      </c>
      <c r="R55" s="79">
        <f>0.5*Q55*(B54+B56)</f>
        <v>2.0000000000000018</v>
      </c>
      <c r="S55" s="80">
        <f>0.5*Q55*(C54+C56)</f>
        <v>0</v>
      </c>
      <c r="T55" s="80">
        <f>0.5*Q55*(D54+D56)</f>
        <v>0</v>
      </c>
      <c r="U55" s="80">
        <f>0.5*Q55*(E54+E56)</f>
        <v>32.00000000000003</v>
      </c>
      <c r="V55" s="79">
        <f>0.5*Q55*(F54+F56)</f>
        <v>55.00000000000005</v>
      </c>
      <c r="W55" s="80">
        <f>0.5*Q55*(G54+G56)</f>
        <v>8.000000000000007</v>
      </c>
      <c r="X55" s="79">
        <f>0.5*Q55*(H54+H56)</f>
        <v>168.00000000000017</v>
      </c>
      <c r="Y55" s="84">
        <f>0.5*Q55*(I54+I56)</f>
        <v>42.00000000000004</v>
      </c>
      <c r="Z55" s="80">
        <f>0.5*Q55*(J54+J56)</f>
        <v>0</v>
      </c>
      <c r="AA55" s="80">
        <f>0.5*Q55*(K54+K56)</f>
        <v>224.00000000000017</v>
      </c>
      <c r="AB55" s="80">
        <f>0.5*Q55*(L54+L56)</f>
        <v>0</v>
      </c>
      <c r="AC55" s="342">
        <f>0.5*Q55*(M54+M56)</f>
        <v>90.00000000000009</v>
      </c>
      <c r="AD55" s="80">
        <f>0.5*Q55*(N54+N56)</f>
        <v>0</v>
      </c>
      <c r="AE55" s="98">
        <f>0.5*Q55*(O54+O56)</f>
        <v>0</v>
      </c>
      <c r="AF55" s="98">
        <f t="shared" si="0"/>
        <v>0</v>
      </c>
      <c r="AR55" s="5"/>
      <c r="AS55" s="13"/>
      <c r="AT55" s="7"/>
      <c r="AU55" s="7"/>
      <c r="AV55" s="7"/>
      <c r="AW55" s="7"/>
      <c r="AX55" s="7"/>
      <c r="AY55" s="7"/>
      <c r="AZ55" s="7"/>
      <c r="BA55" s="7"/>
      <c r="BB55" s="11"/>
      <c r="BC55" s="11"/>
      <c r="BD55" s="10"/>
      <c r="BE55" s="11"/>
      <c r="BF55" s="11"/>
      <c r="BG55" s="11"/>
      <c r="BH55" s="11"/>
      <c r="BI55" s="11"/>
      <c r="BJ55" s="11"/>
      <c r="BK55" s="11"/>
      <c r="BL55" s="11"/>
      <c r="BM55" s="7"/>
      <c r="BN55" s="7"/>
      <c r="BO55" s="7"/>
      <c r="BP55" s="7"/>
      <c r="BQ55" s="7"/>
      <c r="BR55" s="7"/>
      <c r="BS55" s="12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t="12.75">
      <c r="A56" s="71">
        <v>2.18</v>
      </c>
      <c r="B56" s="76">
        <v>0.1</v>
      </c>
      <c r="C56" s="335"/>
      <c r="D56" s="336"/>
      <c r="E56" s="80">
        <v>0.8</v>
      </c>
      <c r="F56" s="75">
        <v>0.75</v>
      </c>
      <c r="G56" s="73">
        <v>0.2</v>
      </c>
      <c r="H56" s="218">
        <v>3.2</v>
      </c>
      <c r="I56" s="80">
        <v>0</v>
      </c>
      <c r="J56" s="80"/>
      <c r="K56" s="80">
        <v>4.6</v>
      </c>
      <c r="L56" s="143">
        <v>0</v>
      </c>
      <c r="M56" s="334">
        <v>1.9</v>
      </c>
      <c r="N56" s="335"/>
      <c r="O56" s="76">
        <v>0</v>
      </c>
      <c r="P56" s="98"/>
      <c r="Q56" s="88"/>
      <c r="R56" s="79"/>
      <c r="S56" s="80"/>
      <c r="T56" s="80"/>
      <c r="U56" s="80"/>
      <c r="V56" s="79"/>
      <c r="W56" s="80"/>
      <c r="X56" s="79"/>
      <c r="Y56" s="84"/>
      <c r="Z56" s="84"/>
      <c r="AA56" s="84"/>
      <c r="AB56" s="80"/>
      <c r="AC56" s="342"/>
      <c r="AD56" s="80"/>
      <c r="AE56" s="98"/>
      <c r="AF56" s="98"/>
      <c r="AR56" s="5"/>
      <c r="AS56" s="13"/>
      <c r="AT56" s="7"/>
      <c r="AU56" s="7"/>
      <c r="AV56" s="7"/>
      <c r="AW56" s="7"/>
      <c r="AX56" s="7"/>
      <c r="AY56" s="7"/>
      <c r="AZ56" s="7"/>
      <c r="BA56" s="7"/>
      <c r="BB56" s="11"/>
      <c r="BC56" s="11"/>
      <c r="BD56" s="10"/>
      <c r="BE56" s="11"/>
      <c r="BF56" s="11"/>
      <c r="BG56" s="11"/>
      <c r="BH56" s="11"/>
      <c r="BI56" s="11"/>
      <c r="BJ56" s="11"/>
      <c r="BK56" s="11"/>
      <c r="BL56" s="11"/>
      <c r="BM56" s="7"/>
      <c r="BN56" s="7"/>
      <c r="BO56" s="7"/>
      <c r="BP56" s="7"/>
      <c r="BQ56" s="7"/>
      <c r="BR56" s="7"/>
      <c r="BS56" s="12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t="12.75">
      <c r="A57" s="71"/>
      <c r="B57" s="76"/>
      <c r="C57" s="80"/>
      <c r="D57" s="79"/>
      <c r="E57" s="80"/>
      <c r="F57" s="75"/>
      <c r="G57" s="73"/>
      <c r="H57" s="218"/>
      <c r="I57" s="80"/>
      <c r="J57" s="80"/>
      <c r="K57" s="80"/>
      <c r="L57" s="80"/>
      <c r="N57" s="74"/>
      <c r="O57" s="76"/>
      <c r="P57" s="98"/>
      <c r="Q57" s="88">
        <f t="shared" si="1"/>
        <v>40.000000000000036</v>
      </c>
      <c r="R57" s="79">
        <f>0.5*Q57*(B56+B58)</f>
        <v>40.000000000000036</v>
      </c>
      <c r="S57" s="80">
        <f>0.5*Q57*(C56+C58)</f>
        <v>0</v>
      </c>
      <c r="T57" s="80">
        <f>0.5*Q57*(D56+D58)</f>
        <v>0</v>
      </c>
      <c r="U57" s="80">
        <f>0.5*Q57*(E56+E58)</f>
        <v>26.000000000000025</v>
      </c>
      <c r="V57" s="79">
        <f>0.5*Q57*(F56+F58)</f>
        <v>45.00000000000004</v>
      </c>
      <c r="W57" s="80">
        <f>0.5*Q57*(G56+J58)</f>
        <v>22.00000000000002</v>
      </c>
      <c r="X57" s="79">
        <f>0.5*Q57*(H56+H58)</f>
        <v>64.00000000000006</v>
      </c>
      <c r="Y57" s="84">
        <f>0.5*Q57*(I56+I58)</f>
        <v>0</v>
      </c>
      <c r="Z57" s="80">
        <f>0.5*Q57*(J56+J58)</f>
        <v>18.000000000000018</v>
      </c>
      <c r="AA57" s="80">
        <f>0.5*Q57*(K56+K58)</f>
        <v>92.00000000000007</v>
      </c>
      <c r="AB57" s="80">
        <f>0.5*Q57*(L56+L58)</f>
        <v>0</v>
      </c>
      <c r="AC57" s="342">
        <f>0.5*Q57*(M56+M58)</f>
        <v>128.0000000000001</v>
      </c>
      <c r="AD57" s="80">
        <f>0.5*Q57*(N56+N58)</f>
        <v>0</v>
      </c>
      <c r="AE57" s="98">
        <f>0.5*Q57*(O56+O58)</f>
        <v>0</v>
      </c>
      <c r="AF57" s="98">
        <f t="shared" si="0"/>
        <v>54.00000000000005</v>
      </c>
      <c r="AR57" s="5"/>
      <c r="AS57" s="13"/>
      <c r="AT57" s="7"/>
      <c r="AU57" s="7"/>
      <c r="AV57" s="7"/>
      <c r="AW57" s="7"/>
      <c r="AX57" s="7"/>
      <c r="AY57" s="7"/>
      <c r="AZ57" s="7"/>
      <c r="BA57" s="7"/>
      <c r="BB57" s="11"/>
      <c r="BC57" s="11"/>
      <c r="BD57" s="10"/>
      <c r="BE57" s="11"/>
      <c r="BF57" s="11"/>
      <c r="BG57" s="11"/>
      <c r="BH57" s="11"/>
      <c r="BI57" s="11"/>
      <c r="BJ57" s="11"/>
      <c r="BK57" s="11"/>
      <c r="BL57" s="11"/>
      <c r="BM57" s="7"/>
      <c r="BN57" s="7"/>
      <c r="BO57" s="7"/>
      <c r="BP57" s="7"/>
      <c r="BQ57" s="7"/>
      <c r="BR57" s="7"/>
      <c r="BS57" s="12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t="12.75">
      <c r="A58" s="71">
        <v>2.22</v>
      </c>
      <c r="B58" s="76">
        <v>1.9</v>
      </c>
      <c r="C58" s="335"/>
      <c r="D58" s="336"/>
      <c r="E58" s="80">
        <v>0.5</v>
      </c>
      <c r="F58" s="75">
        <v>1.5</v>
      </c>
      <c r="G58" s="340"/>
      <c r="H58" s="218">
        <v>0</v>
      </c>
      <c r="I58" s="80">
        <v>0</v>
      </c>
      <c r="J58" s="337">
        <v>0.9</v>
      </c>
      <c r="K58" s="80">
        <v>0</v>
      </c>
      <c r="L58" s="143">
        <v>0</v>
      </c>
      <c r="M58" s="334">
        <v>4.5</v>
      </c>
      <c r="N58" s="335"/>
      <c r="O58" s="76">
        <v>0</v>
      </c>
      <c r="P58" s="98">
        <v>2.7</v>
      </c>
      <c r="Q58" s="88"/>
      <c r="R58" s="79"/>
      <c r="S58" s="80"/>
      <c r="T58" s="80"/>
      <c r="U58" s="80"/>
      <c r="V58" s="79"/>
      <c r="W58" s="80"/>
      <c r="X58" s="79"/>
      <c r="Y58" s="84"/>
      <c r="Z58" s="84"/>
      <c r="AA58" s="84"/>
      <c r="AB58" s="80"/>
      <c r="AC58" s="342"/>
      <c r="AD58" s="80"/>
      <c r="AE58" s="98"/>
      <c r="AF58" s="98"/>
      <c r="AG58" s="2"/>
      <c r="AR58" s="5"/>
      <c r="AS58" s="13"/>
      <c r="AT58" s="7"/>
      <c r="AU58" s="7"/>
      <c r="AV58" s="7"/>
      <c r="AW58" s="7"/>
      <c r="AX58" s="7"/>
      <c r="AY58" s="7"/>
      <c r="AZ58" s="7"/>
      <c r="BA58" s="7"/>
      <c r="BB58" s="11"/>
      <c r="BC58" s="11"/>
      <c r="BD58" s="10"/>
      <c r="BE58" s="11"/>
      <c r="BF58" s="11"/>
      <c r="BG58" s="11"/>
      <c r="BH58" s="11"/>
      <c r="BI58" s="11"/>
      <c r="BJ58" s="11"/>
      <c r="BK58" s="11"/>
      <c r="BL58" s="11"/>
      <c r="BM58" s="7"/>
      <c r="BN58" s="7"/>
      <c r="BO58" s="7"/>
      <c r="BP58" s="7"/>
      <c r="BQ58" s="7"/>
      <c r="BR58" s="7"/>
      <c r="BS58" s="12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t="12.75">
      <c r="A59" s="71"/>
      <c r="B59" s="76"/>
      <c r="C59" s="80"/>
      <c r="D59" s="79"/>
      <c r="E59" s="80"/>
      <c r="F59" s="75"/>
      <c r="G59" s="340"/>
      <c r="H59" s="218"/>
      <c r="I59" s="80"/>
      <c r="J59" s="73"/>
      <c r="K59" s="80"/>
      <c r="L59" s="80"/>
      <c r="M59" s="76"/>
      <c r="N59" s="74"/>
      <c r="O59" s="76"/>
      <c r="P59" s="98"/>
      <c r="Q59" s="88">
        <f t="shared" si="1"/>
        <v>39.99999999999959</v>
      </c>
      <c r="R59" s="79">
        <f>0.5*Q59*(B58+B60)</f>
        <v>69.99999999999928</v>
      </c>
      <c r="S59" s="80">
        <f>0.5*Q59*(C58+C60)</f>
        <v>0</v>
      </c>
      <c r="T59" s="80">
        <f>0.5*Q59*(D58+D60)</f>
        <v>0</v>
      </c>
      <c r="U59" s="80">
        <f>0.5*Q59*(E58+E60)</f>
        <v>25.999999999999734</v>
      </c>
      <c r="V59" s="79">
        <f>0.5*Q59*(F58+F60)</f>
        <v>59.99999999999938</v>
      </c>
      <c r="W59" s="80">
        <f>0.5*Q59*(J58+J60)</f>
        <v>35.99999999999963</v>
      </c>
      <c r="X59" s="79">
        <f>0.5*Q59*(H58+H60)</f>
        <v>0</v>
      </c>
      <c r="Y59" s="84">
        <f>0.5*Q59*(I58+I60)</f>
        <v>0</v>
      </c>
      <c r="Z59" s="80">
        <f>0.5*Q59*(J58+J60)</f>
        <v>35.99999999999963</v>
      </c>
      <c r="AA59" s="80">
        <f>0.5*Q59*(K58+K60)</f>
        <v>0</v>
      </c>
      <c r="AB59" s="80">
        <f>0.5*Q59*(L58+L60)</f>
        <v>0</v>
      </c>
      <c r="AC59" s="342">
        <f>0.5*Q59*(M58+M60)</f>
        <v>129.99999999999866</v>
      </c>
      <c r="AD59" s="80">
        <f>0.5*Q59*(N58+N60)</f>
        <v>0</v>
      </c>
      <c r="AE59" s="98">
        <f>0.5*Q59*(O58+O60)</f>
        <v>0</v>
      </c>
      <c r="AF59" s="98">
        <f t="shared" si="0"/>
        <v>105.99999999999892</v>
      </c>
      <c r="AG59" s="2"/>
      <c r="AR59" s="5"/>
      <c r="AS59" s="13"/>
      <c r="AT59" s="7"/>
      <c r="AU59" s="7"/>
      <c r="AV59" s="7"/>
      <c r="AW59" s="7"/>
      <c r="AX59" s="7"/>
      <c r="AY59" s="7"/>
      <c r="AZ59" s="7"/>
      <c r="BA59" s="7"/>
      <c r="BB59" s="11"/>
      <c r="BC59" s="11"/>
      <c r="BD59" s="10"/>
      <c r="BE59" s="11"/>
      <c r="BF59" s="11"/>
      <c r="BG59" s="11"/>
      <c r="BH59" s="11"/>
      <c r="BI59" s="11"/>
      <c r="BJ59" s="11"/>
      <c r="BK59" s="11"/>
      <c r="BL59" s="11"/>
      <c r="BM59" s="7"/>
      <c r="BN59" s="7"/>
      <c r="BO59" s="7"/>
      <c r="BP59" s="7"/>
      <c r="BQ59" s="7"/>
      <c r="BR59" s="7"/>
      <c r="BS59" s="12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t="12.75">
      <c r="A60" s="71">
        <v>2.26</v>
      </c>
      <c r="B60" s="76">
        <v>1.6</v>
      </c>
      <c r="C60" s="335"/>
      <c r="D60" s="336"/>
      <c r="E60" s="80">
        <v>0.8</v>
      </c>
      <c r="F60" s="75">
        <v>1.5</v>
      </c>
      <c r="G60" s="340"/>
      <c r="H60" s="218">
        <v>0</v>
      </c>
      <c r="I60" s="80">
        <v>0</v>
      </c>
      <c r="J60" s="337">
        <v>0.9</v>
      </c>
      <c r="K60" s="80">
        <v>0</v>
      </c>
      <c r="L60" s="80">
        <v>0</v>
      </c>
      <c r="M60" s="334">
        <v>2</v>
      </c>
      <c r="N60" s="335"/>
      <c r="O60" s="76">
        <v>0</v>
      </c>
      <c r="P60" s="98">
        <v>2.6</v>
      </c>
      <c r="Q60" s="88"/>
      <c r="R60" s="79"/>
      <c r="S60" s="80"/>
      <c r="T60" s="80"/>
      <c r="U60" s="80"/>
      <c r="V60" s="79"/>
      <c r="W60" s="80"/>
      <c r="X60" s="79"/>
      <c r="Y60" s="84"/>
      <c r="Z60" s="84"/>
      <c r="AA60" s="84"/>
      <c r="AB60" s="80"/>
      <c r="AC60" s="342"/>
      <c r="AD60" s="80"/>
      <c r="AE60" s="98"/>
      <c r="AF60" s="98"/>
      <c r="AG60" s="2"/>
      <c r="AR60" s="5"/>
      <c r="AS60" s="13"/>
      <c r="AT60" s="7"/>
      <c r="AU60" s="7"/>
      <c r="AV60" s="7"/>
      <c r="AW60" s="7"/>
      <c r="AX60" s="7"/>
      <c r="AY60" s="7"/>
      <c r="AZ60" s="7"/>
      <c r="BA60" s="7"/>
      <c r="BB60" s="11"/>
      <c r="BC60" s="11"/>
      <c r="BD60" s="10"/>
      <c r="BE60" s="11"/>
      <c r="BF60" s="11"/>
      <c r="BG60" s="11"/>
      <c r="BH60" s="11"/>
      <c r="BI60" s="11"/>
      <c r="BJ60" s="11"/>
      <c r="BK60" s="11"/>
      <c r="BL60" s="11"/>
      <c r="BM60" s="7"/>
      <c r="BN60" s="7"/>
      <c r="BO60" s="7"/>
      <c r="BP60" s="7"/>
      <c r="BQ60" s="7"/>
      <c r="BR60" s="7"/>
      <c r="BS60" s="12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t="12.75">
      <c r="A61" s="71"/>
      <c r="B61" s="76"/>
      <c r="C61" s="80"/>
      <c r="D61" s="79"/>
      <c r="E61" s="80"/>
      <c r="F61" s="75"/>
      <c r="G61" s="73"/>
      <c r="H61" s="218"/>
      <c r="I61" s="80"/>
      <c r="J61" s="80"/>
      <c r="K61" s="80"/>
      <c r="L61" s="80"/>
      <c r="M61" s="76"/>
      <c r="N61" s="74"/>
      <c r="O61" s="76"/>
      <c r="P61" s="98"/>
      <c r="Q61" s="88">
        <f t="shared" si="1"/>
        <v>60.00000000000006</v>
      </c>
      <c r="R61" s="79">
        <f>0.5*Q61*(B60+B62)</f>
        <v>75.00000000000007</v>
      </c>
      <c r="S61" s="80">
        <f>0.5*Q61*(C60+C62)</f>
        <v>0</v>
      </c>
      <c r="T61" s="80">
        <f>0.5*Q61*(D60+D62)</f>
        <v>0</v>
      </c>
      <c r="U61" s="80">
        <f>0.5*Q61*(E60+E62)</f>
        <v>45.00000000000004</v>
      </c>
      <c r="V61" s="79">
        <f>0.5*Q61*(F60+F62)</f>
        <v>90.00000000000009</v>
      </c>
      <c r="W61" s="80">
        <f>0.5*Q61*(J60+G62)</f>
        <v>27.000000000000025</v>
      </c>
      <c r="X61" s="79">
        <f>0.5*Q61*(H60+H62)</f>
        <v>0</v>
      </c>
      <c r="Y61" s="84">
        <f>0.5*Q61*(I60+I62)</f>
        <v>0</v>
      </c>
      <c r="Z61" s="80">
        <f>0.5*Q61*(J60+J62)</f>
        <v>42.000000000000036</v>
      </c>
      <c r="AA61" s="80">
        <f>0.5*Q61*(K60+K62)</f>
        <v>0</v>
      </c>
      <c r="AB61" s="80">
        <f>0.5*Q61*(L60+L62)</f>
        <v>0</v>
      </c>
      <c r="AC61" s="342">
        <f>0.5*Q61*(M60+M62)</f>
        <v>183.00000000000017</v>
      </c>
      <c r="AD61" s="80">
        <f>0.5*Q61*(N60+N62)</f>
        <v>0</v>
      </c>
      <c r="AE61" s="98">
        <f>0.5*Q61*(O60+O62)</f>
        <v>0</v>
      </c>
      <c r="AF61" s="98">
        <f t="shared" si="0"/>
        <v>123.0000000000001</v>
      </c>
      <c r="AG61" s="2"/>
      <c r="AR61" s="5"/>
      <c r="AS61" s="13"/>
      <c r="AT61" s="7"/>
      <c r="AU61" s="7"/>
      <c r="AV61" s="7"/>
      <c r="AW61" s="7"/>
      <c r="AX61" s="7"/>
      <c r="AY61" s="7"/>
      <c r="AZ61" s="7"/>
      <c r="BA61" s="7"/>
      <c r="BB61" s="11"/>
      <c r="BC61" s="11"/>
      <c r="BD61" s="10"/>
      <c r="BE61" s="11"/>
      <c r="BF61" s="11"/>
      <c r="BG61" s="11"/>
      <c r="BH61" s="11"/>
      <c r="BI61" s="11"/>
      <c r="BJ61" s="11"/>
      <c r="BK61" s="11"/>
      <c r="BL61" s="11"/>
      <c r="BM61" s="7"/>
      <c r="BN61" s="7"/>
      <c r="BO61" s="7"/>
      <c r="BP61" s="7"/>
      <c r="BQ61" s="7"/>
      <c r="BR61" s="7"/>
      <c r="BS61" s="12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t="12.75">
      <c r="A62" s="71">
        <v>2.32</v>
      </c>
      <c r="B62" s="76">
        <v>0.9</v>
      </c>
      <c r="C62" s="335"/>
      <c r="D62" s="336"/>
      <c r="E62" s="80">
        <v>0.7</v>
      </c>
      <c r="F62" s="75">
        <v>1.5</v>
      </c>
      <c r="G62" s="73">
        <v>0</v>
      </c>
      <c r="H62" s="218">
        <v>0</v>
      </c>
      <c r="I62" s="80">
        <v>0</v>
      </c>
      <c r="J62" s="341">
        <v>0.5</v>
      </c>
      <c r="K62" s="80">
        <v>0</v>
      </c>
      <c r="L62" s="80">
        <v>0</v>
      </c>
      <c r="M62" s="334">
        <v>4.1</v>
      </c>
      <c r="N62" s="335"/>
      <c r="O62" s="76">
        <v>0</v>
      </c>
      <c r="P62" s="98">
        <v>1.5</v>
      </c>
      <c r="Q62" s="88"/>
      <c r="R62" s="79"/>
      <c r="S62" s="80"/>
      <c r="T62" s="80"/>
      <c r="U62" s="80"/>
      <c r="V62" s="79"/>
      <c r="W62" s="80"/>
      <c r="X62" s="79"/>
      <c r="Y62" s="84"/>
      <c r="Z62" s="84"/>
      <c r="AA62" s="84"/>
      <c r="AB62" s="80"/>
      <c r="AC62" s="342"/>
      <c r="AD62" s="80"/>
      <c r="AE62" s="98"/>
      <c r="AF62" s="98"/>
      <c r="AG62" s="2"/>
      <c r="AR62" s="5"/>
      <c r="AS62" s="13"/>
      <c r="AT62" s="7"/>
      <c r="AU62" s="7"/>
      <c r="AV62" s="7"/>
      <c r="AW62" s="7"/>
      <c r="AX62" s="7"/>
      <c r="AY62" s="7"/>
      <c r="AZ62" s="7"/>
      <c r="BA62" s="7"/>
      <c r="BB62" s="11"/>
      <c r="BC62" s="11"/>
      <c r="BD62" s="10"/>
      <c r="BE62" s="11"/>
      <c r="BF62" s="11"/>
      <c r="BG62" s="11"/>
      <c r="BH62" s="11"/>
      <c r="BI62" s="11"/>
      <c r="BJ62" s="11"/>
      <c r="BK62" s="11"/>
      <c r="BL62" s="11"/>
      <c r="BM62" s="7"/>
      <c r="BN62" s="7"/>
      <c r="BO62" s="7"/>
      <c r="BP62" s="7"/>
      <c r="BQ62" s="7"/>
      <c r="BR62" s="7"/>
      <c r="BS62" s="12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t="12.75">
      <c r="A63" s="71"/>
      <c r="B63" s="76"/>
      <c r="C63" s="80"/>
      <c r="D63" s="79"/>
      <c r="E63" s="80"/>
      <c r="F63" s="75"/>
      <c r="G63" s="73"/>
      <c r="H63" s="218"/>
      <c r="I63" s="80"/>
      <c r="J63" s="80"/>
      <c r="K63" s="80"/>
      <c r="L63" s="80"/>
      <c r="M63" s="76"/>
      <c r="N63" s="74"/>
      <c r="O63" s="76"/>
      <c r="P63" s="98"/>
      <c r="Q63" s="88">
        <f t="shared" si="1"/>
        <v>60.00000000000006</v>
      </c>
      <c r="R63" s="79">
        <f>0.5*Q63*(B62+B64)</f>
        <v>27.000000000000025</v>
      </c>
      <c r="S63" s="80">
        <f>0.5*Q63*(C62+C64)</f>
        <v>0</v>
      </c>
      <c r="T63" s="80">
        <f>0.5*Q63*(D62+D64)</f>
        <v>0</v>
      </c>
      <c r="U63" s="80">
        <f>0.5*Q63*(E62+E64)</f>
        <v>21.000000000000018</v>
      </c>
      <c r="V63" s="79">
        <f>0.5*Q63*(F62+F64)</f>
        <v>90.00000000000009</v>
      </c>
      <c r="W63" s="80">
        <f>0.5*Q63*(G62+G64)</f>
        <v>4.500000000000004</v>
      </c>
      <c r="X63" s="79">
        <f>0.5*Q63*(H62+H64)</f>
        <v>0</v>
      </c>
      <c r="Y63" s="84">
        <f>0.5*Q63*(I62+I64)</f>
        <v>0</v>
      </c>
      <c r="Z63" s="80">
        <f>0.5*Q63*(J62+J64)</f>
        <v>15.000000000000014</v>
      </c>
      <c r="AA63" s="80">
        <f>0.5*Q63*(K62+K64)</f>
        <v>0</v>
      </c>
      <c r="AB63" s="80">
        <f>0.5*Q63*(L62+L64)</f>
        <v>0</v>
      </c>
      <c r="AC63" s="342">
        <f>0.5*Q63*(M62+M64)</f>
        <v>267.0000000000002</v>
      </c>
      <c r="AD63" s="80">
        <f>0.5*Q63*(N62+N64)</f>
        <v>0</v>
      </c>
      <c r="AE63" s="98">
        <f>0.5*Q63*(O62+O64)</f>
        <v>63.000000000000064</v>
      </c>
      <c r="AF63" s="98">
        <f t="shared" si="0"/>
        <v>45.00000000000004</v>
      </c>
      <c r="AG63" s="2"/>
      <c r="AR63" s="5"/>
      <c r="AS63" s="13"/>
      <c r="AT63" s="7"/>
      <c r="AU63" s="7"/>
      <c r="AV63" s="7"/>
      <c r="AW63" s="7"/>
      <c r="AX63" s="7"/>
      <c r="AY63" s="7"/>
      <c r="AZ63" s="7"/>
      <c r="BA63" s="7"/>
      <c r="BB63" s="11"/>
      <c r="BC63" s="11"/>
      <c r="BD63" s="10"/>
      <c r="BE63" s="11"/>
      <c r="BF63" s="11"/>
      <c r="BG63" s="11"/>
      <c r="BH63" s="11"/>
      <c r="BI63" s="11"/>
      <c r="BJ63" s="11"/>
      <c r="BK63" s="11"/>
      <c r="BL63" s="11"/>
      <c r="BM63" s="7"/>
      <c r="BN63" s="7"/>
      <c r="BO63" s="7"/>
      <c r="BP63" s="7"/>
      <c r="BQ63" s="7"/>
      <c r="BR63" s="7"/>
      <c r="BS63" s="12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t="12.75">
      <c r="A64" s="71">
        <v>2.38</v>
      </c>
      <c r="B64" s="76">
        <v>0</v>
      </c>
      <c r="C64" s="335"/>
      <c r="D64" s="336"/>
      <c r="E64" s="80">
        <v>0</v>
      </c>
      <c r="F64" s="75">
        <v>1.5</v>
      </c>
      <c r="G64" s="144">
        <v>0.15</v>
      </c>
      <c r="H64" s="218">
        <v>0</v>
      </c>
      <c r="I64" s="80">
        <v>0</v>
      </c>
      <c r="J64" s="80">
        <v>0</v>
      </c>
      <c r="K64" s="80">
        <v>0</v>
      </c>
      <c r="L64" s="80">
        <v>0</v>
      </c>
      <c r="M64" s="334">
        <v>4.8</v>
      </c>
      <c r="N64" s="335"/>
      <c r="O64" s="343">
        <v>2.1</v>
      </c>
      <c r="P64" s="98">
        <v>0</v>
      </c>
      <c r="Q64" s="88"/>
      <c r="R64" s="79"/>
      <c r="S64" s="80"/>
      <c r="T64" s="80"/>
      <c r="U64" s="80"/>
      <c r="V64" s="79"/>
      <c r="W64" s="80"/>
      <c r="X64" s="79"/>
      <c r="Y64" s="84"/>
      <c r="Z64" s="84"/>
      <c r="AA64" s="84"/>
      <c r="AB64" s="80"/>
      <c r="AC64" s="342"/>
      <c r="AD64" s="80"/>
      <c r="AE64" s="98"/>
      <c r="AF64" s="98"/>
      <c r="AG64" s="2"/>
      <c r="AR64" s="5"/>
      <c r="AS64" s="13"/>
      <c r="AT64" s="7"/>
      <c r="AU64" s="7"/>
      <c r="AV64" s="7"/>
      <c r="AW64" s="7"/>
      <c r="AX64" s="7"/>
      <c r="AY64" s="7"/>
      <c r="AZ64" s="7"/>
      <c r="BA64" s="7"/>
      <c r="BB64" s="11"/>
      <c r="BC64" s="11"/>
      <c r="BD64" s="10"/>
      <c r="BE64" s="11"/>
      <c r="BF64" s="11"/>
      <c r="BG64" s="11"/>
      <c r="BH64" s="11"/>
      <c r="BI64" s="11"/>
      <c r="BJ64" s="11"/>
      <c r="BK64" s="11"/>
      <c r="BL64" s="11"/>
      <c r="BM64" s="7"/>
      <c r="BN64" s="7"/>
      <c r="BO64" s="7"/>
      <c r="BP64" s="7"/>
      <c r="BQ64" s="7"/>
      <c r="BR64" s="7"/>
      <c r="BS64" s="12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t="12.75">
      <c r="A65" s="71"/>
      <c r="B65" s="76"/>
      <c r="C65" s="80"/>
      <c r="D65" s="79"/>
      <c r="E65" s="80"/>
      <c r="F65" s="75"/>
      <c r="G65" s="73"/>
      <c r="H65" s="218"/>
      <c r="I65" s="80"/>
      <c r="J65" s="80"/>
      <c r="K65" s="80"/>
      <c r="L65" s="80"/>
      <c r="M65" s="76"/>
      <c r="N65" s="74"/>
      <c r="O65" s="76"/>
      <c r="P65" s="98"/>
      <c r="Q65" s="88">
        <f t="shared" si="1"/>
        <v>40.000000000000036</v>
      </c>
      <c r="R65" s="79">
        <f>0.5*Q65*(B64+B66)</f>
        <v>40.000000000000036</v>
      </c>
      <c r="S65" s="80">
        <v>0</v>
      </c>
      <c r="T65" s="80">
        <f>0.5*Q65*(D64+D66)</f>
        <v>0</v>
      </c>
      <c r="U65" s="80">
        <f>0.5*Q65*(E64+E66)</f>
        <v>18.000000000000018</v>
      </c>
      <c r="V65" s="79">
        <f>0.5*Q65*(F64+F66)</f>
        <v>60.00000000000006</v>
      </c>
      <c r="W65" s="80">
        <f>0.5*Q65*(G64+G66)</f>
        <v>3.0000000000000027</v>
      </c>
      <c r="X65" s="79">
        <f>0.5*Q65*(H64+H66)</f>
        <v>22.00000000000002</v>
      </c>
      <c r="Y65" s="84">
        <f>0.5*Q65*(I64+I66)</f>
        <v>24.00000000000002</v>
      </c>
      <c r="Z65" s="80">
        <f>0.5*Q65*(J64+J66)</f>
        <v>18.000000000000018</v>
      </c>
      <c r="AA65" s="80">
        <f>0.5*Q65*(K64+K66)</f>
        <v>24.00000000000002</v>
      </c>
      <c r="AB65" s="80">
        <f>0.5*Q65*(L64+L66)</f>
        <v>0</v>
      </c>
      <c r="AC65" s="342">
        <f>0.5*Q65*(M64+M66)</f>
        <v>178.00000000000014</v>
      </c>
      <c r="AD65" s="80">
        <f>0.5*Q65*(N64+N66)</f>
        <v>0</v>
      </c>
      <c r="AE65" s="98">
        <f>0.5*Q65*(O64+O66)</f>
        <v>84.00000000000009</v>
      </c>
      <c r="AF65" s="98">
        <f t="shared" si="0"/>
        <v>56.00000000000004</v>
      </c>
      <c r="AG65" s="2"/>
      <c r="AR65" s="5"/>
      <c r="AS65" s="13"/>
      <c r="AT65" s="7"/>
      <c r="AU65" s="7"/>
      <c r="AV65" s="7"/>
      <c r="AW65" s="7"/>
      <c r="AX65" s="7"/>
      <c r="AY65" s="7"/>
      <c r="AZ65" s="7"/>
      <c r="BA65" s="7"/>
      <c r="BB65" s="11"/>
      <c r="BC65" s="11"/>
      <c r="BD65" s="10"/>
      <c r="BE65" s="11"/>
      <c r="BF65" s="11"/>
      <c r="BG65" s="11"/>
      <c r="BH65" s="11"/>
      <c r="BI65" s="11"/>
      <c r="BJ65" s="11"/>
      <c r="BK65" s="11"/>
      <c r="BL65" s="11"/>
      <c r="BM65" s="7"/>
      <c r="BN65" s="7"/>
      <c r="BO65" s="7"/>
      <c r="BP65" s="7"/>
      <c r="BQ65" s="7"/>
      <c r="BR65" s="7"/>
      <c r="BS65" s="12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t="12.75">
      <c r="A66" s="71">
        <v>2.42</v>
      </c>
      <c r="B66" s="76">
        <v>2</v>
      </c>
      <c r="C66" s="335"/>
      <c r="D66" s="336"/>
      <c r="E66" s="80">
        <v>0.9</v>
      </c>
      <c r="F66" s="75">
        <v>1.5</v>
      </c>
      <c r="G66" s="73">
        <v>0</v>
      </c>
      <c r="H66" s="218">
        <v>1.1</v>
      </c>
      <c r="I66" s="80">
        <v>1.2</v>
      </c>
      <c r="J66" s="341">
        <v>0.9</v>
      </c>
      <c r="K66" s="80">
        <v>1.2</v>
      </c>
      <c r="L66" s="80">
        <v>0</v>
      </c>
      <c r="M66" s="334">
        <v>4.1</v>
      </c>
      <c r="N66" s="335"/>
      <c r="O66" s="343">
        <v>2.1</v>
      </c>
      <c r="P66" s="98">
        <v>2.8</v>
      </c>
      <c r="Q66" s="88"/>
      <c r="R66" s="79"/>
      <c r="S66" s="80"/>
      <c r="T66" s="80"/>
      <c r="U66" s="80"/>
      <c r="V66" s="79"/>
      <c r="W66" s="80"/>
      <c r="X66" s="79"/>
      <c r="Y66" s="84"/>
      <c r="Z66" s="84"/>
      <c r="AA66" s="84"/>
      <c r="AB66" s="80"/>
      <c r="AC66" s="342"/>
      <c r="AD66" s="80"/>
      <c r="AE66" s="98"/>
      <c r="AF66" s="98"/>
      <c r="AG66" s="2">
        <f>448.5*0.5+355+264+506*0.5</f>
        <v>1096.25</v>
      </c>
      <c r="AR66" s="5"/>
      <c r="AS66" s="13"/>
      <c r="AT66" s="7"/>
      <c r="AU66" s="7"/>
      <c r="AV66" s="7"/>
      <c r="AW66" s="7"/>
      <c r="AX66" s="7"/>
      <c r="AY66" s="7"/>
      <c r="AZ66" s="7"/>
      <c r="BA66" s="7"/>
      <c r="BB66" s="11"/>
      <c r="BC66" s="11"/>
      <c r="BD66" s="10"/>
      <c r="BE66" s="11"/>
      <c r="BF66" s="11"/>
      <c r="BG66" s="11"/>
      <c r="BH66" s="11"/>
      <c r="BI66" s="11"/>
      <c r="BJ66" s="11"/>
      <c r="BK66" s="11"/>
      <c r="BL66" s="11"/>
      <c r="BM66" s="7"/>
      <c r="BN66" s="7"/>
      <c r="BO66" s="7"/>
      <c r="BP66" s="7"/>
      <c r="BQ66" s="7"/>
      <c r="BR66" s="7"/>
      <c r="BS66" s="12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t="12.75">
      <c r="A67" s="71"/>
      <c r="B67" s="76"/>
      <c r="C67" s="80"/>
      <c r="D67" s="79"/>
      <c r="E67" s="80"/>
      <c r="F67" s="75"/>
      <c r="G67" s="73"/>
      <c r="H67" s="218"/>
      <c r="I67" s="80"/>
      <c r="J67" s="80"/>
      <c r="K67" s="80"/>
      <c r="L67" s="80"/>
      <c r="M67" s="76"/>
      <c r="N67" s="74"/>
      <c r="O67" s="76"/>
      <c r="P67" s="98"/>
      <c r="Q67" s="88">
        <f t="shared" si="1"/>
        <v>60.00000000000006</v>
      </c>
      <c r="R67" s="79">
        <f>0.5*Q67*(B66+B68)</f>
        <v>96.0000000000001</v>
      </c>
      <c r="S67" s="80">
        <v>0</v>
      </c>
      <c r="T67" s="80">
        <f>0.5*Q67*(D66+D68)</f>
        <v>0</v>
      </c>
      <c r="U67" s="80">
        <f>0.5*Q67*(E66+E68)</f>
        <v>45.00000000000004</v>
      </c>
      <c r="V67" s="79">
        <f>0.5*Q67*(F66+F68)</f>
        <v>90.00000000000009</v>
      </c>
      <c r="W67" s="80">
        <f>0.5*Q67*(G66+G68)</f>
        <v>0</v>
      </c>
      <c r="X67" s="79">
        <f>0.5*Q67*(H66+H68)</f>
        <v>66.00000000000007</v>
      </c>
      <c r="Y67" s="84">
        <f>0.5*Q67*(I66+I68)</f>
        <v>66.00000000000007</v>
      </c>
      <c r="Z67" s="80">
        <f>0.5*Q67*(J66+J68)</f>
        <v>39.000000000000036</v>
      </c>
      <c r="AA67" s="80">
        <f>0.5*Q67*(K66+K68)</f>
        <v>69.00000000000006</v>
      </c>
      <c r="AB67" s="80">
        <f>0.5*Q67*(L66+L68)</f>
        <v>0</v>
      </c>
      <c r="AC67" s="342">
        <f>0.5*Q67*(M66+M68)</f>
        <v>198.00000000000017</v>
      </c>
      <c r="AD67" s="80">
        <f>0.5*Q67*(N66+N68)</f>
        <v>0</v>
      </c>
      <c r="AE67" s="98">
        <f>0.5*Q67*(O66+O68)</f>
        <v>126.00000000000013</v>
      </c>
      <c r="AF67" s="98">
        <f t="shared" si="0"/>
        <v>129.0000000000001</v>
      </c>
      <c r="AR67" s="5"/>
      <c r="AS67" s="13"/>
      <c r="AT67" s="7"/>
      <c r="AU67" s="7"/>
      <c r="AV67" s="7"/>
      <c r="AW67" s="7"/>
      <c r="AX67" s="7"/>
      <c r="AY67" s="7"/>
      <c r="AZ67" s="7"/>
      <c r="BA67" s="7"/>
      <c r="BB67" s="11"/>
      <c r="BC67" s="11"/>
      <c r="BD67" s="10"/>
      <c r="BE67" s="11"/>
      <c r="BF67" s="11"/>
      <c r="BG67" s="11"/>
      <c r="BH67" s="11"/>
      <c r="BI67" s="11"/>
      <c r="BJ67" s="11"/>
      <c r="BK67" s="11"/>
      <c r="BL67" s="11"/>
      <c r="BM67" s="7"/>
      <c r="BN67" s="7"/>
      <c r="BO67" s="7"/>
      <c r="BP67" s="7"/>
      <c r="BQ67" s="7"/>
      <c r="BR67" s="7"/>
      <c r="BS67" s="12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t="12.75">
      <c r="A68" s="71">
        <v>2.48</v>
      </c>
      <c r="B68" s="76">
        <v>1.2</v>
      </c>
      <c r="C68" s="335"/>
      <c r="D68" s="336"/>
      <c r="E68" s="80">
        <v>0.6</v>
      </c>
      <c r="F68" s="75">
        <v>1.5</v>
      </c>
      <c r="G68" s="73">
        <v>0</v>
      </c>
      <c r="H68" s="218">
        <v>1.1</v>
      </c>
      <c r="I68" s="80">
        <v>1</v>
      </c>
      <c r="J68" s="341">
        <v>0.4</v>
      </c>
      <c r="K68" s="80">
        <v>1.1</v>
      </c>
      <c r="L68" s="80">
        <v>0</v>
      </c>
      <c r="M68" s="334">
        <v>2.5</v>
      </c>
      <c r="N68" s="335"/>
      <c r="O68" s="343">
        <v>2.1</v>
      </c>
      <c r="P68" s="98">
        <v>1.5</v>
      </c>
      <c r="Q68" s="88"/>
      <c r="R68" s="79"/>
      <c r="S68" s="80"/>
      <c r="T68" s="80"/>
      <c r="U68" s="80"/>
      <c r="V68" s="79"/>
      <c r="W68" s="80"/>
      <c r="X68" s="79"/>
      <c r="Y68" s="84"/>
      <c r="Z68" s="84"/>
      <c r="AA68" s="84"/>
      <c r="AB68" s="80"/>
      <c r="AC68" s="342"/>
      <c r="AD68" s="80"/>
      <c r="AE68" s="98"/>
      <c r="AF68" s="98"/>
      <c r="AR68" s="5"/>
      <c r="AS68" s="13"/>
      <c r="AT68" s="7"/>
      <c r="AU68" s="7"/>
      <c r="AV68" s="7"/>
      <c r="AW68" s="7"/>
      <c r="AX68" s="7"/>
      <c r="AY68" s="7"/>
      <c r="AZ68" s="7"/>
      <c r="BA68" s="7"/>
      <c r="BB68" s="11"/>
      <c r="BC68" s="11"/>
      <c r="BD68" s="10"/>
      <c r="BE68" s="11"/>
      <c r="BF68" s="11"/>
      <c r="BG68" s="11"/>
      <c r="BH68" s="11"/>
      <c r="BI68" s="11"/>
      <c r="BJ68" s="11"/>
      <c r="BK68" s="11"/>
      <c r="BL68" s="11"/>
      <c r="BM68" s="7"/>
      <c r="BN68" s="7"/>
      <c r="BO68" s="7"/>
      <c r="BP68" s="7"/>
      <c r="BQ68" s="7"/>
      <c r="BR68" s="7"/>
      <c r="BS68" s="12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t="12.75">
      <c r="A69" s="71"/>
      <c r="B69" s="76"/>
      <c r="C69" s="80"/>
      <c r="D69" s="79"/>
      <c r="E69" s="80"/>
      <c r="F69" s="75"/>
      <c r="G69" s="73"/>
      <c r="H69" s="218"/>
      <c r="I69" s="80"/>
      <c r="J69" s="80"/>
      <c r="K69" s="80"/>
      <c r="L69" s="80"/>
      <c r="M69" s="76"/>
      <c r="N69" s="74"/>
      <c r="O69" s="76"/>
      <c r="P69" s="98"/>
      <c r="Q69" s="88">
        <f t="shared" si="1"/>
        <v>40.000000000000036</v>
      </c>
      <c r="R69" s="79">
        <f>0.5*Q69*(B68+B70)</f>
        <v>56.00000000000004</v>
      </c>
      <c r="S69" s="80">
        <v>0</v>
      </c>
      <c r="T69" s="80">
        <f>0.5*Q69*(D68+D70)</f>
        <v>0</v>
      </c>
      <c r="U69" s="80">
        <f>0.5*Q69*(E68+E70)</f>
        <v>30.00000000000003</v>
      </c>
      <c r="V69" s="79">
        <f>0.5*Q69*(F68+F70)</f>
        <v>60.00000000000006</v>
      </c>
      <c r="W69" s="80">
        <f>0.5*Q69*(G68+G70)</f>
        <v>0</v>
      </c>
      <c r="X69" s="79">
        <f>0.5*Q69*(H68+H70)</f>
        <v>22.00000000000002</v>
      </c>
      <c r="Y69" s="84">
        <f>0.5*Q69*(I68+I70)</f>
        <v>20.000000000000018</v>
      </c>
      <c r="Z69" s="80">
        <f>0.5*Q69*(J68+J70)</f>
        <v>30.00000000000003</v>
      </c>
      <c r="AA69" s="80">
        <f>0.5*Q69*(K68+K70)</f>
        <v>28.00000000000003</v>
      </c>
      <c r="AB69" s="80">
        <f>0.5*Q69*(L68+L70)</f>
        <v>0</v>
      </c>
      <c r="AC69" s="342">
        <f>0.5*Q69*(M68+M70)</f>
        <v>138.00000000000014</v>
      </c>
      <c r="AD69" s="80">
        <f>0.5*Q69*(N68+N70)</f>
        <v>0</v>
      </c>
      <c r="AE69" s="98">
        <f>0.5*Q69*(O68+O70)</f>
        <v>84.00000000000009</v>
      </c>
      <c r="AF69" s="98">
        <f t="shared" si="0"/>
        <v>82.00000000000007</v>
      </c>
      <c r="AR69" s="5"/>
      <c r="AS69" s="13"/>
      <c r="AT69" s="7"/>
      <c r="AU69" s="7"/>
      <c r="AV69" s="7"/>
      <c r="AW69" s="7"/>
      <c r="AX69" s="7"/>
      <c r="AY69" s="7"/>
      <c r="AZ69" s="7"/>
      <c r="BA69" s="7"/>
      <c r="BB69" s="11"/>
      <c r="BC69" s="11"/>
      <c r="BD69" s="10"/>
      <c r="BE69" s="11"/>
      <c r="BF69" s="11"/>
      <c r="BG69" s="11"/>
      <c r="BH69" s="11"/>
      <c r="BI69" s="11"/>
      <c r="BJ69" s="11"/>
      <c r="BK69" s="11"/>
      <c r="BL69" s="11"/>
      <c r="BM69" s="7"/>
      <c r="BN69" s="7"/>
      <c r="BO69" s="7"/>
      <c r="BP69" s="7"/>
      <c r="BQ69" s="7"/>
      <c r="BR69" s="7"/>
      <c r="BS69" s="12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t="12.75">
      <c r="A70" s="71">
        <v>2.52</v>
      </c>
      <c r="B70" s="76">
        <v>1.6</v>
      </c>
      <c r="C70" s="335"/>
      <c r="D70" s="336"/>
      <c r="E70" s="80">
        <v>0.9</v>
      </c>
      <c r="F70" s="75">
        <v>1.5</v>
      </c>
      <c r="G70" s="73">
        <v>0</v>
      </c>
      <c r="H70" s="218">
        <v>0</v>
      </c>
      <c r="I70" s="80">
        <v>0</v>
      </c>
      <c r="J70" s="341">
        <v>1.1</v>
      </c>
      <c r="K70" s="80">
        <v>0.3</v>
      </c>
      <c r="L70" s="80">
        <v>0</v>
      </c>
      <c r="M70" s="334">
        <v>4.4</v>
      </c>
      <c r="N70" s="335"/>
      <c r="O70" s="343">
        <v>2.1</v>
      </c>
      <c r="P70" s="98">
        <v>2.6</v>
      </c>
      <c r="Q70" s="88"/>
      <c r="R70" s="79"/>
      <c r="S70" s="80"/>
      <c r="T70" s="80"/>
      <c r="U70" s="80"/>
      <c r="V70" s="79"/>
      <c r="W70" s="80"/>
      <c r="X70" s="79"/>
      <c r="Y70" s="84"/>
      <c r="Z70" s="84"/>
      <c r="AA70" s="84"/>
      <c r="AB70" s="97"/>
      <c r="AC70" s="342"/>
      <c r="AD70" s="97"/>
      <c r="AE70" s="98"/>
      <c r="AF70" s="98"/>
      <c r="AR70" s="5"/>
      <c r="AS70" s="13"/>
      <c r="AT70" s="7"/>
      <c r="AU70" s="7"/>
      <c r="AV70" s="7"/>
      <c r="AW70" s="7"/>
      <c r="AX70" s="7"/>
      <c r="AY70" s="7"/>
      <c r="AZ70" s="7"/>
      <c r="BA70" s="7"/>
      <c r="BB70" s="11"/>
      <c r="BC70" s="11"/>
      <c r="BD70" s="10"/>
      <c r="BE70" s="11"/>
      <c r="BF70" s="11"/>
      <c r="BG70" s="11"/>
      <c r="BH70" s="11"/>
      <c r="BI70" s="11"/>
      <c r="BJ70" s="11"/>
      <c r="BK70" s="11"/>
      <c r="BL70" s="11"/>
      <c r="BM70" s="7"/>
      <c r="BN70" s="7"/>
      <c r="BO70" s="7"/>
      <c r="BP70" s="7"/>
      <c r="BQ70" s="7"/>
      <c r="BR70" s="7"/>
      <c r="BS70" s="12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t="12.75">
      <c r="A71" s="71"/>
      <c r="B71" s="76"/>
      <c r="C71" s="80"/>
      <c r="D71" s="79"/>
      <c r="E71" s="80"/>
      <c r="F71" s="75"/>
      <c r="G71" s="73"/>
      <c r="H71" s="218"/>
      <c r="I71" s="80"/>
      <c r="J71" s="80"/>
      <c r="K71" s="80"/>
      <c r="L71" s="80"/>
      <c r="M71" s="76"/>
      <c r="N71" s="74"/>
      <c r="O71" s="76"/>
      <c r="P71" s="98"/>
      <c r="Q71" s="88">
        <f t="shared" si="1"/>
        <v>60.00000000000006</v>
      </c>
      <c r="R71" s="79">
        <f>0.5*Q71*(B70+B72)</f>
        <v>66.00000000000007</v>
      </c>
      <c r="S71" s="80">
        <v>0</v>
      </c>
      <c r="T71" s="80">
        <f>0.5*Q71*(D70+D72)</f>
        <v>0</v>
      </c>
      <c r="U71" s="80">
        <f>0.5*Q71*(E70+E72)</f>
        <v>48.00000000000005</v>
      </c>
      <c r="V71" s="79">
        <f>0.5*Q71*(F70+F72)</f>
        <v>90.00000000000009</v>
      </c>
      <c r="W71" s="80">
        <f>0.5*Q71*(G70+G72)</f>
        <v>0</v>
      </c>
      <c r="X71" s="79">
        <f>0.5*Q71*(H70+H72)</f>
        <v>30.00000000000003</v>
      </c>
      <c r="Y71" s="84">
        <f>0.5*Q71*(I70+I72)</f>
        <v>30.00000000000003</v>
      </c>
      <c r="Z71" s="80">
        <f>0.5*Q71*(J70+J72)</f>
        <v>42.00000000000004</v>
      </c>
      <c r="AA71" s="80">
        <f>0.5*Q71*(K70+K72)</f>
        <v>42.00000000000004</v>
      </c>
      <c r="AB71" s="80">
        <f>0.5*Q71*(L70+L72)</f>
        <v>0</v>
      </c>
      <c r="AC71" s="342">
        <f>0.5*Q71*(M70+M72)</f>
        <v>204.00000000000023</v>
      </c>
      <c r="AD71" s="80">
        <f>0.5*Q71*(N70+N72)</f>
        <v>0</v>
      </c>
      <c r="AE71" s="98">
        <f>0.5*Q71*(O70+O72)</f>
        <v>126.00000000000013</v>
      </c>
      <c r="AF71" s="98">
        <f t="shared" si="0"/>
        <v>120.00000000000011</v>
      </c>
      <c r="AR71" s="5"/>
      <c r="AS71" s="13"/>
      <c r="AT71" s="7"/>
      <c r="AU71" s="7"/>
      <c r="AV71" s="7"/>
      <c r="AW71" s="7"/>
      <c r="AX71" s="7"/>
      <c r="AY71" s="7"/>
      <c r="AZ71" s="7"/>
      <c r="BA71" s="7"/>
      <c r="BB71" s="11"/>
      <c r="BC71" s="11"/>
      <c r="BD71" s="10"/>
      <c r="BE71" s="11"/>
      <c r="BF71" s="11"/>
      <c r="BG71" s="11"/>
      <c r="BH71" s="11"/>
      <c r="BI71" s="11"/>
      <c r="BJ71" s="11"/>
      <c r="BK71" s="11"/>
      <c r="BL71" s="11"/>
      <c r="BM71" s="7"/>
      <c r="BN71" s="7"/>
      <c r="BO71" s="7"/>
      <c r="BP71" s="7"/>
      <c r="BQ71" s="7"/>
      <c r="BR71" s="7"/>
      <c r="BS71" s="12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t="12.75">
      <c r="A72" s="71">
        <v>2.58</v>
      </c>
      <c r="B72" s="76">
        <v>0.6</v>
      </c>
      <c r="C72" s="335"/>
      <c r="D72" s="336"/>
      <c r="E72" s="80">
        <v>0.7</v>
      </c>
      <c r="F72" s="75">
        <v>1.5</v>
      </c>
      <c r="G72" s="73">
        <v>0</v>
      </c>
      <c r="H72" s="218">
        <v>1</v>
      </c>
      <c r="I72" s="80">
        <v>1</v>
      </c>
      <c r="J72" s="341">
        <v>0.3</v>
      </c>
      <c r="K72" s="80">
        <v>1.1</v>
      </c>
      <c r="L72" s="80">
        <v>0</v>
      </c>
      <c r="M72" s="334">
        <v>2.4</v>
      </c>
      <c r="N72" s="335"/>
      <c r="O72" s="343">
        <v>2.1</v>
      </c>
      <c r="P72" s="98">
        <v>1.4</v>
      </c>
      <c r="Q72" s="88"/>
      <c r="R72" s="79"/>
      <c r="S72" s="80"/>
      <c r="T72" s="80"/>
      <c r="U72" s="80"/>
      <c r="V72" s="79"/>
      <c r="W72" s="80"/>
      <c r="X72" s="79"/>
      <c r="Y72" s="84"/>
      <c r="Z72" s="84"/>
      <c r="AA72" s="84"/>
      <c r="AB72" s="80"/>
      <c r="AC72" s="342"/>
      <c r="AD72" s="80"/>
      <c r="AE72" s="98"/>
      <c r="AF72" s="98"/>
      <c r="AR72" s="5"/>
      <c r="AS72" s="13"/>
      <c r="AT72" s="7"/>
      <c r="AU72" s="7"/>
      <c r="AV72" s="7"/>
      <c r="AW72" s="7"/>
      <c r="AX72" s="7"/>
      <c r="AY72" s="7"/>
      <c r="AZ72" s="7"/>
      <c r="BA72" s="7"/>
      <c r="BB72" s="11"/>
      <c r="BC72" s="11"/>
      <c r="BD72" s="10"/>
      <c r="BE72" s="11"/>
      <c r="BF72" s="11"/>
      <c r="BG72" s="11"/>
      <c r="BH72" s="11"/>
      <c r="BI72" s="11"/>
      <c r="BJ72" s="11"/>
      <c r="BK72" s="11"/>
      <c r="BL72" s="11"/>
      <c r="BM72" s="7"/>
      <c r="BN72" s="7"/>
      <c r="BO72" s="7"/>
      <c r="BP72" s="7"/>
      <c r="BQ72" s="7"/>
      <c r="BR72" s="7"/>
      <c r="BS72" s="12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2.75">
      <c r="A73" s="71"/>
      <c r="B73" s="209" t="s">
        <v>221</v>
      </c>
      <c r="C73" s="80"/>
      <c r="D73" s="79"/>
      <c r="E73" s="80"/>
      <c r="F73" s="76"/>
      <c r="G73" s="74"/>
      <c r="H73" s="218"/>
      <c r="I73" s="80"/>
      <c r="J73" s="80"/>
      <c r="K73" s="80"/>
      <c r="L73" s="80"/>
      <c r="M73" s="76"/>
      <c r="N73" s="74"/>
      <c r="O73" s="76"/>
      <c r="P73" s="98"/>
      <c r="Q73" s="88">
        <f t="shared" si="1"/>
        <v>60.00000000000006</v>
      </c>
      <c r="R73" s="79">
        <f>0.5*Q73*(B72+B74)</f>
        <v>81.00000000000009</v>
      </c>
      <c r="S73" s="80">
        <v>0</v>
      </c>
      <c r="T73" s="80">
        <f>0.5*Q73*(D72+D74)</f>
        <v>0</v>
      </c>
      <c r="U73" s="80">
        <f>0.5*Q73*(E72+E74)</f>
        <v>93.00000000000007</v>
      </c>
      <c r="V73" s="79">
        <f>0.5*Q73*(F72+F74)</f>
        <v>90.00000000000009</v>
      </c>
      <c r="W73" s="80">
        <f>0.5*Q73*(G72+G74)</f>
        <v>0</v>
      </c>
      <c r="X73" s="79">
        <f>0.5*Q73*(H72+H74)</f>
        <v>63.000000000000064</v>
      </c>
      <c r="Y73" s="84">
        <f>0.5*Q73*(I72+I74)</f>
        <v>60.00000000000006</v>
      </c>
      <c r="Z73" s="80">
        <f>0.5*Q73*(J72+J74)</f>
        <v>36.000000000000036</v>
      </c>
      <c r="AA73" s="80">
        <f>0.5*Q73*(K72+K74)</f>
        <v>57.00000000000006</v>
      </c>
      <c r="AB73" s="80">
        <f>0.5*Q73*(L72+L74)</f>
        <v>0</v>
      </c>
      <c r="AC73" s="342">
        <f>0.5*Q73*(M72+M74)</f>
        <v>198.00000000000017</v>
      </c>
      <c r="AD73" s="80">
        <f>0.5*Q73*(N72+N74)</f>
        <v>0</v>
      </c>
      <c r="AE73" s="98">
        <f>0.5*Q73*(O72+O74)</f>
        <v>126.00000000000013</v>
      </c>
      <c r="AF73" s="98">
        <f t="shared" si="0"/>
        <v>177.00000000000017</v>
      </c>
      <c r="AR73" s="5"/>
      <c r="AS73" s="13"/>
      <c r="AT73" s="7"/>
      <c r="AU73" s="7"/>
      <c r="AV73" s="7"/>
      <c r="AW73" s="7"/>
      <c r="AX73" s="7"/>
      <c r="AY73" s="7"/>
      <c r="AZ73" s="7"/>
      <c r="BA73" s="7"/>
      <c r="BB73" s="11"/>
      <c r="BC73" s="11"/>
      <c r="BD73" s="10"/>
      <c r="BE73" s="11"/>
      <c r="BF73" s="11"/>
      <c r="BG73" s="11"/>
      <c r="BH73" s="11"/>
      <c r="BI73" s="11"/>
      <c r="BJ73" s="11"/>
      <c r="BK73" s="11"/>
      <c r="BL73" s="11"/>
      <c r="BM73" s="7"/>
      <c r="BN73" s="7"/>
      <c r="BO73" s="7"/>
      <c r="BP73" s="7"/>
      <c r="BQ73" s="7"/>
      <c r="BR73" s="7"/>
      <c r="BS73" s="12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</row>
    <row r="74" spans="1:100" ht="12" customHeight="1">
      <c r="A74" s="71">
        <v>2.64</v>
      </c>
      <c r="B74" s="76">
        <v>2.1</v>
      </c>
      <c r="C74" s="335"/>
      <c r="D74" s="336"/>
      <c r="E74" s="80">
        <v>2.4</v>
      </c>
      <c r="F74" s="75">
        <v>1.5</v>
      </c>
      <c r="G74" s="73">
        <v>0</v>
      </c>
      <c r="H74" s="218">
        <v>1.1</v>
      </c>
      <c r="I74" s="80">
        <v>1</v>
      </c>
      <c r="J74" s="341">
        <v>0.9</v>
      </c>
      <c r="K74" s="80">
        <v>0.8</v>
      </c>
      <c r="L74" s="80">
        <v>0</v>
      </c>
      <c r="M74" s="334">
        <v>4.2</v>
      </c>
      <c r="N74" s="335"/>
      <c r="O74" s="343">
        <v>2.1</v>
      </c>
      <c r="P74" s="98">
        <v>4.5</v>
      </c>
      <c r="Q74" s="88"/>
      <c r="R74" s="79"/>
      <c r="S74" s="80"/>
      <c r="T74" s="80"/>
      <c r="U74" s="80"/>
      <c r="V74" s="79"/>
      <c r="W74" s="80"/>
      <c r="X74" s="79"/>
      <c r="Y74" s="84"/>
      <c r="Z74" s="84"/>
      <c r="AA74" s="84"/>
      <c r="AB74" s="80"/>
      <c r="AC74" s="342"/>
      <c r="AD74" s="80"/>
      <c r="AE74" s="98"/>
      <c r="AF74" s="98"/>
      <c r="AR74" s="5"/>
      <c r="AS74" s="13"/>
      <c r="AT74" s="7"/>
      <c r="AU74" s="7"/>
      <c r="AV74" s="7"/>
      <c r="AW74" s="7"/>
      <c r="AX74" s="7"/>
      <c r="AY74" s="7"/>
      <c r="AZ74" s="7"/>
      <c r="BA74" s="7"/>
      <c r="BB74" s="11"/>
      <c r="BC74" s="11"/>
      <c r="BD74" s="10"/>
      <c r="BE74" s="11"/>
      <c r="BF74" s="11"/>
      <c r="BG74" s="11"/>
      <c r="BH74" s="11"/>
      <c r="BI74" s="11"/>
      <c r="BJ74" s="11"/>
      <c r="BK74" s="11"/>
      <c r="BL74" s="11"/>
      <c r="BM74" s="7"/>
      <c r="BN74" s="7"/>
      <c r="BO74" s="7"/>
      <c r="BP74" s="7"/>
      <c r="BQ74" s="7"/>
      <c r="BR74" s="7"/>
      <c r="BS74" s="12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spans="1:100" ht="12" customHeight="1">
      <c r="A75" s="71"/>
      <c r="B75" s="76"/>
      <c r="C75" s="80"/>
      <c r="D75" s="79"/>
      <c r="E75" s="80"/>
      <c r="F75" s="76"/>
      <c r="G75" s="73"/>
      <c r="H75" s="218"/>
      <c r="I75" s="80"/>
      <c r="J75" s="80"/>
      <c r="K75" s="80"/>
      <c r="L75" s="80"/>
      <c r="M75" s="76"/>
      <c r="N75" s="74"/>
      <c r="O75" s="76"/>
      <c r="P75" s="98"/>
      <c r="Q75" s="88">
        <f t="shared" si="1"/>
        <v>60.00000000000006</v>
      </c>
      <c r="R75" s="79">
        <f>0.5*Q75*(B74+B76)</f>
        <v>132.00000000000014</v>
      </c>
      <c r="S75" s="80">
        <v>0</v>
      </c>
      <c r="T75" s="80">
        <f>0.5*Q75*(D74+D76)</f>
        <v>0</v>
      </c>
      <c r="U75" s="80">
        <f>0.5*Q75*(E74+E76)</f>
        <v>159.00000000000014</v>
      </c>
      <c r="V75" s="79">
        <f>0.5*Q75*(F74+F76)</f>
        <v>112.50000000000011</v>
      </c>
      <c r="W75" s="80">
        <f>0.5*Q75*(G74+G76)</f>
        <v>18.000000000000018</v>
      </c>
      <c r="X75" s="79">
        <f>0.5*Q75*(H74+H76)</f>
        <v>33.000000000000036</v>
      </c>
      <c r="Y75" s="84">
        <f>0.5*Q75*(I74+I76)</f>
        <v>30.00000000000003</v>
      </c>
      <c r="Z75" s="80">
        <f>0.5*Q75*(J74+J76)</f>
        <v>60.00000000000006</v>
      </c>
      <c r="AA75" s="80">
        <f>0.5*Q75*(K74+K76)</f>
        <v>24.000000000000025</v>
      </c>
      <c r="AB75" s="80">
        <f>0.5*Q75*(L74+L76)</f>
        <v>0</v>
      </c>
      <c r="AC75" s="342">
        <f>0.5*Q75*(M74+M76)</f>
        <v>231.00000000000023</v>
      </c>
      <c r="AD75" s="80">
        <f>0.5*Q75*(N74+N76)</f>
        <v>0</v>
      </c>
      <c r="AE75" s="98">
        <f>0.5*Q75*(O74+O76)</f>
        <v>117.00000000000013</v>
      </c>
      <c r="AF75" s="98">
        <f t="shared" si="0"/>
        <v>270.0000000000002</v>
      </c>
      <c r="AR75" s="5"/>
      <c r="AS75" s="13"/>
      <c r="AT75" s="7"/>
      <c r="AU75" s="7"/>
      <c r="AV75" s="7"/>
      <c r="AW75" s="7"/>
      <c r="AX75" s="7"/>
      <c r="AY75" s="7"/>
      <c r="AZ75" s="7"/>
      <c r="BA75" s="7"/>
      <c r="BB75" s="11"/>
      <c r="BC75" s="11"/>
      <c r="BD75" s="10"/>
      <c r="BE75" s="11"/>
      <c r="BF75" s="11"/>
      <c r="BG75" s="11"/>
      <c r="BH75" s="11"/>
      <c r="BI75" s="11"/>
      <c r="BJ75" s="11"/>
      <c r="BK75" s="11"/>
      <c r="BL75" s="11"/>
      <c r="BM75" s="7"/>
      <c r="BN75" s="7"/>
      <c r="BO75" s="7"/>
      <c r="BP75" s="7"/>
      <c r="BQ75" s="7"/>
      <c r="BR75" s="7"/>
      <c r="BS75" s="12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</row>
    <row r="76" spans="1:100" ht="12" customHeight="1">
      <c r="A76" s="71">
        <v>2.7</v>
      </c>
      <c r="B76" s="76">
        <v>2.3</v>
      </c>
      <c r="C76" s="335"/>
      <c r="D76" s="336"/>
      <c r="E76" s="80">
        <v>2.9</v>
      </c>
      <c r="F76" s="75">
        <v>2.25</v>
      </c>
      <c r="G76" s="73">
        <v>0.6</v>
      </c>
      <c r="H76" s="218">
        <v>0</v>
      </c>
      <c r="I76" s="80">
        <v>0</v>
      </c>
      <c r="J76" s="341">
        <v>1.1</v>
      </c>
      <c r="K76" s="80">
        <v>0</v>
      </c>
      <c r="L76" s="80">
        <v>0</v>
      </c>
      <c r="M76" s="334">
        <v>3.5</v>
      </c>
      <c r="N76" s="335"/>
      <c r="O76" s="343">
        <v>1.8</v>
      </c>
      <c r="P76" s="98">
        <v>4.5</v>
      </c>
      <c r="Q76" s="88"/>
      <c r="R76" s="79"/>
      <c r="S76" s="80"/>
      <c r="T76" s="80"/>
      <c r="U76" s="80"/>
      <c r="V76" s="79"/>
      <c r="W76" s="80"/>
      <c r="X76" s="79"/>
      <c r="Y76" s="84"/>
      <c r="Z76" s="84"/>
      <c r="AA76" s="84"/>
      <c r="AB76" s="80"/>
      <c r="AC76" s="342"/>
      <c r="AD76" s="80"/>
      <c r="AE76" s="98"/>
      <c r="AF76" s="98"/>
      <c r="AR76" s="5"/>
      <c r="AS76" s="13"/>
      <c r="AT76" s="7"/>
      <c r="AU76" s="7"/>
      <c r="AV76" s="7"/>
      <c r="AW76" s="7"/>
      <c r="AX76" s="7"/>
      <c r="AY76" s="7"/>
      <c r="AZ76" s="7"/>
      <c r="BA76" s="7"/>
      <c r="BB76" s="11"/>
      <c r="BC76" s="11"/>
      <c r="BD76" s="10"/>
      <c r="BE76" s="11"/>
      <c r="BF76" s="11"/>
      <c r="BG76" s="11"/>
      <c r="BH76" s="11"/>
      <c r="BI76" s="11"/>
      <c r="BJ76" s="11"/>
      <c r="BK76" s="11"/>
      <c r="BL76" s="11"/>
      <c r="BM76" s="7"/>
      <c r="BN76" s="7"/>
      <c r="BO76" s="7"/>
      <c r="BP76" s="7"/>
      <c r="BQ76" s="7"/>
      <c r="BR76" s="7"/>
      <c r="BS76" s="12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</row>
    <row r="77" spans="1:100" ht="12" customHeight="1">
      <c r="A77" s="71"/>
      <c r="B77" s="76"/>
      <c r="C77" s="80"/>
      <c r="D77" s="79"/>
      <c r="E77" s="80"/>
      <c r="F77" s="76"/>
      <c r="G77" s="73"/>
      <c r="H77" s="218"/>
      <c r="I77" s="80"/>
      <c r="J77" s="80"/>
      <c r="K77" s="80"/>
      <c r="L77" s="80"/>
      <c r="M77" s="76"/>
      <c r="N77" s="74"/>
      <c r="O77" s="209" t="s">
        <v>226</v>
      </c>
      <c r="P77" s="98"/>
      <c r="Q77" s="88">
        <f t="shared" si="1"/>
        <v>59.99999999999961</v>
      </c>
      <c r="R77" s="79">
        <f>0.5*Q77*(B76+B78)</f>
        <v>77.99999999999949</v>
      </c>
      <c r="S77" s="80">
        <v>0</v>
      </c>
      <c r="T77" s="80">
        <f>0.5*Q77*(D76+D78)</f>
        <v>0</v>
      </c>
      <c r="U77" s="80">
        <f>0.5*Q77*(E76+E78)</f>
        <v>86.99999999999943</v>
      </c>
      <c r="V77" s="79">
        <f>0.5*Q77*(F76+F78)</f>
        <v>89.99999999999942</v>
      </c>
      <c r="W77" s="80">
        <f>0.5*Q77*(G76+G78)</f>
        <v>17.999999999999883</v>
      </c>
      <c r="X77" s="79">
        <f>0.5*Q77*(H76+H78)</f>
        <v>0</v>
      </c>
      <c r="Y77" s="84">
        <f>0.5*Q77*(I76+I78)</f>
        <v>0</v>
      </c>
      <c r="Z77" s="80">
        <f>0.5*Q77*(J76+J78)</f>
        <v>44.99999999999971</v>
      </c>
      <c r="AA77" s="80">
        <f>0.5*Q77*(K76+K78)</f>
        <v>0</v>
      </c>
      <c r="AB77" s="80">
        <f>0.5*Q77*(L76+L78)</f>
        <v>0</v>
      </c>
      <c r="AC77" s="342">
        <f>0.5*Q77*(M76+M78)</f>
        <v>104.99999999999932</v>
      </c>
      <c r="AD77" s="80">
        <f>0.5*Q77*(N76+N78)</f>
        <v>0</v>
      </c>
      <c r="AE77" s="98">
        <f>0.5*Q77*(O76+O78)</f>
        <v>53.99999999999965</v>
      </c>
      <c r="AF77" s="98">
        <f t="shared" si="0"/>
        <v>134.99999999999912</v>
      </c>
      <c r="AR77" s="5"/>
      <c r="AS77" s="13"/>
      <c r="AT77" s="7"/>
      <c r="AU77" s="7"/>
      <c r="AV77" s="7"/>
      <c r="AW77" s="7"/>
      <c r="AX77" s="7"/>
      <c r="AY77" s="7"/>
      <c r="AZ77" s="7"/>
      <c r="BA77" s="7"/>
      <c r="BB77" s="11"/>
      <c r="BC77" s="11"/>
      <c r="BD77" s="10"/>
      <c r="BE77" s="11"/>
      <c r="BF77" s="11"/>
      <c r="BG77" s="11"/>
      <c r="BH77" s="11"/>
      <c r="BI77" s="11"/>
      <c r="BJ77" s="11"/>
      <c r="BK77" s="11"/>
      <c r="BL77" s="11"/>
      <c r="BM77" s="7"/>
      <c r="BN77" s="7"/>
      <c r="BO77" s="7"/>
      <c r="BP77" s="7"/>
      <c r="BQ77" s="7"/>
      <c r="BR77" s="7"/>
      <c r="BS77" s="12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</row>
    <row r="78" spans="1:100" ht="12" customHeight="1">
      <c r="A78" s="71">
        <v>2.76</v>
      </c>
      <c r="B78" s="76">
        <v>0.3</v>
      </c>
      <c r="C78" s="335"/>
      <c r="D78" s="336"/>
      <c r="E78" s="80">
        <v>0</v>
      </c>
      <c r="F78" s="75">
        <v>0.75</v>
      </c>
      <c r="G78" s="73">
        <v>0</v>
      </c>
      <c r="H78" s="218">
        <v>0</v>
      </c>
      <c r="I78" s="80">
        <v>0</v>
      </c>
      <c r="J78" s="341">
        <v>0.4</v>
      </c>
      <c r="K78" s="80">
        <v>0</v>
      </c>
      <c r="L78" s="80">
        <v>0</v>
      </c>
      <c r="M78" s="76">
        <v>0</v>
      </c>
      <c r="N78" s="335"/>
      <c r="O78" s="76">
        <v>0</v>
      </c>
      <c r="P78" s="98">
        <v>0</v>
      </c>
      <c r="Q78" s="88"/>
      <c r="R78" s="79"/>
      <c r="S78" s="80"/>
      <c r="T78" s="80"/>
      <c r="U78" s="80"/>
      <c r="V78" s="79"/>
      <c r="W78" s="80"/>
      <c r="X78" s="79"/>
      <c r="Y78" s="84"/>
      <c r="Z78" s="84"/>
      <c r="AA78" s="84"/>
      <c r="AB78" s="80"/>
      <c r="AC78" s="342"/>
      <c r="AD78" s="80"/>
      <c r="AE78" s="98"/>
      <c r="AF78" s="98"/>
      <c r="AR78" s="5"/>
      <c r="AS78" s="13"/>
      <c r="AT78" s="7"/>
      <c r="AU78" s="7"/>
      <c r="AV78" s="7"/>
      <c r="AW78" s="7"/>
      <c r="AX78" s="7"/>
      <c r="AY78" s="7"/>
      <c r="AZ78" s="7"/>
      <c r="BA78" s="7"/>
      <c r="BB78" s="11"/>
      <c r="BC78" s="11"/>
      <c r="BD78" s="10"/>
      <c r="BE78" s="11"/>
      <c r="BF78" s="11"/>
      <c r="BG78" s="11"/>
      <c r="BH78" s="11"/>
      <c r="BI78" s="11"/>
      <c r="BJ78" s="11"/>
      <c r="BK78" s="11"/>
      <c r="BL78" s="11"/>
      <c r="BM78" s="7"/>
      <c r="BN78" s="7"/>
      <c r="BO78" s="7"/>
      <c r="BP78" s="7"/>
      <c r="BQ78" s="7"/>
      <c r="BR78" s="7"/>
      <c r="BS78" s="12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</row>
    <row r="79" spans="1:100" ht="12" customHeight="1">
      <c r="A79" s="71"/>
      <c r="B79" s="76"/>
      <c r="C79" s="80"/>
      <c r="D79" s="79"/>
      <c r="E79" s="80"/>
      <c r="F79" s="75"/>
      <c r="G79" s="73"/>
      <c r="H79" s="218"/>
      <c r="I79" s="80"/>
      <c r="J79" s="80"/>
      <c r="K79" s="80"/>
      <c r="L79" s="80"/>
      <c r="M79" s="76"/>
      <c r="N79" s="74"/>
      <c r="O79" s="76"/>
      <c r="P79" s="98"/>
      <c r="Q79" s="88">
        <f t="shared" si="1"/>
        <v>40.000000000000036</v>
      </c>
      <c r="R79" s="79">
        <f>0.5*Q79*(B78+B80)</f>
        <v>12.00000000000001</v>
      </c>
      <c r="S79" s="80">
        <v>0</v>
      </c>
      <c r="T79" s="80">
        <f>0.5*Q79*(D78+D80)</f>
        <v>0</v>
      </c>
      <c r="U79" s="80">
        <f>0.5*Q79*(E78+E80)</f>
        <v>0</v>
      </c>
      <c r="V79" s="79">
        <f>0.5*Q79*(F78+F80)</f>
        <v>30.00000000000003</v>
      </c>
      <c r="W79" s="80">
        <f>0.5*Q79*(G78+G80)</f>
        <v>0</v>
      </c>
      <c r="X79" s="79">
        <f>0.5*Q79*(H78+H80)</f>
        <v>0</v>
      </c>
      <c r="Y79" s="84">
        <f>0.5*Q79*(I78+I80)</f>
        <v>0</v>
      </c>
      <c r="Z79" s="80">
        <f>0.5*Q79*(J78+J80)</f>
        <v>16.000000000000014</v>
      </c>
      <c r="AA79" s="80">
        <f>0.5*Q79*(K78+K80)</f>
        <v>0</v>
      </c>
      <c r="AB79" s="80">
        <f>0.5*Q79*(L78+L80)</f>
        <v>0</v>
      </c>
      <c r="AC79" s="342">
        <f>0.5*Q79*(M78+M80)</f>
        <v>0</v>
      </c>
      <c r="AD79" s="80">
        <f>0.5*Q79*(N78+N80)</f>
        <v>0</v>
      </c>
      <c r="AE79" s="98">
        <f>0.5*Q79*(O78+O80)</f>
        <v>0</v>
      </c>
      <c r="AF79" s="98">
        <f t="shared" si="0"/>
        <v>0</v>
      </c>
      <c r="AR79" s="5"/>
      <c r="AS79" s="13"/>
      <c r="AT79" s="7"/>
      <c r="AU79" s="7"/>
      <c r="AV79" s="7"/>
      <c r="AW79" s="7"/>
      <c r="AX79" s="7"/>
      <c r="AY79" s="7"/>
      <c r="AZ79" s="7"/>
      <c r="BA79" s="7"/>
      <c r="BB79" s="11"/>
      <c r="BC79" s="11"/>
      <c r="BD79" s="10"/>
      <c r="BE79" s="11"/>
      <c r="BF79" s="11"/>
      <c r="BG79" s="11"/>
      <c r="BH79" s="11"/>
      <c r="BI79" s="11"/>
      <c r="BJ79" s="11"/>
      <c r="BK79" s="11"/>
      <c r="BL79" s="11"/>
      <c r="BM79" s="7"/>
      <c r="BN79" s="7"/>
      <c r="BO79" s="7"/>
      <c r="BP79" s="7"/>
      <c r="BQ79" s="7"/>
      <c r="BR79" s="7"/>
      <c r="BS79" s="12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</row>
    <row r="80" spans="1:100" ht="12" customHeight="1">
      <c r="A80" s="71">
        <v>2.8</v>
      </c>
      <c r="B80" s="76">
        <v>0.3</v>
      </c>
      <c r="C80" s="335"/>
      <c r="D80" s="336"/>
      <c r="E80" s="80">
        <v>0</v>
      </c>
      <c r="F80" s="75">
        <v>0.75</v>
      </c>
      <c r="G80" s="73">
        <v>0</v>
      </c>
      <c r="H80" s="218">
        <v>0</v>
      </c>
      <c r="I80" s="80">
        <v>0</v>
      </c>
      <c r="J80" s="341">
        <v>0.4</v>
      </c>
      <c r="K80" s="80">
        <v>0</v>
      </c>
      <c r="L80" s="80">
        <v>0</v>
      </c>
      <c r="M80" s="76">
        <v>0</v>
      </c>
      <c r="N80" s="335"/>
      <c r="O80" s="76">
        <v>0</v>
      </c>
      <c r="P80" s="98">
        <v>0</v>
      </c>
      <c r="Q80" s="88"/>
      <c r="R80" s="79"/>
      <c r="S80" s="80"/>
      <c r="T80" s="80"/>
      <c r="U80" s="80"/>
      <c r="V80" s="79"/>
      <c r="W80" s="80"/>
      <c r="X80" s="79"/>
      <c r="Y80" s="84"/>
      <c r="Z80" s="84"/>
      <c r="AA80" s="84"/>
      <c r="AB80" s="80"/>
      <c r="AC80" s="342"/>
      <c r="AD80" s="80"/>
      <c r="AE80" s="98"/>
      <c r="AF80" s="98"/>
      <c r="AR80" s="5"/>
      <c r="AS80" s="13"/>
      <c r="AT80" s="7"/>
      <c r="AU80" s="7"/>
      <c r="AV80" s="7"/>
      <c r="AW80" s="7"/>
      <c r="AX80" s="7"/>
      <c r="AY80" s="7"/>
      <c r="AZ80" s="7"/>
      <c r="BA80" s="7"/>
      <c r="BB80" s="11"/>
      <c r="BC80" s="11"/>
      <c r="BD80" s="10"/>
      <c r="BE80" s="11"/>
      <c r="BF80" s="11"/>
      <c r="BG80" s="11"/>
      <c r="BH80" s="11"/>
      <c r="BI80" s="11"/>
      <c r="BJ80" s="11"/>
      <c r="BK80" s="11"/>
      <c r="BL80" s="11"/>
      <c r="BM80" s="7"/>
      <c r="BN80" s="7"/>
      <c r="BO80" s="7"/>
      <c r="BP80" s="7"/>
      <c r="BQ80" s="7"/>
      <c r="BR80" s="7"/>
      <c r="BS80" s="12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1:100" ht="12" customHeight="1">
      <c r="A81" s="71"/>
      <c r="B81" s="209" t="s">
        <v>227</v>
      </c>
      <c r="C81" s="80"/>
      <c r="D81" s="79"/>
      <c r="E81" s="80"/>
      <c r="F81" s="76"/>
      <c r="G81" s="73"/>
      <c r="H81" s="218"/>
      <c r="I81" s="80"/>
      <c r="J81" s="80"/>
      <c r="K81" s="80"/>
      <c r="L81" s="80"/>
      <c r="M81" s="76"/>
      <c r="N81" s="74"/>
      <c r="O81" s="76"/>
      <c r="P81" s="98"/>
      <c r="Q81" s="88">
        <f t="shared" si="1"/>
        <v>40.000000000000036</v>
      </c>
      <c r="R81" s="79">
        <f>0.5*Q81*(B80+B82)</f>
        <v>6.000000000000005</v>
      </c>
      <c r="S81" s="80">
        <v>0</v>
      </c>
      <c r="T81" s="80">
        <f>0.5*Q81*(D80+D82)</f>
        <v>0</v>
      </c>
      <c r="U81" s="80">
        <f>0.5*Q81*(E80+E82)</f>
        <v>0</v>
      </c>
      <c r="V81" s="79">
        <f>0.5*Q81*(F80+F82)</f>
        <v>30.00000000000003</v>
      </c>
      <c r="W81" s="80">
        <f>0.5*Q81*(G80+G82)</f>
        <v>0</v>
      </c>
      <c r="X81" s="79">
        <f>0.5*Q81*(H80+H82)</f>
        <v>0</v>
      </c>
      <c r="Y81" s="84">
        <f>0.5*Q81*(I80+I82)</f>
        <v>0</v>
      </c>
      <c r="Z81" s="80">
        <f>0.5*Q81*(J80+J82)</f>
        <v>8.000000000000007</v>
      </c>
      <c r="AA81" s="80">
        <f>0.5*Q81*(K80+K82)</f>
        <v>0</v>
      </c>
      <c r="AB81" s="80">
        <f>0.5*Q81*(L80+L82)</f>
        <v>0</v>
      </c>
      <c r="AC81" s="342">
        <f>0.5*Q81*(M80+M82)</f>
        <v>0</v>
      </c>
      <c r="AD81" s="80">
        <f>0.5*Q81*(N80+N82)</f>
        <v>0</v>
      </c>
      <c r="AE81" s="98">
        <f>0.5*Q81*(O80+O82)</f>
        <v>0</v>
      </c>
      <c r="AF81" s="98">
        <f t="shared" si="0"/>
        <v>0</v>
      </c>
      <c r="AR81" s="5"/>
      <c r="AS81" s="13"/>
      <c r="AT81" s="7"/>
      <c r="AU81" s="7"/>
      <c r="AV81" s="7"/>
      <c r="AW81" s="7"/>
      <c r="AX81" s="7"/>
      <c r="AY81" s="7"/>
      <c r="AZ81" s="7"/>
      <c r="BA81" s="7"/>
      <c r="BB81" s="11"/>
      <c r="BC81" s="11"/>
      <c r="BD81" s="10"/>
      <c r="BE81" s="11"/>
      <c r="BF81" s="11"/>
      <c r="BG81" s="11"/>
      <c r="BH81" s="11"/>
      <c r="BI81" s="11"/>
      <c r="BJ81" s="11"/>
      <c r="BK81" s="11"/>
      <c r="BL81" s="11"/>
      <c r="BM81" s="7"/>
      <c r="BN81" s="7"/>
      <c r="BO81" s="7"/>
      <c r="BP81" s="7"/>
      <c r="BQ81" s="7"/>
      <c r="BR81" s="7"/>
      <c r="BS81" s="12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</row>
    <row r="82" spans="1:100" ht="12" customHeight="1">
      <c r="A82" s="71">
        <v>2.84</v>
      </c>
      <c r="B82" s="76">
        <v>0</v>
      </c>
      <c r="C82" s="335"/>
      <c r="D82" s="336"/>
      <c r="E82" s="80">
        <v>0</v>
      </c>
      <c r="F82" s="75">
        <v>0.75</v>
      </c>
      <c r="G82" s="73">
        <v>0</v>
      </c>
      <c r="H82" s="218">
        <v>0</v>
      </c>
      <c r="I82" s="80">
        <v>0</v>
      </c>
      <c r="J82" s="341">
        <v>0</v>
      </c>
      <c r="K82" s="80">
        <v>0</v>
      </c>
      <c r="L82" s="80">
        <v>0</v>
      </c>
      <c r="M82" s="76">
        <v>0</v>
      </c>
      <c r="N82" s="335"/>
      <c r="O82" s="76">
        <v>0</v>
      </c>
      <c r="P82" s="98">
        <v>0</v>
      </c>
      <c r="Q82" s="88"/>
      <c r="R82" s="79"/>
      <c r="S82" s="80"/>
      <c r="T82" s="80"/>
      <c r="U82" s="80"/>
      <c r="V82" s="79"/>
      <c r="W82" s="80"/>
      <c r="X82" s="79"/>
      <c r="Y82" s="84"/>
      <c r="Z82" s="84"/>
      <c r="AA82" s="84"/>
      <c r="AB82" s="80"/>
      <c r="AC82" s="342"/>
      <c r="AD82" s="80"/>
      <c r="AE82" s="98"/>
      <c r="AF82" s="98"/>
      <c r="AR82" s="5"/>
      <c r="AS82" s="13"/>
      <c r="AT82" s="7"/>
      <c r="AU82" s="7"/>
      <c r="AV82" s="7"/>
      <c r="AW82" s="7"/>
      <c r="AX82" s="7"/>
      <c r="AY82" s="7"/>
      <c r="AZ82" s="7"/>
      <c r="BA82" s="7"/>
      <c r="BB82" s="11"/>
      <c r="BC82" s="11"/>
      <c r="BD82" s="10"/>
      <c r="BE82" s="11"/>
      <c r="BF82" s="11"/>
      <c r="BG82" s="11"/>
      <c r="BH82" s="11"/>
      <c r="BI82" s="11"/>
      <c r="BJ82" s="11"/>
      <c r="BK82" s="11"/>
      <c r="BL82" s="11"/>
      <c r="BM82" s="7"/>
      <c r="BN82" s="7"/>
      <c r="BO82" s="7"/>
      <c r="BP82" s="7"/>
      <c r="BQ82" s="7"/>
      <c r="BR82" s="7"/>
      <c r="BS82" s="12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</row>
    <row r="83" spans="1:100" ht="12" customHeight="1">
      <c r="A83" s="71"/>
      <c r="B83" s="76"/>
      <c r="C83" s="80"/>
      <c r="D83" s="79"/>
      <c r="E83" s="80"/>
      <c r="F83" s="76"/>
      <c r="G83" s="73"/>
      <c r="H83" s="218"/>
      <c r="I83" s="80"/>
      <c r="J83" s="80"/>
      <c r="K83" s="80"/>
      <c r="L83" s="80"/>
      <c r="M83" s="76"/>
      <c r="N83" s="74"/>
      <c r="O83" s="76"/>
      <c r="P83" s="98"/>
      <c r="Q83" s="88">
        <f t="shared" si="1"/>
        <v>60.00000000000006</v>
      </c>
      <c r="R83" s="79">
        <f>0.5*Q83*(B82+B84)</f>
        <v>78.00000000000007</v>
      </c>
      <c r="S83" s="80">
        <v>0</v>
      </c>
      <c r="T83" s="80">
        <f>0.5*Q83*(D82+D84)</f>
        <v>0</v>
      </c>
      <c r="U83" s="80">
        <f>0.5*Q83*(E82+E84)</f>
        <v>45.00000000000004</v>
      </c>
      <c r="V83" s="79">
        <f>0.5*Q83*(F82+F84)</f>
        <v>45.00000000000004</v>
      </c>
      <c r="W83" s="80">
        <f>0.5*Q83*(G82+G84)</f>
        <v>12.000000000000012</v>
      </c>
      <c r="X83" s="79">
        <f>0.5*Q83*(H82+H84)</f>
        <v>0</v>
      </c>
      <c r="Y83" s="84">
        <f>0.5*Q83*(I82+I84)</f>
        <v>30.00000000000003</v>
      </c>
      <c r="Z83" s="80">
        <f>0.5*Q83*(J82+J84)</f>
        <v>0</v>
      </c>
      <c r="AA83" s="80">
        <f>0.5*Q83*(K82+K84)</f>
        <v>30.00000000000003</v>
      </c>
      <c r="AB83" s="80">
        <f>0.5*Q83*(L82+L84)</f>
        <v>0</v>
      </c>
      <c r="AC83" s="342">
        <f>0.5*Q83*(M82+M84)</f>
        <v>96.0000000000001</v>
      </c>
      <c r="AD83" s="80">
        <f>0.5*Q83*(N82+N84)</f>
        <v>0</v>
      </c>
      <c r="AE83" s="98">
        <f>0.5*Q83*(O82+O84)</f>
        <v>0</v>
      </c>
      <c r="AF83" s="98">
        <f t="shared" si="0"/>
        <v>0</v>
      </c>
      <c r="AR83" s="5"/>
      <c r="AS83" s="13"/>
      <c r="AT83" s="7"/>
      <c r="AU83" s="7"/>
      <c r="AV83" s="7"/>
      <c r="AW83" s="7"/>
      <c r="AX83" s="7"/>
      <c r="AY83" s="7"/>
      <c r="AZ83" s="7"/>
      <c r="BA83" s="7"/>
      <c r="BB83" s="11"/>
      <c r="BC83" s="11"/>
      <c r="BD83" s="10"/>
      <c r="BE83" s="11"/>
      <c r="BF83" s="11"/>
      <c r="BG83" s="11"/>
      <c r="BH83" s="11"/>
      <c r="BI83" s="11"/>
      <c r="BJ83" s="11"/>
      <c r="BK83" s="11"/>
      <c r="BL83" s="11"/>
      <c r="BM83" s="7"/>
      <c r="BN83" s="7"/>
      <c r="BO83" s="7"/>
      <c r="BP83" s="7"/>
      <c r="BQ83" s="7"/>
      <c r="BR83" s="7"/>
      <c r="BS83" s="12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</row>
    <row r="84" spans="1:100" ht="12" customHeight="1">
      <c r="A84" s="71">
        <v>2.9</v>
      </c>
      <c r="B84" s="76">
        <v>2.6</v>
      </c>
      <c r="C84" s="335"/>
      <c r="D84" s="336"/>
      <c r="E84" s="80">
        <v>1.5</v>
      </c>
      <c r="F84" s="75">
        <v>0.75</v>
      </c>
      <c r="G84" s="73">
        <v>0.4</v>
      </c>
      <c r="H84" s="218">
        <v>0</v>
      </c>
      <c r="I84" s="80">
        <v>1</v>
      </c>
      <c r="J84" s="341">
        <v>0</v>
      </c>
      <c r="K84" s="80">
        <v>1</v>
      </c>
      <c r="L84" s="80">
        <v>0</v>
      </c>
      <c r="M84" s="334">
        <v>3.2</v>
      </c>
      <c r="N84" s="335"/>
      <c r="O84" s="76">
        <v>0</v>
      </c>
      <c r="P84" s="98">
        <v>0</v>
      </c>
      <c r="Q84" s="88"/>
      <c r="R84" s="79"/>
      <c r="S84" s="80"/>
      <c r="T84" s="80"/>
      <c r="U84" s="80"/>
      <c r="V84" s="79"/>
      <c r="W84" s="80"/>
      <c r="X84" s="79"/>
      <c r="Y84" s="84"/>
      <c r="Z84" s="80">
        <f>0.5*Q84*(J83+J85)</f>
        <v>0</v>
      </c>
      <c r="AA84" s="80">
        <f>0.5*Q84*(K83+K85)</f>
        <v>0</v>
      </c>
      <c r="AB84" s="80"/>
      <c r="AC84" s="342"/>
      <c r="AD84" s="80"/>
      <c r="AE84" s="98"/>
      <c r="AF84" s="98"/>
      <c r="AR84" s="5"/>
      <c r="AS84" s="13"/>
      <c r="AT84" s="7"/>
      <c r="AU84" s="7"/>
      <c r="AV84" s="7"/>
      <c r="AW84" s="7"/>
      <c r="AX84" s="7"/>
      <c r="AY84" s="7"/>
      <c r="AZ84" s="7"/>
      <c r="BA84" s="7"/>
      <c r="BB84" s="11"/>
      <c r="BC84" s="11"/>
      <c r="BD84" s="10"/>
      <c r="BE84" s="11"/>
      <c r="BF84" s="11"/>
      <c r="BG84" s="11"/>
      <c r="BH84" s="11"/>
      <c r="BI84" s="11"/>
      <c r="BJ84" s="11"/>
      <c r="BK84" s="11"/>
      <c r="BL84" s="11"/>
      <c r="BM84" s="7"/>
      <c r="BN84" s="7"/>
      <c r="BO84" s="7"/>
      <c r="BP84" s="7"/>
      <c r="BQ84" s="7"/>
      <c r="BR84" s="7"/>
      <c r="BS84" s="12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</row>
    <row r="85" spans="1:100" ht="12" customHeight="1">
      <c r="A85" s="71"/>
      <c r="B85" s="76"/>
      <c r="C85" s="80"/>
      <c r="D85" s="79"/>
      <c r="E85" s="80"/>
      <c r="F85" s="75"/>
      <c r="G85" s="73"/>
      <c r="H85" s="218"/>
      <c r="I85" s="80"/>
      <c r="J85" s="80"/>
      <c r="K85" s="80"/>
      <c r="L85" s="80"/>
      <c r="M85" s="76"/>
      <c r="N85" s="74"/>
      <c r="O85" s="76"/>
      <c r="P85" s="98"/>
      <c r="Q85" s="88">
        <f t="shared" si="1"/>
        <v>40.000000000000036</v>
      </c>
      <c r="R85" s="79">
        <f>0.5*Q85*(B84+B86)</f>
        <v>64.00000000000006</v>
      </c>
      <c r="S85" s="80">
        <f>0.5*Q85*(C84+C86)</f>
        <v>0</v>
      </c>
      <c r="T85" s="80">
        <f>0.5*Q85*(D84+D86)</f>
        <v>0</v>
      </c>
      <c r="U85" s="80">
        <f>0.5*Q85*(E84+E86)</f>
        <v>30.00000000000003</v>
      </c>
      <c r="V85" s="79">
        <f>0.5*Q85*(F84+F86)</f>
        <v>30.00000000000003</v>
      </c>
      <c r="W85" s="80">
        <f>0.5*Q85*(G84+G86)</f>
        <v>8.000000000000007</v>
      </c>
      <c r="X85" s="79">
        <f>0.5*Q85*(H84+H86)</f>
        <v>0</v>
      </c>
      <c r="Y85" s="84">
        <f>0.5*Q85*(I84+I86)</f>
        <v>20.000000000000018</v>
      </c>
      <c r="Z85" s="80">
        <f>0.5*Q85*(J84+J86)</f>
        <v>8.000000000000007</v>
      </c>
      <c r="AA85" s="80">
        <f>0.5*Q85*(K84+K86)</f>
        <v>20.000000000000018</v>
      </c>
      <c r="AB85" s="80">
        <f>0.5*Q85*(L84+L86)</f>
        <v>0</v>
      </c>
      <c r="AC85" s="140">
        <f>0.5*Q85*(M84+M86)</f>
        <v>64.00000000000006</v>
      </c>
      <c r="AD85" s="80">
        <f>0.5*Q85*(N84+N86)</f>
        <v>0</v>
      </c>
      <c r="AE85" s="98">
        <f>0.5*Q85*(O84+O86)</f>
        <v>0</v>
      </c>
      <c r="AF85" s="98">
        <f t="shared" si="0"/>
        <v>0</v>
      </c>
      <c r="AR85" s="5"/>
      <c r="AS85" s="13"/>
      <c r="AT85" s="7"/>
      <c r="AU85" s="7"/>
      <c r="AV85" s="7"/>
      <c r="AW85" s="7"/>
      <c r="AX85" s="7"/>
      <c r="AY85" s="7"/>
      <c r="AZ85" s="7"/>
      <c r="BA85" s="7"/>
      <c r="BB85" s="11"/>
      <c r="BC85" s="11"/>
      <c r="BD85" s="10"/>
      <c r="BE85" s="11"/>
      <c r="BF85" s="11"/>
      <c r="BG85" s="11"/>
      <c r="BH85" s="11"/>
      <c r="BI85" s="11"/>
      <c r="BJ85" s="11"/>
      <c r="BK85" s="11"/>
      <c r="BL85" s="11"/>
      <c r="BM85" s="7"/>
      <c r="BN85" s="7"/>
      <c r="BO85" s="7"/>
      <c r="BP85" s="7"/>
      <c r="BQ85" s="7"/>
      <c r="BR85" s="7"/>
      <c r="BS85" s="12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</row>
    <row r="86" spans="1:100" ht="12" customHeight="1">
      <c r="A86" s="71">
        <v>2.94</v>
      </c>
      <c r="B86" s="76">
        <v>0.6</v>
      </c>
      <c r="C86" s="335"/>
      <c r="D86" s="336"/>
      <c r="E86" s="80">
        <v>0</v>
      </c>
      <c r="F86" s="75">
        <v>0.75</v>
      </c>
      <c r="G86" s="73">
        <v>0</v>
      </c>
      <c r="H86" s="218">
        <v>0</v>
      </c>
      <c r="I86" s="80">
        <v>0</v>
      </c>
      <c r="J86" s="341">
        <v>0.4</v>
      </c>
      <c r="K86" s="80">
        <v>0</v>
      </c>
      <c r="L86" s="80">
        <v>0</v>
      </c>
      <c r="M86" s="76">
        <v>0</v>
      </c>
      <c r="N86" s="335"/>
      <c r="O86" s="76">
        <v>0</v>
      </c>
      <c r="P86" s="98">
        <v>0</v>
      </c>
      <c r="Q86" s="88"/>
      <c r="R86" s="79"/>
      <c r="S86" s="80"/>
      <c r="T86" s="80"/>
      <c r="U86" s="80"/>
      <c r="V86" s="79"/>
      <c r="W86" s="80"/>
      <c r="X86" s="79"/>
      <c r="Y86" s="84"/>
      <c r="Z86" s="84"/>
      <c r="AA86" s="84"/>
      <c r="AB86" s="80"/>
      <c r="AC86" s="140"/>
      <c r="AD86" s="80"/>
      <c r="AE86" s="98"/>
      <c r="AF86" s="98"/>
      <c r="AR86" s="5"/>
      <c r="AS86" s="13"/>
      <c r="AT86" s="7"/>
      <c r="AU86" s="7"/>
      <c r="AV86" s="7"/>
      <c r="AW86" s="7"/>
      <c r="AX86" s="7"/>
      <c r="AY86" s="7"/>
      <c r="AZ86" s="7"/>
      <c r="BA86" s="7"/>
      <c r="BB86" s="11"/>
      <c r="BC86" s="11"/>
      <c r="BD86" s="10"/>
      <c r="BE86" s="11"/>
      <c r="BF86" s="11"/>
      <c r="BG86" s="11"/>
      <c r="BH86" s="11"/>
      <c r="BI86" s="11"/>
      <c r="BJ86" s="11"/>
      <c r="BK86" s="11"/>
      <c r="BL86" s="11"/>
      <c r="BM86" s="7"/>
      <c r="BN86" s="7"/>
      <c r="BO86" s="7"/>
      <c r="BP86" s="7"/>
      <c r="BQ86" s="7"/>
      <c r="BR86" s="7"/>
      <c r="BS86" s="12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</row>
    <row r="87" spans="1:100" ht="12" customHeight="1">
      <c r="A87" s="71"/>
      <c r="B87" s="76"/>
      <c r="C87" s="80"/>
      <c r="D87" s="79"/>
      <c r="E87" s="80"/>
      <c r="F87" s="76"/>
      <c r="G87" s="73"/>
      <c r="H87" s="218"/>
      <c r="I87" s="80"/>
      <c r="J87" s="119"/>
      <c r="K87" s="119"/>
      <c r="L87" s="119"/>
      <c r="M87" s="76"/>
      <c r="N87" s="96"/>
      <c r="O87" s="76"/>
      <c r="P87" s="98"/>
      <c r="Q87" s="88">
        <f t="shared" si="1"/>
        <v>60.00000000000006</v>
      </c>
      <c r="R87" s="79">
        <f>0.5*Q87*(B86+B88)</f>
        <v>36.000000000000036</v>
      </c>
      <c r="S87" s="80">
        <f>0.5*Q87*(C86+C88)</f>
        <v>162.60000000000016</v>
      </c>
      <c r="T87" s="80">
        <f>0.5*Q87*(D86+D88)</f>
        <v>129.0000000000001</v>
      </c>
      <c r="U87" s="80">
        <f>0.5*Q87*(E86+E88)</f>
        <v>0</v>
      </c>
      <c r="V87" s="79">
        <f>0.5*Q87*(F86+F88)</f>
        <v>90.00000000000009</v>
      </c>
      <c r="W87" s="80">
        <f>0.5*Q87*(G86+G88)</f>
        <v>0</v>
      </c>
      <c r="X87" s="79">
        <f>0.5*Q87*(H86+H88)</f>
        <v>0</v>
      </c>
      <c r="Y87" s="84">
        <f>0.5*Q87*(I86+I88)</f>
        <v>0</v>
      </c>
      <c r="Z87" s="80">
        <f>0.5*Q87*(J86+J88)</f>
        <v>24.000000000000025</v>
      </c>
      <c r="AA87" s="80">
        <f>0.5*Q87*(K86+K88)</f>
        <v>24.000000000000025</v>
      </c>
      <c r="AB87" s="80">
        <f>0.5*Q87*(L86+L88)</f>
        <v>0</v>
      </c>
      <c r="AC87" s="140">
        <f>0.5*Q87*(M86+M88)</f>
        <v>0</v>
      </c>
      <c r="AD87" s="80">
        <f>0.5*Q87*(N86+N88)</f>
        <v>222.00000000000023</v>
      </c>
      <c r="AE87" s="98">
        <f>0.5*Q87*(O86+O88)</f>
        <v>63.000000000000064</v>
      </c>
      <c r="AF87" s="98">
        <f>0.5*Q87*(P86+P88)</f>
        <v>0</v>
      </c>
      <c r="AR87" s="5"/>
      <c r="AS87" s="13"/>
      <c r="AT87" s="7"/>
      <c r="AU87" s="7"/>
      <c r="AV87" s="7"/>
      <c r="AW87" s="7"/>
      <c r="AX87" s="7"/>
      <c r="AY87" s="7"/>
      <c r="AZ87" s="7"/>
      <c r="BA87" s="7"/>
      <c r="BB87" s="11"/>
      <c r="BC87" s="11"/>
      <c r="BD87" s="10"/>
      <c r="BE87" s="11"/>
      <c r="BF87" s="11"/>
      <c r="BG87" s="11"/>
      <c r="BH87" s="11"/>
      <c r="BI87" s="11"/>
      <c r="BJ87" s="11"/>
      <c r="BK87" s="11"/>
      <c r="BL87" s="11"/>
      <c r="BM87" s="7"/>
      <c r="BN87" s="7"/>
      <c r="BO87" s="7"/>
      <c r="BP87" s="7"/>
      <c r="BQ87" s="7"/>
      <c r="BR87" s="7"/>
      <c r="BS87" s="12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</row>
    <row r="88" spans="1:100" ht="12" customHeight="1">
      <c r="A88" s="403">
        <v>3</v>
      </c>
      <c r="B88" s="76">
        <v>0.6</v>
      </c>
      <c r="C88" s="401">
        <v>5.42</v>
      </c>
      <c r="D88" s="402">
        <v>4.3</v>
      </c>
      <c r="E88" s="80">
        <v>0</v>
      </c>
      <c r="F88" s="75">
        <v>2.25</v>
      </c>
      <c r="G88" s="73">
        <v>0</v>
      </c>
      <c r="H88" s="218">
        <v>0</v>
      </c>
      <c r="I88" s="80">
        <v>0</v>
      </c>
      <c r="J88" s="341">
        <v>0.4</v>
      </c>
      <c r="K88" s="80">
        <v>0.8</v>
      </c>
      <c r="L88" s="80">
        <v>0</v>
      </c>
      <c r="M88" s="76">
        <v>0</v>
      </c>
      <c r="N88" s="80">
        <v>7.4</v>
      </c>
      <c r="O88" s="76">
        <v>2.1</v>
      </c>
      <c r="P88" s="98">
        <v>0</v>
      </c>
      <c r="Q88" s="88"/>
      <c r="R88" s="79"/>
      <c r="S88" s="80"/>
      <c r="T88" s="80"/>
      <c r="U88" s="80"/>
      <c r="V88" s="79"/>
      <c r="W88" s="80"/>
      <c r="X88" s="79"/>
      <c r="Y88" s="84"/>
      <c r="Z88" s="84"/>
      <c r="AA88" s="84"/>
      <c r="AB88" s="80"/>
      <c r="AC88" s="140"/>
      <c r="AD88" s="80"/>
      <c r="AE88" s="98"/>
      <c r="AF88" s="98"/>
      <c r="AR88" s="5"/>
      <c r="AS88" s="13"/>
      <c r="AT88" s="7"/>
      <c r="AU88" s="7"/>
      <c r="AV88" s="7"/>
      <c r="AW88" s="7"/>
      <c r="AX88" s="7"/>
      <c r="AY88" s="7"/>
      <c r="AZ88" s="7"/>
      <c r="BA88" s="7"/>
      <c r="BB88" s="11"/>
      <c r="BC88" s="11"/>
      <c r="BD88" s="10"/>
      <c r="BE88" s="11"/>
      <c r="BF88" s="11"/>
      <c r="BG88" s="11"/>
      <c r="BH88" s="11"/>
      <c r="BI88" s="11"/>
      <c r="BJ88" s="11"/>
      <c r="BK88" s="11"/>
      <c r="BL88" s="11"/>
      <c r="BM88" s="7"/>
      <c r="BN88" s="7"/>
      <c r="BO88" s="7"/>
      <c r="BP88" s="7"/>
      <c r="BQ88" s="7"/>
      <c r="BR88" s="7"/>
      <c r="BS88" s="12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</row>
    <row r="89" spans="1:100" ht="12" customHeight="1">
      <c r="A89" s="71"/>
      <c r="B89" s="76"/>
      <c r="C89" s="80"/>
      <c r="D89" s="79"/>
      <c r="E89" s="80"/>
      <c r="F89" s="328"/>
      <c r="G89" s="73"/>
      <c r="H89" s="218" t="s">
        <v>228</v>
      </c>
      <c r="I89" s="80" t="s">
        <v>228</v>
      </c>
      <c r="J89" s="80"/>
      <c r="K89" s="80"/>
      <c r="L89" s="80"/>
      <c r="M89" s="76"/>
      <c r="N89" s="74"/>
      <c r="O89" s="76"/>
      <c r="P89" s="98"/>
      <c r="Q89" s="88">
        <f>1000*(A90-A88)</f>
        <v>40.000000000000036</v>
      </c>
      <c r="R89" s="79">
        <f>0.5*Q89*(B88+B90)</f>
        <v>30.00000000000003</v>
      </c>
      <c r="S89" s="80">
        <f>0.5*Q89*(C88+C90)</f>
        <v>240.4000000000002</v>
      </c>
      <c r="T89" s="80">
        <f>0.5*Q89*(D88+D90)</f>
        <v>256.0000000000002</v>
      </c>
      <c r="U89" s="80">
        <f>0.5*Q89*(E88+E90)</f>
        <v>0</v>
      </c>
      <c r="V89" s="79">
        <f>0.5*Q89*(F88+F90)</f>
        <v>65.00000000000006</v>
      </c>
      <c r="W89" s="80">
        <f>0.5*Q89*(G88+G90)</f>
        <v>4.0000000000000036</v>
      </c>
      <c r="X89" s="79">
        <f>0.5*Q89*(H88+H90)</f>
        <v>0</v>
      </c>
      <c r="Y89" s="84">
        <f>0.5*Q89*(I88+I90)</f>
        <v>0</v>
      </c>
      <c r="Z89" s="80">
        <f>0.5*Q89*(J88+J90)</f>
        <v>8.000000000000007</v>
      </c>
      <c r="AA89" s="80">
        <f>0.5*Q89*(K88+K90)</f>
        <v>64.00000000000006</v>
      </c>
      <c r="AB89" s="80">
        <f>0.5*Q89*(L88+L90)</f>
        <v>0</v>
      </c>
      <c r="AC89" s="140">
        <f>0.5*Q89*(M88+M90)</f>
        <v>16.000000000000014</v>
      </c>
      <c r="AD89" s="80">
        <f>0.5*Q89*(N88+N90)</f>
        <v>308.0000000000003</v>
      </c>
      <c r="AE89" s="98">
        <f>0.5*Q89*(O88+O90)</f>
        <v>98.0000000000001</v>
      </c>
      <c r="AF89" s="98">
        <f>0.5*Q89*(P88+P90)</f>
        <v>0</v>
      </c>
      <c r="AR89" s="5"/>
      <c r="AS89" s="13"/>
      <c r="AT89" s="7"/>
      <c r="AU89" s="7"/>
      <c r="AV89" s="7"/>
      <c r="AW89" s="7"/>
      <c r="AX89" s="7"/>
      <c r="AY89" s="7"/>
      <c r="AZ89" s="7"/>
      <c r="BA89" s="7"/>
      <c r="BB89" s="11"/>
      <c r="BC89" s="11"/>
      <c r="BD89" s="10"/>
      <c r="BE89" s="11"/>
      <c r="BF89" s="11"/>
      <c r="BG89" s="11"/>
      <c r="BH89" s="11"/>
      <c r="BI89" s="11"/>
      <c r="BJ89" s="11"/>
      <c r="BK89" s="11"/>
      <c r="BL89" s="11"/>
      <c r="BM89" s="7"/>
      <c r="BN89" s="7"/>
      <c r="BO89" s="7"/>
      <c r="BP89" s="7"/>
      <c r="BQ89" s="7"/>
      <c r="BR89" s="7"/>
      <c r="BS89" s="12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</row>
    <row r="90" spans="1:100" ht="12" customHeight="1">
      <c r="A90" s="71">
        <v>3.04</v>
      </c>
      <c r="B90" s="76">
        <v>0.9</v>
      </c>
      <c r="C90" s="80">
        <v>6.6</v>
      </c>
      <c r="D90" s="79">
        <v>8.5</v>
      </c>
      <c r="E90" s="80">
        <v>0</v>
      </c>
      <c r="F90" s="328">
        <v>1</v>
      </c>
      <c r="G90" s="73">
        <v>0.2</v>
      </c>
      <c r="H90" s="218">
        <v>0</v>
      </c>
      <c r="I90" s="80">
        <v>0</v>
      </c>
      <c r="J90" s="80">
        <v>0</v>
      </c>
      <c r="K90" s="80">
        <v>2.4</v>
      </c>
      <c r="L90" s="80">
        <v>0</v>
      </c>
      <c r="M90" s="76">
        <v>0.8</v>
      </c>
      <c r="N90" s="74">
        <v>8</v>
      </c>
      <c r="O90" s="76">
        <f>3.5*0.8</f>
        <v>2.8000000000000003</v>
      </c>
      <c r="P90" s="98">
        <v>0</v>
      </c>
      <c r="Q90" s="88"/>
      <c r="R90" s="79"/>
      <c r="S90" s="80"/>
      <c r="T90" s="80"/>
      <c r="U90" s="80"/>
      <c r="V90" s="79"/>
      <c r="W90" s="80"/>
      <c r="X90" s="79"/>
      <c r="Y90" s="84"/>
      <c r="Z90" s="84"/>
      <c r="AA90" s="84"/>
      <c r="AB90" s="80"/>
      <c r="AC90" s="140"/>
      <c r="AD90" s="80"/>
      <c r="AE90" s="98"/>
      <c r="AF90" s="98"/>
      <c r="AR90" s="5"/>
      <c r="AS90" s="13"/>
      <c r="AT90" s="7"/>
      <c r="AU90" s="7"/>
      <c r="AV90" s="7"/>
      <c r="AW90" s="7"/>
      <c r="AX90" s="7"/>
      <c r="AY90" s="7"/>
      <c r="AZ90" s="7"/>
      <c r="BA90" s="7"/>
      <c r="BB90" s="11"/>
      <c r="BC90" s="11"/>
      <c r="BD90" s="10"/>
      <c r="BE90" s="11"/>
      <c r="BF90" s="11"/>
      <c r="BG90" s="11"/>
      <c r="BH90" s="11"/>
      <c r="BI90" s="11"/>
      <c r="BJ90" s="11"/>
      <c r="BK90" s="11"/>
      <c r="BL90" s="11"/>
      <c r="BM90" s="7"/>
      <c r="BN90" s="7"/>
      <c r="BO90" s="7"/>
      <c r="BP90" s="7"/>
      <c r="BQ90" s="7"/>
      <c r="BR90" s="7"/>
      <c r="BS90" s="12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</row>
    <row r="91" spans="1:100" ht="12" customHeight="1">
      <c r="A91" s="71"/>
      <c r="B91" s="76"/>
      <c r="C91" s="80"/>
      <c r="D91" s="79"/>
      <c r="E91" s="80"/>
      <c r="F91" s="328"/>
      <c r="G91" s="73"/>
      <c r="H91" s="218"/>
      <c r="I91" s="74"/>
      <c r="J91" s="74"/>
      <c r="K91" s="74"/>
      <c r="L91" s="80"/>
      <c r="M91" s="76"/>
      <c r="N91" s="74"/>
      <c r="O91" s="76"/>
      <c r="P91" s="98"/>
      <c r="Q91" s="88">
        <f t="shared" si="1"/>
        <v>60.00000000000006</v>
      </c>
      <c r="R91" s="79">
        <f>0.5*Q91*(B90+B92)</f>
        <v>39.000000000000036</v>
      </c>
      <c r="S91" s="80">
        <f>0.5*Q91*(C90+C92)</f>
        <v>198.00000000000017</v>
      </c>
      <c r="T91" s="80">
        <f>0.5*Q91*(D90+D92)</f>
        <v>255.00000000000023</v>
      </c>
      <c r="U91" s="80">
        <f>0.5*Q91*(E90+E92)</f>
        <v>0</v>
      </c>
      <c r="V91" s="79">
        <f>0.5*Q91*(F90+F92)</f>
        <v>75.00000000000007</v>
      </c>
      <c r="W91" s="80">
        <f>0.5*Q91*(G90+G92)</f>
        <v>6.000000000000006</v>
      </c>
      <c r="X91" s="79">
        <f>0.5*Q91*(H90+H92)</f>
        <v>0</v>
      </c>
      <c r="Y91" s="84">
        <f>0.5*Q91*(I90+I92)</f>
        <v>0</v>
      </c>
      <c r="Z91" s="80">
        <f>0.5*Q91*(J90+J92)</f>
        <v>12.000000000000012</v>
      </c>
      <c r="AA91" s="80">
        <f>0.5*Q91*(K90+K92)</f>
        <v>72.00000000000007</v>
      </c>
      <c r="AB91" s="80">
        <f>0.5*Q91*(L90+L92)</f>
        <v>0</v>
      </c>
      <c r="AC91" s="140">
        <f>0.5*Q91*(M90+M92)</f>
        <v>24.000000000000025</v>
      </c>
      <c r="AD91" s="80">
        <f>0.5*Q91*(N90+N92)</f>
        <v>240.00000000000023</v>
      </c>
      <c r="AE91" s="98">
        <f>0.5*Q91*(O90+O92)</f>
        <v>84.00000000000009</v>
      </c>
      <c r="AF91" s="98">
        <f>0.5*Q91*(P90+P92)</f>
        <v>0</v>
      </c>
      <c r="AR91" s="5"/>
      <c r="AS91" s="13"/>
      <c r="AT91" s="7"/>
      <c r="AU91" s="7"/>
      <c r="AV91" s="7"/>
      <c r="AW91" s="7"/>
      <c r="AX91" s="7"/>
      <c r="AY91" s="7"/>
      <c r="AZ91" s="7"/>
      <c r="BA91" s="7"/>
      <c r="BB91" s="11"/>
      <c r="BC91" s="11"/>
      <c r="BD91" s="10"/>
      <c r="BE91" s="11"/>
      <c r="BF91" s="11"/>
      <c r="BG91" s="11"/>
      <c r="BH91" s="11"/>
      <c r="BI91" s="11"/>
      <c r="BJ91" s="11"/>
      <c r="BK91" s="11"/>
      <c r="BL91" s="11"/>
      <c r="BM91" s="7"/>
      <c r="BN91" s="7"/>
      <c r="BO91" s="7"/>
      <c r="BP91" s="7"/>
      <c r="BQ91" s="7"/>
      <c r="BR91" s="7"/>
      <c r="BS91" s="12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</row>
    <row r="92" spans="1:100" ht="12" customHeight="1">
      <c r="A92" s="71">
        <v>3.1</v>
      </c>
      <c r="B92" s="76">
        <v>0.4</v>
      </c>
      <c r="C92" s="335"/>
      <c r="D92" s="336"/>
      <c r="E92" s="80">
        <v>0</v>
      </c>
      <c r="F92" s="328">
        <v>1.5</v>
      </c>
      <c r="G92" s="73">
        <v>0</v>
      </c>
      <c r="H92" s="218">
        <v>0</v>
      </c>
      <c r="I92" s="74">
        <v>0</v>
      </c>
      <c r="J92" s="341">
        <v>0.4</v>
      </c>
      <c r="K92" s="74">
        <v>0</v>
      </c>
      <c r="L92" s="80">
        <v>0</v>
      </c>
      <c r="M92" s="76">
        <v>0</v>
      </c>
      <c r="N92" s="335"/>
      <c r="O92" s="76">
        <v>0</v>
      </c>
      <c r="P92" s="98">
        <v>0</v>
      </c>
      <c r="Q92" s="88"/>
      <c r="R92" s="79"/>
      <c r="S92" s="80"/>
      <c r="T92" s="80"/>
      <c r="U92" s="80"/>
      <c r="V92" s="79"/>
      <c r="W92" s="80"/>
      <c r="X92" s="79"/>
      <c r="Y92" s="84"/>
      <c r="Z92" s="84"/>
      <c r="AA92" s="84"/>
      <c r="AB92" s="80"/>
      <c r="AC92" s="140"/>
      <c r="AD92" s="80"/>
      <c r="AE92" s="98"/>
      <c r="AF92" s="98"/>
      <c r="AR92" s="5"/>
      <c r="AS92" s="13"/>
      <c r="AT92" s="7"/>
      <c r="AU92" s="7"/>
      <c r="AV92" s="7"/>
      <c r="AW92" s="7"/>
      <c r="AX92" s="7"/>
      <c r="AY92" s="7"/>
      <c r="AZ92" s="7"/>
      <c r="BA92" s="7"/>
      <c r="BB92" s="11"/>
      <c r="BC92" s="11"/>
      <c r="BD92" s="10"/>
      <c r="BE92" s="11"/>
      <c r="BF92" s="11"/>
      <c r="BG92" s="11"/>
      <c r="BH92" s="11"/>
      <c r="BI92" s="11"/>
      <c r="BJ92" s="11"/>
      <c r="BK92" s="11"/>
      <c r="BL92" s="11"/>
      <c r="BM92" s="7"/>
      <c r="BN92" s="7"/>
      <c r="BO92" s="7"/>
      <c r="BP92" s="7"/>
      <c r="BQ92" s="7"/>
      <c r="BR92" s="7"/>
      <c r="BS92" s="12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</row>
    <row r="93" spans="1:100" ht="12" customHeight="1">
      <c r="A93" s="142"/>
      <c r="B93" s="76"/>
      <c r="C93" s="80"/>
      <c r="D93" s="79"/>
      <c r="E93" s="80"/>
      <c r="F93" s="328"/>
      <c r="G93" s="73"/>
      <c r="H93" s="218"/>
      <c r="I93" s="74"/>
      <c r="J93" s="74"/>
      <c r="K93" s="74"/>
      <c r="L93" s="80"/>
      <c r="M93" s="76"/>
      <c r="N93" s="74"/>
      <c r="O93" s="76"/>
      <c r="P93" s="98"/>
      <c r="Q93" s="88">
        <f t="shared" si="1"/>
        <v>40.000000000000036</v>
      </c>
      <c r="R93" s="79">
        <f>0.5*Q93*(B92+B94)</f>
        <v>16.000000000000014</v>
      </c>
      <c r="S93" s="80">
        <f>0.5*Q93*(C92+C94)</f>
        <v>0</v>
      </c>
      <c r="T93" s="80">
        <f>0.5*Q93*(D92+D94)</f>
        <v>0</v>
      </c>
      <c r="U93" s="80">
        <f>0.5*Q93*(E92+E94)</f>
        <v>0</v>
      </c>
      <c r="V93" s="79">
        <f>0.5*Q93*(F92+F94)</f>
        <v>60.00000000000006</v>
      </c>
      <c r="W93" s="80">
        <f>0.5*Q93*(G92+G94)</f>
        <v>0</v>
      </c>
      <c r="X93" s="79">
        <f>0.5*Q93*(H92+H94)</f>
        <v>0</v>
      </c>
      <c r="Y93" s="84">
        <f>0.5*Q93*(I92+I94)</f>
        <v>0</v>
      </c>
      <c r="Z93" s="80">
        <f>0.5*Q93*(J92+J94)</f>
        <v>16.000000000000014</v>
      </c>
      <c r="AA93" s="80">
        <f>0.5*Q93*(K92+K94)</f>
        <v>0</v>
      </c>
      <c r="AB93" s="80">
        <f>0.5*Q93*(L92+L94)</f>
        <v>0</v>
      </c>
      <c r="AC93" s="140">
        <f>0.5*Q93*(M92+M94)</f>
        <v>0</v>
      </c>
      <c r="AD93" s="80">
        <f>0.5*Q93*(N92+N94)</f>
        <v>0</v>
      </c>
      <c r="AE93" s="98">
        <f>0.5*Q93*(O92+O94)</f>
        <v>0</v>
      </c>
      <c r="AF93" s="98">
        <f>0.5*Q93*(P92+P94)</f>
        <v>0</v>
      </c>
      <c r="AR93" s="5"/>
      <c r="AS93" s="13"/>
      <c r="AT93" s="7"/>
      <c r="AU93" s="7"/>
      <c r="AV93" s="7"/>
      <c r="AW93" s="7"/>
      <c r="AX93" s="7"/>
      <c r="AY93" s="7"/>
      <c r="AZ93" s="7"/>
      <c r="BA93" s="7"/>
      <c r="BB93" s="11"/>
      <c r="BC93" s="11"/>
      <c r="BD93" s="10"/>
      <c r="BE93" s="11"/>
      <c r="BF93" s="11"/>
      <c r="BG93" s="11"/>
      <c r="BH93" s="11"/>
      <c r="BI93" s="11"/>
      <c r="BJ93" s="11"/>
      <c r="BK93" s="11"/>
      <c r="BL93" s="11"/>
      <c r="BM93" s="7"/>
      <c r="BN93" s="7"/>
      <c r="BO93" s="7"/>
      <c r="BP93" s="7"/>
      <c r="BQ93" s="7"/>
      <c r="BR93" s="7"/>
      <c r="BS93" s="12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</row>
    <row r="94" spans="1:100" ht="12.75">
      <c r="A94" s="71">
        <v>3.14</v>
      </c>
      <c r="B94" s="76">
        <v>0.4</v>
      </c>
      <c r="C94" s="335"/>
      <c r="D94" s="336"/>
      <c r="E94" s="80">
        <v>0</v>
      </c>
      <c r="F94" s="328">
        <v>1.5</v>
      </c>
      <c r="G94" s="73">
        <v>0</v>
      </c>
      <c r="H94" s="218">
        <v>0</v>
      </c>
      <c r="I94" s="74">
        <v>0</v>
      </c>
      <c r="J94" s="341">
        <v>0.4</v>
      </c>
      <c r="K94" s="74">
        <v>0</v>
      </c>
      <c r="L94" s="80">
        <v>0</v>
      </c>
      <c r="M94" s="74">
        <v>0</v>
      </c>
      <c r="N94" s="335"/>
      <c r="O94" s="76">
        <v>0</v>
      </c>
      <c r="P94" s="98">
        <v>0</v>
      </c>
      <c r="Q94" s="88"/>
      <c r="R94" s="79"/>
      <c r="S94" s="80"/>
      <c r="T94" s="80"/>
      <c r="U94" s="80"/>
      <c r="V94" s="79"/>
      <c r="W94" s="80"/>
      <c r="X94" s="79"/>
      <c r="Y94" s="84"/>
      <c r="Z94" s="84"/>
      <c r="AA94" s="84"/>
      <c r="AB94" s="80"/>
      <c r="AC94" s="140"/>
      <c r="AD94" s="80"/>
      <c r="AE94" s="98"/>
      <c r="AF94" s="98"/>
      <c r="AR94" s="5"/>
      <c r="AS94" s="13"/>
      <c r="AT94" s="7"/>
      <c r="AU94" s="7"/>
      <c r="AV94" s="7"/>
      <c r="AW94" s="7"/>
      <c r="AX94" s="7"/>
      <c r="AY94" s="7"/>
      <c r="AZ94" s="7"/>
      <c r="BA94" s="7"/>
      <c r="BB94" s="11"/>
      <c r="BC94" s="11"/>
      <c r="BD94" s="10"/>
      <c r="BE94" s="11"/>
      <c r="BF94" s="11"/>
      <c r="BG94" s="11"/>
      <c r="BH94" s="11"/>
      <c r="BI94" s="11"/>
      <c r="BJ94" s="11"/>
      <c r="BK94" s="11"/>
      <c r="BL94" s="11"/>
      <c r="BM94" s="7"/>
      <c r="BN94" s="7"/>
      <c r="BO94" s="7"/>
      <c r="BP94" s="7"/>
      <c r="BQ94" s="7"/>
      <c r="BR94" s="7"/>
      <c r="BS94" s="12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</row>
    <row r="95" spans="1:100" ht="12.75">
      <c r="A95" s="71"/>
      <c r="B95" s="76"/>
      <c r="C95" s="80"/>
      <c r="D95" s="79"/>
      <c r="E95" s="80"/>
      <c r="F95" s="328"/>
      <c r="G95" s="73"/>
      <c r="H95" s="218"/>
      <c r="I95" s="74"/>
      <c r="J95" s="74"/>
      <c r="K95" s="74"/>
      <c r="L95" s="80"/>
      <c r="M95" s="74"/>
      <c r="N95" s="92"/>
      <c r="O95" s="76"/>
      <c r="P95" s="98"/>
      <c r="Q95" s="88">
        <f t="shared" si="1"/>
        <v>60.00000000000006</v>
      </c>
      <c r="R95" s="79">
        <f>0.5*Q95*(B94+B96)</f>
        <v>24.000000000000025</v>
      </c>
      <c r="S95" s="80">
        <f>0.5*Q95*(C94+C96)</f>
        <v>0</v>
      </c>
      <c r="T95" s="80">
        <f>0.5*Q95*(D94+D96)</f>
        <v>0</v>
      </c>
      <c r="U95" s="80">
        <f>0.5*Q95*(E94+E96)</f>
        <v>0</v>
      </c>
      <c r="V95" s="79">
        <f>0.5*Q95*(F94+F96)</f>
        <v>90.00000000000009</v>
      </c>
      <c r="W95" s="80">
        <f>0.5*Q95*(G94+G96)</f>
        <v>0</v>
      </c>
      <c r="X95" s="79">
        <f>0.5*Q95*(H94+H96)</f>
        <v>0</v>
      </c>
      <c r="Y95" s="84">
        <f>0.5*Q95*(I94+I96)</f>
        <v>0</v>
      </c>
      <c r="Z95" s="80">
        <f>0.5*Q95*(J94+J96)</f>
        <v>24.000000000000025</v>
      </c>
      <c r="AA95" s="80">
        <f>0.5*Q95*(K94+K96)</f>
        <v>15.000000000000014</v>
      </c>
      <c r="AB95" s="80">
        <f>0.5*Q95*(L94+L96)</f>
        <v>0</v>
      </c>
      <c r="AC95" s="140">
        <f>0.5*Q95*(M94+M96)</f>
        <v>0</v>
      </c>
      <c r="AD95" s="80">
        <f>0.5*Q95*(N94+N96)</f>
        <v>0</v>
      </c>
      <c r="AE95" s="98">
        <f>0.5*Q95*(O94+O96)</f>
        <v>0</v>
      </c>
      <c r="AF95" s="98">
        <f>0.5*Q95*(P94+P96)</f>
        <v>0</v>
      </c>
      <c r="AR95" s="5"/>
      <c r="AS95" s="13"/>
      <c r="AT95" s="7"/>
      <c r="AU95" s="7"/>
      <c r="AV95" s="7"/>
      <c r="AW95" s="7"/>
      <c r="AX95" s="7"/>
      <c r="AY95" s="7"/>
      <c r="AZ95" s="7"/>
      <c r="BA95" s="7"/>
      <c r="BB95" s="11"/>
      <c r="BC95" s="11"/>
      <c r="BD95" s="10"/>
      <c r="BE95" s="11"/>
      <c r="BF95" s="11"/>
      <c r="BG95" s="11"/>
      <c r="BH95" s="11"/>
      <c r="BI95" s="11"/>
      <c r="BJ95" s="11"/>
      <c r="BK95" s="11"/>
      <c r="BL95" s="11"/>
      <c r="BM95" s="7"/>
      <c r="BN95" s="7"/>
      <c r="BO95" s="7"/>
      <c r="BP95" s="7"/>
      <c r="BQ95" s="7"/>
      <c r="BR95" s="7"/>
      <c r="BS95" s="12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</row>
    <row r="96" spans="1:100" ht="12.75">
      <c r="A96" s="71">
        <v>3.2</v>
      </c>
      <c r="B96" s="76">
        <v>0.4</v>
      </c>
      <c r="C96" s="335"/>
      <c r="D96" s="336"/>
      <c r="E96" s="80">
        <v>0</v>
      </c>
      <c r="F96" s="328">
        <v>1.5</v>
      </c>
      <c r="G96" s="73">
        <v>0</v>
      </c>
      <c r="H96" s="218">
        <v>0</v>
      </c>
      <c r="I96" s="74">
        <v>0</v>
      </c>
      <c r="J96" s="341">
        <v>0.4</v>
      </c>
      <c r="K96" s="95">
        <v>0.5</v>
      </c>
      <c r="L96" s="329">
        <v>0</v>
      </c>
      <c r="M96" s="74">
        <v>0</v>
      </c>
      <c r="N96" s="335"/>
      <c r="O96" s="76">
        <v>0</v>
      </c>
      <c r="P96" s="98">
        <v>0</v>
      </c>
      <c r="Q96" s="88"/>
      <c r="R96" s="79"/>
      <c r="S96" s="80"/>
      <c r="T96" s="80"/>
      <c r="U96" s="80"/>
      <c r="V96" s="79"/>
      <c r="W96" s="80"/>
      <c r="X96" s="79"/>
      <c r="Y96" s="84"/>
      <c r="Z96" s="84"/>
      <c r="AA96" s="84"/>
      <c r="AB96" s="80"/>
      <c r="AC96" s="140"/>
      <c r="AD96" s="80"/>
      <c r="AE96" s="98"/>
      <c r="AF96" s="98"/>
      <c r="AR96" s="5"/>
      <c r="AS96" s="13"/>
      <c r="AT96" s="7"/>
      <c r="AU96" s="7"/>
      <c r="AV96" s="7"/>
      <c r="AW96" s="7"/>
      <c r="AX96" s="7"/>
      <c r="AY96" s="7"/>
      <c r="AZ96" s="7"/>
      <c r="BA96" s="7"/>
      <c r="BB96" s="11"/>
      <c r="BC96" s="11"/>
      <c r="BD96" s="10"/>
      <c r="BE96" s="11"/>
      <c r="BF96" s="11"/>
      <c r="BG96" s="11"/>
      <c r="BH96" s="11"/>
      <c r="BI96" s="11"/>
      <c r="BJ96" s="11"/>
      <c r="BK96" s="11"/>
      <c r="BL96" s="11"/>
      <c r="BM96" s="7"/>
      <c r="BN96" s="7"/>
      <c r="BO96" s="7"/>
      <c r="BP96" s="7"/>
      <c r="BQ96" s="7"/>
      <c r="BR96" s="7"/>
      <c r="BS96" s="12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</row>
    <row r="97" spans="1:100" ht="15">
      <c r="A97" s="71"/>
      <c r="B97" s="76"/>
      <c r="C97" s="80"/>
      <c r="D97" s="79"/>
      <c r="E97" s="80"/>
      <c r="F97" s="328"/>
      <c r="G97" s="73"/>
      <c r="H97" s="218"/>
      <c r="I97" s="74"/>
      <c r="J97" s="92"/>
      <c r="K97" s="92"/>
      <c r="L97" s="330"/>
      <c r="M97" s="74"/>
      <c r="N97" s="92"/>
      <c r="O97" s="76"/>
      <c r="P97" s="98"/>
      <c r="Q97" s="88">
        <f t="shared" si="1"/>
        <v>40.000000000000036</v>
      </c>
      <c r="R97" s="79">
        <f>0.5*Q97*(B96+B98)</f>
        <v>8.000000000000007</v>
      </c>
      <c r="S97" s="80">
        <f>0.5*Q97*(C96+C98)</f>
        <v>0</v>
      </c>
      <c r="T97" s="80">
        <f>0.5*Q97*(D96+D98)</f>
        <v>0</v>
      </c>
      <c r="U97" s="80">
        <f>0.5*Q97*(E96+E98)</f>
        <v>0</v>
      </c>
      <c r="V97" s="79">
        <f>0.5*Q97*(F96+F98)</f>
        <v>60.00000000000006</v>
      </c>
      <c r="W97" s="80">
        <f>0.5*Q97*(G96+G98)</f>
        <v>0</v>
      </c>
      <c r="X97" s="79">
        <f>0.5*Q97*(H96+H98)</f>
        <v>0</v>
      </c>
      <c r="Y97" s="84">
        <f>0.5*Q97*(I96+I98)</f>
        <v>0</v>
      </c>
      <c r="Z97" s="80">
        <f>0.5*Q97*(J96+J98)</f>
        <v>16.000000000000014</v>
      </c>
      <c r="AA97" s="80">
        <f>0.5*Q97*(K96+K98)</f>
        <v>32.00000000000003</v>
      </c>
      <c r="AB97" s="80">
        <f>0.5*Q97*(L96+L98)</f>
        <v>0</v>
      </c>
      <c r="AC97" s="140">
        <f>0.5*Q97*(M96+M98)</f>
        <v>0</v>
      </c>
      <c r="AD97" s="80">
        <f>0.5*Q97*(N96+N98)</f>
        <v>0</v>
      </c>
      <c r="AE97" s="98">
        <f>0.5*Q97*(O96+O98)</f>
        <v>0</v>
      </c>
      <c r="AF97" s="98">
        <f>0.5*Q97*(P96+P98)</f>
        <v>0</v>
      </c>
      <c r="AG97" s="44"/>
      <c r="AR97" s="5"/>
      <c r="AS97" s="13"/>
      <c r="AT97" s="7"/>
      <c r="AU97" s="7"/>
      <c r="AV97" s="7"/>
      <c r="AW97" s="7"/>
      <c r="AX97" s="7"/>
      <c r="AY97" s="7"/>
      <c r="AZ97" s="7"/>
      <c r="BA97" s="7"/>
      <c r="BB97" s="11"/>
      <c r="BC97" s="11"/>
      <c r="BD97" s="10"/>
      <c r="BE97" s="11"/>
      <c r="BF97" s="11"/>
      <c r="BG97" s="11"/>
      <c r="BH97" s="11"/>
      <c r="BI97" s="11"/>
      <c r="BJ97" s="11"/>
      <c r="BK97" s="11"/>
      <c r="BL97" s="11"/>
      <c r="BM97" s="7"/>
      <c r="BN97" s="7"/>
      <c r="BO97" s="7"/>
      <c r="BP97" s="7"/>
      <c r="BQ97" s="7"/>
      <c r="BR97" s="7"/>
      <c r="BS97" s="12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</row>
    <row r="98" spans="1:100" ht="12.75">
      <c r="A98" s="71">
        <v>3.24</v>
      </c>
      <c r="B98" s="76">
        <v>0</v>
      </c>
      <c r="C98" s="335"/>
      <c r="D98" s="336"/>
      <c r="E98" s="80">
        <v>0</v>
      </c>
      <c r="F98" s="328">
        <v>1.5</v>
      </c>
      <c r="G98" s="73">
        <v>0</v>
      </c>
      <c r="H98" s="218">
        <v>0</v>
      </c>
      <c r="I98" s="74">
        <v>0</v>
      </c>
      <c r="J98" s="341">
        <v>0.4</v>
      </c>
      <c r="K98" s="92">
        <v>1.1</v>
      </c>
      <c r="L98" s="330">
        <v>0</v>
      </c>
      <c r="M98" s="74">
        <v>0</v>
      </c>
      <c r="N98" s="335"/>
      <c r="O98" s="76">
        <v>0</v>
      </c>
      <c r="P98" s="98">
        <v>0</v>
      </c>
      <c r="Q98" s="88"/>
      <c r="R98" s="79"/>
      <c r="S98" s="80"/>
      <c r="T98" s="80"/>
      <c r="U98" s="80"/>
      <c r="V98" s="79"/>
      <c r="W98" s="80"/>
      <c r="X98" s="79"/>
      <c r="Y98" s="84"/>
      <c r="Z98" s="84"/>
      <c r="AA98" s="84"/>
      <c r="AB98" s="80"/>
      <c r="AC98" s="140"/>
      <c r="AD98" s="80"/>
      <c r="AE98" s="98"/>
      <c r="AF98" s="98"/>
      <c r="AR98" s="5"/>
      <c r="AS98" s="13"/>
      <c r="AT98" s="7"/>
      <c r="AU98" s="7"/>
      <c r="AV98" s="7"/>
      <c r="AW98" s="7"/>
      <c r="AX98" s="7"/>
      <c r="AY98" s="7"/>
      <c r="AZ98" s="7"/>
      <c r="BA98" s="7"/>
      <c r="BB98" s="11"/>
      <c r="BC98" s="11"/>
      <c r="BD98" s="10"/>
      <c r="BE98" s="11"/>
      <c r="BF98" s="11"/>
      <c r="BG98" s="11"/>
      <c r="BH98" s="11"/>
      <c r="BI98" s="11"/>
      <c r="BJ98" s="11"/>
      <c r="BK98" s="11"/>
      <c r="BL98" s="11"/>
      <c r="BM98" s="7"/>
      <c r="BN98" s="7"/>
      <c r="BO98" s="7"/>
      <c r="BP98" s="7"/>
      <c r="BQ98" s="7"/>
      <c r="BR98" s="7"/>
      <c r="BS98" s="12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</row>
    <row r="99" spans="1:100" ht="12.75">
      <c r="A99" s="71"/>
      <c r="B99" s="76"/>
      <c r="C99" s="80"/>
      <c r="D99" s="79"/>
      <c r="E99" s="80"/>
      <c r="F99" s="328"/>
      <c r="G99" s="73"/>
      <c r="H99" s="218"/>
      <c r="I99" s="74"/>
      <c r="J99" s="92"/>
      <c r="K99" s="92"/>
      <c r="L99" s="330"/>
      <c r="M99" s="74"/>
      <c r="N99" s="92"/>
      <c r="O99" s="76"/>
      <c r="P99" s="98"/>
      <c r="Q99" s="88">
        <f>1000*(3.33526-3.24)</f>
        <v>95.25999999999968</v>
      </c>
      <c r="R99" s="79">
        <f>0.5*Q99*(B98+B100)</f>
        <v>28.577999999999903</v>
      </c>
      <c r="S99" s="80">
        <f>0.5*Q99*(C98+C100)</f>
        <v>0</v>
      </c>
      <c r="T99" s="84">
        <f>0.5*Q99*(D98+D100)</f>
        <v>0</v>
      </c>
      <c r="U99" s="293">
        <f>0.5*Q99*(E98+E100)</f>
        <v>0</v>
      </c>
      <c r="V99" s="79">
        <f>0.5*Q99*(F98+F100)</f>
        <v>204.8089999999993</v>
      </c>
      <c r="W99" s="80">
        <f>0.5*Q99*(G98+G100)</f>
        <v>7.144499999999976</v>
      </c>
      <c r="X99" s="79">
        <f>0.5*Q99*(H98+H100)</f>
        <v>438.1959999999985</v>
      </c>
      <c r="Y99" s="84">
        <f>0.5*Q99*(I98+I100)</f>
        <v>381.0399999999987</v>
      </c>
      <c r="Z99" s="80">
        <f>0.5*Q99*(J98+J100)</f>
        <v>19.051999999999936</v>
      </c>
      <c r="AA99" s="80">
        <f>0.5*Q99*(K98+K100)</f>
        <v>385.8029999999987</v>
      </c>
      <c r="AB99" s="80">
        <f>0.5*Q99*(L98+L100)</f>
        <v>47.62999999999984</v>
      </c>
      <c r="AC99" s="140">
        <f>0.5*Q99*(M98+M100)</f>
        <v>0</v>
      </c>
      <c r="AD99" s="80">
        <f>0.5*Q99*(N98+N100)</f>
        <v>0</v>
      </c>
      <c r="AE99" s="98">
        <f>0.5*Q99*(O98+O100)</f>
        <v>0</v>
      </c>
      <c r="AF99" s="98">
        <f>0.5*Q99*(P98+P100)</f>
        <v>0</v>
      </c>
      <c r="AR99" s="5"/>
      <c r="AS99" s="13"/>
      <c r="AT99" s="7"/>
      <c r="AU99" s="7"/>
      <c r="AV99" s="7"/>
      <c r="AW99" s="7"/>
      <c r="AX99" s="7"/>
      <c r="AY99" s="7"/>
      <c r="AZ99" s="7"/>
      <c r="BA99" s="7"/>
      <c r="BB99" s="11"/>
      <c r="BC99" s="11"/>
      <c r="BD99" s="10"/>
      <c r="BE99" s="11"/>
      <c r="BF99" s="11"/>
      <c r="BG99" s="11"/>
      <c r="BH99" s="11"/>
      <c r="BI99" s="11"/>
      <c r="BJ99" s="11"/>
      <c r="BK99" s="11"/>
      <c r="BL99" s="11"/>
      <c r="BM99" s="7"/>
      <c r="BN99" s="7"/>
      <c r="BO99" s="7"/>
      <c r="BP99" s="7"/>
      <c r="BQ99" s="7"/>
      <c r="BR99" s="7"/>
      <c r="BS99" s="12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</row>
    <row r="100" spans="1:100" ht="12.75">
      <c r="A100" s="71" t="s">
        <v>218</v>
      </c>
      <c r="B100" s="76">
        <v>0.6</v>
      </c>
      <c r="C100" s="335"/>
      <c r="D100" s="336"/>
      <c r="E100" s="80">
        <v>0</v>
      </c>
      <c r="F100" s="328">
        <v>2.8</v>
      </c>
      <c r="G100" s="73">
        <v>0.15</v>
      </c>
      <c r="H100" s="218">
        <v>9.2</v>
      </c>
      <c r="I100" s="74">
        <v>8</v>
      </c>
      <c r="J100" s="92">
        <v>0</v>
      </c>
      <c r="K100" s="92">
        <v>7</v>
      </c>
      <c r="L100" s="330">
        <v>1</v>
      </c>
      <c r="M100" s="74">
        <v>0</v>
      </c>
      <c r="N100" s="335"/>
      <c r="O100" s="76">
        <v>0</v>
      </c>
      <c r="P100" s="98">
        <v>0</v>
      </c>
      <c r="Q100" s="88"/>
      <c r="R100" s="79"/>
      <c r="S100" s="80"/>
      <c r="T100" s="84"/>
      <c r="U100" s="101"/>
      <c r="V100" s="79"/>
      <c r="W100" s="80"/>
      <c r="X100" s="79"/>
      <c r="Y100" s="84"/>
      <c r="Z100" s="84"/>
      <c r="AA100" s="84"/>
      <c r="AB100" s="80"/>
      <c r="AC100" s="140"/>
      <c r="AD100" s="80"/>
      <c r="AE100" s="98"/>
      <c r="AF100" s="98"/>
      <c r="AR100" s="5"/>
      <c r="AS100" s="13"/>
      <c r="AT100" s="7"/>
      <c r="AU100" s="7"/>
      <c r="AV100" s="7"/>
      <c r="AW100" s="7"/>
      <c r="AX100" s="7"/>
      <c r="AY100" s="7"/>
      <c r="AZ100" s="7"/>
      <c r="BA100" s="7"/>
      <c r="BB100" s="11"/>
      <c r="BC100" s="11"/>
      <c r="BD100" s="10"/>
      <c r="BE100" s="11"/>
      <c r="BF100" s="11"/>
      <c r="BG100" s="11"/>
      <c r="BH100" s="11"/>
      <c r="BI100" s="11"/>
      <c r="BJ100" s="11"/>
      <c r="BK100" s="11"/>
      <c r="BL100" s="11"/>
      <c r="BM100" s="7"/>
      <c r="BN100" s="7"/>
      <c r="BO100" s="7"/>
      <c r="BP100" s="7"/>
      <c r="BQ100" s="7"/>
      <c r="BR100" s="7"/>
      <c r="BS100" s="12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</row>
    <row r="101" spans="1:100" ht="12.75">
      <c r="A101" s="71"/>
      <c r="B101" s="76"/>
      <c r="C101" s="80"/>
      <c r="D101" s="79"/>
      <c r="E101" s="80"/>
      <c r="F101" s="328"/>
      <c r="G101" s="73"/>
      <c r="H101" s="218"/>
      <c r="I101" s="74"/>
      <c r="J101" s="92"/>
      <c r="K101" s="92"/>
      <c r="L101" s="330"/>
      <c r="M101" s="74"/>
      <c r="N101" s="92"/>
      <c r="O101" s="76"/>
      <c r="P101" s="98"/>
      <c r="Q101" s="88">
        <f>(3.33526-3.29392)*1000</f>
        <v>41.33999999999993</v>
      </c>
      <c r="R101" s="79">
        <f>0.5*Q101*(B100+B102)</f>
        <v>45.47399999999993</v>
      </c>
      <c r="S101" s="80">
        <f>0.5*Q101*(C100+C102)</f>
        <v>0</v>
      </c>
      <c r="T101" s="84">
        <f>0.5*Q101*(D100+D102)</f>
        <v>0</v>
      </c>
      <c r="U101" s="101">
        <f>0.5*Q101*(E100+E102)</f>
        <v>26.870999999999956</v>
      </c>
      <c r="V101" s="79">
        <f>0.5*Q101*(F100+F102)</f>
        <v>119.8859999999998</v>
      </c>
      <c r="W101" s="80">
        <f aca="true" t="shared" si="2" ref="W101:W133">0.5*Q101*(G100+G102)</f>
        <v>9.921599999999984</v>
      </c>
      <c r="X101" s="79">
        <f>0.5*Q101*(H100+H102)</f>
        <v>405.1319999999994</v>
      </c>
      <c r="Y101" s="84">
        <f>0.5*Q101*(I100+I102)</f>
        <v>367.9259999999994</v>
      </c>
      <c r="Z101" s="80">
        <f>0.5*Q101*(J100+J102)</f>
        <v>0</v>
      </c>
      <c r="AA101" s="80">
        <f>0.5*Q101*(K100+K102)</f>
        <v>289.37999999999954</v>
      </c>
      <c r="AB101" s="80">
        <f>0.5*Q101*(L100+L102)</f>
        <v>20.669999999999966</v>
      </c>
      <c r="AC101" s="140">
        <f>0.5*Q101*(M100+M102)</f>
        <v>45.47399999999993</v>
      </c>
      <c r="AD101" s="80">
        <f>0.5*Q101*(N100+N102)</f>
        <v>0</v>
      </c>
      <c r="AE101" s="98">
        <f>0.5*Q101*(O100+O102)</f>
        <v>0</v>
      </c>
      <c r="AF101" s="98">
        <f>0.5*Q101*(P100+P102)</f>
        <v>0</v>
      </c>
      <c r="AR101" s="5"/>
      <c r="AS101" s="13"/>
      <c r="AT101" s="7"/>
      <c r="AU101" s="7"/>
      <c r="AV101" s="7"/>
      <c r="AW101" s="7"/>
      <c r="AX101" s="7"/>
      <c r="AY101" s="7"/>
      <c r="AZ101" s="7"/>
      <c r="BA101" s="7"/>
      <c r="BB101" s="11"/>
      <c r="BC101" s="11"/>
      <c r="BD101" s="10"/>
      <c r="BE101" s="11"/>
      <c r="BF101" s="11"/>
      <c r="BG101" s="11"/>
      <c r="BH101" s="11"/>
      <c r="BI101" s="11"/>
      <c r="BJ101" s="11"/>
      <c r="BK101" s="11"/>
      <c r="BL101" s="11"/>
      <c r="BM101" s="7"/>
      <c r="BN101" s="7"/>
      <c r="BO101" s="7"/>
      <c r="BP101" s="7"/>
      <c r="BQ101" s="7"/>
      <c r="BR101" s="7"/>
      <c r="BS101" s="12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</row>
    <row r="102" spans="1:100" ht="12.75">
      <c r="A102" s="71" t="s">
        <v>219</v>
      </c>
      <c r="B102" s="76">
        <v>1.6</v>
      </c>
      <c r="C102" s="335"/>
      <c r="D102" s="336"/>
      <c r="E102" s="80">
        <v>1.3</v>
      </c>
      <c r="F102" s="328">
        <v>3</v>
      </c>
      <c r="G102" s="73">
        <v>0.33</v>
      </c>
      <c r="H102" s="218">
        <v>10.4</v>
      </c>
      <c r="I102" s="74">
        <v>9.8</v>
      </c>
      <c r="J102" s="92">
        <v>0</v>
      </c>
      <c r="K102" s="92">
        <v>7</v>
      </c>
      <c r="L102" s="330">
        <v>0</v>
      </c>
      <c r="M102" s="344">
        <v>2.2</v>
      </c>
      <c r="N102" s="335"/>
      <c r="O102" s="76">
        <v>0</v>
      </c>
      <c r="P102" s="98">
        <v>0</v>
      </c>
      <c r="Q102" s="88"/>
      <c r="R102" s="79"/>
      <c r="S102" s="80"/>
      <c r="T102" s="84"/>
      <c r="U102" s="101"/>
      <c r="V102" s="79"/>
      <c r="W102" s="80"/>
      <c r="X102" s="79"/>
      <c r="Y102" s="84"/>
      <c r="Z102" s="84"/>
      <c r="AA102" s="84"/>
      <c r="AB102" s="80"/>
      <c r="AC102" s="140"/>
      <c r="AD102" s="80"/>
      <c r="AE102" s="98"/>
      <c r="AF102" s="98"/>
      <c r="AR102" s="5"/>
      <c r="AS102" s="13"/>
      <c r="AT102" s="7"/>
      <c r="AU102" s="7"/>
      <c r="AV102" s="7"/>
      <c r="AW102" s="7"/>
      <c r="AX102" s="7"/>
      <c r="AY102" s="7"/>
      <c r="AZ102" s="7"/>
      <c r="BA102" s="7"/>
      <c r="BB102" s="11"/>
      <c r="BC102" s="11"/>
      <c r="BD102" s="10"/>
      <c r="BE102" s="11"/>
      <c r="BF102" s="11"/>
      <c r="BG102" s="11"/>
      <c r="BH102" s="11"/>
      <c r="BI102" s="11"/>
      <c r="BJ102" s="11"/>
      <c r="BK102" s="11"/>
      <c r="BL102" s="11"/>
      <c r="BM102" s="7"/>
      <c r="BN102" s="7"/>
      <c r="BO102" s="7"/>
      <c r="BP102" s="7"/>
      <c r="BQ102" s="7"/>
      <c r="BR102" s="7"/>
      <c r="BS102" s="12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</row>
    <row r="103" spans="1:100" ht="12.75">
      <c r="A103" s="142" t="s">
        <v>207</v>
      </c>
      <c r="B103" s="76"/>
      <c r="C103" s="80"/>
      <c r="D103" s="79"/>
      <c r="E103" s="80"/>
      <c r="F103" s="79"/>
      <c r="G103" s="73"/>
      <c r="H103" s="218"/>
      <c r="I103" s="74"/>
      <c r="J103" s="92"/>
      <c r="K103" s="92"/>
      <c r="L103" s="92"/>
      <c r="M103" s="74"/>
      <c r="N103" s="92"/>
      <c r="O103" s="76"/>
      <c r="P103" s="98"/>
      <c r="Q103" s="88">
        <v>44.74</v>
      </c>
      <c r="R103" s="79">
        <f>0.5*Q103*(B102+B104)</f>
        <v>49.214000000000006</v>
      </c>
      <c r="S103" s="80">
        <f>0.5*Q103*(C102+C104)</f>
        <v>181.197</v>
      </c>
      <c r="T103" s="84">
        <f>0.5*Q103*(D102+D104)</f>
        <v>178.96</v>
      </c>
      <c r="U103" s="101">
        <f>0.5*Q103*(E102+E104)</f>
        <v>29.081000000000003</v>
      </c>
      <c r="V103" s="79">
        <f>0.5*Q103*(F102+F104)</f>
        <v>117.44250000000001</v>
      </c>
      <c r="W103" s="80">
        <f t="shared" si="2"/>
        <v>14.7642</v>
      </c>
      <c r="X103" s="79">
        <f>0.5*Q103*(H102+H104)</f>
        <v>232.64800000000002</v>
      </c>
      <c r="Y103" s="84">
        <f>0.5*Q103*(I102+I104)</f>
        <v>293.047</v>
      </c>
      <c r="Z103" s="80">
        <f>0.5*Q103*(J102+J104)</f>
        <v>13.422</v>
      </c>
      <c r="AA103" s="80">
        <f>0.5*Q103*(K102+K104)</f>
        <v>234.88500000000002</v>
      </c>
      <c r="AB103" s="80">
        <f>0.5*Q103*(L102+L104)</f>
        <v>0</v>
      </c>
      <c r="AC103" s="342">
        <f>0.5*Q103*(M102+M104)</f>
        <v>67.11</v>
      </c>
      <c r="AD103" s="80">
        <f>0.5*Q103*(N102+N104)</f>
        <v>178.96</v>
      </c>
      <c r="AE103" s="98">
        <f>0.5*Q103*(O102+O104)</f>
        <v>11.185</v>
      </c>
      <c r="AF103" s="98">
        <f>0.5*Q103*(P102+P104)</f>
        <v>0</v>
      </c>
      <c r="AR103" s="5"/>
      <c r="AS103" s="13"/>
      <c r="AT103" s="7"/>
      <c r="AU103" s="7"/>
      <c r="AV103" s="7"/>
      <c r="AW103" s="7"/>
      <c r="AX103" s="7"/>
      <c r="AY103" s="7"/>
      <c r="AZ103" s="7"/>
      <c r="BA103" s="7"/>
      <c r="BB103" s="11"/>
      <c r="BC103" s="11"/>
      <c r="BD103" s="10"/>
      <c r="BE103" s="11"/>
      <c r="BF103" s="11"/>
      <c r="BG103" s="11"/>
      <c r="BH103" s="11"/>
      <c r="BI103" s="11"/>
      <c r="BJ103" s="11"/>
      <c r="BK103" s="11"/>
      <c r="BL103" s="11"/>
      <c r="BM103" s="7"/>
      <c r="BN103" s="7"/>
      <c r="BO103" s="7"/>
      <c r="BP103" s="7"/>
      <c r="BQ103" s="7"/>
      <c r="BR103" s="7"/>
      <c r="BS103" s="12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</row>
    <row r="104" spans="1:100" ht="12.75">
      <c r="A104" s="71">
        <v>3.38</v>
      </c>
      <c r="B104" s="76">
        <v>0.6</v>
      </c>
      <c r="C104" s="143">
        <v>8.1</v>
      </c>
      <c r="D104" s="143">
        <v>8</v>
      </c>
      <c r="E104" s="80">
        <v>0</v>
      </c>
      <c r="F104" s="328">
        <v>2.25</v>
      </c>
      <c r="G104" s="73">
        <v>0.33</v>
      </c>
      <c r="H104" s="218">
        <v>0</v>
      </c>
      <c r="I104" s="74">
        <v>3.3</v>
      </c>
      <c r="J104" s="341">
        <v>0.6</v>
      </c>
      <c r="K104" s="92">
        <v>3.5</v>
      </c>
      <c r="L104" s="92">
        <v>0</v>
      </c>
      <c r="M104" s="74">
        <v>0.8</v>
      </c>
      <c r="N104" s="92">
        <v>8</v>
      </c>
      <c r="O104" s="76">
        <v>0.5</v>
      </c>
      <c r="P104" s="98">
        <v>0</v>
      </c>
      <c r="Q104" s="88"/>
      <c r="R104" s="79"/>
      <c r="S104" s="80"/>
      <c r="T104" s="84"/>
      <c r="U104" s="101"/>
      <c r="V104" s="79"/>
      <c r="W104" s="80"/>
      <c r="X104" s="79"/>
      <c r="Y104" s="84"/>
      <c r="Z104" s="84"/>
      <c r="AA104" s="84"/>
      <c r="AB104" s="80"/>
      <c r="AC104" s="140"/>
      <c r="AD104" s="80"/>
      <c r="AE104" s="98"/>
      <c r="AF104" s="98"/>
      <c r="AR104" s="5"/>
      <c r="AS104" s="13"/>
      <c r="AT104" s="7"/>
      <c r="AU104" s="7"/>
      <c r="AV104" s="7"/>
      <c r="AW104" s="7"/>
      <c r="AX104" s="7"/>
      <c r="AY104" s="7"/>
      <c r="AZ104" s="7"/>
      <c r="BA104" s="7"/>
      <c r="BB104" s="11"/>
      <c r="BC104" s="11"/>
      <c r="BD104" s="10"/>
      <c r="BE104" s="11"/>
      <c r="BF104" s="11"/>
      <c r="BG104" s="11"/>
      <c r="BH104" s="11"/>
      <c r="BI104" s="11"/>
      <c r="BJ104" s="11"/>
      <c r="BK104" s="11"/>
      <c r="BL104" s="11"/>
      <c r="BM104" s="7"/>
      <c r="BN104" s="7"/>
      <c r="BO104" s="7"/>
      <c r="BP104" s="7"/>
      <c r="BQ104" s="7"/>
      <c r="BR104" s="7"/>
      <c r="BS104" s="12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</row>
    <row r="105" spans="1:100" ht="12.75">
      <c r="A105" s="142" t="s">
        <v>207</v>
      </c>
      <c r="B105" s="76"/>
      <c r="C105" s="143"/>
      <c r="D105" s="79"/>
      <c r="E105" s="119"/>
      <c r="F105" s="328"/>
      <c r="G105" s="73"/>
      <c r="H105" s="218"/>
      <c r="I105" s="74"/>
      <c r="J105" s="92"/>
      <c r="K105" s="92"/>
      <c r="L105" s="92"/>
      <c r="M105" s="74"/>
      <c r="N105" s="92"/>
      <c r="O105" s="76"/>
      <c r="P105" s="98"/>
      <c r="Q105" s="88">
        <f>1000*(A106-A104)</f>
        <v>60.00000000000006</v>
      </c>
      <c r="R105" s="79">
        <f>0.5*Q105*(B104+B106)</f>
        <v>24.000000000000025</v>
      </c>
      <c r="S105" s="80">
        <f>0.5*Q105*(C104+C106)</f>
        <v>570.0000000000006</v>
      </c>
      <c r="T105" s="84">
        <f>0.5*Q105*(D104+D106)</f>
        <v>558.0000000000006</v>
      </c>
      <c r="U105" s="101">
        <f>0.5*Q105*(E104+E106)</f>
        <v>0</v>
      </c>
      <c r="V105" s="79">
        <f>0.5*Q105*(F104+F106)</f>
        <v>135.0000000000001</v>
      </c>
      <c r="W105" s="80">
        <f t="shared" si="2"/>
        <v>19.80000000000002</v>
      </c>
      <c r="X105" s="79">
        <f>0.5*Q105*(H104+H106)</f>
        <v>0</v>
      </c>
      <c r="Y105" s="84">
        <f>0.5*Q105*(I104+I106)</f>
        <v>213.0000000000002</v>
      </c>
      <c r="Z105" s="80">
        <f>0.5*Q105*(J104+J106)</f>
        <v>33.000000000000036</v>
      </c>
      <c r="AA105" s="80">
        <f>0.5*Q105*(K104+K106)</f>
        <v>225.00000000000023</v>
      </c>
      <c r="AB105" s="80">
        <f>0.5*Q105*(L104+L106)</f>
        <v>0</v>
      </c>
      <c r="AC105" s="140">
        <f>0.5*Q105*(M104+M106)</f>
        <v>48.00000000000005</v>
      </c>
      <c r="AD105" s="80">
        <f>0.5*Q105*(N104+N106)</f>
        <v>489.0000000000005</v>
      </c>
      <c r="AE105" s="98">
        <f>0.5*Q105*(O104+O106)</f>
        <v>30.00000000000003</v>
      </c>
      <c r="AF105" s="98">
        <f>0.5*Q105*(P104+P106)</f>
        <v>0</v>
      </c>
      <c r="AR105" s="5"/>
      <c r="AS105" s="13"/>
      <c r="AT105" s="7"/>
      <c r="AU105" s="7"/>
      <c r="AV105" s="7"/>
      <c r="AW105" s="7"/>
      <c r="AX105" s="7"/>
      <c r="AY105" s="7"/>
      <c r="AZ105" s="7"/>
      <c r="BA105" s="7"/>
      <c r="BB105" s="11"/>
      <c r="BC105" s="11"/>
      <c r="BD105" s="10"/>
      <c r="BE105" s="11"/>
      <c r="BF105" s="11"/>
      <c r="BG105" s="11"/>
      <c r="BH105" s="11"/>
      <c r="BI105" s="11"/>
      <c r="BJ105" s="11"/>
      <c r="BK105" s="11"/>
      <c r="BL105" s="11"/>
      <c r="BM105" s="7"/>
      <c r="BN105" s="7"/>
      <c r="BO105" s="7"/>
      <c r="BP105" s="7"/>
      <c r="BQ105" s="7"/>
      <c r="BR105" s="7"/>
      <c r="BS105" s="12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</row>
    <row r="106" spans="1:100" ht="12.75">
      <c r="A106" s="71">
        <v>3.44</v>
      </c>
      <c r="B106" s="76">
        <v>0.2</v>
      </c>
      <c r="C106" s="80">
        <v>10.9</v>
      </c>
      <c r="D106" s="79">
        <v>10.6</v>
      </c>
      <c r="E106" s="119">
        <v>0</v>
      </c>
      <c r="F106" s="328">
        <v>2.25</v>
      </c>
      <c r="G106" s="73">
        <v>0.33</v>
      </c>
      <c r="H106" s="218">
        <v>0</v>
      </c>
      <c r="I106" s="74">
        <v>3.8</v>
      </c>
      <c r="J106" s="341">
        <v>0.5</v>
      </c>
      <c r="K106" s="92">
        <v>4</v>
      </c>
      <c r="L106" s="92">
        <v>0</v>
      </c>
      <c r="M106" s="74">
        <v>0.8</v>
      </c>
      <c r="N106" s="92">
        <v>8.3</v>
      </c>
      <c r="O106" s="76">
        <v>0.5</v>
      </c>
      <c r="P106" s="98">
        <v>0</v>
      </c>
      <c r="Q106" s="88"/>
      <c r="R106" s="79"/>
      <c r="S106" s="80"/>
      <c r="T106" s="84"/>
      <c r="U106" s="101"/>
      <c r="V106" s="79"/>
      <c r="W106" s="80"/>
      <c r="X106" s="79"/>
      <c r="Y106" s="84"/>
      <c r="Z106" s="84"/>
      <c r="AA106" s="84"/>
      <c r="AB106" s="80"/>
      <c r="AC106" s="140"/>
      <c r="AD106" s="80"/>
      <c r="AE106" s="98"/>
      <c r="AF106" s="98"/>
      <c r="AR106" s="5"/>
      <c r="AS106" s="13"/>
      <c r="AT106" s="7"/>
      <c r="AU106" s="7"/>
      <c r="AV106" s="7"/>
      <c r="AW106" s="7"/>
      <c r="AX106" s="7"/>
      <c r="AY106" s="7"/>
      <c r="AZ106" s="7"/>
      <c r="BA106" s="7"/>
      <c r="BB106" s="11"/>
      <c r="BC106" s="11"/>
      <c r="BD106" s="10"/>
      <c r="BE106" s="11"/>
      <c r="BF106" s="11"/>
      <c r="BG106" s="11"/>
      <c r="BH106" s="11"/>
      <c r="BI106" s="11"/>
      <c r="BJ106" s="11"/>
      <c r="BK106" s="11"/>
      <c r="BL106" s="11"/>
      <c r="BM106" s="7"/>
      <c r="BN106" s="7"/>
      <c r="BO106" s="7"/>
      <c r="BP106" s="7"/>
      <c r="BQ106" s="7"/>
      <c r="BR106" s="7"/>
      <c r="BS106" s="12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</row>
    <row r="107" spans="1:100" ht="12.75">
      <c r="A107" s="71"/>
      <c r="B107" s="76"/>
      <c r="C107" s="80"/>
      <c r="D107" s="79"/>
      <c r="E107" s="119"/>
      <c r="F107" s="328"/>
      <c r="G107" s="73"/>
      <c r="H107" s="218"/>
      <c r="I107" s="74"/>
      <c r="J107" s="92"/>
      <c r="K107" s="92"/>
      <c r="L107" s="92"/>
      <c r="M107" s="74"/>
      <c r="N107" s="92"/>
      <c r="O107" s="76"/>
      <c r="P107" s="98"/>
      <c r="Q107" s="88">
        <f>1000*(A108-A106)</f>
        <v>60.00000000000006</v>
      </c>
      <c r="R107" s="79">
        <f>0.5*Q107*(B106+B108)</f>
        <v>27.00000000000002</v>
      </c>
      <c r="S107" s="80">
        <f>0.5*Q107*(C106+C108)</f>
        <v>804.0000000000008</v>
      </c>
      <c r="T107" s="84">
        <f>0.5*Q107*(D106+D108)</f>
        <v>780.0000000000007</v>
      </c>
      <c r="U107" s="101">
        <f>0.5*Q107*(E106+E108)</f>
        <v>0</v>
      </c>
      <c r="V107" s="79">
        <f>0.5*Q107*(F106+F108)</f>
        <v>135.0000000000001</v>
      </c>
      <c r="W107" s="80">
        <f t="shared" si="2"/>
        <v>19.80000000000002</v>
      </c>
      <c r="X107" s="79">
        <f>0.5*Q107*(H106+H108)</f>
        <v>0</v>
      </c>
      <c r="Y107" s="84">
        <f>0.5*Q107*(I106+I108)</f>
        <v>249.00000000000026</v>
      </c>
      <c r="Z107" s="80">
        <f>0.5*Q107*(J106+J108)</f>
        <v>48.00000000000005</v>
      </c>
      <c r="AA107" s="80">
        <f>0.5*Q107*(K106+K108)</f>
        <v>246.0000000000002</v>
      </c>
      <c r="AB107" s="80">
        <f>0.5*Q107*(L106+L108)</f>
        <v>0</v>
      </c>
      <c r="AC107" s="140">
        <f>0.5*Q107*(M106+M108)</f>
        <v>48.00000000000005</v>
      </c>
      <c r="AD107" s="80">
        <f>0.5*Q107*(N106+N108)</f>
        <v>558.0000000000006</v>
      </c>
      <c r="AE107" s="98">
        <f>0.5*Q107*(O106+O108)</f>
        <v>42.000000000000036</v>
      </c>
      <c r="AF107" s="98">
        <f>0.5*Q107*(P106+P108)</f>
        <v>0</v>
      </c>
      <c r="AR107" s="5"/>
      <c r="AS107" s="13"/>
      <c r="AT107" s="7"/>
      <c r="AU107" s="7"/>
      <c r="AV107" s="7"/>
      <c r="AW107" s="7"/>
      <c r="AX107" s="7"/>
      <c r="AY107" s="7"/>
      <c r="AZ107" s="7"/>
      <c r="BA107" s="7"/>
      <c r="BB107" s="11"/>
      <c r="BC107" s="11"/>
      <c r="BD107" s="10"/>
      <c r="BE107" s="11"/>
      <c r="BF107" s="11"/>
      <c r="BG107" s="11"/>
      <c r="BH107" s="11"/>
      <c r="BI107" s="11"/>
      <c r="BJ107" s="11"/>
      <c r="BK107" s="11"/>
      <c r="BL107" s="11"/>
      <c r="BM107" s="7"/>
      <c r="BN107" s="7"/>
      <c r="BO107" s="7"/>
      <c r="BP107" s="7"/>
      <c r="BQ107" s="7"/>
      <c r="BR107" s="7"/>
      <c r="BS107" s="12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</row>
    <row r="108" spans="1:100" ht="12.75">
      <c r="A108" s="71">
        <v>3.5</v>
      </c>
      <c r="B108" s="76">
        <v>0.7</v>
      </c>
      <c r="C108" s="80">
        <v>15.9</v>
      </c>
      <c r="D108" s="79">
        <v>15.4</v>
      </c>
      <c r="E108" s="80">
        <v>0</v>
      </c>
      <c r="F108" s="328">
        <v>2.25</v>
      </c>
      <c r="G108" s="73">
        <v>0.33</v>
      </c>
      <c r="H108" s="218">
        <v>0</v>
      </c>
      <c r="I108" s="74">
        <v>4.5</v>
      </c>
      <c r="J108" s="341">
        <v>1.1</v>
      </c>
      <c r="K108" s="92">
        <v>4.2</v>
      </c>
      <c r="L108" s="92">
        <v>0</v>
      </c>
      <c r="M108" s="74">
        <v>0.8</v>
      </c>
      <c r="N108" s="92">
        <v>10.3</v>
      </c>
      <c r="O108" s="76">
        <v>0.9</v>
      </c>
      <c r="P108" s="98">
        <v>0</v>
      </c>
      <c r="Q108" s="88"/>
      <c r="R108" s="79"/>
      <c r="S108" s="80"/>
      <c r="T108" s="84"/>
      <c r="U108" s="101"/>
      <c r="V108" s="79"/>
      <c r="W108" s="80"/>
      <c r="X108" s="79"/>
      <c r="Y108" s="84"/>
      <c r="Z108" s="84"/>
      <c r="AA108" s="84"/>
      <c r="AB108" s="80"/>
      <c r="AC108" s="140"/>
      <c r="AD108" s="80"/>
      <c r="AE108" s="98"/>
      <c r="AF108" s="98"/>
      <c r="AR108" s="5"/>
      <c r="AS108" s="13"/>
      <c r="AT108" s="7"/>
      <c r="AU108" s="7"/>
      <c r="AV108" s="7"/>
      <c r="AW108" s="7"/>
      <c r="AX108" s="7"/>
      <c r="AY108" s="7"/>
      <c r="AZ108" s="7"/>
      <c r="BA108" s="7"/>
      <c r="BB108" s="11"/>
      <c r="BC108" s="11"/>
      <c r="BD108" s="10"/>
      <c r="BE108" s="11"/>
      <c r="BF108" s="11"/>
      <c r="BG108" s="11"/>
      <c r="BH108" s="11"/>
      <c r="BI108" s="11"/>
      <c r="BJ108" s="11"/>
      <c r="BK108" s="11"/>
      <c r="BL108" s="11"/>
      <c r="BM108" s="7"/>
      <c r="BN108" s="7"/>
      <c r="BO108" s="7"/>
      <c r="BP108" s="7"/>
      <c r="BQ108" s="7"/>
      <c r="BR108" s="7"/>
      <c r="BS108" s="12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</row>
    <row r="109" spans="1:100" ht="12.75">
      <c r="A109" s="71"/>
      <c r="B109" s="76"/>
      <c r="C109" s="80"/>
      <c r="D109" s="79"/>
      <c r="E109" s="80"/>
      <c r="F109" s="328"/>
      <c r="G109" s="73"/>
      <c r="H109" s="218"/>
      <c r="I109" s="74"/>
      <c r="J109" s="92"/>
      <c r="K109" s="92"/>
      <c r="L109" s="92"/>
      <c r="M109" s="74"/>
      <c r="N109" s="92"/>
      <c r="O109" s="76"/>
      <c r="P109" s="98"/>
      <c r="Q109" s="88">
        <f>1000*(A110-A108)</f>
        <v>40.000000000000036</v>
      </c>
      <c r="R109" s="79">
        <f>0.5*Q109*(B108+B110)</f>
        <v>16.000000000000014</v>
      </c>
      <c r="S109" s="80">
        <f>0.5*Q109*(C108+C110)</f>
        <v>628.0000000000006</v>
      </c>
      <c r="T109" s="84">
        <f>0.5*Q109*(D108+D110)</f>
        <v>614.0000000000006</v>
      </c>
      <c r="U109" s="101">
        <f>0.5*Q109*(E108+E110)</f>
        <v>0</v>
      </c>
      <c r="V109" s="79">
        <f>0.5*Q109*(F108+F110)</f>
        <v>90.00000000000009</v>
      </c>
      <c r="W109" s="80">
        <f t="shared" si="2"/>
        <v>13.200000000000012</v>
      </c>
      <c r="X109" s="79">
        <f>0.5*Q109*(H108+H110)</f>
        <v>0</v>
      </c>
      <c r="Y109" s="84">
        <f>0.5*Q109*(I108+I110)</f>
        <v>178.00000000000017</v>
      </c>
      <c r="Z109" s="80">
        <f>0.5*Q109*(J108+J110)</f>
        <v>31.00000000000003</v>
      </c>
      <c r="AA109" s="80">
        <f>0.5*Q109*(K108+K110)</f>
        <v>178.00000000000017</v>
      </c>
      <c r="AB109" s="80">
        <f>0.5*Q109*(L108+L110)</f>
        <v>0</v>
      </c>
      <c r="AC109" s="140">
        <f>0.5*Q109*(M108+M110)</f>
        <v>32.00000000000003</v>
      </c>
      <c r="AD109" s="80">
        <f>0.5*Q109*(N108+N110)</f>
        <v>402.0000000000004</v>
      </c>
      <c r="AE109" s="98">
        <f>0.5*Q109*(O108+O110)</f>
        <v>32.00000000000003</v>
      </c>
      <c r="AF109" s="98">
        <f>0.5*Q109*(P108+P110)</f>
        <v>0</v>
      </c>
      <c r="AR109" s="5"/>
      <c r="AS109" s="13"/>
      <c r="AT109" s="7"/>
      <c r="AU109" s="7"/>
      <c r="AV109" s="7"/>
      <c r="AW109" s="7"/>
      <c r="AX109" s="7"/>
      <c r="AY109" s="7"/>
      <c r="AZ109" s="7"/>
      <c r="BA109" s="7"/>
      <c r="BB109" s="11"/>
      <c r="BC109" s="11"/>
      <c r="BD109" s="10"/>
      <c r="BE109" s="11"/>
      <c r="BF109" s="11"/>
      <c r="BG109" s="11"/>
      <c r="BH109" s="11"/>
      <c r="BI109" s="11"/>
      <c r="BJ109" s="11"/>
      <c r="BK109" s="11"/>
      <c r="BL109" s="11"/>
      <c r="BM109" s="7"/>
      <c r="BN109" s="7"/>
      <c r="BO109" s="7"/>
      <c r="BP109" s="7"/>
      <c r="BQ109" s="7"/>
      <c r="BR109" s="7"/>
      <c r="BS109" s="12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</row>
    <row r="110" spans="1:100" ht="12.75">
      <c r="A110" s="71">
        <v>3.54</v>
      </c>
      <c r="B110" s="76">
        <v>0.1</v>
      </c>
      <c r="C110" s="80">
        <v>15.5</v>
      </c>
      <c r="D110" s="79">
        <v>15.3</v>
      </c>
      <c r="E110" s="80">
        <v>0</v>
      </c>
      <c r="F110" s="328">
        <v>2.25</v>
      </c>
      <c r="G110" s="73">
        <v>0.33</v>
      </c>
      <c r="H110" s="218">
        <v>0</v>
      </c>
      <c r="I110" s="74">
        <v>4.4</v>
      </c>
      <c r="J110" s="341">
        <v>0.45</v>
      </c>
      <c r="K110" s="74">
        <v>4.7</v>
      </c>
      <c r="L110" s="92">
        <v>0</v>
      </c>
      <c r="M110" s="74">
        <v>0.8</v>
      </c>
      <c r="N110" s="92">
        <v>9.8</v>
      </c>
      <c r="O110" s="76">
        <v>0.7</v>
      </c>
      <c r="P110" s="98">
        <v>0</v>
      </c>
      <c r="Q110" s="88"/>
      <c r="R110" s="79"/>
      <c r="S110" s="80"/>
      <c r="T110" s="84"/>
      <c r="U110" s="101"/>
      <c r="V110" s="79"/>
      <c r="W110" s="80"/>
      <c r="X110" s="79"/>
      <c r="Y110" s="84"/>
      <c r="Z110" s="84"/>
      <c r="AA110" s="84"/>
      <c r="AB110" s="80"/>
      <c r="AC110" s="140"/>
      <c r="AD110" s="80"/>
      <c r="AE110" s="98"/>
      <c r="AF110" s="98"/>
      <c r="AR110" s="5"/>
      <c r="AS110" s="13"/>
      <c r="AT110" s="7"/>
      <c r="AU110" s="7"/>
      <c r="AV110" s="7"/>
      <c r="AW110" s="7"/>
      <c r="AX110" s="7"/>
      <c r="AY110" s="7"/>
      <c r="AZ110" s="7"/>
      <c r="BA110" s="7"/>
      <c r="BB110" s="11"/>
      <c r="BC110" s="11"/>
      <c r="BD110" s="10"/>
      <c r="BE110" s="11"/>
      <c r="BF110" s="11"/>
      <c r="BG110" s="11"/>
      <c r="BH110" s="11"/>
      <c r="BI110" s="11"/>
      <c r="BJ110" s="11"/>
      <c r="BK110" s="11"/>
      <c r="BL110" s="11"/>
      <c r="BM110" s="7"/>
      <c r="BN110" s="7"/>
      <c r="BO110" s="7"/>
      <c r="BP110" s="7"/>
      <c r="BQ110" s="7"/>
      <c r="BR110" s="7"/>
      <c r="BS110" s="12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</row>
    <row r="111" spans="1:100" ht="12.75">
      <c r="A111" s="71"/>
      <c r="B111" s="76"/>
      <c r="C111" s="80"/>
      <c r="D111" s="79"/>
      <c r="E111" s="80"/>
      <c r="F111" s="328"/>
      <c r="G111" s="73"/>
      <c r="H111" s="218"/>
      <c r="I111" s="74"/>
      <c r="J111" s="76"/>
      <c r="K111" s="74"/>
      <c r="L111" s="92"/>
      <c r="M111" s="74"/>
      <c r="N111" s="92"/>
      <c r="O111" s="76"/>
      <c r="P111" s="98"/>
      <c r="Q111" s="88">
        <f>1000*(A112-A110)</f>
        <v>60.00000000000006</v>
      </c>
      <c r="R111" s="79">
        <f>0.5*Q111*(B110+B112)</f>
        <v>3.000000000000003</v>
      </c>
      <c r="S111" s="80">
        <f>0.5*Q111*(C110+C112)</f>
        <v>816.0000000000008</v>
      </c>
      <c r="T111" s="84">
        <f>0.5*Q111*(D110+D112)</f>
        <v>801.0000000000008</v>
      </c>
      <c r="U111" s="101">
        <v>0</v>
      </c>
      <c r="V111" s="79">
        <f>0.5*Q111*(F110+F112)</f>
        <v>135.0000000000001</v>
      </c>
      <c r="W111" s="80">
        <f t="shared" si="2"/>
        <v>19.80000000000002</v>
      </c>
      <c r="X111" s="79">
        <f>0.5*Q111*(H110+H112)</f>
        <v>0</v>
      </c>
      <c r="Y111" s="84">
        <f>0.5*Q111*(I110+I112)</f>
        <v>249.00000000000026</v>
      </c>
      <c r="Z111" s="80">
        <f>0.5*Q111*(J110+J112)</f>
        <v>28.500000000000025</v>
      </c>
      <c r="AA111" s="80">
        <f>0.5*Q111*(K110+K112)</f>
        <v>270.0000000000002</v>
      </c>
      <c r="AB111" s="80">
        <f>0.5*Q111*(L110+L112)</f>
        <v>0</v>
      </c>
      <c r="AC111" s="140">
        <f>0.5*Q111*(M110+M112)</f>
        <v>48.00000000000005</v>
      </c>
      <c r="AD111" s="80">
        <f>0.5*Q111*(N110+N112)</f>
        <v>570.0000000000006</v>
      </c>
      <c r="AE111" s="98">
        <f>0.5*Q111*(O110+O112)</f>
        <v>42.000000000000036</v>
      </c>
      <c r="AF111" s="98">
        <f>0.5*Q111*(P110+P112)</f>
        <v>0</v>
      </c>
      <c r="AR111" s="5"/>
      <c r="AS111" s="13"/>
      <c r="AT111" s="7"/>
      <c r="AU111" s="7"/>
      <c r="AV111" s="7"/>
      <c r="AW111" s="7"/>
      <c r="AX111" s="7"/>
      <c r="AY111" s="7"/>
      <c r="AZ111" s="7"/>
      <c r="BA111" s="7"/>
      <c r="BB111" s="11"/>
      <c r="BC111" s="11"/>
      <c r="BD111" s="10"/>
      <c r="BE111" s="11"/>
      <c r="BF111" s="11"/>
      <c r="BG111" s="11"/>
      <c r="BH111" s="11"/>
      <c r="BI111" s="11"/>
      <c r="BJ111" s="11"/>
      <c r="BK111" s="11"/>
      <c r="BL111" s="11"/>
      <c r="BM111" s="7"/>
      <c r="BN111" s="7"/>
      <c r="BO111" s="7"/>
      <c r="BP111" s="7"/>
      <c r="BQ111" s="7"/>
      <c r="BR111" s="7"/>
      <c r="BS111" s="12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</row>
    <row r="112" spans="1:100" ht="12.75">
      <c r="A112" s="71">
        <v>3.6</v>
      </c>
      <c r="B112" s="209">
        <v>0</v>
      </c>
      <c r="C112" s="80">
        <v>11.7</v>
      </c>
      <c r="D112" s="79">
        <v>11.4</v>
      </c>
      <c r="E112" s="80">
        <v>0</v>
      </c>
      <c r="F112" s="328">
        <v>2.25</v>
      </c>
      <c r="G112" s="73">
        <v>0.33</v>
      </c>
      <c r="H112" s="218">
        <v>0</v>
      </c>
      <c r="I112" s="74">
        <v>3.9</v>
      </c>
      <c r="J112" s="341">
        <v>0.5</v>
      </c>
      <c r="K112" s="74">
        <v>4.3</v>
      </c>
      <c r="L112" s="92">
        <v>0</v>
      </c>
      <c r="M112" s="74">
        <v>0.8</v>
      </c>
      <c r="N112" s="92">
        <v>9.2</v>
      </c>
      <c r="O112" s="76">
        <v>0.7</v>
      </c>
      <c r="P112" s="98">
        <v>0</v>
      </c>
      <c r="Q112" s="88"/>
      <c r="R112" s="79"/>
      <c r="S112" s="80"/>
      <c r="T112" s="84"/>
      <c r="U112" s="327"/>
      <c r="V112" s="79"/>
      <c r="W112" s="80"/>
      <c r="X112" s="79"/>
      <c r="Y112" s="84"/>
      <c r="Z112" s="84"/>
      <c r="AA112" s="84"/>
      <c r="AB112" s="80"/>
      <c r="AC112" s="140"/>
      <c r="AD112" s="80"/>
      <c r="AE112" s="98"/>
      <c r="AF112" s="98"/>
      <c r="AR112" s="5"/>
      <c r="AS112" s="13"/>
      <c r="AT112" s="7"/>
      <c r="AU112" s="7"/>
      <c r="AV112" s="7"/>
      <c r="AW112" s="7"/>
      <c r="AX112" s="7"/>
      <c r="AY112" s="7"/>
      <c r="AZ112" s="7"/>
      <c r="BA112" s="7"/>
      <c r="BB112" s="11"/>
      <c r="BC112" s="11"/>
      <c r="BD112" s="10"/>
      <c r="BE112" s="11"/>
      <c r="BF112" s="11"/>
      <c r="BG112" s="11"/>
      <c r="BH112" s="11"/>
      <c r="BI112" s="11"/>
      <c r="BJ112" s="11"/>
      <c r="BK112" s="11"/>
      <c r="BL112" s="11"/>
      <c r="BM112" s="7"/>
      <c r="BN112" s="7"/>
      <c r="BO112" s="7"/>
      <c r="BP112" s="7"/>
      <c r="BQ112" s="7"/>
      <c r="BR112" s="7"/>
      <c r="BS112" s="12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</row>
    <row r="113" spans="1:100" ht="12.75">
      <c r="A113" s="71"/>
      <c r="B113" s="76"/>
      <c r="C113" s="80"/>
      <c r="D113" s="79"/>
      <c r="E113" s="80"/>
      <c r="F113" s="328"/>
      <c r="G113" s="73"/>
      <c r="H113" s="218"/>
      <c r="I113" s="74"/>
      <c r="J113" s="76"/>
      <c r="K113" s="74"/>
      <c r="L113" s="92"/>
      <c r="M113" s="74"/>
      <c r="N113" s="92"/>
      <c r="O113" s="76"/>
      <c r="P113" s="98"/>
      <c r="Q113" s="88">
        <f>1000*(A114-A112)</f>
        <v>40.000000000000036</v>
      </c>
      <c r="R113" s="79">
        <f>0.5*Q113*(B112+B114)</f>
        <v>8.000000000000007</v>
      </c>
      <c r="S113" s="80">
        <f>0.5*Q113*(C112+C114)</f>
        <v>456.60000000000036</v>
      </c>
      <c r="T113" s="84">
        <f>0.5*Q113*(D112+D114)</f>
        <v>438.00000000000034</v>
      </c>
      <c r="U113" s="101">
        <v>0</v>
      </c>
      <c r="V113" s="79">
        <f>0.5*Q113*(F112+F114)</f>
        <v>90.00000000000009</v>
      </c>
      <c r="W113" s="80">
        <f t="shared" si="2"/>
        <v>13.200000000000012</v>
      </c>
      <c r="X113" s="79">
        <f>0.5*Q113*(H112+H114)</f>
        <v>0</v>
      </c>
      <c r="Y113" s="84">
        <f>0.5*Q113*(I112+I114)</f>
        <v>152.0000000000001</v>
      </c>
      <c r="Z113" s="80">
        <f>0.5*Q113*(J112+J114)</f>
        <v>24.00000000000002</v>
      </c>
      <c r="AA113" s="80">
        <f>0.5*Q113*(K112+K114)</f>
        <v>164.00000000000014</v>
      </c>
      <c r="AB113" s="80">
        <f>0.5*Q113*(L112+L114)</f>
        <v>0</v>
      </c>
      <c r="AC113" s="140">
        <f>0.5*Q113*(M112+M114)</f>
        <v>32.00000000000003</v>
      </c>
      <c r="AD113" s="80">
        <f>0.5*Q113*(N112+N114)</f>
        <v>356.0000000000003</v>
      </c>
      <c r="AE113" s="98">
        <f>0.5*Q113*(O112+O114)</f>
        <v>32.00000000000003</v>
      </c>
      <c r="AF113" s="98">
        <f>0.5*Q113*(P112+P114)</f>
        <v>0</v>
      </c>
      <c r="AR113" s="5"/>
      <c r="AS113" s="13"/>
      <c r="AT113" s="7"/>
      <c r="AU113" s="7"/>
      <c r="AV113" s="7"/>
      <c r="AW113" s="7"/>
      <c r="AX113" s="7"/>
      <c r="AY113" s="7"/>
      <c r="AZ113" s="7"/>
      <c r="BA113" s="7"/>
      <c r="BB113" s="11"/>
      <c r="BC113" s="11"/>
      <c r="BD113" s="10"/>
      <c r="BE113" s="11"/>
      <c r="BF113" s="11"/>
      <c r="BG113" s="11"/>
      <c r="BH113" s="11"/>
      <c r="BI113" s="11"/>
      <c r="BJ113" s="11"/>
      <c r="BK113" s="11"/>
      <c r="BL113" s="11"/>
      <c r="BM113" s="7"/>
      <c r="BN113" s="7"/>
      <c r="BO113" s="7"/>
      <c r="BP113" s="7"/>
      <c r="BQ113" s="7"/>
      <c r="BR113" s="7"/>
      <c r="BS113" s="12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</row>
    <row r="114" spans="1:100" ht="12.75">
      <c r="A114" s="71">
        <v>3.64</v>
      </c>
      <c r="B114" s="76">
        <v>0.4</v>
      </c>
      <c r="C114" s="74">
        <f>5.3*2.1</f>
        <v>11.13</v>
      </c>
      <c r="D114" s="76">
        <f>5*2.1</f>
        <v>10.5</v>
      </c>
      <c r="E114" s="74">
        <v>0</v>
      </c>
      <c r="F114" s="75">
        <v>2.25</v>
      </c>
      <c r="G114" s="73">
        <v>0.33</v>
      </c>
      <c r="H114" s="218">
        <v>0</v>
      </c>
      <c r="I114" s="74">
        <v>3.7</v>
      </c>
      <c r="J114" s="341">
        <v>0.7</v>
      </c>
      <c r="K114" s="74">
        <v>3.9</v>
      </c>
      <c r="L114" s="92">
        <v>0</v>
      </c>
      <c r="M114" s="74">
        <v>0.8</v>
      </c>
      <c r="N114" s="92">
        <v>8.6</v>
      </c>
      <c r="O114" s="76">
        <v>0.9</v>
      </c>
      <c r="P114" s="98">
        <v>0</v>
      </c>
      <c r="Q114" s="88"/>
      <c r="R114" s="79"/>
      <c r="S114" s="80"/>
      <c r="T114" s="84"/>
      <c r="U114" s="101"/>
      <c r="V114" s="79"/>
      <c r="W114" s="80"/>
      <c r="X114" s="79"/>
      <c r="Y114" s="84"/>
      <c r="Z114" s="84"/>
      <c r="AA114" s="84"/>
      <c r="AB114" s="80"/>
      <c r="AC114" s="140"/>
      <c r="AD114" s="80"/>
      <c r="AE114" s="98"/>
      <c r="AF114" s="98"/>
      <c r="AR114" s="5"/>
      <c r="AS114" s="13"/>
      <c r="AT114" s="7"/>
      <c r="AU114" s="7"/>
      <c r="AV114" s="7"/>
      <c r="AW114" s="7"/>
      <c r="AX114" s="7"/>
      <c r="AY114" s="7"/>
      <c r="AZ114" s="7"/>
      <c r="BA114" s="7"/>
      <c r="BB114" s="11"/>
      <c r="BC114" s="11"/>
      <c r="BD114" s="10"/>
      <c r="BE114" s="11"/>
      <c r="BF114" s="11"/>
      <c r="BG114" s="11"/>
      <c r="BH114" s="11"/>
      <c r="BI114" s="11"/>
      <c r="BJ114" s="11"/>
      <c r="BK114" s="11"/>
      <c r="BL114" s="11"/>
      <c r="BM114" s="7"/>
      <c r="BN114" s="7"/>
      <c r="BO114" s="7"/>
      <c r="BP114" s="7"/>
      <c r="BQ114" s="7"/>
      <c r="BR114" s="7"/>
      <c r="BS114" s="12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</row>
    <row r="115" spans="1:100" ht="12.75">
      <c r="A115" s="71"/>
      <c r="B115" s="76"/>
      <c r="C115" s="74"/>
      <c r="D115" s="76"/>
      <c r="E115" s="74"/>
      <c r="F115" s="75"/>
      <c r="G115" s="73"/>
      <c r="H115" s="218"/>
      <c r="I115" s="74"/>
      <c r="J115" s="7"/>
      <c r="K115" s="74"/>
      <c r="L115" s="92"/>
      <c r="M115" s="74"/>
      <c r="N115" s="92"/>
      <c r="O115" s="76"/>
      <c r="P115" s="98"/>
      <c r="Q115" s="88">
        <f>1000*(A116-A114)</f>
        <v>60.00000000000006</v>
      </c>
      <c r="R115" s="79">
        <f>0.5*Q115*(B114+B116)</f>
        <v>33.000000000000036</v>
      </c>
      <c r="S115" s="80">
        <f>0.5*Q115*(C114+C116)</f>
        <v>696.9000000000007</v>
      </c>
      <c r="T115" s="84">
        <f>0.5*Q115*(D114+D116)</f>
        <v>663.0000000000007</v>
      </c>
      <c r="U115" s="101">
        <v>0</v>
      </c>
      <c r="V115" s="79">
        <f>0.5*Q115*(F114+F116)</f>
        <v>135.0000000000001</v>
      </c>
      <c r="W115" s="80">
        <f t="shared" si="2"/>
        <v>19.80000000000002</v>
      </c>
      <c r="X115" s="79">
        <f>0.5*Q115*(H114+H116)</f>
        <v>0</v>
      </c>
      <c r="Y115" s="84">
        <f>0.5*Q115*(I114+I116)</f>
        <v>225.00000000000023</v>
      </c>
      <c r="Z115" s="80">
        <f>0.5*Q115*(J114+J116)</f>
        <v>57.00000000000005</v>
      </c>
      <c r="AA115" s="80">
        <f>0.5*Q115*(K114+K116)</f>
        <v>222.00000000000023</v>
      </c>
      <c r="AB115" s="80">
        <f>0.5*Q115*(L114+L116)</f>
        <v>0</v>
      </c>
      <c r="AC115" s="140">
        <f>0.5*Q115*(M114+M116)</f>
        <v>48.00000000000005</v>
      </c>
      <c r="AD115" s="80">
        <f>0.5*Q115*(N114+N116)</f>
        <v>540.0000000000005</v>
      </c>
      <c r="AE115" s="98">
        <f>0.5*Q115*(O114+O116)</f>
        <v>51.00000000000006</v>
      </c>
      <c r="AF115" s="98">
        <f>0.5*Q115*(P114+P116)</f>
        <v>0</v>
      </c>
      <c r="AR115" s="5"/>
      <c r="AS115" s="13"/>
      <c r="AT115" s="7"/>
      <c r="AU115" s="7"/>
      <c r="AV115" s="7"/>
      <c r="AW115" s="7"/>
      <c r="AX115" s="7"/>
      <c r="AY115" s="7"/>
      <c r="AZ115" s="7"/>
      <c r="BA115" s="7"/>
      <c r="BB115" s="11"/>
      <c r="BC115" s="11"/>
      <c r="BD115" s="10"/>
      <c r="BE115" s="11"/>
      <c r="BF115" s="11"/>
      <c r="BG115" s="11"/>
      <c r="BH115" s="11"/>
      <c r="BI115" s="11"/>
      <c r="BJ115" s="11"/>
      <c r="BK115" s="11"/>
      <c r="BL115" s="11"/>
      <c r="BM115" s="7"/>
      <c r="BN115" s="7"/>
      <c r="BO115" s="7"/>
      <c r="BP115" s="7"/>
      <c r="BQ115" s="7"/>
      <c r="BR115" s="7"/>
      <c r="BS115" s="12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</row>
    <row r="116" spans="1:100" ht="12.75">
      <c r="A116" s="71">
        <v>3.7</v>
      </c>
      <c r="B116" s="76">
        <v>0.7</v>
      </c>
      <c r="C116" s="74">
        <v>12.1</v>
      </c>
      <c r="D116" s="76">
        <v>11.6</v>
      </c>
      <c r="E116" s="74">
        <v>0</v>
      </c>
      <c r="F116" s="345">
        <v>2.25</v>
      </c>
      <c r="G116" s="73">
        <v>0.33</v>
      </c>
      <c r="H116" s="218">
        <v>0</v>
      </c>
      <c r="I116" s="74">
        <v>3.8</v>
      </c>
      <c r="J116" s="341">
        <v>1.2</v>
      </c>
      <c r="K116" s="74">
        <v>3.5</v>
      </c>
      <c r="L116" s="92">
        <v>0</v>
      </c>
      <c r="M116" s="74">
        <v>0.8</v>
      </c>
      <c r="N116" s="92">
        <v>9.4</v>
      </c>
      <c r="O116" s="76">
        <v>0.8</v>
      </c>
      <c r="P116" s="98">
        <v>0</v>
      </c>
      <c r="Q116" s="88"/>
      <c r="R116" s="79"/>
      <c r="S116" s="80"/>
      <c r="T116" s="84"/>
      <c r="U116" s="101"/>
      <c r="V116" s="79"/>
      <c r="W116" s="80"/>
      <c r="X116" s="79"/>
      <c r="Y116" s="84"/>
      <c r="Z116" s="84"/>
      <c r="AA116" s="84"/>
      <c r="AB116" s="80"/>
      <c r="AC116" s="140"/>
      <c r="AD116" s="80"/>
      <c r="AE116" s="98"/>
      <c r="AF116" s="98"/>
      <c r="AR116" s="5"/>
      <c r="AS116" s="13"/>
      <c r="AT116" s="7"/>
      <c r="AU116" s="7"/>
      <c r="AV116" s="7"/>
      <c r="AW116" s="7"/>
      <c r="AX116" s="7"/>
      <c r="AY116" s="7"/>
      <c r="AZ116" s="7"/>
      <c r="BA116" s="7"/>
      <c r="BB116" s="11"/>
      <c r="BC116" s="11"/>
      <c r="BD116" s="10"/>
      <c r="BE116" s="11"/>
      <c r="BF116" s="11"/>
      <c r="BG116" s="11"/>
      <c r="BH116" s="11"/>
      <c r="BI116" s="11"/>
      <c r="BJ116" s="11"/>
      <c r="BK116" s="11"/>
      <c r="BL116" s="11"/>
      <c r="BM116" s="7"/>
      <c r="BN116" s="7"/>
      <c r="BO116" s="7"/>
      <c r="BP116" s="7"/>
      <c r="BQ116" s="7"/>
      <c r="BR116" s="7"/>
      <c r="BS116" s="12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</row>
    <row r="117" spans="1:100" ht="12.75">
      <c r="A117" s="71"/>
      <c r="B117" s="76"/>
      <c r="C117" s="74"/>
      <c r="D117" s="76"/>
      <c r="E117" s="74"/>
      <c r="F117" s="75"/>
      <c r="G117" s="73"/>
      <c r="H117" s="218"/>
      <c r="I117" s="74"/>
      <c r="J117" s="7"/>
      <c r="K117" s="74"/>
      <c r="L117" s="92"/>
      <c r="M117" s="74"/>
      <c r="N117" s="92"/>
      <c r="O117" s="76"/>
      <c r="P117" s="98"/>
      <c r="Q117" s="88">
        <f>1000*(A118-A116)</f>
        <v>40.000000000000036</v>
      </c>
      <c r="R117" s="79">
        <f>0.5*Q117*(B116+B118)</f>
        <v>20.000000000000018</v>
      </c>
      <c r="S117" s="80">
        <f>0.5*Q117*(C116+C118)</f>
        <v>430.0000000000004</v>
      </c>
      <c r="T117" s="84">
        <f>0.5*Q117*(D116+D118)</f>
        <v>382.00000000000034</v>
      </c>
      <c r="U117" s="101">
        <v>0</v>
      </c>
      <c r="V117" s="79">
        <f>0.5*Q117*(F116+F118)</f>
        <v>90.00000000000009</v>
      </c>
      <c r="W117" s="80">
        <f t="shared" si="2"/>
        <v>13.200000000000012</v>
      </c>
      <c r="X117" s="79">
        <f>0.5*Q117*(H116+H118)</f>
        <v>0</v>
      </c>
      <c r="Y117" s="84">
        <f>0.5*Q117*(I116+I118)</f>
        <v>148.00000000000014</v>
      </c>
      <c r="Z117" s="80">
        <f>0.5*Q117*(J116+J118)</f>
        <v>46.000000000000036</v>
      </c>
      <c r="AA117" s="80">
        <f>0.5*Q117*(K116+K118)</f>
        <v>142.0000000000001</v>
      </c>
      <c r="AB117" s="80">
        <f>0.5*Q117*(L116+L118)</f>
        <v>0</v>
      </c>
      <c r="AC117" s="140">
        <f>0.5*Q117*(M116+M118)</f>
        <v>32.00000000000003</v>
      </c>
      <c r="AD117" s="80">
        <f>0.5*Q117*(N116+N118)</f>
        <v>344.0000000000003</v>
      </c>
      <c r="AE117" s="98">
        <f>0.5*Q117*(O116+O118)</f>
        <v>30.00000000000003</v>
      </c>
      <c r="AF117" s="98">
        <f>0.5*Q117*(P116+P118)</f>
        <v>0</v>
      </c>
      <c r="AR117" s="5"/>
      <c r="AS117" s="13"/>
      <c r="AT117" s="7"/>
      <c r="AU117" s="7"/>
      <c r="AV117" s="7"/>
      <c r="AW117" s="7"/>
      <c r="AX117" s="7"/>
      <c r="AY117" s="7"/>
      <c r="AZ117" s="7"/>
      <c r="BA117" s="7"/>
      <c r="BB117" s="11"/>
      <c r="BC117" s="11"/>
      <c r="BD117" s="10"/>
      <c r="BE117" s="11"/>
      <c r="BF117" s="11"/>
      <c r="BG117" s="11"/>
      <c r="BH117" s="11"/>
      <c r="BI117" s="11"/>
      <c r="BJ117" s="11"/>
      <c r="BK117" s="11"/>
      <c r="BL117" s="11"/>
      <c r="BM117" s="7"/>
      <c r="BN117" s="7"/>
      <c r="BO117" s="7"/>
      <c r="BP117" s="7"/>
      <c r="BQ117" s="7"/>
      <c r="BR117" s="7"/>
      <c r="BS117" s="12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</row>
    <row r="118" spans="1:100" ht="12.75">
      <c r="A118" s="71">
        <v>3.74</v>
      </c>
      <c r="B118" s="76">
        <v>0.3</v>
      </c>
      <c r="C118" s="74">
        <v>9.4</v>
      </c>
      <c r="D118" s="76">
        <v>7.5</v>
      </c>
      <c r="E118" s="74">
        <v>0</v>
      </c>
      <c r="F118" s="75">
        <v>2.25</v>
      </c>
      <c r="G118" s="73">
        <v>0.33</v>
      </c>
      <c r="H118" s="218">
        <v>0</v>
      </c>
      <c r="I118" s="74">
        <v>3.6</v>
      </c>
      <c r="J118" s="341">
        <v>1.1</v>
      </c>
      <c r="K118" s="74">
        <v>3.6</v>
      </c>
      <c r="L118" s="92">
        <v>0</v>
      </c>
      <c r="M118" s="74">
        <v>0.8</v>
      </c>
      <c r="N118" s="92">
        <v>7.8</v>
      </c>
      <c r="O118" s="76">
        <v>0.7</v>
      </c>
      <c r="P118" s="98">
        <v>0</v>
      </c>
      <c r="Q118" s="88"/>
      <c r="R118" s="79"/>
      <c r="S118" s="80"/>
      <c r="T118" s="84"/>
      <c r="U118" s="101"/>
      <c r="V118" s="79"/>
      <c r="W118" s="80"/>
      <c r="X118" s="79"/>
      <c r="Y118" s="84"/>
      <c r="Z118" s="84"/>
      <c r="AA118" s="84"/>
      <c r="AB118" s="80"/>
      <c r="AC118" s="140"/>
      <c r="AD118" s="80"/>
      <c r="AE118" s="98"/>
      <c r="AF118" s="98"/>
      <c r="AR118" s="5"/>
      <c r="AS118" s="13"/>
      <c r="AT118" s="7"/>
      <c r="AU118" s="7"/>
      <c r="AV118" s="7"/>
      <c r="AW118" s="7"/>
      <c r="AX118" s="7"/>
      <c r="AY118" s="7"/>
      <c r="AZ118" s="7"/>
      <c r="BA118" s="7"/>
      <c r="BB118" s="11"/>
      <c r="BC118" s="11"/>
      <c r="BD118" s="10"/>
      <c r="BE118" s="11"/>
      <c r="BF118" s="11"/>
      <c r="BG118" s="11"/>
      <c r="BH118" s="11"/>
      <c r="BI118" s="11"/>
      <c r="BJ118" s="11"/>
      <c r="BK118" s="11"/>
      <c r="BL118" s="11"/>
      <c r="BM118" s="7"/>
      <c r="BN118" s="7"/>
      <c r="BO118" s="7"/>
      <c r="BP118" s="7"/>
      <c r="BQ118" s="7"/>
      <c r="BR118" s="7"/>
      <c r="BS118" s="12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</row>
    <row r="119" spans="1:100" ht="12.75">
      <c r="A119" s="71"/>
      <c r="B119" s="76"/>
      <c r="C119" s="74"/>
      <c r="D119" s="76"/>
      <c r="E119" s="74"/>
      <c r="F119" s="75"/>
      <c r="G119" s="73"/>
      <c r="H119" s="218"/>
      <c r="I119" s="74"/>
      <c r="J119" s="7"/>
      <c r="K119" s="74"/>
      <c r="L119" s="92"/>
      <c r="M119" s="74"/>
      <c r="N119" s="92"/>
      <c r="O119" s="76"/>
      <c r="P119" s="98"/>
      <c r="Q119" s="88">
        <f>1000*(A120-A118)</f>
        <v>59.99999999999961</v>
      </c>
      <c r="R119" s="79">
        <f>0.5*Q119*(B118+B120)</f>
        <v>8.999999999999941</v>
      </c>
      <c r="S119" s="80">
        <f>0.5*Q119*(C118+C120)</f>
        <v>281.9999999999982</v>
      </c>
      <c r="T119" s="84">
        <f>0.5*Q119*(D118+D120)</f>
        <v>224.99999999999852</v>
      </c>
      <c r="U119" s="101">
        <f>0.5*Q119*(E118+E120)</f>
        <v>0</v>
      </c>
      <c r="V119" s="79">
        <f>0.5*Q119*(F118+F120)</f>
        <v>187.49999999999878</v>
      </c>
      <c r="W119" s="80">
        <f t="shared" si="2"/>
        <v>9.899999999999936</v>
      </c>
      <c r="X119" s="79">
        <f>0.5*Q119*(H118+H120)</f>
        <v>0</v>
      </c>
      <c r="Y119" s="84">
        <f>0.5*Q119*(I118+I120)</f>
        <v>107.9999999999993</v>
      </c>
      <c r="Z119" s="80">
        <f>0.5*Q119*(J118+J120)</f>
        <v>47.99999999999969</v>
      </c>
      <c r="AA119" s="80">
        <f>0.5*Q119*(K118+K120)</f>
        <v>107.9999999999993</v>
      </c>
      <c r="AB119" s="80">
        <f>0.5*Q119*(L118+L120)</f>
        <v>0</v>
      </c>
      <c r="AC119" s="140">
        <f>0.5*Q119*(M118+M120)</f>
        <v>47.99999999999969</v>
      </c>
      <c r="AD119" s="80">
        <f>0.5*Q119*(N118+N120)</f>
        <v>233.99999999999847</v>
      </c>
      <c r="AE119" s="98">
        <f>0.5*Q119*(O118+O120)</f>
        <v>20.99999999999986</v>
      </c>
      <c r="AF119" s="98">
        <f>0.5*Q119*(P118+P120)</f>
        <v>0</v>
      </c>
      <c r="AR119" s="5"/>
      <c r="AS119" s="13"/>
      <c r="AT119" s="7"/>
      <c r="AU119" s="7"/>
      <c r="AV119" s="7"/>
      <c r="AW119" s="7"/>
      <c r="AX119" s="7"/>
      <c r="AY119" s="7"/>
      <c r="AZ119" s="7"/>
      <c r="BA119" s="7"/>
      <c r="BB119" s="11"/>
      <c r="BC119" s="11"/>
      <c r="BD119" s="10"/>
      <c r="BE119" s="11"/>
      <c r="BF119" s="11"/>
      <c r="BG119" s="11"/>
      <c r="BH119" s="11"/>
      <c r="BI119" s="11"/>
      <c r="BJ119" s="11"/>
      <c r="BK119" s="11"/>
      <c r="BL119" s="11"/>
      <c r="BM119" s="7"/>
      <c r="BN119" s="7"/>
      <c r="BO119" s="7"/>
      <c r="BP119" s="7"/>
      <c r="BQ119" s="7"/>
      <c r="BR119" s="7"/>
      <c r="BS119" s="12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</row>
    <row r="120" spans="1:100" ht="12.75">
      <c r="A120" s="71">
        <v>3.8</v>
      </c>
      <c r="B120" s="76">
        <v>0</v>
      </c>
      <c r="C120" s="335"/>
      <c r="D120" s="336"/>
      <c r="E120" s="74">
        <v>0</v>
      </c>
      <c r="F120" s="75">
        <v>4</v>
      </c>
      <c r="G120" s="73">
        <v>0</v>
      </c>
      <c r="H120" s="218">
        <v>0</v>
      </c>
      <c r="I120" s="74">
        <v>0</v>
      </c>
      <c r="J120" s="341">
        <v>0.5</v>
      </c>
      <c r="K120" s="74">
        <v>0</v>
      </c>
      <c r="L120" s="92">
        <v>0</v>
      </c>
      <c r="M120" s="74">
        <v>0.8</v>
      </c>
      <c r="N120" s="92">
        <v>0</v>
      </c>
      <c r="O120" s="76">
        <v>0</v>
      </c>
      <c r="P120" s="98">
        <v>0</v>
      </c>
      <c r="Q120" s="88"/>
      <c r="R120" s="79"/>
      <c r="S120" s="80"/>
      <c r="T120" s="84"/>
      <c r="U120" s="101"/>
      <c r="V120" s="79"/>
      <c r="W120" s="80"/>
      <c r="X120" s="79"/>
      <c r="Y120" s="84"/>
      <c r="Z120" s="84"/>
      <c r="AA120" s="84"/>
      <c r="AB120" s="80"/>
      <c r="AC120" s="140"/>
      <c r="AD120" s="80"/>
      <c r="AE120" s="98"/>
      <c r="AF120" s="98"/>
      <c r="AR120" s="5"/>
      <c r="AS120" s="13"/>
      <c r="AT120" s="7"/>
      <c r="AU120" s="7"/>
      <c r="AV120" s="7"/>
      <c r="AW120" s="7"/>
      <c r="AX120" s="7"/>
      <c r="AY120" s="7"/>
      <c r="AZ120" s="7"/>
      <c r="BA120" s="7"/>
      <c r="BB120" s="11"/>
      <c r="BC120" s="11"/>
      <c r="BD120" s="10"/>
      <c r="BE120" s="11"/>
      <c r="BF120" s="11"/>
      <c r="BG120" s="11"/>
      <c r="BH120" s="11"/>
      <c r="BI120" s="11"/>
      <c r="BJ120" s="11"/>
      <c r="BK120" s="11"/>
      <c r="BL120" s="11"/>
      <c r="BM120" s="7"/>
      <c r="BN120" s="7"/>
      <c r="BO120" s="7"/>
      <c r="BP120" s="7"/>
      <c r="BQ120" s="7"/>
      <c r="BR120" s="7"/>
      <c r="BS120" s="12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</row>
    <row r="121" spans="1:100" ht="12.75">
      <c r="A121" s="71"/>
      <c r="B121" s="76"/>
      <c r="C121" s="74"/>
      <c r="D121" s="76"/>
      <c r="E121" s="74"/>
      <c r="F121" s="75"/>
      <c r="G121" s="73"/>
      <c r="H121" s="218"/>
      <c r="I121" s="74"/>
      <c r="J121" s="7"/>
      <c r="K121" s="74"/>
      <c r="L121" s="92"/>
      <c r="M121" s="74"/>
      <c r="N121" s="92"/>
      <c r="O121" s="76"/>
      <c r="P121" s="98"/>
      <c r="Q121" s="88">
        <f>1000*(A122-A120)</f>
        <v>40.000000000000036</v>
      </c>
      <c r="R121" s="79">
        <f>0.5*Q121*(B120+B122)</f>
        <v>4.0000000000000036</v>
      </c>
      <c r="S121" s="80">
        <f>0.5*Q121*(C120+C122)</f>
        <v>0</v>
      </c>
      <c r="T121" s="84">
        <f>0.5*Q121*(D120+D122)</f>
        <v>0</v>
      </c>
      <c r="U121" s="101">
        <f>0.5*Q121*(E120+E122)</f>
        <v>0</v>
      </c>
      <c r="V121" s="79">
        <f>0.5*Q121*(F120+F122)</f>
        <v>135.0000000000001</v>
      </c>
      <c r="W121" s="80">
        <f t="shared" si="2"/>
        <v>0</v>
      </c>
      <c r="X121" s="79">
        <f>0.5*Q121*(H120+H122)</f>
        <v>0</v>
      </c>
      <c r="Y121" s="84">
        <f>0.5*Q121*(I120+I122)</f>
        <v>0</v>
      </c>
      <c r="Z121" s="80">
        <f>0.5*Q121*(J120+J122)</f>
        <v>20.000000000000018</v>
      </c>
      <c r="AA121" s="80">
        <f>0.5*Q121*(K120+K122)</f>
        <v>16.000000000000014</v>
      </c>
      <c r="AB121" s="80">
        <f>0.5*Q121*(L120+L122)</f>
        <v>0</v>
      </c>
      <c r="AC121" s="140">
        <f>0.5*Q121*(M120+M122)</f>
        <v>16.000000000000014</v>
      </c>
      <c r="AD121" s="80">
        <f>0.5*Q121*(N120+N122)</f>
        <v>0</v>
      </c>
      <c r="AE121" s="98">
        <f>0.5*Q121*(O120+O122)</f>
        <v>0</v>
      </c>
      <c r="AF121" s="98">
        <f>0.5*Q121*(P120+P122)</f>
        <v>0</v>
      </c>
      <c r="AR121" s="5"/>
      <c r="AS121" s="13"/>
      <c r="AT121" s="7"/>
      <c r="AU121" s="7"/>
      <c r="AV121" s="7"/>
      <c r="AW121" s="7"/>
      <c r="AX121" s="7"/>
      <c r="AY121" s="7"/>
      <c r="AZ121" s="7"/>
      <c r="BA121" s="7"/>
      <c r="BB121" s="11"/>
      <c r="BC121" s="11"/>
      <c r="BD121" s="10"/>
      <c r="BE121" s="11"/>
      <c r="BF121" s="11"/>
      <c r="BG121" s="11"/>
      <c r="BH121" s="11"/>
      <c r="BI121" s="11"/>
      <c r="BJ121" s="11"/>
      <c r="BK121" s="11"/>
      <c r="BL121" s="11"/>
      <c r="BM121" s="7"/>
      <c r="BN121" s="7"/>
      <c r="BO121" s="7"/>
      <c r="BP121" s="7"/>
      <c r="BQ121" s="7"/>
      <c r="BR121" s="7"/>
      <c r="BS121" s="12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</row>
    <row r="122" spans="1:100" ht="12.75">
      <c r="A122" s="71">
        <v>3.84</v>
      </c>
      <c r="B122" s="76">
        <v>0.2</v>
      </c>
      <c r="C122" s="335"/>
      <c r="D122" s="336"/>
      <c r="E122" s="74">
        <v>0</v>
      </c>
      <c r="F122" s="75">
        <v>2.75</v>
      </c>
      <c r="G122" s="73">
        <v>0</v>
      </c>
      <c r="H122" s="218">
        <v>0</v>
      </c>
      <c r="I122" s="74">
        <v>0</v>
      </c>
      <c r="J122" s="341">
        <v>0.5</v>
      </c>
      <c r="K122" s="74">
        <v>0.8</v>
      </c>
      <c r="L122" s="92">
        <v>0</v>
      </c>
      <c r="M122" s="74">
        <v>0</v>
      </c>
      <c r="N122" s="92">
        <v>0</v>
      </c>
      <c r="O122" s="76">
        <v>0</v>
      </c>
      <c r="P122" s="98">
        <v>0</v>
      </c>
      <c r="Q122" s="88"/>
      <c r="R122" s="79"/>
      <c r="S122" s="80"/>
      <c r="T122" s="84"/>
      <c r="U122" s="101"/>
      <c r="V122" s="79"/>
      <c r="W122" s="80"/>
      <c r="X122" s="79"/>
      <c r="Y122" s="84"/>
      <c r="Z122" s="84"/>
      <c r="AA122" s="84"/>
      <c r="AB122" s="80"/>
      <c r="AC122" s="140"/>
      <c r="AD122" s="80"/>
      <c r="AE122" s="98"/>
      <c r="AF122" s="98"/>
      <c r="AR122" s="5"/>
      <c r="AS122" s="13"/>
      <c r="AT122" s="7"/>
      <c r="AU122" s="7"/>
      <c r="AV122" s="7"/>
      <c r="AW122" s="7"/>
      <c r="AX122" s="7"/>
      <c r="AY122" s="7"/>
      <c r="AZ122" s="7"/>
      <c r="BA122" s="7"/>
      <c r="BB122" s="11"/>
      <c r="BC122" s="11"/>
      <c r="BD122" s="10"/>
      <c r="BE122" s="11"/>
      <c r="BF122" s="11"/>
      <c r="BG122" s="11"/>
      <c r="BH122" s="11"/>
      <c r="BI122" s="11"/>
      <c r="BJ122" s="11"/>
      <c r="BK122" s="11"/>
      <c r="BL122" s="11"/>
      <c r="BM122" s="7"/>
      <c r="BN122" s="7"/>
      <c r="BO122" s="7"/>
      <c r="BP122" s="7"/>
      <c r="BQ122" s="7"/>
      <c r="BR122" s="7"/>
      <c r="BS122" s="12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</row>
    <row r="123" spans="1:100" ht="12.75">
      <c r="A123" s="71"/>
      <c r="B123" s="76"/>
      <c r="C123" s="74"/>
      <c r="D123" s="76"/>
      <c r="E123" s="74"/>
      <c r="F123" s="75"/>
      <c r="G123" s="73"/>
      <c r="H123" s="218"/>
      <c r="I123" s="143" t="s">
        <v>229</v>
      </c>
      <c r="J123" s="80"/>
      <c r="K123" s="74"/>
      <c r="L123" s="92"/>
      <c r="M123" s="74"/>
      <c r="N123" s="92"/>
      <c r="O123" s="209" t="s">
        <v>230</v>
      </c>
      <c r="P123" s="98"/>
      <c r="Q123" s="88">
        <f>1000*(A124-A122)</f>
        <v>40.000000000000036</v>
      </c>
      <c r="R123" s="79">
        <f>0.5*Q123*(B122+B124)</f>
        <v>14.00000000000001</v>
      </c>
      <c r="S123" s="80">
        <f>0.5*Q123*(C122+C124)</f>
        <v>206.0000000000002</v>
      </c>
      <c r="T123" s="84">
        <f>0.5*Q123*(D122+D124)</f>
        <v>250.00000000000023</v>
      </c>
      <c r="U123" s="101">
        <f>0.5*Q123*(E122+E124)</f>
        <v>8.000000000000007</v>
      </c>
      <c r="V123" s="79">
        <f>0.5*Q123*(F122+F124)</f>
        <v>75.00000000000007</v>
      </c>
      <c r="W123" s="80">
        <f t="shared" si="2"/>
        <v>4.0000000000000036</v>
      </c>
      <c r="X123" s="79">
        <f>0.5*Q123*(H122+H124)</f>
        <v>0</v>
      </c>
      <c r="Y123" s="84">
        <f>0.5*Q123*(I122+I124)</f>
        <v>0</v>
      </c>
      <c r="Z123" s="80">
        <f>0.5*Q123*(J122+J124)</f>
        <v>10.000000000000009</v>
      </c>
      <c r="AA123" s="80">
        <f>0.5*Q123*(K122+K124)</f>
        <v>110.0000000000001</v>
      </c>
      <c r="AB123" s="80">
        <f>0.5*Q123*(L122+L124)</f>
        <v>0</v>
      </c>
      <c r="AC123" s="140">
        <f>0.5*Q123*(M122+M124)</f>
        <v>76.00000000000006</v>
      </c>
      <c r="AD123" s="80">
        <f>0.5*Q123*(N122+N124)</f>
        <v>192.00000000000017</v>
      </c>
      <c r="AE123" s="98">
        <f>0.5*Q123*(O122+O124)</f>
        <v>10.000000000000009</v>
      </c>
      <c r="AF123" s="98">
        <f>0.5*Q123*(P122+P124)</f>
        <v>90.00000000000009</v>
      </c>
      <c r="AR123" s="5"/>
      <c r="AS123" s="13"/>
      <c r="AT123" s="7"/>
      <c r="AU123" s="7"/>
      <c r="AV123" s="7"/>
      <c r="AW123" s="7"/>
      <c r="AX123" s="7"/>
      <c r="AY123" s="7"/>
      <c r="AZ123" s="7"/>
      <c r="BA123" s="7"/>
      <c r="BB123" s="11"/>
      <c r="BC123" s="11"/>
      <c r="BD123" s="10"/>
      <c r="BE123" s="11"/>
      <c r="BF123" s="11"/>
      <c r="BG123" s="11"/>
      <c r="BH123" s="11"/>
      <c r="BI123" s="11"/>
      <c r="BJ123" s="11"/>
      <c r="BK123" s="11"/>
      <c r="BL123" s="11"/>
      <c r="BM123" s="7"/>
      <c r="BN123" s="7"/>
      <c r="BO123" s="7"/>
      <c r="BP123" s="7"/>
      <c r="BQ123" s="7"/>
      <c r="BR123" s="7"/>
      <c r="BS123" s="12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</row>
    <row r="124" spans="1:100" ht="12.75">
      <c r="A124" s="71">
        <v>3.88</v>
      </c>
      <c r="B124" s="76">
        <v>0.5</v>
      </c>
      <c r="C124" s="74">
        <v>10.3</v>
      </c>
      <c r="D124" s="76">
        <v>12.5</v>
      </c>
      <c r="E124" s="74">
        <v>0.4</v>
      </c>
      <c r="F124" s="75">
        <v>1</v>
      </c>
      <c r="G124" s="73">
        <v>0.2</v>
      </c>
      <c r="H124" s="346">
        <v>0</v>
      </c>
      <c r="I124" s="74">
        <v>0</v>
      </c>
      <c r="J124" s="341">
        <v>0</v>
      </c>
      <c r="K124" s="74">
        <v>4.7</v>
      </c>
      <c r="L124" s="92">
        <v>0</v>
      </c>
      <c r="M124" s="74">
        <v>3.8</v>
      </c>
      <c r="N124" s="92">
        <v>9.6</v>
      </c>
      <c r="O124" s="76">
        <v>0.5</v>
      </c>
      <c r="P124" s="98">
        <v>4.5</v>
      </c>
      <c r="Q124" s="88"/>
      <c r="R124" s="79"/>
      <c r="S124" s="80"/>
      <c r="T124" s="84"/>
      <c r="U124" s="101"/>
      <c r="V124" s="79"/>
      <c r="W124" s="80"/>
      <c r="X124" s="79"/>
      <c r="Y124" s="84"/>
      <c r="Z124" s="84"/>
      <c r="AA124" s="84"/>
      <c r="AB124" s="80"/>
      <c r="AC124" s="140"/>
      <c r="AD124" s="80"/>
      <c r="AE124" s="98"/>
      <c r="AF124" s="98"/>
      <c r="AR124" s="5"/>
      <c r="AS124" s="13"/>
      <c r="AT124" s="7"/>
      <c r="AU124" s="7"/>
      <c r="AV124" s="7"/>
      <c r="AW124" s="7"/>
      <c r="AX124" s="7"/>
      <c r="AY124" s="7"/>
      <c r="AZ124" s="7"/>
      <c r="BA124" s="7"/>
      <c r="BB124" s="11"/>
      <c r="BC124" s="11"/>
      <c r="BD124" s="10"/>
      <c r="BE124" s="11"/>
      <c r="BF124" s="11"/>
      <c r="BG124" s="11"/>
      <c r="BH124" s="11"/>
      <c r="BI124" s="11"/>
      <c r="BJ124" s="11"/>
      <c r="BK124" s="11"/>
      <c r="BL124" s="11"/>
      <c r="BM124" s="7"/>
      <c r="BN124" s="7"/>
      <c r="BO124" s="7"/>
      <c r="BP124" s="7"/>
      <c r="BQ124" s="7"/>
      <c r="BR124" s="7"/>
      <c r="BS124" s="12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</row>
    <row r="125" spans="1:100" ht="12.75">
      <c r="A125" s="71"/>
      <c r="B125" s="76"/>
      <c r="C125" s="74"/>
      <c r="D125" s="76"/>
      <c r="E125" s="74"/>
      <c r="F125" s="75"/>
      <c r="G125" s="73"/>
      <c r="H125" s="218"/>
      <c r="I125" s="74"/>
      <c r="J125" s="7"/>
      <c r="K125" s="74"/>
      <c r="L125" s="92"/>
      <c r="M125" s="74"/>
      <c r="N125" s="92"/>
      <c r="O125" s="76"/>
      <c r="P125" s="98"/>
      <c r="Q125" s="88">
        <f>1000*(A126-A124)</f>
        <v>60.00000000000006</v>
      </c>
      <c r="R125" s="79">
        <f>0.5*Q125*(B124+B126)</f>
        <v>123.0000000000001</v>
      </c>
      <c r="S125" s="80">
        <f>0.5*Q125*(C124+C126)</f>
        <v>309.00000000000034</v>
      </c>
      <c r="T125" s="84">
        <f>0.5*Q125*(D124+D126)</f>
        <v>375.00000000000034</v>
      </c>
      <c r="U125" s="101">
        <f>0.5*Q125*(E124+E126)</f>
        <v>205.8000000000002</v>
      </c>
      <c r="V125" s="79">
        <f>0.5*Q125*(F124+F126)</f>
        <v>75.00000000000007</v>
      </c>
      <c r="W125" s="80">
        <f t="shared" si="2"/>
        <v>6.000000000000006</v>
      </c>
      <c r="X125" s="79">
        <f>0.5*Q125*(H124+H126)</f>
        <v>0</v>
      </c>
      <c r="Y125" s="84">
        <f>0.5*Q125*(I124+I126)</f>
        <v>0</v>
      </c>
      <c r="Z125" s="80">
        <f>0.5*Q125*(J124+J126)</f>
        <v>18.000000000000018</v>
      </c>
      <c r="AA125" s="80">
        <f>0.5*Q125*(K124+K126)</f>
        <v>147.00000000000014</v>
      </c>
      <c r="AB125" s="80">
        <f>0.5*Q125*(L124+L126)</f>
        <v>0</v>
      </c>
      <c r="AC125" s="140">
        <f>0.5*Q125*(M124+M126)</f>
        <v>375.00000000000034</v>
      </c>
      <c r="AD125" s="80">
        <f>0.5*Q125*(N124+N126)</f>
        <v>288.0000000000003</v>
      </c>
      <c r="AE125" s="98">
        <f>0.5*Q125*(O124+O126)</f>
        <v>15.000000000000014</v>
      </c>
      <c r="AF125" s="98">
        <f>0.5*Q125*(P124+P126)</f>
        <v>345.00000000000034</v>
      </c>
      <c r="AR125" s="5"/>
      <c r="AS125" s="13"/>
      <c r="AT125" s="7"/>
      <c r="AU125" s="7"/>
      <c r="AV125" s="7"/>
      <c r="AW125" s="7"/>
      <c r="AX125" s="7"/>
      <c r="AY125" s="7"/>
      <c r="AZ125" s="7"/>
      <c r="BA125" s="7"/>
      <c r="BB125" s="11"/>
      <c r="BC125" s="11"/>
      <c r="BD125" s="10"/>
      <c r="BE125" s="11"/>
      <c r="BF125" s="11"/>
      <c r="BG125" s="11"/>
      <c r="BH125" s="11"/>
      <c r="BI125" s="11"/>
      <c r="BJ125" s="11"/>
      <c r="BK125" s="11"/>
      <c r="BL125" s="11"/>
      <c r="BM125" s="7"/>
      <c r="BN125" s="7"/>
      <c r="BO125" s="7"/>
      <c r="BP125" s="7"/>
      <c r="BQ125" s="7"/>
      <c r="BR125" s="7"/>
      <c r="BS125" s="12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</row>
    <row r="126" spans="1:100" ht="12.75">
      <c r="A126" s="71">
        <v>3.94</v>
      </c>
      <c r="B126" s="76">
        <v>3.6</v>
      </c>
      <c r="C126" s="335"/>
      <c r="D126" s="336"/>
      <c r="E126" s="74">
        <f>1.2*2.8+1.6+1.5</f>
        <v>6.46</v>
      </c>
      <c r="F126" s="75">
        <v>1.5</v>
      </c>
      <c r="G126" s="73">
        <v>0</v>
      </c>
      <c r="H126" s="218">
        <v>0</v>
      </c>
      <c r="I126" s="74">
        <v>0</v>
      </c>
      <c r="J126" s="341">
        <v>0.6</v>
      </c>
      <c r="K126" s="74">
        <v>0.2</v>
      </c>
      <c r="L126" s="92">
        <v>0</v>
      </c>
      <c r="M126" s="74">
        <v>8.7</v>
      </c>
      <c r="N126" s="92">
        <v>0</v>
      </c>
      <c r="O126" s="76">
        <v>0</v>
      </c>
      <c r="P126" s="98">
        <v>7</v>
      </c>
      <c r="Q126" s="88"/>
      <c r="R126" s="79"/>
      <c r="S126" s="80"/>
      <c r="T126" s="84"/>
      <c r="U126" s="101"/>
      <c r="V126" s="79"/>
      <c r="W126" s="80"/>
      <c r="X126" s="79"/>
      <c r="Y126" s="84"/>
      <c r="Z126" s="84"/>
      <c r="AA126" s="84"/>
      <c r="AB126" s="80"/>
      <c r="AC126" s="140"/>
      <c r="AD126" s="80"/>
      <c r="AE126" s="98"/>
      <c r="AF126" s="98"/>
      <c r="AR126" s="5"/>
      <c r="AS126" s="13"/>
      <c r="AT126" s="7"/>
      <c r="AU126" s="7"/>
      <c r="AV126" s="7"/>
      <c r="AW126" s="7"/>
      <c r="AX126" s="7"/>
      <c r="AY126" s="7"/>
      <c r="AZ126" s="7"/>
      <c r="BA126" s="7"/>
      <c r="BB126" s="11"/>
      <c r="BC126" s="11"/>
      <c r="BD126" s="10"/>
      <c r="BE126" s="11"/>
      <c r="BF126" s="11"/>
      <c r="BG126" s="11"/>
      <c r="BH126" s="11"/>
      <c r="BI126" s="11"/>
      <c r="BJ126" s="11"/>
      <c r="BK126" s="11"/>
      <c r="BL126" s="11"/>
      <c r="BM126" s="7"/>
      <c r="BN126" s="7"/>
      <c r="BO126" s="7"/>
      <c r="BP126" s="7"/>
      <c r="BQ126" s="7"/>
      <c r="BR126" s="7"/>
      <c r="BS126" s="12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</row>
    <row r="127" spans="1:100" ht="12.75">
      <c r="A127" s="71"/>
      <c r="B127" s="76"/>
      <c r="C127" s="74"/>
      <c r="D127" s="76"/>
      <c r="E127" s="74"/>
      <c r="F127" s="75"/>
      <c r="G127" s="73"/>
      <c r="H127" s="218"/>
      <c r="I127" s="74"/>
      <c r="J127" s="7"/>
      <c r="K127" s="74"/>
      <c r="L127" s="92"/>
      <c r="M127" s="74"/>
      <c r="N127" s="92"/>
      <c r="O127" s="76"/>
      <c r="P127" s="98"/>
      <c r="Q127" s="88">
        <f>1000*(A128-A126)</f>
        <v>60.00000000000006</v>
      </c>
      <c r="R127" s="79">
        <f>0.5*Q127*(B126+B128)</f>
        <v>117.00000000000011</v>
      </c>
      <c r="S127" s="80">
        <f>0.5*Q127*(C126+C128)</f>
        <v>0</v>
      </c>
      <c r="T127" s="84">
        <f>0.5*Q127*(D126+D128)</f>
        <v>0</v>
      </c>
      <c r="U127" s="101">
        <f>0.5*Q127*(E126+E128)</f>
        <v>193.80000000000018</v>
      </c>
      <c r="V127" s="79">
        <f>0.5*Q127*(F126+F128)</f>
        <v>90.00000000000009</v>
      </c>
      <c r="W127" s="80">
        <f t="shared" si="2"/>
        <v>0</v>
      </c>
      <c r="X127" s="79">
        <f>0.5*Q127*(H126+H128)</f>
        <v>0</v>
      </c>
      <c r="Y127" s="84">
        <f>0.5*Q127*(I126+I128)</f>
        <v>0</v>
      </c>
      <c r="Z127" s="80">
        <f>0.5*Q127*(J126+J128)</f>
        <v>33.000000000000036</v>
      </c>
      <c r="AA127" s="80">
        <f>0.5*Q127*(K126+K128)</f>
        <v>6.000000000000006</v>
      </c>
      <c r="AB127" s="80">
        <f>0.5*Q127*(L126+L128)</f>
        <v>0</v>
      </c>
      <c r="AC127" s="140">
        <f>0.5*Q127*(M126+M128)</f>
        <v>261.0000000000002</v>
      </c>
      <c r="AD127" s="80">
        <f>0.5*Q127*(N126+N128)</f>
        <v>0</v>
      </c>
      <c r="AE127" s="98">
        <f>0.5*Q127*(O126+O128)</f>
        <v>0</v>
      </c>
      <c r="AF127" s="98">
        <f>0.5*Q127*(P126+P128)</f>
        <v>210.0000000000002</v>
      </c>
      <c r="AR127" s="5"/>
      <c r="AS127" s="13"/>
      <c r="AT127" s="7"/>
      <c r="AU127" s="7"/>
      <c r="AV127" s="7"/>
      <c r="AW127" s="7"/>
      <c r="AX127" s="7"/>
      <c r="AY127" s="7"/>
      <c r="AZ127" s="7"/>
      <c r="BA127" s="7"/>
      <c r="BB127" s="11"/>
      <c r="BC127" s="11"/>
      <c r="BD127" s="10"/>
      <c r="BE127" s="11"/>
      <c r="BF127" s="11"/>
      <c r="BG127" s="11"/>
      <c r="BH127" s="11"/>
      <c r="BI127" s="11"/>
      <c r="BJ127" s="11"/>
      <c r="BK127" s="11"/>
      <c r="BL127" s="11"/>
      <c r="BM127" s="7"/>
      <c r="BN127" s="7"/>
      <c r="BO127" s="7"/>
      <c r="BP127" s="7"/>
      <c r="BQ127" s="7"/>
      <c r="BR127" s="7"/>
      <c r="BS127" s="12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</row>
    <row r="128" spans="1:100" ht="12.75">
      <c r="A128" s="71">
        <v>4</v>
      </c>
      <c r="B128" s="76">
        <v>0.3</v>
      </c>
      <c r="C128" s="335"/>
      <c r="D128" s="336"/>
      <c r="E128" s="74">
        <v>0</v>
      </c>
      <c r="F128" s="75">
        <v>1.5</v>
      </c>
      <c r="G128" s="73">
        <v>0</v>
      </c>
      <c r="H128" s="218">
        <v>0</v>
      </c>
      <c r="I128" s="74">
        <v>0</v>
      </c>
      <c r="J128" s="341">
        <v>0.5</v>
      </c>
      <c r="K128" s="74">
        <v>0</v>
      </c>
      <c r="L128" s="92">
        <v>0</v>
      </c>
      <c r="M128" s="74">
        <v>0</v>
      </c>
      <c r="N128" s="92">
        <v>0</v>
      </c>
      <c r="O128" s="76">
        <v>0</v>
      </c>
      <c r="P128" s="98">
        <v>0</v>
      </c>
      <c r="Q128" s="88"/>
      <c r="R128" s="79"/>
      <c r="S128" s="80"/>
      <c r="T128" s="84"/>
      <c r="U128" s="101"/>
      <c r="V128" s="79"/>
      <c r="W128" s="80"/>
      <c r="X128" s="79"/>
      <c r="Y128" s="84"/>
      <c r="Z128" s="84"/>
      <c r="AA128" s="84"/>
      <c r="AB128" s="80"/>
      <c r="AC128" s="140"/>
      <c r="AD128" s="80"/>
      <c r="AE128" s="98"/>
      <c r="AF128" s="98"/>
      <c r="AR128" s="5"/>
      <c r="AS128" s="13"/>
      <c r="AT128" s="7"/>
      <c r="AU128" s="7"/>
      <c r="AV128" s="7"/>
      <c r="AW128" s="7"/>
      <c r="AX128" s="7"/>
      <c r="AY128" s="7"/>
      <c r="AZ128" s="7"/>
      <c r="BA128" s="7"/>
      <c r="BB128" s="11"/>
      <c r="BC128" s="11"/>
      <c r="BD128" s="10"/>
      <c r="BE128" s="11"/>
      <c r="BF128" s="11"/>
      <c r="BG128" s="11"/>
      <c r="BH128" s="11"/>
      <c r="BI128" s="11"/>
      <c r="BJ128" s="11"/>
      <c r="BK128" s="11"/>
      <c r="BL128" s="11"/>
      <c r="BM128" s="7"/>
      <c r="BN128" s="7"/>
      <c r="BO128" s="7"/>
      <c r="BP128" s="7"/>
      <c r="BQ128" s="7"/>
      <c r="BR128" s="7"/>
      <c r="BS128" s="12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</row>
    <row r="129" spans="1:100" ht="12.75">
      <c r="A129" s="71"/>
      <c r="B129" s="76"/>
      <c r="C129" s="74"/>
      <c r="D129" s="76"/>
      <c r="E129" s="74"/>
      <c r="F129" s="75"/>
      <c r="G129" s="73"/>
      <c r="H129" s="218"/>
      <c r="I129" s="74"/>
      <c r="J129" s="7"/>
      <c r="K129" s="74"/>
      <c r="L129" s="92"/>
      <c r="M129" s="74"/>
      <c r="N129" s="92"/>
      <c r="O129" s="76"/>
      <c r="P129" s="98"/>
      <c r="Q129" s="88">
        <f>1000*(A130-A128)</f>
        <v>40.000000000000036</v>
      </c>
      <c r="R129" s="79">
        <f>0.5*Q129*(B128+B130)</f>
        <v>24.00000000000002</v>
      </c>
      <c r="S129" s="80">
        <f>0.5*Q129*(C128+C130)</f>
        <v>0</v>
      </c>
      <c r="T129" s="84">
        <f>0.5*Q129*(D128+D130)</f>
        <v>0</v>
      </c>
      <c r="U129" s="101">
        <f>0.5*Q129*(E128+E130)</f>
        <v>0</v>
      </c>
      <c r="V129" s="79">
        <f>0.5*Q129*(F128+F130)</f>
        <v>75.00000000000007</v>
      </c>
      <c r="W129" s="80">
        <f t="shared" si="2"/>
        <v>0</v>
      </c>
      <c r="X129" s="79">
        <f>0.5*Q129*(H128+H130)</f>
        <v>0</v>
      </c>
      <c r="Y129" s="84">
        <f>0.5*Q129*(I128+I130)</f>
        <v>0</v>
      </c>
      <c r="Z129" s="80">
        <f>0.5*Q129*(J128+J130)</f>
        <v>34.00000000000003</v>
      </c>
      <c r="AA129" s="80">
        <f>0.5*Q129*(K128+K130)</f>
        <v>0</v>
      </c>
      <c r="AB129" s="80">
        <f>0.5*Q129*(L128+L130)</f>
        <v>0</v>
      </c>
      <c r="AC129" s="140">
        <f>0.5*Q129*(M128+M130)</f>
        <v>0</v>
      </c>
      <c r="AD129" s="80">
        <f>0.5*Q129*(N128+N130)</f>
        <v>0</v>
      </c>
      <c r="AE129" s="98">
        <f>0.5*Q129*(O128+O130)</f>
        <v>0</v>
      </c>
      <c r="AF129" s="98">
        <f>0.5*Q129*(P128+P130)</f>
        <v>0</v>
      </c>
      <c r="AR129" s="5"/>
      <c r="AS129" s="13"/>
      <c r="AT129" s="7"/>
      <c r="AU129" s="7"/>
      <c r="AV129" s="7"/>
      <c r="AW129" s="7"/>
      <c r="AX129" s="7"/>
      <c r="AY129" s="7"/>
      <c r="AZ129" s="7"/>
      <c r="BA129" s="7"/>
      <c r="BB129" s="11"/>
      <c r="BC129" s="11"/>
      <c r="BD129" s="10"/>
      <c r="BE129" s="11"/>
      <c r="BF129" s="11"/>
      <c r="BG129" s="11"/>
      <c r="BH129" s="11"/>
      <c r="BI129" s="11"/>
      <c r="BJ129" s="11"/>
      <c r="BK129" s="11"/>
      <c r="BL129" s="11"/>
      <c r="BM129" s="7"/>
      <c r="BN129" s="7"/>
      <c r="BO129" s="7"/>
      <c r="BP129" s="7"/>
      <c r="BQ129" s="7"/>
      <c r="BR129" s="7"/>
      <c r="BS129" s="12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</row>
    <row r="130" spans="1:100" ht="12.75">
      <c r="A130" s="71">
        <v>4.04</v>
      </c>
      <c r="B130" s="76">
        <v>0.9</v>
      </c>
      <c r="C130" s="335"/>
      <c r="D130" s="336"/>
      <c r="E130" s="74">
        <v>0</v>
      </c>
      <c r="F130" s="75">
        <v>2.25</v>
      </c>
      <c r="G130" s="73">
        <v>0</v>
      </c>
      <c r="H130" s="218">
        <v>0</v>
      </c>
      <c r="I130" s="74">
        <v>0</v>
      </c>
      <c r="J130" s="341">
        <v>1.2</v>
      </c>
      <c r="K130" s="74">
        <v>0</v>
      </c>
      <c r="L130" s="92">
        <v>0</v>
      </c>
      <c r="M130" s="74">
        <v>0</v>
      </c>
      <c r="N130" s="92">
        <v>0</v>
      </c>
      <c r="O130" s="76">
        <v>0</v>
      </c>
      <c r="P130" s="98">
        <v>0</v>
      </c>
      <c r="Q130" s="88"/>
      <c r="R130" s="79"/>
      <c r="S130" s="80"/>
      <c r="T130" s="84"/>
      <c r="U130" s="101"/>
      <c r="V130" s="79"/>
      <c r="W130" s="80"/>
      <c r="X130" s="79"/>
      <c r="Y130" s="84"/>
      <c r="Z130" s="84"/>
      <c r="AA130" s="84"/>
      <c r="AB130" s="80"/>
      <c r="AC130" s="140"/>
      <c r="AD130" s="80"/>
      <c r="AE130" s="98"/>
      <c r="AF130" s="98"/>
      <c r="AR130" s="5"/>
      <c r="AS130" s="13"/>
      <c r="AT130" s="7"/>
      <c r="AU130" s="7"/>
      <c r="AV130" s="7"/>
      <c r="AW130" s="7"/>
      <c r="AX130" s="7"/>
      <c r="AY130" s="7"/>
      <c r="AZ130" s="7"/>
      <c r="BA130" s="7"/>
      <c r="BB130" s="11"/>
      <c r="BC130" s="11"/>
      <c r="BD130" s="10"/>
      <c r="BE130" s="11"/>
      <c r="BF130" s="11"/>
      <c r="BG130" s="11"/>
      <c r="BH130" s="11"/>
      <c r="BI130" s="11"/>
      <c r="BJ130" s="11"/>
      <c r="BK130" s="11"/>
      <c r="BL130" s="11"/>
      <c r="BM130" s="7"/>
      <c r="BN130" s="7"/>
      <c r="BO130" s="7"/>
      <c r="BP130" s="7"/>
      <c r="BQ130" s="7"/>
      <c r="BR130" s="7"/>
      <c r="BS130" s="12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</row>
    <row r="131" spans="1:100" ht="12.75">
      <c r="A131" s="71"/>
      <c r="B131" s="76"/>
      <c r="C131" s="74"/>
      <c r="D131" s="76"/>
      <c r="E131" s="74"/>
      <c r="F131" s="75"/>
      <c r="G131" s="73"/>
      <c r="H131" s="218"/>
      <c r="I131" s="74"/>
      <c r="J131" s="7"/>
      <c r="K131" s="74"/>
      <c r="L131" s="92"/>
      <c r="M131" s="74"/>
      <c r="N131" s="92"/>
      <c r="O131" s="76"/>
      <c r="P131" s="98"/>
      <c r="Q131" s="88">
        <f>1000*(A132-A130)</f>
        <v>59.99999999999961</v>
      </c>
      <c r="R131" s="79">
        <f>0.5*Q131*(B130+B132)</f>
        <v>35.999999999999766</v>
      </c>
      <c r="S131" s="80">
        <f>0.5*Q131*(C130+C132)</f>
        <v>410.9999999999973</v>
      </c>
      <c r="T131" s="84">
        <f>0.5*Q131*(D130+D132)</f>
        <v>401.9999999999974</v>
      </c>
      <c r="U131" s="101">
        <f>0.5*Q131*(E130+E132)</f>
        <v>0</v>
      </c>
      <c r="V131" s="79">
        <f>0.5*Q131*(F130+F132)</f>
        <v>134.99999999999912</v>
      </c>
      <c r="W131" s="80">
        <f t="shared" si="2"/>
        <v>9.899999999999936</v>
      </c>
      <c r="X131" s="79">
        <f>0.5*Q131*(H130+H132)</f>
        <v>0</v>
      </c>
      <c r="Y131" s="84">
        <f>0.5*Q131*(I130+I132)</f>
        <v>104.99999999999932</v>
      </c>
      <c r="Z131" s="80">
        <f>0.5*Q131*(J130+J132)</f>
        <v>47.99999999999969</v>
      </c>
      <c r="AA131" s="80">
        <f>0.5*Q131*(K130+K132)</f>
        <v>95.99999999999937</v>
      </c>
      <c r="AB131" s="80">
        <f>0.5*Q131*(L130+L132)</f>
        <v>0</v>
      </c>
      <c r="AC131" s="140">
        <f>0.5*Q131*(M130+M132)</f>
        <v>23.999999999999844</v>
      </c>
      <c r="AD131" s="80">
        <f>0.5*Q131*(N130+N132)</f>
        <v>254.99999999999835</v>
      </c>
      <c r="AE131" s="98">
        <f>0.5*Q131*(O130+O132)</f>
        <v>5.999999999999961</v>
      </c>
      <c r="AF131" s="98">
        <f>0.5*Q131*(P130+P132)</f>
        <v>0</v>
      </c>
      <c r="AR131" s="5"/>
      <c r="AS131" s="13"/>
      <c r="AT131" s="7"/>
      <c r="AU131" s="7"/>
      <c r="AV131" s="7"/>
      <c r="AW131" s="7"/>
      <c r="AX131" s="7"/>
      <c r="AY131" s="7"/>
      <c r="AZ131" s="7"/>
      <c r="BA131" s="7"/>
      <c r="BB131" s="11"/>
      <c r="BC131" s="11"/>
      <c r="BD131" s="10"/>
      <c r="BE131" s="11"/>
      <c r="BF131" s="11"/>
      <c r="BG131" s="11"/>
      <c r="BH131" s="11"/>
      <c r="BI131" s="11"/>
      <c r="BJ131" s="11"/>
      <c r="BK131" s="11"/>
      <c r="BL131" s="11"/>
      <c r="BM131" s="7"/>
      <c r="BN131" s="7"/>
      <c r="BO131" s="7"/>
      <c r="BP131" s="7"/>
      <c r="BQ131" s="7"/>
      <c r="BR131" s="7"/>
      <c r="BS131" s="12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</row>
    <row r="132" spans="1:100" ht="12.75">
      <c r="A132" s="71">
        <v>4.1</v>
      </c>
      <c r="B132" s="76">
        <v>0.3</v>
      </c>
      <c r="C132" s="74">
        <v>13.7</v>
      </c>
      <c r="D132" s="76">
        <v>13.4</v>
      </c>
      <c r="E132" s="74">
        <v>0</v>
      </c>
      <c r="F132" s="75">
        <v>2.25</v>
      </c>
      <c r="G132" s="73">
        <v>0.33</v>
      </c>
      <c r="H132" s="218">
        <v>0</v>
      </c>
      <c r="I132" s="74">
        <v>3.5</v>
      </c>
      <c r="J132" s="347">
        <v>0.4</v>
      </c>
      <c r="K132" s="74">
        <v>3.2</v>
      </c>
      <c r="L132" s="92">
        <v>0</v>
      </c>
      <c r="M132" s="74">
        <v>0.8</v>
      </c>
      <c r="N132" s="92">
        <v>8.5</v>
      </c>
      <c r="O132" s="76">
        <v>0.2</v>
      </c>
      <c r="P132" s="98">
        <v>0</v>
      </c>
      <c r="Q132" s="88"/>
      <c r="R132" s="79"/>
      <c r="S132" s="80"/>
      <c r="T132" s="84"/>
      <c r="U132" s="101"/>
      <c r="V132" s="79"/>
      <c r="W132" s="80"/>
      <c r="X132" s="79"/>
      <c r="Y132" s="84"/>
      <c r="Z132" s="84"/>
      <c r="AA132" s="84"/>
      <c r="AB132" s="80"/>
      <c r="AC132" s="140"/>
      <c r="AD132" s="80"/>
      <c r="AE132" s="98"/>
      <c r="AF132" s="98"/>
      <c r="AR132" s="5"/>
      <c r="AS132" s="13"/>
      <c r="AT132" s="7"/>
      <c r="AU132" s="7"/>
      <c r="AV132" s="7"/>
      <c r="AW132" s="7"/>
      <c r="AX132" s="7"/>
      <c r="AY132" s="7"/>
      <c r="AZ132" s="7"/>
      <c r="BA132" s="7"/>
      <c r="BB132" s="11"/>
      <c r="BC132" s="11"/>
      <c r="BD132" s="10"/>
      <c r="BE132" s="11"/>
      <c r="BF132" s="11"/>
      <c r="BG132" s="11"/>
      <c r="BH132" s="11"/>
      <c r="BI132" s="11"/>
      <c r="BJ132" s="11"/>
      <c r="BK132" s="11"/>
      <c r="BL132" s="11"/>
      <c r="BM132" s="7"/>
      <c r="BN132" s="7"/>
      <c r="BO132" s="7"/>
      <c r="BP132" s="7"/>
      <c r="BQ132" s="7"/>
      <c r="BR132" s="7"/>
      <c r="BS132" s="12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</row>
    <row r="133" spans="1:100" ht="12.75">
      <c r="A133" s="71"/>
      <c r="B133" s="76"/>
      <c r="C133" s="74"/>
      <c r="D133" s="76"/>
      <c r="E133" s="74"/>
      <c r="F133" s="75"/>
      <c r="G133" s="73"/>
      <c r="H133" s="218"/>
      <c r="I133" s="74"/>
      <c r="J133" s="7"/>
      <c r="K133" s="74"/>
      <c r="L133" s="92"/>
      <c r="M133" s="74"/>
      <c r="N133" s="92"/>
      <c r="O133" s="76"/>
      <c r="P133" s="98"/>
      <c r="Q133" s="88">
        <f>1000*(A134-A132)</f>
        <v>44.99999999999993</v>
      </c>
      <c r="R133" s="79">
        <v>1</v>
      </c>
      <c r="S133" s="80">
        <f>0.5*Q133*(C132+C134)</f>
        <v>398.2499999999994</v>
      </c>
      <c r="T133" s="84">
        <f>0.5*Q133*(D132+D134)</f>
        <v>364.49999999999943</v>
      </c>
      <c r="U133" s="101">
        <f>0.5*Q133*(E132+E134)</f>
        <v>0</v>
      </c>
      <c r="V133" s="79">
        <f>0.5*Q133*(F132+F134)</f>
        <v>101.24999999999984</v>
      </c>
      <c r="W133" s="80">
        <f t="shared" si="2"/>
        <v>14.849999999999977</v>
      </c>
      <c r="X133" s="79">
        <f>0.5*Q133*(H132+H134)</f>
        <v>0</v>
      </c>
      <c r="Y133" s="84">
        <f>0.5*Q133*(I132+I134)</f>
        <v>137.24999999999977</v>
      </c>
      <c r="Z133" s="80">
        <f>0.5*Q133*(J132+J134)</f>
        <v>8.999999999999986</v>
      </c>
      <c r="AA133" s="80">
        <f>0.5*Q133*(K132+K134)</f>
        <v>128.2499999999998</v>
      </c>
      <c r="AB133" s="80">
        <f>0.5*Q133*(L132+L134)</f>
        <v>0</v>
      </c>
      <c r="AC133" s="140">
        <f>0.5*Q133*(M132+M134)</f>
        <v>47.24999999999993</v>
      </c>
      <c r="AD133" s="80">
        <f>0.5*Q133*(N132+N134)</f>
        <v>326.2499999999995</v>
      </c>
      <c r="AE133" s="98">
        <f>0.5*Q133*(O132+O134)</f>
        <v>6.74999999999999</v>
      </c>
      <c r="AF133" s="98">
        <f>0.5*Q133*(P132+P134)</f>
        <v>0</v>
      </c>
      <c r="AR133" s="5"/>
      <c r="AS133" s="13"/>
      <c r="AT133" s="7"/>
      <c r="AU133" s="7"/>
      <c r="AV133" s="7"/>
      <c r="AW133" s="7"/>
      <c r="AX133" s="7"/>
      <c r="AY133" s="7"/>
      <c r="AZ133" s="7"/>
      <c r="BA133" s="7"/>
      <c r="BB133" s="11"/>
      <c r="BC133" s="11"/>
      <c r="BD133" s="10"/>
      <c r="BE133" s="11"/>
      <c r="BF133" s="11"/>
      <c r="BG133" s="11"/>
      <c r="BH133" s="11"/>
      <c r="BI133" s="11"/>
      <c r="BJ133" s="11"/>
      <c r="BK133" s="11"/>
      <c r="BL133" s="11"/>
      <c r="BM133" s="7"/>
      <c r="BN133" s="7"/>
      <c r="BO133" s="7"/>
      <c r="BP133" s="7"/>
      <c r="BQ133" s="7"/>
      <c r="BR133" s="7"/>
      <c r="BS133" s="12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</row>
    <row r="134" spans="1:100" ht="12.75">
      <c r="A134" s="110">
        <v>4.145</v>
      </c>
      <c r="B134" s="114">
        <v>0.7</v>
      </c>
      <c r="C134" s="96">
        <v>4</v>
      </c>
      <c r="D134" s="114">
        <v>2.8</v>
      </c>
      <c r="E134" s="96">
        <v>0</v>
      </c>
      <c r="F134" s="115">
        <v>2.25</v>
      </c>
      <c r="G134" s="116">
        <v>0.33</v>
      </c>
      <c r="H134" s="218">
        <v>0</v>
      </c>
      <c r="I134" s="96">
        <v>2.6</v>
      </c>
      <c r="J134" s="95">
        <v>0</v>
      </c>
      <c r="K134" s="95">
        <v>2.5</v>
      </c>
      <c r="L134" s="95">
        <v>0</v>
      </c>
      <c r="M134" s="114">
        <v>1.3</v>
      </c>
      <c r="N134" s="96">
        <v>6</v>
      </c>
      <c r="O134" s="114">
        <v>0.1</v>
      </c>
      <c r="P134" s="98">
        <v>0</v>
      </c>
      <c r="Q134" s="88"/>
      <c r="R134" s="79"/>
      <c r="S134" s="80"/>
      <c r="T134" s="84"/>
      <c r="U134" s="80"/>
      <c r="V134" s="79"/>
      <c r="W134" s="80"/>
      <c r="X134" s="79"/>
      <c r="Y134" s="84"/>
      <c r="Z134" s="84"/>
      <c r="AA134" s="84"/>
      <c r="AB134" s="80"/>
      <c r="AC134" s="140"/>
      <c r="AD134" s="80"/>
      <c r="AE134" s="98"/>
      <c r="AF134" s="98"/>
      <c r="AR134" s="5"/>
      <c r="AS134" s="13"/>
      <c r="AT134" s="7"/>
      <c r="AU134" s="7"/>
      <c r="AV134" s="7"/>
      <c r="AW134" s="7"/>
      <c r="AX134" s="7"/>
      <c r="AY134" s="7"/>
      <c r="AZ134" s="7"/>
      <c r="BA134" s="7"/>
      <c r="BB134" s="11"/>
      <c r="BC134" s="11"/>
      <c r="BD134" s="10"/>
      <c r="BE134" s="11"/>
      <c r="BF134" s="11"/>
      <c r="BG134" s="11"/>
      <c r="BH134" s="11"/>
      <c r="BI134" s="11"/>
      <c r="BJ134" s="11"/>
      <c r="BK134" s="11"/>
      <c r="BL134" s="11"/>
      <c r="BM134" s="7"/>
      <c r="BN134" s="7"/>
      <c r="BO134" s="7"/>
      <c r="BP134" s="7"/>
      <c r="BQ134" s="7"/>
      <c r="BR134" s="7"/>
      <c r="BS134" s="12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</row>
    <row r="135" spans="1:100" ht="12.75">
      <c r="A135" s="71"/>
      <c r="B135" s="76"/>
      <c r="C135" s="74"/>
      <c r="D135" s="76"/>
      <c r="E135" s="74"/>
      <c r="F135" s="76"/>
      <c r="G135" s="73"/>
      <c r="H135" s="218"/>
      <c r="I135" s="74"/>
      <c r="J135" s="7"/>
      <c r="K135" s="74"/>
      <c r="L135" s="92"/>
      <c r="M135" s="74"/>
      <c r="N135" s="92"/>
      <c r="O135" s="76"/>
      <c r="P135" s="98"/>
      <c r="Q135" s="88"/>
      <c r="R135" s="79"/>
      <c r="S135" s="80"/>
      <c r="T135" s="84"/>
      <c r="U135" s="80"/>
      <c r="V135" s="79"/>
      <c r="W135" s="80"/>
      <c r="X135" s="79"/>
      <c r="Y135" s="84"/>
      <c r="Z135" s="84"/>
      <c r="AA135" s="84"/>
      <c r="AB135" s="80"/>
      <c r="AC135" s="140"/>
      <c r="AD135" s="80"/>
      <c r="AE135" s="98"/>
      <c r="AF135" s="98"/>
      <c r="AR135" s="5"/>
      <c r="AS135" s="13"/>
      <c r="AT135" s="7"/>
      <c r="AU135" s="7"/>
      <c r="AV135" s="7"/>
      <c r="AW135" s="7"/>
      <c r="AX135" s="7"/>
      <c r="AY135" s="7"/>
      <c r="AZ135" s="7"/>
      <c r="BA135" s="7"/>
      <c r="BB135" s="11"/>
      <c r="BC135" s="11"/>
      <c r="BD135" s="10"/>
      <c r="BE135" s="11"/>
      <c r="BF135" s="11"/>
      <c r="BG135" s="11"/>
      <c r="BH135" s="11"/>
      <c r="BI135" s="11"/>
      <c r="BJ135" s="11"/>
      <c r="BK135" s="11"/>
      <c r="BL135" s="11"/>
      <c r="BM135" s="7"/>
      <c r="BN135" s="7"/>
      <c r="BO135" s="7"/>
      <c r="BP135" s="7"/>
      <c r="BQ135" s="7"/>
      <c r="BR135" s="7"/>
      <c r="BS135" s="12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</row>
    <row r="136" spans="1:100" ht="12.75">
      <c r="A136" s="71"/>
      <c r="B136" s="76"/>
      <c r="C136" s="74"/>
      <c r="D136" s="76"/>
      <c r="E136" s="74"/>
      <c r="F136" s="76"/>
      <c r="G136" s="73"/>
      <c r="H136" s="218"/>
      <c r="I136" s="74"/>
      <c r="J136" s="7"/>
      <c r="K136" s="74"/>
      <c r="L136" s="92"/>
      <c r="M136" s="74"/>
      <c r="N136" s="92"/>
      <c r="O136" s="76"/>
      <c r="P136" s="98"/>
      <c r="Q136" s="88"/>
      <c r="R136" s="79"/>
      <c r="S136" s="80"/>
      <c r="T136" s="84"/>
      <c r="U136" s="80"/>
      <c r="V136" s="79"/>
      <c r="W136" s="80"/>
      <c r="X136" s="79"/>
      <c r="Y136" s="84"/>
      <c r="Z136" s="84"/>
      <c r="AA136" s="84"/>
      <c r="AB136" s="80"/>
      <c r="AC136" s="140"/>
      <c r="AD136" s="80"/>
      <c r="AE136" s="98"/>
      <c r="AF136" s="98"/>
      <c r="AR136" s="5"/>
      <c r="AS136" s="13"/>
      <c r="AT136" s="7"/>
      <c r="AU136" s="7"/>
      <c r="AV136" s="7"/>
      <c r="AW136" s="7"/>
      <c r="AX136" s="7"/>
      <c r="AY136" s="7"/>
      <c r="AZ136" s="7"/>
      <c r="BA136" s="7"/>
      <c r="BB136" s="11"/>
      <c r="BC136" s="11"/>
      <c r="BD136" s="10"/>
      <c r="BE136" s="11"/>
      <c r="BF136" s="11"/>
      <c r="BG136" s="11"/>
      <c r="BH136" s="11"/>
      <c r="BI136" s="11"/>
      <c r="BJ136" s="11"/>
      <c r="BK136" s="11"/>
      <c r="BL136" s="11"/>
      <c r="BM136" s="7"/>
      <c r="BN136" s="7"/>
      <c r="BO136" s="7"/>
      <c r="BP136" s="7"/>
      <c r="BQ136" s="7"/>
      <c r="BR136" s="7"/>
      <c r="BS136" s="12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</row>
    <row r="137" spans="1:100" ht="12.75">
      <c r="A137" s="71"/>
      <c r="B137" s="76"/>
      <c r="C137" s="74"/>
      <c r="D137" s="76"/>
      <c r="E137" s="74"/>
      <c r="F137" s="76"/>
      <c r="G137" s="73"/>
      <c r="H137" s="218"/>
      <c r="I137" s="74"/>
      <c r="J137" s="7"/>
      <c r="K137" s="74"/>
      <c r="L137" s="92"/>
      <c r="M137" s="76"/>
      <c r="N137" s="92"/>
      <c r="O137" s="76"/>
      <c r="P137" s="98"/>
      <c r="Q137" s="88"/>
      <c r="R137" s="79"/>
      <c r="S137" s="80"/>
      <c r="T137" s="84"/>
      <c r="U137" s="80"/>
      <c r="V137" s="79"/>
      <c r="W137" s="80"/>
      <c r="X137" s="79"/>
      <c r="Y137" s="84"/>
      <c r="Z137" s="84"/>
      <c r="AA137" s="84"/>
      <c r="AB137" s="80"/>
      <c r="AC137" s="140"/>
      <c r="AD137" s="80"/>
      <c r="AE137" s="98"/>
      <c r="AF137" s="98"/>
      <c r="AR137" s="5"/>
      <c r="AS137" s="13"/>
      <c r="AT137" s="7"/>
      <c r="AU137" s="7"/>
      <c r="AV137" s="7"/>
      <c r="AW137" s="7"/>
      <c r="AX137" s="7"/>
      <c r="AY137" s="7"/>
      <c r="AZ137" s="7"/>
      <c r="BA137" s="7"/>
      <c r="BB137" s="11"/>
      <c r="BC137" s="11"/>
      <c r="BD137" s="10"/>
      <c r="BE137" s="11"/>
      <c r="BF137" s="11"/>
      <c r="BG137" s="11"/>
      <c r="BH137" s="11"/>
      <c r="BI137" s="11"/>
      <c r="BJ137" s="11"/>
      <c r="BK137" s="11"/>
      <c r="BL137" s="11"/>
      <c r="BM137" s="7"/>
      <c r="BN137" s="7"/>
      <c r="BO137" s="7"/>
      <c r="BP137" s="7"/>
      <c r="BQ137" s="7"/>
      <c r="BR137" s="7"/>
      <c r="BS137" s="12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</row>
    <row r="138" spans="1:100" ht="5.25" customHeight="1" thickBot="1">
      <c r="A138" s="57"/>
      <c r="B138" s="77"/>
      <c r="C138" s="93"/>
      <c r="D138" s="77"/>
      <c r="E138" s="83"/>
      <c r="F138" s="77"/>
      <c r="G138" s="83"/>
      <c r="H138" s="219"/>
      <c r="I138" s="83"/>
      <c r="J138" s="93"/>
      <c r="K138" s="93"/>
      <c r="L138" s="93"/>
      <c r="M138" s="77"/>
      <c r="N138" s="93"/>
      <c r="O138" s="77"/>
      <c r="P138" s="77"/>
      <c r="Q138" s="89"/>
      <c r="R138" s="23"/>
      <c r="S138" s="101"/>
      <c r="T138" s="23"/>
      <c r="U138" s="101"/>
      <c r="V138" s="23"/>
      <c r="W138" s="101"/>
      <c r="X138" s="23"/>
      <c r="Y138" s="101"/>
      <c r="Z138" s="136"/>
      <c r="AA138" s="136"/>
      <c r="AB138" s="136"/>
      <c r="AC138" s="112"/>
      <c r="AD138" s="136"/>
      <c r="AE138" s="112"/>
      <c r="AF138" s="112"/>
      <c r="AR138" s="5"/>
      <c r="AS138" s="13"/>
      <c r="AT138" s="7"/>
      <c r="AU138" s="7"/>
      <c r="AV138" s="7"/>
      <c r="AW138" s="7"/>
      <c r="AX138" s="7"/>
      <c r="AY138" s="7"/>
      <c r="AZ138" s="7"/>
      <c r="BA138" s="7"/>
      <c r="BB138" s="11"/>
      <c r="BC138" s="11"/>
      <c r="BD138" s="10"/>
      <c r="BE138" s="11"/>
      <c r="BF138" s="11"/>
      <c r="BG138" s="11"/>
      <c r="BH138" s="11"/>
      <c r="BI138" s="11"/>
      <c r="BJ138" s="11"/>
      <c r="BK138" s="11"/>
      <c r="BL138" s="11"/>
      <c r="BM138" s="7"/>
      <c r="BN138" s="7"/>
      <c r="BO138" s="7"/>
      <c r="BP138" s="7"/>
      <c r="BQ138" s="7"/>
      <c r="BR138" s="7"/>
      <c r="BS138" s="12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</row>
    <row r="139" spans="1:100" s="44" customFormat="1" ht="15.75" customHeight="1" thickBot="1">
      <c r="A139" s="78" t="s">
        <v>11</v>
      </c>
      <c r="B139" s="72"/>
      <c r="C139" s="72"/>
      <c r="D139" s="72"/>
      <c r="E139" s="72"/>
      <c r="F139" s="72"/>
      <c r="G139" s="72"/>
      <c r="H139" s="220"/>
      <c r="I139" s="72"/>
      <c r="J139" s="104"/>
      <c r="K139" s="104"/>
      <c r="L139" s="94"/>
      <c r="M139" s="91"/>
      <c r="N139" s="94"/>
      <c r="O139" s="91"/>
      <c r="P139" s="91"/>
      <c r="Q139" s="90"/>
      <c r="R139" s="137">
        <f>SUM(R8:R133)</f>
        <v>2647.265999999999</v>
      </c>
      <c r="S139" s="313">
        <f aca="true" t="shared" si="3" ref="S139:AE139">SUM(S8:S138)</f>
        <v>8800.447000000002</v>
      </c>
      <c r="T139" s="138">
        <f t="shared" si="3"/>
        <v>8199.460000000001</v>
      </c>
      <c r="U139" s="295">
        <f t="shared" si="3"/>
        <v>2200.552</v>
      </c>
      <c r="V139" s="138">
        <f t="shared" si="3"/>
        <v>5175.887499999997</v>
      </c>
      <c r="W139" s="138">
        <f t="shared" si="3"/>
        <v>609.7802999999999</v>
      </c>
      <c r="X139" s="138">
        <f t="shared" si="3"/>
        <v>1883.9759999999983</v>
      </c>
      <c r="Y139" s="138">
        <f t="shared" si="3"/>
        <v>3929.262999999998</v>
      </c>
      <c r="Z139" s="138">
        <f t="shared" si="3"/>
        <v>1239.9739999999993</v>
      </c>
      <c r="AA139" s="138">
        <f t="shared" si="3"/>
        <v>4676.3179999999975</v>
      </c>
      <c r="AB139" s="138">
        <f t="shared" si="3"/>
        <v>68.29999999999981</v>
      </c>
      <c r="AC139" s="139">
        <f>SUM(AC8:AC138)</f>
        <v>6108.833999999998</v>
      </c>
      <c r="AD139" s="138">
        <f t="shared" si="3"/>
        <v>6740.21</v>
      </c>
      <c r="AE139" s="139">
        <f t="shared" si="3"/>
        <v>1518.9350000000002</v>
      </c>
      <c r="AF139" s="690">
        <f>SUM(AF8:AF138)</f>
        <v>3027.999999999999</v>
      </c>
      <c r="AG139"/>
      <c r="AR139" s="45"/>
      <c r="AS139" s="46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8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3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</row>
    <row r="140" spans="1:100" ht="13.5" hidden="1" thickBot="1">
      <c r="A140" s="49"/>
      <c r="B140" s="50"/>
      <c r="C140" s="50"/>
      <c r="D140" s="50"/>
      <c r="E140" s="50"/>
      <c r="F140" s="50"/>
      <c r="G140" s="50"/>
      <c r="H140" s="221"/>
      <c r="I140" s="50"/>
      <c r="J140" s="68"/>
      <c r="K140" s="68"/>
      <c r="L140" s="68"/>
      <c r="M140" s="77"/>
      <c r="N140" s="68"/>
      <c r="O140" s="77"/>
      <c r="P140" s="77"/>
      <c r="Q140" s="70"/>
      <c r="R140" s="127"/>
      <c r="S140" s="128"/>
      <c r="T140" s="69"/>
      <c r="U140" s="51"/>
      <c r="V140" s="52"/>
      <c r="W140" s="52"/>
      <c r="X140" s="51"/>
      <c r="Y140" s="51"/>
      <c r="Z140" s="52"/>
      <c r="AA140" s="52"/>
      <c r="AB140" s="53"/>
      <c r="AC140" s="77"/>
      <c r="AD140" s="53"/>
      <c r="AE140" s="77"/>
      <c r="AF140" s="77"/>
      <c r="AR140" s="5"/>
      <c r="AS140" s="13"/>
      <c r="AT140" s="7"/>
      <c r="AU140" s="7"/>
      <c r="AV140" s="7"/>
      <c r="AW140" s="7"/>
      <c r="AX140" s="7"/>
      <c r="AY140" s="7"/>
      <c r="AZ140" s="7"/>
      <c r="BA140" s="7"/>
      <c r="BB140" s="11"/>
      <c r="BC140" s="11"/>
      <c r="BD140" s="10"/>
      <c r="BE140" s="11"/>
      <c r="BF140" s="11"/>
      <c r="BG140" s="11"/>
      <c r="BH140" s="11"/>
      <c r="BI140" s="11"/>
      <c r="BJ140" s="11"/>
      <c r="BK140" s="11"/>
      <c r="BL140" s="11"/>
      <c r="BM140" s="7"/>
      <c r="BN140" s="7"/>
      <c r="BO140" s="7"/>
      <c r="BP140" s="7"/>
      <c r="BQ140" s="7"/>
      <c r="BR140" s="7"/>
      <c r="BS140" s="12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</row>
    <row r="141" spans="1:100" ht="12.75">
      <c r="A141" s="58" t="s">
        <v>0</v>
      </c>
      <c r="B141" s="59" t="s">
        <v>1</v>
      </c>
      <c r="C141" s="59" t="s">
        <v>1</v>
      </c>
      <c r="D141" s="103" t="s">
        <v>2</v>
      </c>
      <c r="E141" s="59" t="s">
        <v>2</v>
      </c>
      <c r="F141" s="54" t="s">
        <v>14</v>
      </c>
      <c r="G141" s="54" t="s">
        <v>14</v>
      </c>
      <c r="H141" s="215" t="s">
        <v>3</v>
      </c>
      <c r="I141" s="55" t="s">
        <v>12</v>
      </c>
      <c r="J141" s="105" t="s">
        <v>14</v>
      </c>
      <c r="K141" s="105" t="s">
        <v>16</v>
      </c>
      <c r="L141" s="107" t="s">
        <v>22</v>
      </c>
      <c r="M141" s="99" t="s">
        <v>22</v>
      </c>
      <c r="N141" s="107" t="s">
        <v>23</v>
      </c>
      <c r="O141" s="99" t="s">
        <v>24</v>
      </c>
      <c r="P141" s="99"/>
      <c r="Q141" s="85" t="s">
        <v>4</v>
      </c>
      <c r="R141" s="131" t="s">
        <v>1</v>
      </c>
      <c r="S141" s="59" t="s">
        <v>1</v>
      </c>
      <c r="T141" s="103" t="s">
        <v>2</v>
      </c>
      <c r="U141" s="59" t="s">
        <v>2</v>
      </c>
      <c r="V141" s="55" t="s">
        <v>14</v>
      </c>
      <c r="W141" s="54" t="s">
        <v>14</v>
      </c>
      <c r="X141" s="60" t="s">
        <v>3</v>
      </c>
      <c r="Y141" s="55" t="s">
        <v>12</v>
      </c>
      <c r="Z141" s="105" t="s">
        <v>14</v>
      </c>
      <c r="AA141" s="105" t="s">
        <v>16</v>
      </c>
      <c r="AB141" s="107" t="s">
        <v>22</v>
      </c>
      <c r="AC141" s="100" t="s">
        <v>22</v>
      </c>
      <c r="AD141" s="107" t="s">
        <v>23</v>
      </c>
      <c r="AE141" s="100" t="s">
        <v>24</v>
      </c>
      <c r="AF141" s="351" t="s">
        <v>224</v>
      </c>
      <c r="AR141" s="5"/>
      <c r="AS141" s="13"/>
      <c r="AT141" s="7"/>
      <c r="AU141" s="7"/>
      <c r="AV141" s="7"/>
      <c r="AW141" s="7"/>
      <c r="AX141" s="7"/>
      <c r="AY141" s="7"/>
      <c r="AZ141" s="7"/>
      <c r="BA141" s="7"/>
      <c r="BB141" s="11"/>
      <c r="BC141" s="11"/>
      <c r="BD141" s="10"/>
      <c r="BE141" s="11"/>
      <c r="BF141" s="11"/>
      <c r="BG141" s="11"/>
      <c r="BH141" s="11"/>
      <c r="BI141" s="11"/>
      <c r="BJ141" s="11"/>
      <c r="BK141" s="11"/>
      <c r="BL141" s="11"/>
      <c r="BM141" s="7"/>
      <c r="BN141" s="7"/>
      <c r="BO141" s="7"/>
      <c r="BP141" s="7"/>
      <c r="BQ141" s="7"/>
      <c r="BR141" s="7"/>
      <c r="BS141" s="12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</row>
    <row r="142" spans="1:100" ht="12.75">
      <c r="A142" s="56"/>
      <c r="B142" s="14"/>
      <c r="C142" s="102" t="s">
        <v>17</v>
      </c>
      <c r="D142" s="102" t="s">
        <v>17</v>
      </c>
      <c r="E142" s="211" t="s">
        <v>68</v>
      </c>
      <c r="F142" s="210" t="s">
        <v>67</v>
      </c>
      <c r="G142" s="15" t="s">
        <v>15</v>
      </c>
      <c r="H142" s="216" t="s">
        <v>25</v>
      </c>
      <c r="I142" s="28" t="s">
        <v>13</v>
      </c>
      <c r="J142" s="106" t="s">
        <v>21</v>
      </c>
      <c r="K142" s="106" t="s">
        <v>18</v>
      </c>
      <c r="L142" s="108" t="s">
        <v>19</v>
      </c>
      <c r="M142" s="109" t="s">
        <v>20</v>
      </c>
      <c r="N142" s="108" t="s">
        <v>5</v>
      </c>
      <c r="O142" s="109"/>
      <c r="P142" s="109"/>
      <c r="Q142" s="86" t="s">
        <v>6</v>
      </c>
      <c r="R142" s="132"/>
      <c r="S142" s="102" t="s">
        <v>17</v>
      </c>
      <c r="T142" s="102" t="s">
        <v>17</v>
      </c>
      <c r="U142" s="211" t="s">
        <v>68</v>
      </c>
      <c r="V142" s="36" t="s">
        <v>5</v>
      </c>
      <c r="W142" s="15" t="s">
        <v>15</v>
      </c>
      <c r="X142" s="37"/>
      <c r="Y142" s="28" t="s">
        <v>13</v>
      </c>
      <c r="Z142" s="106" t="s">
        <v>21</v>
      </c>
      <c r="AA142" s="106" t="s">
        <v>18</v>
      </c>
      <c r="AB142" s="108" t="s">
        <v>19</v>
      </c>
      <c r="AC142" s="133" t="s">
        <v>20</v>
      </c>
      <c r="AD142" s="108" t="s">
        <v>5</v>
      </c>
      <c r="AE142" s="133"/>
      <c r="AF142" s="352" t="s">
        <v>225</v>
      </c>
      <c r="AR142" s="5"/>
      <c r="AS142" s="13"/>
      <c r="AT142" s="7"/>
      <c r="AU142" s="7"/>
      <c r="AV142" s="7"/>
      <c r="AW142" s="7"/>
      <c r="AX142" s="7"/>
      <c r="AY142" s="7"/>
      <c r="AZ142" s="7"/>
      <c r="BA142" s="7"/>
      <c r="BB142" s="11"/>
      <c r="BC142" s="11"/>
      <c r="BD142" s="10"/>
      <c r="BE142" s="11"/>
      <c r="BF142" s="11"/>
      <c r="BG142" s="11"/>
      <c r="BH142" s="11"/>
      <c r="BI142" s="11"/>
      <c r="BJ142" s="11"/>
      <c r="BK142" s="11"/>
      <c r="BL142" s="11"/>
      <c r="BM142" s="7"/>
      <c r="BN142" s="7"/>
      <c r="BO142" s="7"/>
      <c r="BP142" s="7"/>
      <c r="BQ142" s="7"/>
      <c r="BR142" s="7"/>
      <c r="BS142" s="12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</row>
    <row r="143" spans="1:100" ht="13.5" customHeight="1" thickBot="1">
      <c r="A143" s="61" t="s">
        <v>7</v>
      </c>
      <c r="B143" s="62" t="s">
        <v>8</v>
      </c>
      <c r="C143" s="62" t="s">
        <v>8</v>
      </c>
      <c r="D143" s="62" t="s">
        <v>8</v>
      </c>
      <c r="E143" s="62" t="s">
        <v>8</v>
      </c>
      <c r="F143" s="129" t="s">
        <v>9</v>
      </c>
      <c r="G143" s="63" t="s">
        <v>8</v>
      </c>
      <c r="H143" s="217" t="s">
        <v>8</v>
      </c>
      <c r="I143" s="63" t="s">
        <v>9</v>
      </c>
      <c r="J143" s="124" t="s">
        <v>8</v>
      </c>
      <c r="K143" s="124" t="s">
        <v>9</v>
      </c>
      <c r="L143" s="125" t="s">
        <v>9</v>
      </c>
      <c r="M143" s="126" t="s">
        <v>9</v>
      </c>
      <c r="N143" s="125" t="s">
        <v>9</v>
      </c>
      <c r="O143" s="126" t="s">
        <v>8</v>
      </c>
      <c r="P143" s="126"/>
      <c r="Q143" s="87" t="s">
        <v>9</v>
      </c>
      <c r="R143" s="134" t="s">
        <v>10</v>
      </c>
      <c r="S143" s="67" t="s">
        <v>10</v>
      </c>
      <c r="T143" s="67" t="s">
        <v>10</v>
      </c>
      <c r="U143" s="64" t="s">
        <v>10</v>
      </c>
      <c r="V143" s="130" t="s">
        <v>8</v>
      </c>
      <c r="W143" s="63" t="s">
        <v>10</v>
      </c>
      <c r="X143" s="65" t="s">
        <v>8</v>
      </c>
      <c r="Y143" s="66" t="s">
        <v>8</v>
      </c>
      <c r="Z143" s="124" t="s">
        <v>10</v>
      </c>
      <c r="AA143" s="124" t="s">
        <v>8</v>
      </c>
      <c r="AB143" s="125" t="s">
        <v>8</v>
      </c>
      <c r="AC143" s="135" t="s">
        <v>8</v>
      </c>
      <c r="AD143" s="125" t="s">
        <v>8</v>
      </c>
      <c r="AE143" s="135" t="s">
        <v>8</v>
      </c>
      <c r="AF143" s="135" t="s">
        <v>8</v>
      </c>
      <c r="AR143" s="5"/>
      <c r="AS143" s="13"/>
      <c r="AT143" s="7"/>
      <c r="AU143" s="7"/>
      <c r="AV143" s="7"/>
      <c r="AW143" s="7"/>
      <c r="AX143" s="7"/>
      <c r="AY143" s="7"/>
      <c r="AZ143" s="7"/>
      <c r="BA143" s="7"/>
      <c r="BB143" s="11"/>
      <c r="BC143" s="11"/>
      <c r="BD143" s="10"/>
      <c r="BE143" s="11"/>
      <c r="BF143" s="11"/>
      <c r="BG143" s="11"/>
      <c r="BH143" s="11"/>
      <c r="BI143" s="11"/>
      <c r="BJ143" s="11"/>
      <c r="BK143" s="11"/>
      <c r="BL143" s="11"/>
      <c r="BM143" s="7"/>
      <c r="BN143" s="7"/>
      <c r="BO143" s="7"/>
      <c r="BP143" s="7"/>
      <c r="BQ143" s="7"/>
      <c r="BR143" s="7"/>
      <c r="BS143" s="12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</row>
    <row r="144" spans="1:100" ht="12.75">
      <c r="A144" s="24"/>
      <c r="B144" s="7"/>
      <c r="C144" s="6"/>
      <c r="D144" s="6"/>
      <c r="E144" s="6"/>
      <c r="F144" s="6"/>
      <c r="G144" s="6"/>
      <c r="H144" s="222"/>
      <c r="I144"/>
      <c r="J144"/>
      <c r="K144"/>
      <c r="L144"/>
      <c r="M144"/>
      <c r="N144"/>
      <c r="O144"/>
      <c r="P144"/>
      <c r="Q144" s="31"/>
      <c r="R144" s="39"/>
      <c r="S144" s="39"/>
      <c r="T144" s="39"/>
      <c r="U144" s="38"/>
      <c r="V144" s="39"/>
      <c r="W144" s="39"/>
      <c r="X144" s="40"/>
      <c r="Y144" s="40"/>
      <c r="Z144" s="40"/>
      <c r="AA144" s="40"/>
      <c r="AB144" s="40"/>
      <c r="AC144"/>
      <c r="AD144" s="40"/>
      <c r="AE144"/>
      <c r="AF14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</row>
    <row r="145" spans="1:100" ht="12.75">
      <c r="A145" s="24"/>
      <c r="B145" s="333" t="s">
        <v>69</v>
      </c>
      <c r="C145" s="6"/>
      <c r="D145" s="6"/>
      <c r="E145" s="6"/>
      <c r="F145" s="6"/>
      <c r="G145" s="6"/>
      <c r="Q145" s="305" t="s">
        <v>196</v>
      </c>
      <c r="R145" s="767">
        <f>R139+S139</f>
        <v>11447.713000000002</v>
      </c>
      <c r="S145" s="767"/>
      <c r="T145" s="39"/>
      <c r="U145" s="294"/>
      <c r="W145" s="314"/>
      <c r="X145" s="315">
        <f>X139*0.5</f>
        <v>941.9879999999991</v>
      </c>
      <c r="AB145" s="109"/>
      <c r="AC145" s="2" t="s">
        <v>661</v>
      </c>
      <c r="AF145" s="309" t="s">
        <v>679</v>
      </c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</row>
    <row r="146" spans="1:100" ht="12.75">
      <c r="A146" s="24"/>
      <c r="B146" s="333"/>
      <c r="C146" s="6"/>
      <c r="D146" s="6"/>
      <c r="E146" s="6"/>
      <c r="F146" s="6"/>
      <c r="G146" s="6"/>
      <c r="Q146" s="305"/>
      <c r="R146" s="306"/>
      <c r="S146" s="307"/>
      <c r="T146" s="39"/>
      <c r="U146" s="294"/>
      <c r="W146" s="294"/>
      <c r="X146" s="688" t="s">
        <v>10</v>
      </c>
      <c r="AB146" s="109"/>
      <c r="AC146" s="309" t="s">
        <v>686</v>
      </c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</row>
    <row r="147" spans="1:100" ht="12.75">
      <c r="A147" s="24"/>
      <c r="B147" s="333"/>
      <c r="C147" s="6"/>
      <c r="D147" s="6"/>
      <c r="E147" s="6"/>
      <c r="F147" s="6"/>
      <c r="G147" s="6"/>
      <c r="Q147" s="763" t="s">
        <v>680</v>
      </c>
      <c r="R147" s="764"/>
      <c r="S147" s="764"/>
      <c r="T147" s="39"/>
      <c r="U147" s="294"/>
      <c r="W147" s="294"/>
      <c r="AB147" s="109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</row>
    <row r="148" spans="1:100" ht="12.75">
      <c r="A148" s="24"/>
      <c r="B148" s="7"/>
      <c r="C148" s="6"/>
      <c r="D148" s="6"/>
      <c r="E148" s="6"/>
      <c r="F148" s="6"/>
      <c r="G148" s="6"/>
      <c r="H148" s="223"/>
      <c r="I148" s="26"/>
      <c r="K148" s="16"/>
      <c r="L148" s="16"/>
      <c r="M148" s="309"/>
      <c r="N148" s="312"/>
      <c r="O148" s="26"/>
      <c r="P148" s="26"/>
      <c r="Q148" s="308"/>
      <c r="R148" s="669"/>
      <c r="S148" s="308"/>
      <c r="T148" s="39"/>
      <c r="AC148" s="26"/>
      <c r="AE148" s="26"/>
      <c r="AF148" s="26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</row>
    <row r="149" spans="1:100" ht="12.75">
      <c r="A149" s="24"/>
      <c r="B149" s="7"/>
      <c r="C149" s="6"/>
      <c r="D149" s="6"/>
      <c r="E149" s="6"/>
      <c r="F149" s="6"/>
      <c r="G149" s="6"/>
      <c r="H149" s="224"/>
      <c r="I149" s="16"/>
      <c r="J149"/>
      <c r="K149"/>
      <c r="L149"/>
      <c r="N149" s="304"/>
      <c r="O149" s="16"/>
      <c r="P149" s="16"/>
      <c r="Q149" s="311" t="s">
        <v>198</v>
      </c>
      <c r="R149" s="670">
        <f>S139*0.4</f>
        <v>3520.178800000001</v>
      </c>
      <c r="S149" s="770" t="s">
        <v>631</v>
      </c>
      <c r="T149" s="771"/>
      <c r="U149" s="773">
        <f>R149+R150+R151</f>
        <v>5222.7586</v>
      </c>
      <c r="V149" s="765" t="s">
        <v>10</v>
      </c>
      <c r="X149" s="315" t="s">
        <v>681</v>
      </c>
      <c r="AC149" s="16"/>
      <c r="AE149" s="16"/>
      <c r="AF149" s="16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</row>
    <row r="150" spans="1:100" ht="13.5" thickBot="1">
      <c r="A150" s="24"/>
      <c r="B150" s="7"/>
      <c r="C150" s="6"/>
      <c r="D150" s="6"/>
      <c r="E150" s="6"/>
      <c r="F150" s="6"/>
      <c r="G150" s="6"/>
      <c r="H150" s="224"/>
      <c r="I150" s="16"/>
      <c r="J150" s="304"/>
      <c r="K150" s="16"/>
      <c r="L150" s="16"/>
      <c r="N150" s="16"/>
      <c r="Q150" s="311"/>
      <c r="R150" s="671">
        <f>R139*0.3</f>
        <v>794.1797999999998</v>
      </c>
      <c r="S150" s="772" t="s">
        <v>664</v>
      </c>
      <c r="T150" s="771"/>
      <c r="U150" s="774"/>
      <c r="V150" s="766"/>
      <c r="AC150" s="16"/>
      <c r="AE150" s="16"/>
      <c r="AF150" s="16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</row>
    <row r="151" spans="1:100" ht="13.5" thickBot="1">
      <c r="A151" s="24"/>
      <c r="B151" s="7"/>
      <c r="C151" s="6"/>
      <c r="D151" s="6"/>
      <c r="E151" s="6"/>
      <c r="F151" s="6"/>
      <c r="G151" s="6"/>
      <c r="H151" s="224"/>
      <c r="I151" s="16"/>
      <c r="J151" s="304"/>
      <c r="K151" s="16"/>
      <c r="L151" s="16"/>
      <c r="N151" s="16"/>
      <c r="Q151" s="311"/>
      <c r="R151" s="689">
        <f>AF139*0.3</f>
        <v>908.3999999999997</v>
      </c>
      <c r="S151" s="674"/>
      <c r="T151" s="318"/>
      <c r="U151" s="774"/>
      <c r="V151" s="673"/>
      <c r="X151" s="103" t="s">
        <v>2</v>
      </c>
      <c r="Y151" s="361" t="s">
        <v>682</v>
      </c>
      <c r="Z151" s="29">
        <f>T139</f>
        <v>8199.460000000001</v>
      </c>
      <c r="AC151" s="16"/>
      <c r="AE151" s="16"/>
      <c r="AF151" s="16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</row>
    <row r="152" spans="1:100" ht="12.75">
      <c r="A152" s="25"/>
      <c r="B152" s="7"/>
      <c r="C152" s="6"/>
      <c r="D152" s="6"/>
      <c r="E152" s="6"/>
      <c r="F152" s="6"/>
      <c r="G152" s="6"/>
      <c r="H152" s="224"/>
      <c r="I152" s="16"/>
      <c r="J152"/>
      <c r="K152"/>
      <c r="L152"/>
      <c r="N152" s="16"/>
      <c r="Q152" s="311" t="s">
        <v>197</v>
      </c>
      <c r="R152" s="670">
        <f>S139*0.6</f>
        <v>5280.268200000001</v>
      </c>
      <c r="S152" s="770" t="s">
        <v>632</v>
      </c>
      <c r="T152" s="771"/>
      <c r="U152" s="775">
        <f>R152+R153+R154</f>
        <v>7281.162600000001</v>
      </c>
      <c r="V152" s="765" t="s">
        <v>10</v>
      </c>
      <c r="X152" s="103" t="s">
        <v>2</v>
      </c>
      <c r="Z152" s="29">
        <f>U139</f>
        <v>2200.552</v>
      </c>
      <c r="AC152" s="16"/>
      <c r="AE152" s="16"/>
      <c r="AF152" s="16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</row>
    <row r="153" spans="1:100" ht="12.75">
      <c r="A153" s="24"/>
      <c r="B153" s="7"/>
      <c r="C153" s="6"/>
      <c r="D153" s="6"/>
      <c r="E153" s="6"/>
      <c r="F153" s="6"/>
      <c r="G153" s="6"/>
      <c r="H153" s="222"/>
      <c r="I153"/>
      <c r="J153" s="309"/>
      <c r="N153"/>
      <c r="Q153" s="311"/>
      <c r="R153" s="671">
        <f>R139*0.4</f>
        <v>1058.9063999999996</v>
      </c>
      <c r="S153" s="772" t="s">
        <v>665</v>
      </c>
      <c r="T153" s="771"/>
      <c r="U153" s="769"/>
      <c r="V153" s="766"/>
      <c r="X153" s="361" t="s">
        <v>683</v>
      </c>
      <c r="Z153" s="29">
        <f>W139</f>
        <v>609.7802999999999</v>
      </c>
      <c r="AC153"/>
      <c r="AE153"/>
      <c r="AF153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</row>
    <row r="154" spans="1:100" ht="12.75">
      <c r="A154" s="24"/>
      <c r="B154" s="7"/>
      <c r="C154" s="6"/>
      <c r="D154" s="6"/>
      <c r="E154" s="6"/>
      <c r="F154" s="6"/>
      <c r="G154" s="6"/>
      <c r="H154" s="222"/>
      <c r="I154"/>
      <c r="J154" s="309"/>
      <c r="N154"/>
      <c r="Q154" s="311" t="s">
        <v>200</v>
      </c>
      <c r="R154" s="671">
        <f>X145</f>
        <v>941.9879999999991</v>
      </c>
      <c r="S154" s="770"/>
      <c r="T154" s="771"/>
      <c r="U154" s="769"/>
      <c r="V154" s="766"/>
      <c r="X154" s="361" t="s">
        <v>684</v>
      </c>
      <c r="Z154" s="29">
        <f>336.988</f>
        <v>336.988</v>
      </c>
      <c r="AC154"/>
      <c r="AE154"/>
      <c r="AF15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</row>
    <row r="155" spans="1:100" ht="12.75">
      <c r="A155" s="24"/>
      <c r="B155" s="7"/>
      <c r="C155" s="6"/>
      <c r="D155" s="6"/>
      <c r="E155" s="6"/>
      <c r="F155" s="6"/>
      <c r="G155" s="6"/>
      <c r="H155" s="224"/>
      <c r="I155" s="16"/>
      <c r="N155" s="16"/>
      <c r="Q155" s="311" t="s">
        <v>199</v>
      </c>
      <c r="R155" s="713">
        <f>R139*0.3</f>
        <v>794.1797999999998</v>
      </c>
      <c r="S155" s="772" t="s">
        <v>664</v>
      </c>
      <c r="T155" s="771"/>
      <c r="U155" s="768">
        <f>R155+R156</f>
        <v>794.1797999999998</v>
      </c>
      <c r="V155" s="765" t="s">
        <v>10</v>
      </c>
      <c r="AC155" s="16"/>
      <c r="AE155" s="16"/>
      <c r="AF155" s="16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</row>
    <row r="156" spans="8:100" ht="12.75" customHeight="1">
      <c r="H156" s="222"/>
      <c r="I156"/>
      <c r="N156"/>
      <c r="Q156" s="311"/>
      <c r="R156" s="671"/>
      <c r="S156" s="770"/>
      <c r="T156" s="770"/>
      <c r="U156" s="769"/>
      <c r="V156" s="766"/>
      <c r="AC156"/>
      <c r="AE156"/>
      <c r="AF156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</row>
    <row r="157" spans="18:100" ht="12.75">
      <c r="R157" s="29"/>
      <c r="S157" s="29"/>
      <c r="T157" s="29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</row>
    <row r="158" spans="17:100" ht="12.75">
      <c r="Q158" s="314" t="s">
        <v>633</v>
      </c>
      <c r="R158" s="27">
        <f>SUM(R149:R157)</f>
        <v>13298.101</v>
      </c>
      <c r="S158" s="29"/>
      <c r="T158" s="29"/>
      <c r="U158" s="27">
        <f>SUM(U149:U157)</f>
        <v>13298.101</v>
      </c>
      <c r="V158" s="27" t="s">
        <v>10</v>
      </c>
      <c r="X158" s="29"/>
      <c r="Z158" s="29">
        <f>SUM(Z151:Z157)</f>
        <v>11346.7803</v>
      </c>
      <c r="AB158" s="361" t="s">
        <v>685</v>
      </c>
      <c r="AE158" s="359">
        <f>U158-Z158</f>
        <v>1951.3207000000002</v>
      </c>
      <c r="AF158" s="309" t="s">
        <v>10</v>
      </c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</row>
    <row r="159" spans="18:100" ht="12.75">
      <c r="R159" s="29"/>
      <c r="S159" s="29"/>
      <c r="T159" s="29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</row>
    <row r="160" spans="18:100" ht="7.5" customHeight="1">
      <c r="R160" s="29"/>
      <c r="S160" s="29"/>
      <c r="T160" s="29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</row>
    <row r="161" spans="17:100" ht="12.75">
      <c r="Q161" s="32"/>
      <c r="R161" s="29"/>
      <c r="S161" s="29"/>
      <c r="T161" s="29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</row>
    <row r="162" spans="44:100" ht="12.75"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</row>
    <row r="163" spans="1:100" ht="17.25" customHeight="1">
      <c r="A163"/>
      <c r="B163" s="318"/>
      <c r="C163"/>
      <c r="D163"/>
      <c r="E163"/>
      <c r="F163"/>
      <c r="G163"/>
      <c r="H163" s="222"/>
      <c r="I163"/>
      <c r="J163"/>
      <c r="K163"/>
      <c r="L163"/>
      <c r="M163"/>
      <c r="N163"/>
      <c r="O163"/>
      <c r="P163"/>
      <c r="Q163" s="32"/>
      <c r="AC163"/>
      <c r="AE163"/>
      <c r="AF163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</row>
    <row r="164" spans="44:100" ht="12.75"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</row>
    <row r="165" spans="44:100" ht="12.75"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</row>
    <row r="166" spans="44:100" ht="12.75"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</row>
    <row r="167" spans="1:100" ht="12.75">
      <c r="A167" s="17"/>
      <c r="R167" s="41"/>
      <c r="S167" s="41"/>
      <c r="T167" s="41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</row>
    <row r="168" spans="18:100" ht="12.75">
      <c r="R168" s="34"/>
      <c r="S168" s="34"/>
      <c r="T168" s="34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</row>
    <row r="169" spans="18:100" ht="12.75">
      <c r="R169" s="29"/>
      <c r="S169" s="29"/>
      <c r="T169" s="29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</row>
    <row r="170" spans="18:100" ht="12.75">
      <c r="R170" s="29"/>
      <c r="S170" s="29"/>
      <c r="T170" s="29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</row>
    <row r="171" spans="18:100" ht="12.75">
      <c r="R171" s="29"/>
      <c r="S171" s="29"/>
      <c r="T171" s="29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</row>
    <row r="172" spans="18:100" ht="12.75">
      <c r="R172" s="29"/>
      <c r="S172" s="29"/>
      <c r="T172" s="29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</row>
    <row r="173" spans="1:100" ht="12.75">
      <c r="A173" s="17"/>
      <c r="R173" s="29"/>
      <c r="S173" s="29"/>
      <c r="T173" s="29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</row>
    <row r="174" spans="18:100" ht="12.75">
      <c r="R174" s="29"/>
      <c r="S174" s="29"/>
      <c r="T174" s="29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</row>
    <row r="175" spans="18:100" ht="12.75">
      <c r="R175" s="29"/>
      <c r="S175" s="29"/>
      <c r="T175" s="29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</row>
    <row r="176" spans="17:100" ht="12.75">
      <c r="Q176" s="32"/>
      <c r="R176" s="29"/>
      <c r="S176" s="29"/>
      <c r="T176" s="29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</row>
    <row r="177" spans="1:100" ht="12.75">
      <c r="A177" s="17"/>
      <c r="R177" s="29"/>
      <c r="S177" s="29"/>
      <c r="T177" s="29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</row>
    <row r="178" spans="17:100" ht="12.75">
      <c r="Q178" s="33"/>
      <c r="R178" s="29"/>
      <c r="S178" s="29"/>
      <c r="T178" s="29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</row>
    <row r="179" spans="18:100" ht="12.75">
      <c r="R179" s="29"/>
      <c r="S179" s="29"/>
      <c r="T179" s="29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</row>
    <row r="180" spans="18:100" ht="12.75">
      <c r="R180" s="29"/>
      <c r="S180" s="29"/>
      <c r="T180" s="29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</row>
    <row r="181" spans="44:100" ht="12.75"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</row>
    <row r="182" spans="44:100" ht="12.75"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</row>
    <row r="183" spans="44:100" ht="12.75"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</row>
    <row r="184" spans="44:100" ht="12.75"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</row>
    <row r="185" spans="44:100" ht="12.75"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</row>
    <row r="186" spans="44:100" ht="12.75"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</row>
    <row r="187" spans="44:100" ht="12.75"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</row>
    <row r="188" spans="44:100" ht="12.75"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</row>
    <row r="189" spans="44:100" ht="12.75"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</row>
    <row r="190" spans="44:100" ht="12.75"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</row>
    <row r="191" spans="44:100" ht="12.75"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</row>
    <row r="192" spans="44:100" ht="12.75"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</row>
    <row r="193" spans="17:100" ht="12.75">
      <c r="Q193" s="29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</row>
    <row r="194" spans="44:100" ht="12.75"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</row>
    <row r="195" spans="44:100" ht="12.75"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</row>
    <row r="196" spans="44:100" ht="12.75"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</row>
    <row r="197" spans="44:100" ht="12.75"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</row>
    <row r="198" spans="33:100" ht="12.75">
      <c r="AG198" s="2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</row>
    <row r="199" spans="44:100" ht="12.75"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</row>
    <row r="200" spans="33:100" ht="12.75">
      <c r="AG200" s="2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</row>
    <row r="201" spans="44:100" ht="12.75"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</row>
    <row r="202" spans="1:100" ht="12.75">
      <c r="A202" s="17"/>
      <c r="Q202" s="29"/>
      <c r="AG202" s="2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</row>
    <row r="203" spans="17:100" ht="12.75">
      <c r="Q203" s="29"/>
      <c r="AG203" s="2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</row>
    <row r="204" spans="17:100" ht="12.75">
      <c r="Q204" s="29"/>
      <c r="AG204" s="2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</row>
    <row r="205" spans="33:100" ht="12.75">
      <c r="AG205" s="2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</row>
    <row r="206" spans="8:100" ht="15.75">
      <c r="H206" s="213"/>
      <c r="I206" s="3"/>
      <c r="J206" s="3"/>
      <c r="K206" s="3"/>
      <c r="L206" s="3"/>
      <c r="M206" s="3"/>
      <c r="N206" s="3"/>
      <c r="O206" s="3"/>
      <c r="P206" s="3"/>
      <c r="AC206" s="3"/>
      <c r="AE206" s="3"/>
      <c r="AF206" s="3"/>
      <c r="AG206" s="22"/>
      <c r="AK206" s="4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</row>
    <row r="207" spans="33:100" ht="16.5" customHeight="1">
      <c r="AG207" s="2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</row>
    <row r="208" spans="33:100" ht="15.75">
      <c r="AG208" s="2"/>
      <c r="AK208" s="18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</row>
    <row r="209" spans="1:100" ht="12.75">
      <c r="A209" s="19"/>
      <c r="B209" s="20"/>
      <c r="C209" s="20"/>
      <c r="D209" s="20"/>
      <c r="E209" s="20"/>
      <c r="F209" s="20"/>
      <c r="G209" s="20"/>
      <c r="H209" s="225"/>
      <c r="I209" s="20"/>
      <c r="J209" s="20"/>
      <c r="K209" s="20"/>
      <c r="L209" s="20"/>
      <c r="M209" s="20"/>
      <c r="N209" s="20"/>
      <c r="O209" s="20"/>
      <c r="P209" s="2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20"/>
      <c r="AD209" s="30"/>
      <c r="AE209" s="20"/>
      <c r="AF209" s="20"/>
      <c r="AG209" s="2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</row>
    <row r="210" spans="1:100" ht="15.75">
      <c r="A210" s="13"/>
      <c r="B210" s="7"/>
      <c r="C210" s="7"/>
      <c r="D210" s="7"/>
      <c r="E210" s="7"/>
      <c r="F210" s="7"/>
      <c r="G210" s="7"/>
      <c r="H210" s="214"/>
      <c r="I210" s="7"/>
      <c r="J210" s="7"/>
      <c r="K210" s="7"/>
      <c r="L210" s="7"/>
      <c r="M210" s="7"/>
      <c r="N210" s="7"/>
      <c r="O210" s="7"/>
      <c r="P210" s="7"/>
      <c r="Q210" s="30"/>
      <c r="R210" s="23"/>
      <c r="S210" s="23"/>
      <c r="T210" s="23"/>
      <c r="U210" s="23"/>
      <c r="V210" s="23"/>
      <c r="W210" s="23"/>
      <c r="X210" s="40"/>
      <c r="Y210" s="40"/>
      <c r="Z210" s="40"/>
      <c r="AA210" s="40"/>
      <c r="AB210" s="40"/>
      <c r="AC210" s="7"/>
      <c r="AD210" s="40"/>
      <c r="AE210" s="7"/>
      <c r="AF210" s="7"/>
      <c r="AG210" s="2"/>
      <c r="AJ210" s="21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</row>
    <row r="211" spans="1:100" ht="12.75">
      <c r="A211" s="19"/>
      <c r="B211" s="20"/>
      <c r="C211" s="20"/>
      <c r="D211" s="20"/>
      <c r="E211" s="20"/>
      <c r="F211" s="20"/>
      <c r="G211" s="20"/>
      <c r="H211" s="225"/>
      <c r="I211" s="20"/>
      <c r="J211" s="20"/>
      <c r="K211" s="20"/>
      <c r="L211" s="20"/>
      <c r="M211" s="20"/>
      <c r="N211" s="20"/>
      <c r="O211" s="20"/>
      <c r="P211" s="20"/>
      <c r="Q211" s="30"/>
      <c r="R211" s="30"/>
      <c r="S211" s="30"/>
      <c r="T211" s="30"/>
      <c r="U211" s="30"/>
      <c r="V211" s="30"/>
      <c r="W211" s="30"/>
      <c r="X211" s="42"/>
      <c r="Y211" s="42"/>
      <c r="Z211" s="42"/>
      <c r="AA211" s="42"/>
      <c r="AB211" s="42"/>
      <c r="AC211" s="20"/>
      <c r="AD211" s="42"/>
      <c r="AE211" s="20"/>
      <c r="AF211" s="20"/>
      <c r="AG211" s="2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</row>
    <row r="212" spans="1:100" ht="12.75">
      <c r="A212" s="13"/>
      <c r="B212" s="7"/>
      <c r="C212" s="7"/>
      <c r="D212" s="7"/>
      <c r="E212" s="7"/>
      <c r="F212" s="7"/>
      <c r="G212" s="7"/>
      <c r="H212" s="214"/>
      <c r="I212" s="7"/>
      <c r="J212" s="7"/>
      <c r="K212" s="7"/>
      <c r="L212" s="7"/>
      <c r="M212" s="7"/>
      <c r="N212" s="7"/>
      <c r="O212" s="7"/>
      <c r="P212" s="7"/>
      <c r="Q212" s="23"/>
      <c r="R212" s="23"/>
      <c r="S212" s="23"/>
      <c r="T212" s="23"/>
      <c r="U212" s="23"/>
      <c r="V212" s="23"/>
      <c r="W212" s="23"/>
      <c r="X212" s="40"/>
      <c r="Y212" s="40"/>
      <c r="Z212" s="40"/>
      <c r="AA212" s="40"/>
      <c r="AB212" s="40"/>
      <c r="AC212" s="7"/>
      <c r="AD212" s="40"/>
      <c r="AE212" s="7"/>
      <c r="AF212" s="7"/>
      <c r="AG212" s="2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</row>
    <row r="213" spans="1:100" ht="12.75">
      <c r="A213" s="13"/>
      <c r="B213" s="7"/>
      <c r="C213" s="7"/>
      <c r="D213" s="7"/>
      <c r="E213" s="7"/>
      <c r="F213" s="7"/>
      <c r="G213" s="7"/>
      <c r="H213" s="214"/>
      <c r="I213" s="7"/>
      <c r="J213" s="7"/>
      <c r="K213" s="7"/>
      <c r="L213" s="7"/>
      <c r="M213" s="7"/>
      <c r="N213" s="7"/>
      <c r="O213" s="7"/>
      <c r="P213" s="7"/>
      <c r="Q213" s="23"/>
      <c r="R213" s="23"/>
      <c r="S213" s="23"/>
      <c r="T213" s="23"/>
      <c r="U213" s="23"/>
      <c r="V213" s="23"/>
      <c r="W213" s="23"/>
      <c r="X213" s="40"/>
      <c r="Y213" s="40"/>
      <c r="Z213" s="40"/>
      <c r="AA213" s="40"/>
      <c r="AB213" s="40"/>
      <c r="AC213" s="7"/>
      <c r="AD213" s="40"/>
      <c r="AE213" s="7"/>
      <c r="AF213" s="7"/>
      <c r="AG213" s="2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</row>
    <row r="214" spans="1:100" ht="12.75">
      <c r="A214" s="13"/>
      <c r="B214" s="7"/>
      <c r="C214" s="7"/>
      <c r="D214" s="7"/>
      <c r="E214" s="7"/>
      <c r="F214" s="7"/>
      <c r="G214" s="7"/>
      <c r="H214" s="214"/>
      <c r="I214" s="7"/>
      <c r="J214" s="7"/>
      <c r="K214" s="7"/>
      <c r="L214" s="7"/>
      <c r="M214" s="7"/>
      <c r="N214" s="7"/>
      <c r="O214" s="7"/>
      <c r="P214" s="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7"/>
      <c r="AD214" s="23"/>
      <c r="AE214" s="7"/>
      <c r="AF214" s="7"/>
      <c r="AG214" s="22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</row>
    <row r="215" spans="1:100" ht="12.75" customHeight="1">
      <c r="A215" s="13"/>
      <c r="B215" s="7"/>
      <c r="C215" s="7"/>
      <c r="D215" s="7"/>
      <c r="E215" s="7"/>
      <c r="F215" s="7"/>
      <c r="G215" s="7"/>
      <c r="H215" s="214"/>
      <c r="I215" s="7"/>
      <c r="J215" s="7"/>
      <c r="K215" s="7"/>
      <c r="L215" s="7"/>
      <c r="M215" s="7"/>
      <c r="N215" s="7"/>
      <c r="O215" s="7"/>
      <c r="P215" s="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7"/>
      <c r="AD215" s="23"/>
      <c r="AE215" s="7"/>
      <c r="AF215" s="7"/>
      <c r="AG215" s="2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</row>
    <row r="216" spans="1:100" ht="12.75">
      <c r="A216" s="13"/>
      <c r="B216" s="7"/>
      <c r="C216" s="7"/>
      <c r="D216" s="7"/>
      <c r="E216" s="7"/>
      <c r="F216" s="7"/>
      <c r="G216" s="7"/>
      <c r="H216" s="214"/>
      <c r="I216" s="7"/>
      <c r="J216" s="7"/>
      <c r="K216" s="7"/>
      <c r="L216" s="7"/>
      <c r="M216" s="7"/>
      <c r="N216" s="7"/>
      <c r="O216" s="7"/>
      <c r="P216" s="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7"/>
      <c r="AD216" s="23"/>
      <c r="AE216" s="7"/>
      <c r="AF216" s="7"/>
      <c r="AG216" s="2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</row>
    <row r="217" spans="1:100" ht="12.75">
      <c r="A217" s="13"/>
      <c r="B217" s="7"/>
      <c r="C217" s="7"/>
      <c r="D217" s="7"/>
      <c r="E217" s="7"/>
      <c r="F217" s="7"/>
      <c r="G217" s="7"/>
      <c r="H217" s="214"/>
      <c r="I217" s="7"/>
      <c r="J217" s="7"/>
      <c r="K217" s="7"/>
      <c r="L217" s="7"/>
      <c r="M217" s="7"/>
      <c r="N217" s="7"/>
      <c r="O217" s="7"/>
      <c r="P217" s="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7"/>
      <c r="AD217" s="23"/>
      <c r="AE217" s="7"/>
      <c r="AF217" s="7"/>
      <c r="AG217" s="2"/>
      <c r="AH217" s="2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</row>
    <row r="218" spans="1:100" ht="12.75">
      <c r="A218" s="13"/>
      <c r="B218" s="7"/>
      <c r="C218" s="7"/>
      <c r="D218" s="7"/>
      <c r="E218" s="7"/>
      <c r="F218" s="7"/>
      <c r="G218" s="7"/>
      <c r="H218" s="214"/>
      <c r="I218" s="7"/>
      <c r="J218" s="7"/>
      <c r="K218" s="7"/>
      <c r="L218" s="7"/>
      <c r="M218" s="7"/>
      <c r="N218" s="7"/>
      <c r="O218" s="7"/>
      <c r="P218" s="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7"/>
      <c r="AD218" s="23"/>
      <c r="AE218" s="7"/>
      <c r="AF218" s="7"/>
      <c r="AG218" s="22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</row>
    <row r="219" spans="1:100" ht="12.75">
      <c r="A219" s="13"/>
      <c r="B219" s="7"/>
      <c r="C219" s="7"/>
      <c r="D219" s="7"/>
      <c r="E219" s="7"/>
      <c r="F219" s="7"/>
      <c r="G219" s="7"/>
      <c r="H219" s="214"/>
      <c r="I219" s="7"/>
      <c r="J219" s="7"/>
      <c r="K219" s="7"/>
      <c r="L219" s="7"/>
      <c r="M219" s="7"/>
      <c r="N219" s="7"/>
      <c r="O219" s="7"/>
      <c r="P219" s="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7"/>
      <c r="AD219" s="23"/>
      <c r="AE219" s="7"/>
      <c r="AF219" s="7"/>
      <c r="AG219" s="2"/>
      <c r="AH219" s="2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</row>
    <row r="220" spans="1:100" ht="12.75">
      <c r="A220" s="13"/>
      <c r="B220" s="7"/>
      <c r="C220" s="7"/>
      <c r="D220" s="7"/>
      <c r="E220" s="7"/>
      <c r="F220" s="7"/>
      <c r="G220" s="7"/>
      <c r="H220" s="214"/>
      <c r="I220" s="7"/>
      <c r="J220" s="7"/>
      <c r="K220" s="7"/>
      <c r="L220" s="7"/>
      <c r="M220" s="7"/>
      <c r="N220" s="7"/>
      <c r="O220" s="7"/>
      <c r="P220" s="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7"/>
      <c r="AD220" s="23"/>
      <c r="AE220" s="7"/>
      <c r="AF220" s="7"/>
      <c r="AG220" s="2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</row>
    <row r="221" spans="1:100" ht="12.75">
      <c r="A221" s="13"/>
      <c r="B221" s="7"/>
      <c r="C221" s="7"/>
      <c r="D221" s="7"/>
      <c r="E221" s="7"/>
      <c r="F221" s="7"/>
      <c r="G221" s="7"/>
      <c r="H221" s="214"/>
      <c r="I221" s="7"/>
      <c r="J221" s="7"/>
      <c r="K221" s="7"/>
      <c r="L221" s="7"/>
      <c r="M221" s="7"/>
      <c r="N221" s="7"/>
      <c r="O221" s="7"/>
      <c r="P221" s="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7"/>
      <c r="AD221" s="23"/>
      <c r="AE221" s="7"/>
      <c r="AF221" s="7"/>
      <c r="AG221" s="2"/>
      <c r="AH221" s="2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</row>
    <row r="222" spans="1:100" ht="12.75">
      <c r="A222" s="13"/>
      <c r="B222" s="7"/>
      <c r="C222" s="7"/>
      <c r="D222" s="7"/>
      <c r="E222" s="7"/>
      <c r="F222" s="7"/>
      <c r="G222" s="7"/>
      <c r="H222" s="214"/>
      <c r="I222" s="7"/>
      <c r="J222" s="7"/>
      <c r="K222" s="7"/>
      <c r="L222" s="7"/>
      <c r="M222" s="7"/>
      <c r="N222" s="7"/>
      <c r="O222" s="7"/>
      <c r="P222" s="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7"/>
      <c r="AD222" s="23"/>
      <c r="AE222" s="7"/>
      <c r="AF222" s="7"/>
      <c r="AG222" s="2"/>
      <c r="AH222" s="2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</row>
    <row r="223" spans="1:100" ht="12.75" customHeight="1">
      <c r="A223" s="13"/>
      <c r="B223" s="7"/>
      <c r="C223" s="7"/>
      <c r="D223" s="7"/>
      <c r="E223" s="7"/>
      <c r="F223" s="7"/>
      <c r="G223" s="7"/>
      <c r="H223" s="214"/>
      <c r="I223" s="7"/>
      <c r="J223" s="7"/>
      <c r="K223" s="7"/>
      <c r="L223" s="7"/>
      <c r="M223" s="7"/>
      <c r="N223" s="7"/>
      <c r="O223" s="7"/>
      <c r="P223" s="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7"/>
      <c r="AD223" s="23"/>
      <c r="AE223" s="7"/>
      <c r="AF223" s="7"/>
      <c r="AG223" s="2"/>
      <c r="AH223" s="2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</row>
    <row r="224" spans="1:100" ht="12.75">
      <c r="A224" s="13"/>
      <c r="B224" s="7"/>
      <c r="C224" s="7"/>
      <c r="D224" s="7"/>
      <c r="E224" s="7"/>
      <c r="F224" s="7"/>
      <c r="G224" s="7"/>
      <c r="H224" s="214"/>
      <c r="I224" s="7"/>
      <c r="J224" s="7"/>
      <c r="K224" s="7"/>
      <c r="L224" s="7"/>
      <c r="M224" s="7"/>
      <c r="N224" s="7"/>
      <c r="O224" s="7"/>
      <c r="P224" s="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7"/>
      <c r="AD224" s="23"/>
      <c r="AE224" s="7"/>
      <c r="AF224" s="7"/>
      <c r="AG224" s="2"/>
      <c r="AH224" s="2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</row>
    <row r="225" spans="1:100" ht="12.75" customHeight="1">
      <c r="A225" s="13"/>
      <c r="B225" s="7"/>
      <c r="C225" s="7"/>
      <c r="D225" s="7"/>
      <c r="E225" s="7"/>
      <c r="F225" s="7"/>
      <c r="G225" s="7"/>
      <c r="H225" s="214"/>
      <c r="I225" s="7"/>
      <c r="J225" s="7"/>
      <c r="K225" s="7"/>
      <c r="L225" s="7"/>
      <c r="M225" s="7"/>
      <c r="N225" s="7"/>
      <c r="O225" s="7"/>
      <c r="P225" s="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7"/>
      <c r="AD225" s="23"/>
      <c r="AE225" s="7"/>
      <c r="AF225" s="7"/>
      <c r="AG225" s="2"/>
      <c r="AH225" s="2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</row>
    <row r="226" spans="1:100" ht="12.75">
      <c r="A226" s="13"/>
      <c r="B226" s="7"/>
      <c r="C226" s="7"/>
      <c r="D226" s="7"/>
      <c r="E226" s="7"/>
      <c r="F226" s="7"/>
      <c r="G226" s="7"/>
      <c r="H226" s="214"/>
      <c r="I226" s="7"/>
      <c r="J226" s="7"/>
      <c r="K226" s="7"/>
      <c r="L226" s="7"/>
      <c r="M226" s="7"/>
      <c r="N226" s="7"/>
      <c r="O226" s="7"/>
      <c r="P226" s="7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7"/>
      <c r="AD226" s="23"/>
      <c r="AE226" s="7"/>
      <c r="AF226" s="7"/>
      <c r="AG226" s="2"/>
      <c r="AH226" s="2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</row>
    <row r="227" spans="1:100" ht="12.75">
      <c r="A227" s="13"/>
      <c r="B227" s="7"/>
      <c r="C227" s="7"/>
      <c r="D227" s="7"/>
      <c r="E227" s="7"/>
      <c r="F227" s="7"/>
      <c r="G227" s="7"/>
      <c r="H227" s="214"/>
      <c r="I227" s="7"/>
      <c r="J227" s="7"/>
      <c r="K227" s="7"/>
      <c r="L227" s="7"/>
      <c r="M227" s="7"/>
      <c r="N227" s="7"/>
      <c r="O227" s="7"/>
      <c r="P227" s="7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7"/>
      <c r="AD227" s="23"/>
      <c r="AE227" s="7"/>
      <c r="AF227" s="7"/>
      <c r="AG227" s="2"/>
      <c r="AH227" s="2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</row>
    <row r="228" spans="1:100" ht="12.75">
      <c r="A228" s="13"/>
      <c r="B228" s="7"/>
      <c r="C228" s="7"/>
      <c r="D228" s="7"/>
      <c r="E228" s="7"/>
      <c r="F228" s="7"/>
      <c r="G228" s="7"/>
      <c r="H228" s="214"/>
      <c r="I228" s="7"/>
      <c r="J228" s="7"/>
      <c r="K228" s="7"/>
      <c r="L228" s="7"/>
      <c r="M228" s="7"/>
      <c r="N228" s="7"/>
      <c r="O228" s="7"/>
      <c r="P228" s="7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7"/>
      <c r="AD228" s="23"/>
      <c r="AE228" s="7"/>
      <c r="AF228" s="7"/>
      <c r="AG228" s="2"/>
      <c r="AH228" s="2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</row>
    <row r="229" spans="1:100" ht="12.75">
      <c r="A229" s="13"/>
      <c r="B229" s="7"/>
      <c r="C229" s="7"/>
      <c r="D229" s="7"/>
      <c r="E229" s="7"/>
      <c r="F229" s="7"/>
      <c r="G229" s="7"/>
      <c r="H229" s="214"/>
      <c r="I229" s="7"/>
      <c r="J229" s="7"/>
      <c r="K229" s="7"/>
      <c r="L229" s="7"/>
      <c r="M229" s="7"/>
      <c r="N229" s="7"/>
      <c r="O229" s="7"/>
      <c r="P229" s="7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7"/>
      <c r="AD229" s="23"/>
      <c r="AE229" s="7"/>
      <c r="AF229" s="7"/>
      <c r="AG229" s="2"/>
      <c r="AH229" s="2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</row>
    <row r="230" spans="1:100" ht="12.75">
      <c r="A230" s="13"/>
      <c r="B230" s="7"/>
      <c r="C230" s="7"/>
      <c r="D230" s="7"/>
      <c r="E230" s="7"/>
      <c r="F230" s="7"/>
      <c r="G230" s="7"/>
      <c r="H230" s="214"/>
      <c r="I230" s="7"/>
      <c r="J230" s="7"/>
      <c r="K230" s="7"/>
      <c r="L230" s="7"/>
      <c r="M230" s="7"/>
      <c r="N230" s="7"/>
      <c r="O230" s="7"/>
      <c r="P230" s="7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7"/>
      <c r="AD230" s="23"/>
      <c r="AE230" s="7"/>
      <c r="AF230" s="7"/>
      <c r="AG230" s="22"/>
      <c r="AH230" s="2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</row>
    <row r="231" spans="1:100" ht="12.75">
      <c r="A231" s="13"/>
      <c r="B231" s="7"/>
      <c r="C231" s="7"/>
      <c r="D231" s="7"/>
      <c r="E231" s="7"/>
      <c r="F231" s="7"/>
      <c r="G231" s="7"/>
      <c r="H231" s="214"/>
      <c r="I231" s="7"/>
      <c r="J231" s="7"/>
      <c r="K231" s="7"/>
      <c r="L231" s="7"/>
      <c r="M231" s="7"/>
      <c r="N231" s="7"/>
      <c r="O231" s="7"/>
      <c r="P231" s="7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7"/>
      <c r="AD231" s="23"/>
      <c r="AE231" s="7"/>
      <c r="AF231" s="7"/>
      <c r="AG231" s="2"/>
      <c r="AH231" s="2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</row>
    <row r="232" spans="1:100" ht="12.75">
      <c r="A232" s="13"/>
      <c r="B232" s="7"/>
      <c r="C232" s="7"/>
      <c r="D232" s="7"/>
      <c r="E232" s="7"/>
      <c r="F232" s="7"/>
      <c r="G232" s="7"/>
      <c r="H232" s="214"/>
      <c r="I232" s="7"/>
      <c r="J232" s="7"/>
      <c r="K232" s="7"/>
      <c r="L232" s="7"/>
      <c r="M232" s="7"/>
      <c r="N232" s="7"/>
      <c r="O232" s="7"/>
      <c r="P232" s="7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7"/>
      <c r="AD232" s="23"/>
      <c r="AE232" s="7"/>
      <c r="AF232" s="7"/>
      <c r="AG232" s="2"/>
      <c r="AH232" s="2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</row>
    <row r="233" spans="1:100" ht="12.75">
      <c r="A233" s="13"/>
      <c r="B233" s="7"/>
      <c r="C233" s="7"/>
      <c r="D233" s="7"/>
      <c r="E233" s="7"/>
      <c r="F233" s="7"/>
      <c r="G233" s="7"/>
      <c r="H233" s="214"/>
      <c r="I233" s="7"/>
      <c r="J233" s="7"/>
      <c r="K233" s="7"/>
      <c r="L233" s="7"/>
      <c r="M233" s="7"/>
      <c r="N233" s="7"/>
      <c r="O233" s="7"/>
      <c r="P233" s="7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7"/>
      <c r="AD233" s="23"/>
      <c r="AE233" s="7"/>
      <c r="AF233" s="7"/>
      <c r="AG233" s="2"/>
      <c r="AH233" s="2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</row>
    <row r="234" spans="1:100" ht="12.75">
      <c r="A234" s="13"/>
      <c r="B234" s="7"/>
      <c r="C234" s="7"/>
      <c r="D234" s="7"/>
      <c r="E234" s="7"/>
      <c r="F234" s="7"/>
      <c r="G234" s="7"/>
      <c r="H234" s="214"/>
      <c r="I234" s="7"/>
      <c r="J234" s="7"/>
      <c r="K234" s="7"/>
      <c r="L234" s="7"/>
      <c r="M234" s="7"/>
      <c r="N234" s="7"/>
      <c r="O234" s="7"/>
      <c r="P234" s="7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7"/>
      <c r="AD234" s="23"/>
      <c r="AE234" s="7"/>
      <c r="AF234" s="7"/>
      <c r="AG234" s="2"/>
      <c r="AH234" s="2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</row>
    <row r="235" spans="1:100" ht="12.75">
      <c r="A235" s="13"/>
      <c r="B235" s="7"/>
      <c r="C235" s="7"/>
      <c r="D235" s="7"/>
      <c r="E235" s="7"/>
      <c r="F235" s="7"/>
      <c r="G235" s="7"/>
      <c r="H235" s="214"/>
      <c r="I235" s="7"/>
      <c r="J235" s="7"/>
      <c r="K235" s="7"/>
      <c r="L235" s="7"/>
      <c r="M235" s="7"/>
      <c r="N235" s="7"/>
      <c r="O235" s="7"/>
      <c r="P235" s="7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7"/>
      <c r="AD235" s="23"/>
      <c r="AE235" s="7"/>
      <c r="AF235" s="7"/>
      <c r="AG235" s="2"/>
      <c r="AH235" s="2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</row>
    <row r="236" spans="1:100" ht="12.75">
      <c r="A236" s="13"/>
      <c r="B236" s="7"/>
      <c r="C236" s="7"/>
      <c r="D236" s="7"/>
      <c r="E236" s="7"/>
      <c r="F236" s="7"/>
      <c r="G236" s="7"/>
      <c r="H236" s="214"/>
      <c r="I236" s="7"/>
      <c r="J236" s="7"/>
      <c r="K236" s="7"/>
      <c r="L236" s="7"/>
      <c r="M236" s="7"/>
      <c r="N236" s="7"/>
      <c r="O236" s="7"/>
      <c r="P236" s="7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7"/>
      <c r="AD236" s="23"/>
      <c r="AE236" s="7"/>
      <c r="AF236" s="7"/>
      <c r="AG236" s="2"/>
      <c r="AH236" s="2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</row>
    <row r="237" spans="1:100" ht="12.75">
      <c r="A237" s="13"/>
      <c r="B237" s="7"/>
      <c r="C237" s="7"/>
      <c r="D237" s="7"/>
      <c r="E237" s="7"/>
      <c r="F237" s="7"/>
      <c r="G237" s="7"/>
      <c r="H237" s="214"/>
      <c r="I237" s="7"/>
      <c r="J237" s="7"/>
      <c r="K237" s="7"/>
      <c r="L237" s="7"/>
      <c r="M237" s="7"/>
      <c r="N237" s="7"/>
      <c r="O237" s="7"/>
      <c r="P237" s="7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7"/>
      <c r="AD237" s="23"/>
      <c r="AE237" s="7"/>
      <c r="AF237" s="7"/>
      <c r="AG237" s="2"/>
      <c r="AH237" s="2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</row>
    <row r="238" spans="1:100" ht="12.75">
      <c r="A238" s="13"/>
      <c r="B238" s="7"/>
      <c r="C238" s="7"/>
      <c r="D238" s="7"/>
      <c r="E238" s="7"/>
      <c r="F238" s="7"/>
      <c r="G238" s="7"/>
      <c r="H238" s="214"/>
      <c r="I238" s="7"/>
      <c r="J238" s="7"/>
      <c r="K238" s="7"/>
      <c r="L238" s="7"/>
      <c r="M238" s="7"/>
      <c r="N238" s="7"/>
      <c r="O238" s="7"/>
      <c r="P238" s="7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7"/>
      <c r="AD238" s="23"/>
      <c r="AE238" s="7"/>
      <c r="AF238" s="7"/>
      <c r="AG238" s="2"/>
      <c r="AH238" s="2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</row>
    <row r="239" spans="1:100" ht="12.75">
      <c r="A239" s="13"/>
      <c r="B239" s="7"/>
      <c r="C239" s="7"/>
      <c r="D239" s="7"/>
      <c r="E239" s="7"/>
      <c r="F239" s="7"/>
      <c r="G239" s="7"/>
      <c r="H239" s="214"/>
      <c r="I239" s="7"/>
      <c r="J239" s="7"/>
      <c r="K239" s="7"/>
      <c r="L239" s="7"/>
      <c r="M239" s="7"/>
      <c r="N239" s="7"/>
      <c r="O239" s="7"/>
      <c r="P239" s="7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7"/>
      <c r="AD239" s="23"/>
      <c r="AE239" s="7"/>
      <c r="AF239" s="7"/>
      <c r="AG239" s="2"/>
      <c r="AH239" s="2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</row>
    <row r="240" spans="1:100" ht="12.75">
      <c r="A240" s="13"/>
      <c r="B240" s="7"/>
      <c r="C240" s="7"/>
      <c r="D240" s="7"/>
      <c r="E240" s="7"/>
      <c r="F240" s="7"/>
      <c r="G240" s="7"/>
      <c r="H240" s="214"/>
      <c r="I240" s="7"/>
      <c r="J240" s="7"/>
      <c r="K240" s="7"/>
      <c r="L240" s="7"/>
      <c r="M240" s="7"/>
      <c r="N240" s="7"/>
      <c r="O240" s="7"/>
      <c r="P240" s="7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7"/>
      <c r="AD240" s="23"/>
      <c r="AE240" s="7"/>
      <c r="AF240" s="7"/>
      <c r="AG240" s="2"/>
      <c r="AH240" s="2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</row>
    <row r="241" spans="1:100" ht="12.75">
      <c r="A241" s="13"/>
      <c r="B241" s="7"/>
      <c r="C241" s="7"/>
      <c r="D241" s="7"/>
      <c r="E241" s="7"/>
      <c r="F241" s="7"/>
      <c r="G241" s="7"/>
      <c r="H241" s="214"/>
      <c r="I241" s="7"/>
      <c r="J241" s="7"/>
      <c r="K241" s="7"/>
      <c r="L241" s="7"/>
      <c r="M241" s="7"/>
      <c r="N241" s="7"/>
      <c r="O241" s="7"/>
      <c r="P241" s="7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7"/>
      <c r="AD241" s="23"/>
      <c r="AE241" s="7"/>
      <c r="AF241" s="7"/>
      <c r="AH241" s="2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</row>
    <row r="242" spans="1:100" ht="12.75">
      <c r="A242" s="13"/>
      <c r="B242" s="7"/>
      <c r="C242" s="7"/>
      <c r="D242" s="7"/>
      <c r="E242" s="7"/>
      <c r="F242" s="7"/>
      <c r="G242" s="7"/>
      <c r="H242" s="214"/>
      <c r="I242" s="7"/>
      <c r="J242" s="7"/>
      <c r="K242" s="7"/>
      <c r="L242" s="7"/>
      <c r="M242" s="7"/>
      <c r="N242" s="7"/>
      <c r="O242" s="7"/>
      <c r="P242" s="7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7"/>
      <c r="AD242" s="23"/>
      <c r="AE242" s="7"/>
      <c r="AF242" s="7"/>
      <c r="AG242" s="2"/>
      <c r="AH242" s="2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</row>
    <row r="243" spans="1:100" ht="12.75">
      <c r="A243" s="13"/>
      <c r="B243" s="7"/>
      <c r="C243" s="7"/>
      <c r="D243" s="7"/>
      <c r="E243" s="7"/>
      <c r="F243" s="7"/>
      <c r="G243" s="7"/>
      <c r="H243" s="214"/>
      <c r="I243" s="7"/>
      <c r="J243" s="7"/>
      <c r="K243" s="7"/>
      <c r="L243" s="7"/>
      <c r="M243" s="7"/>
      <c r="N243" s="7"/>
      <c r="O243" s="7"/>
      <c r="P243" s="7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7"/>
      <c r="AD243" s="23"/>
      <c r="AE243" s="7"/>
      <c r="AF243" s="7"/>
      <c r="AH243" s="2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</row>
    <row r="244" spans="1:100" ht="12.75">
      <c r="A244" s="13"/>
      <c r="B244" s="7"/>
      <c r="C244" s="7"/>
      <c r="D244" s="7"/>
      <c r="E244" s="7"/>
      <c r="F244" s="7"/>
      <c r="G244" s="7"/>
      <c r="H244" s="214"/>
      <c r="I244" s="7"/>
      <c r="J244" s="7"/>
      <c r="K244" s="7"/>
      <c r="L244" s="7"/>
      <c r="M244" s="7"/>
      <c r="N244" s="7"/>
      <c r="O244" s="7"/>
      <c r="P244" s="7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7"/>
      <c r="AD244" s="23"/>
      <c r="AE244" s="7"/>
      <c r="AF244" s="7"/>
      <c r="AG244" s="2"/>
      <c r="AH244" s="2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</row>
    <row r="245" spans="1:100" ht="12.75">
      <c r="A245" s="13"/>
      <c r="B245" s="7"/>
      <c r="C245" s="7"/>
      <c r="D245" s="7"/>
      <c r="E245" s="7"/>
      <c r="F245" s="7"/>
      <c r="G245" s="7"/>
      <c r="H245" s="214"/>
      <c r="I245" s="7"/>
      <c r="J245" s="7"/>
      <c r="K245" s="7"/>
      <c r="L245" s="7"/>
      <c r="M245" s="7"/>
      <c r="N245" s="7"/>
      <c r="O245" s="7"/>
      <c r="P245" s="7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7"/>
      <c r="AD245" s="23"/>
      <c r="AE245" s="7"/>
      <c r="AF245" s="7"/>
      <c r="AH245" s="2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</row>
    <row r="246" spans="1:100" ht="12.75">
      <c r="A246" s="13"/>
      <c r="B246" s="7"/>
      <c r="C246" s="7"/>
      <c r="D246" s="7"/>
      <c r="E246" s="7"/>
      <c r="F246" s="7"/>
      <c r="G246" s="7"/>
      <c r="H246" s="214"/>
      <c r="I246" s="7"/>
      <c r="J246" s="7"/>
      <c r="K246" s="7"/>
      <c r="L246" s="7"/>
      <c r="M246" s="7"/>
      <c r="N246" s="7"/>
      <c r="O246" s="7"/>
      <c r="P246" s="7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7"/>
      <c r="AD246" s="23"/>
      <c r="AE246" s="7"/>
      <c r="AF246" s="7"/>
      <c r="AH246" s="2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</row>
    <row r="247" spans="1:100" ht="12.75">
      <c r="A247" s="13"/>
      <c r="B247" s="7"/>
      <c r="C247" s="7"/>
      <c r="D247" s="7"/>
      <c r="E247" s="7"/>
      <c r="F247" s="7"/>
      <c r="G247" s="7"/>
      <c r="H247" s="214"/>
      <c r="I247" s="7"/>
      <c r="J247" s="7"/>
      <c r="K247" s="7"/>
      <c r="L247" s="7"/>
      <c r="M247" s="7"/>
      <c r="N247" s="7"/>
      <c r="O247" s="7"/>
      <c r="P247" s="7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7"/>
      <c r="AD247" s="23"/>
      <c r="AE247" s="7"/>
      <c r="AF247" s="7"/>
      <c r="AH247" s="2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</row>
    <row r="248" spans="1:100" ht="12.75">
      <c r="A248" s="13"/>
      <c r="B248" s="7"/>
      <c r="C248" s="7"/>
      <c r="D248" s="7"/>
      <c r="E248" s="7"/>
      <c r="F248" s="7"/>
      <c r="G248" s="7"/>
      <c r="H248" s="214"/>
      <c r="I248" s="7"/>
      <c r="J248" s="7"/>
      <c r="K248" s="7"/>
      <c r="L248" s="7"/>
      <c r="M248" s="7"/>
      <c r="N248" s="7"/>
      <c r="O248" s="7"/>
      <c r="P248" s="7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7"/>
      <c r="AD248" s="23"/>
      <c r="AE248" s="7"/>
      <c r="AF248" s="7"/>
      <c r="AH248" s="2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</row>
    <row r="249" spans="1:100" ht="12.75">
      <c r="A249" s="13"/>
      <c r="B249" s="7"/>
      <c r="C249" s="7"/>
      <c r="D249" s="7"/>
      <c r="E249" s="7"/>
      <c r="F249" s="7"/>
      <c r="G249" s="7"/>
      <c r="H249" s="214"/>
      <c r="I249" s="7"/>
      <c r="J249" s="7"/>
      <c r="K249" s="7"/>
      <c r="L249" s="7"/>
      <c r="M249" s="7"/>
      <c r="N249" s="7"/>
      <c r="O249" s="7"/>
      <c r="P249" s="7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7"/>
      <c r="AD249" s="23"/>
      <c r="AE249" s="7"/>
      <c r="AF249" s="7"/>
      <c r="AH249" s="2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</row>
    <row r="250" spans="1:100" ht="12.75">
      <c r="A250" s="13"/>
      <c r="B250" s="7"/>
      <c r="C250" s="7"/>
      <c r="D250" s="7"/>
      <c r="E250" s="7"/>
      <c r="F250" s="7"/>
      <c r="G250" s="7"/>
      <c r="H250" s="214"/>
      <c r="I250" s="7"/>
      <c r="J250" s="7"/>
      <c r="K250" s="7"/>
      <c r="L250" s="7"/>
      <c r="M250" s="7"/>
      <c r="N250" s="7"/>
      <c r="O250" s="7"/>
      <c r="P250" s="7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7"/>
      <c r="AD250" s="23"/>
      <c r="AE250" s="7"/>
      <c r="AF250" s="7"/>
      <c r="AH250" s="2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</row>
    <row r="251" spans="1:100" ht="12.75">
      <c r="A251" s="13"/>
      <c r="B251" s="7"/>
      <c r="C251" s="7"/>
      <c r="D251" s="7"/>
      <c r="E251" s="7"/>
      <c r="F251" s="7"/>
      <c r="G251" s="7"/>
      <c r="H251" s="214"/>
      <c r="I251" s="7"/>
      <c r="J251" s="7"/>
      <c r="K251" s="7"/>
      <c r="L251" s="7"/>
      <c r="M251" s="7"/>
      <c r="N251" s="7"/>
      <c r="O251" s="7"/>
      <c r="P251" s="7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7"/>
      <c r="AD251" s="23"/>
      <c r="AE251" s="7"/>
      <c r="AF251" s="7"/>
      <c r="AH251" s="2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</row>
    <row r="252" spans="1:100" ht="12.75">
      <c r="A252" s="13"/>
      <c r="B252" s="7"/>
      <c r="C252" s="7"/>
      <c r="D252" s="7"/>
      <c r="E252" s="7"/>
      <c r="F252" s="7"/>
      <c r="G252" s="7"/>
      <c r="H252" s="214"/>
      <c r="I252" s="7"/>
      <c r="J252" s="7"/>
      <c r="K252" s="7"/>
      <c r="L252" s="7"/>
      <c r="M252" s="7"/>
      <c r="N252" s="7"/>
      <c r="O252" s="7"/>
      <c r="P252" s="7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7"/>
      <c r="AD252" s="23"/>
      <c r="AE252" s="7"/>
      <c r="AF252" s="7"/>
      <c r="AG252" s="6"/>
      <c r="AH252" s="2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</row>
    <row r="253" spans="1:100" ht="12.75">
      <c r="A253" s="13"/>
      <c r="B253" s="7"/>
      <c r="C253" s="7"/>
      <c r="D253" s="7"/>
      <c r="E253" s="7"/>
      <c r="F253" s="7"/>
      <c r="G253" s="7"/>
      <c r="H253" s="214"/>
      <c r="I253" s="7"/>
      <c r="J253" s="7"/>
      <c r="K253" s="7"/>
      <c r="L253" s="7"/>
      <c r="M253" s="7"/>
      <c r="N253" s="7"/>
      <c r="O253" s="7"/>
      <c r="P253" s="7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7"/>
      <c r="AD253" s="23"/>
      <c r="AE253" s="7"/>
      <c r="AF253" s="7"/>
      <c r="AG253" s="5"/>
      <c r="AH253" s="2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</row>
    <row r="254" spans="1:100" ht="12.75">
      <c r="A254" s="13"/>
      <c r="B254" s="7"/>
      <c r="C254" s="7"/>
      <c r="D254" s="7"/>
      <c r="E254" s="7"/>
      <c r="F254" s="7"/>
      <c r="G254" s="7"/>
      <c r="H254" s="214"/>
      <c r="I254" s="7"/>
      <c r="J254" s="7"/>
      <c r="K254" s="7"/>
      <c r="L254" s="7"/>
      <c r="M254" s="7"/>
      <c r="N254" s="7"/>
      <c r="O254" s="7"/>
      <c r="P254" s="7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7"/>
      <c r="AD254" s="23"/>
      <c r="AE254" s="7"/>
      <c r="AF254" s="7"/>
      <c r="AG254" s="6"/>
      <c r="AH254" s="2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</row>
    <row r="255" spans="1:100" ht="12.75">
      <c r="A255" s="13"/>
      <c r="B255" s="7"/>
      <c r="C255" s="7"/>
      <c r="D255" s="7"/>
      <c r="E255" s="7"/>
      <c r="F255" s="7"/>
      <c r="G255" s="7"/>
      <c r="H255" s="214"/>
      <c r="I255" s="7"/>
      <c r="J255" s="7"/>
      <c r="K255" s="7"/>
      <c r="L255" s="7"/>
      <c r="M255" s="7"/>
      <c r="N255" s="7"/>
      <c r="O255" s="7"/>
      <c r="P255" s="7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7"/>
      <c r="AD255" s="23"/>
      <c r="AE255" s="7"/>
      <c r="AF255" s="7"/>
      <c r="AG255" s="5"/>
      <c r="AH255" s="2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</row>
    <row r="256" spans="1:100" ht="12.75">
      <c r="A256" s="13"/>
      <c r="B256" s="7"/>
      <c r="C256" s="7"/>
      <c r="D256" s="7"/>
      <c r="E256" s="7"/>
      <c r="F256" s="7"/>
      <c r="G256" s="7"/>
      <c r="H256" s="214"/>
      <c r="I256" s="7"/>
      <c r="J256" s="7"/>
      <c r="K256" s="7"/>
      <c r="L256" s="7"/>
      <c r="M256" s="7"/>
      <c r="N256" s="7"/>
      <c r="O256" s="7"/>
      <c r="P256" s="7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7"/>
      <c r="AD256" s="23"/>
      <c r="AE256" s="7"/>
      <c r="AF256" s="7"/>
      <c r="AG256" s="6"/>
      <c r="AH256" s="2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</row>
    <row r="257" spans="1:100" ht="12.75">
      <c r="A257" s="13"/>
      <c r="B257" s="7"/>
      <c r="C257" s="7"/>
      <c r="D257" s="7"/>
      <c r="E257" s="7"/>
      <c r="F257" s="7"/>
      <c r="G257" s="7"/>
      <c r="H257" s="214"/>
      <c r="I257" s="7"/>
      <c r="J257" s="7"/>
      <c r="K257" s="7"/>
      <c r="L257" s="7"/>
      <c r="M257" s="7"/>
      <c r="N257" s="7"/>
      <c r="O257" s="7"/>
      <c r="P257" s="7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7"/>
      <c r="AD257" s="23"/>
      <c r="AE257" s="7"/>
      <c r="AF257" s="7"/>
      <c r="AG257" s="5"/>
      <c r="AH257" s="2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</row>
    <row r="258" spans="1:100" ht="12.75">
      <c r="A258" s="13"/>
      <c r="B258" s="7"/>
      <c r="C258" s="7"/>
      <c r="D258" s="7"/>
      <c r="E258" s="7"/>
      <c r="F258" s="7"/>
      <c r="G258" s="7"/>
      <c r="H258" s="214"/>
      <c r="I258" s="7"/>
      <c r="J258" s="7"/>
      <c r="K258" s="7"/>
      <c r="L258" s="7"/>
      <c r="M258" s="7"/>
      <c r="N258" s="7"/>
      <c r="O258" s="7"/>
      <c r="P258" s="7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7"/>
      <c r="AD258" s="23"/>
      <c r="AE258" s="7"/>
      <c r="AF258" s="7"/>
      <c r="AG258" s="6"/>
      <c r="AH258" s="2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</row>
    <row r="259" spans="1:100" ht="12.75">
      <c r="A259" s="13"/>
      <c r="B259" s="7"/>
      <c r="C259" s="7"/>
      <c r="D259" s="7"/>
      <c r="E259" s="7"/>
      <c r="F259" s="7"/>
      <c r="G259" s="7"/>
      <c r="H259" s="214"/>
      <c r="I259" s="7"/>
      <c r="J259" s="7"/>
      <c r="K259" s="7"/>
      <c r="L259" s="7"/>
      <c r="M259" s="7"/>
      <c r="N259" s="7"/>
      <c r="O259" s="7"/>
      <c r="P259" s="7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7"/>
      <c r="AD259" s="23"/>
      <c r="AE259" s="7"/>
      <c r="AF259" s="7"/>
      <c r="AG259" s="5"/>
      <c r="AH259" s="2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</row>
    <row r="260" spans="1:100" ht="12.75">
      <c r="A260" s="13"/>
      <c r="B260" s="7"/>
      <c r="C260" s="7"/>
      <c r="D260" s="7"/>
      <c r="E260" s="7"/>
      <c r="F260" s="7"/>
      <c r="G260" s="7"/>
      <c r="H260" s="214"/>
      <c r="I260" s="7"/>
      <c r="J260" s="7"/>
      <c r="K260" s="7"/>
      <c r="L260" s="7"/>
      <c r="M260" s="7"/>
      <c r="N260" s="7"/>
      <c r="O260" s="7"/>
      <c r="P260" s="7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7"/>
      <c r="AD260" s="23"/>
      <c r="AE260" s="7"/>
      <c r="AF260" s="7"/>
      <c r="AG260" s="6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</row>
    <row r="261" spans="1:100" ht="12.75">
      <c r="A261" s="13"/>
      <c r="B261" s="7"/>
      <c r="C261" s="7"/>
      <c r="D261" s="7"/>
      <c r="E261" s="7"/>
      <c r="F261" s="7"/>
      <c r="G261" s="7"/>
      <c r="H261" s="214"/>
      <c r="I261" s="7"/>
      <c r="J261" s="7"/>
      <c r="K261" s="7"/>
      <c r="L261" s="7"/>
      <c r="M261" s="7"/>
      <c r="N261" s="7"/>
      <c r="O261" s="7"/>
      <c r="P261" s="7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7"/>
      <c r="AD261" s="23"/>
      <c r="AE261" s="7"/>
      <c r="AF261" s="7"/>
      <c r="AG261" s="5"/>
      <c r="AH261" s="2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</row>
    <row r="262" spans="1:100" ht="12.75">
      <c r="A262" s="13"/>
      <c r="B262" s="7"/>
      <c r="C262" s="7"/>
      <c r="D262" s="7"/>
      <c r="E262" s="7"/>
      <c r="F262" s="7"/>
      <c r="G262" s="7"/>
      <c r="H262" s="214"/>
      <c r="I262" s="7"/>
      <c r="J262" s="7"/>
      <c r="K262" s="7"/>
      <c r="L262" s="7"/>
      <c r="M262" s="7"/>
      <c r="N262" s="7"/>
      <c r="O262" s="7"/>
      <c r="P262" s="7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7"/>
      <c r="AD262" s="23"/>
      <c r="AE262" s="7"/>
      <c r="AF262" s="7"/>
      <c r="AG262" s="6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</row>
    <row r="263" spans="1:100" ht="12.75">
      <c r="A263" s="13"/>
      <c r="B263" s="7"/>
      <c r="C263" s="7"/>
      <c r="D263" s="7"/>
      <c r="E263" s="7"/>
      <c r="F263" s="7"/>
      <c r="G263" s="7"/>
      <c r="H263" s="214"/>
      <c r="I263" s="7"/>
      <c r="J263" s="7"/>
      <c r="K263" s="7"/>
      <c r="L263" s="7"/>
      <c r="M263" s="7"/>
      <c r="N263" s="7"/>
      <c r="O263" s="7"/>
      <c r="P263" s="7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7"/>
      <c r="AD263" s="23"/>
      <c r="AE263" s="7"/>
      <c r="AF263" s="7"/>
      <c r="AG263" s="5"/>
      <c r="AH263" s="22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</row>
    <row r="264" spans="1:100" ht="12.75">
      <c r="A264" s="13"/>
      <c r="B264" s="7"/>
      <c r="C264" s="7"/>
      <c r="D264" s="7"/>
      <c r="E264" s="7"/>
      <c r="F264" s="7"/>
      <c r="G264" s="7"/>
      <c r="H264" s="214"/>
      <c r="I264" s="7"/>
      <c r="J264" s="7"/>
      <c r="K264" s="7"/>
      <c r="L264" s="7"/>
      <c r="M264" s="7"/>
      <c r="N264" s="7"/>
      <c r="O264" s="7"/>
      <c r="P264" s="7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7"/>
      <c r="AD264" s="23"/>
      <c r="AE264" s="7"/>
      <c r="AF264" s="7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</row>
    <row r="265" spans="1:100" ht="12.75">
      <c r="A265" s="13"/>
      <c r="B265" s="7"/>
      <c r="C265" s="7"/>
      <c r="D265" s="7"/>
      <c r="E265" s="7"/>
      <c r="F265" s="7"/>
      <c r="G265" s="7"/>
      <c r="H265" s="214"/>
      <c r="I265" s="7"/>
      <c r="J265" s="7"/>
      <c r="K265" s="7"/>
      <c r="L265" s="7"/>
      <c r="M265" s="7"/>
      <c r="N265" s="7"/>
      <c r="O265" s="7"/>
      <c r="P265" s="7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7"/>
      <c r="AD265" s="23"/>
      <c r="AE265" s="7"/>
      <c r="AF265" s="7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</row>
    <row r="266" spans="1:100" ht="12.75">
      <c r="A266" s="13"/>
      <c r="B266" s="7"/>
      <c r="C266" s="7"/>
      <c r="D266" s="7"/>
      <c r="E266" s="7"/>
      <c r="F266" s="7"/>
      <c r="G266" s="7"/>
      <c r="H266" s="214"/>
      <c r="I266" s="7"/>
      <c r="J266" s="7"/>
      <c r="K266" s="7"/>
      <c r="L266" s="7"/>
      <c r="M266" s="7"/>
      <c r="N266" s="7"/>
      <c r="O266" s="7"/>
      <c r="P266" s="7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7"/>
      <c r="AD266" s="23"/>
      <c r="AE266" s="7"/>
      <c r="AF266" s="7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</row>
    <row r="267" spans="1:100" ht="12.75">
      <c r="A267" s="19"/>
      <c r="B267" s="20"/>
      <c r="C267" s="20"/>
      <c r="D267" s="20"/>
      <c r="E267" s="20"/>
      <c r="F267" s="20"/>
      <c r="G267" s="20"/>
      <c r="H267" s="225"/>
      <c r="I267" s="20"/>
      <c r="J267" s="20"/>
      <c r="K267" s="20"/>
      <c r="L267" s="20"/>
      <c r="M267" s="20"/>
      <c r="N267" s="20"/>
      <c r="O267" s="20"/>
      <c r="P267" s="20"/>
      <c r="Q267" s="23"/>
      <c r="R267" s="30"/>
      <c r="S267" s="30"/>
      <c r="T267" s="30"/>
      <c r="U267" s="30"/>
      <c r="V267" s="23"/>
      <c r="W267" s="23"/>
      <c r="X267" s="30"/>
      <c r="Y267" s="30"/>
      <c r="Z267" s="30"/>
      <c r="AA267" s="30"/>
      <c r="AB267" s="30"/>
      <c r="AC267" s="20"/>
      <c r="AD267" s="30"/>
      <c r="AE267" s="20"/>
      <c r="AF267" s="20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</row>
    <row r="268" spans="1:100" ht="12.75">
      <c r="A268" s="13"/>
      <c r="B268" s="7"/>
      <c r="C268" s="7"/>
      <c r="D268" s="7"/>
      <c r="E268" s="7"/>
      <c r="F268" s="7"/>
      <c r="G268" s="7"/>
      <c r="H268" s="226"/>
      <c r="I268" s="11"/>
      <c r="J268" s="11"/>
      <c r="K268" s="11"/>
      <c r="L268" s="11"/>
      <c r="M268" s="11"/>
      <c r="N268" s="11"/>
      <c r="O268" s="11"/>
      <c r="P268" s="11"/>
      <c r="Q268" s="23"/>
      <c r="R268" s="35"/>
      <c r="S268" s="35"/>
      <c r="T268" s="35"/>
      <c r="U268" s="35"/>
      <c r="V268" s="35"/>
      <c r="W268" s="35"/>
      <c r="X268" s="23"/>
      <c r="Y268" s="23"/>
      <c r="Z268" s="23"/>
      <c r="AA268" s="23"/>
      <c r="AB268" s="23"/>
      <c r="AC268" s="11"/>
      <c r="AD268" s="23"/>
      <c r="AE268" s="11"/>
      <c r="AF268" s="11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</row>
    <row r="269" spans="1:100" ht="12.75">
      <c r="A269" s="13"/>
      <c r="B269" s="7"/>
      <c r="C269" s="7"/>
      <c r="D269" s="7"/>
      <c r="E269" s="7"/>
      <c r="F269" s="7"/>
      <c r="G269" s="7"/>
      <c r="H269" s="214"/>
      <c r="I269" s="7"/>
      <c r="J269" s="7"/>
      <c r="K269" s="7"/>
      <c r="L269" s="7"/>
      <c r="M269" s="7"/>
      <c r="N269" s="7"/>
      <c r="O269" s="7"/>
      <c r="P269" s="7"/>
      <c r="Q269" s="23"/>
      <c r="R269" s="35"/>
      <c r="S269" s="35"/>
      <c r="T269" s="35"/>
      <c r="U269" s="35"/>
      <c r="V269" s="35"/>
      <c r="W269" s="35"/>
      <c r="X269" s="23"/>
      <c r="Y269" s="23"/>
      <c r="Z269" s="23"/>
      <c r="AA269" s="23"/>
      <c r="AB269" s="23"/>
      <c r="AC269" s="7"/>
      <c r="AD269" s="23"/>
      <c r="AE269" s="7"/>
      <c r="AF269" s="7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</row>
    <row r="270" spans="1:100" ht="12.75">
      <c r="A270" s="13"/>
      <c r="B270" s="7"/>
      <c r="C270" s="7"/>
      <c r="D270" s="7"/>
      <c r="E270" s="7"/>
      <c r="F270" s="7"/>
      <c r="G270" s="7"/>
      <c r="H270" s="214"/>
      <c r="I270" s="7"/>
      <c r="J270" s="7"/>
      <c r="K270" s="7"/>
      <c r="L270" s="7"/>
      <c r="M270" s="7"/>
      <c r="N270" s="7"/>
      <c r="O270" s="7"/>
      <c r="P270" s="7"/>
      <c r="Q270" s="23"/>
      <c r="R270" s="35"/>
      <c r="S270" s="35"/>
      <c r="T270" s="35"/>
      <c r="U270" s="35"/>
      <c r="V270" s="35"/>
      <c r="W270" s="35"/>
      <c r="X270" s="23"/>
      <c r="Y270" s="23"/>
      <c r="Z270" s="23"/>
      <c r="AA270" s="23"/>
      <c r="AB270" s="23"/>
      <c r="AC270" s="7"/>
      <c r="AD270" s="23"/>
      <c r="AE270" s="7"/>
      <c r="AF270" s="7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</row>
    <row r="271" spans="1:100" ht="12.75">
      <c r="A271" s="13"/>
      <c r="B271" s="7"/>
      <c r="C271" s="7"/>
      <c r="D271" s="7"/>
      <c r="E271" s="7"/>
      <c r="F271" s="7"/>
      <c r="G271" s="7"/>
      <c r="H271" s="214"/>
      <c r="I271" s="7"/>
      <c r="J271" s="7"/>
      <c r="K271" s="7"/>
      <c r="L271" s="7"/>
      <c r="M271" s="7"/>
      <c r="N271" s="7"/>
      <c r="O271" s="7"/>
      <c r="P271" s="7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7"/>
      <c r="AD271" s="23"/>
      <c r="AE271" s="7"/>
      <c r="AF271" s="7"/>
      <c r="AH271" s="6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</row>
    <row r="272" spans="1:100" ht="12.75">
      <c r="A272" s="13"/>
      <c r="B272" s="7"/>
      <c r="C272" s="7"/>
      <c r="D272" s="7"/>
      <c r="E272" s="7"/>
      <c r="F272" s="7"/>
      <c r="G272" s="7"/>
      <c r="H272" s="214"/>
      <c r="I272" s="7"/>
      <c r="J272" s="7"/>
      <c r="K272" s="7"/>
      <c r="L272" s="7"/>
      <c r="M272" s="7"/>
      <c r="N272" s="7"/>
      <c r="O272" s="7"/>
      <c r="P272" s="7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7"/>
      <c r="AD272" s="23"/>
      <c r="AE272" s="7"/>
      <c r="AF272" s="7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</row>
    <row r="273" spans="1:100" ht="12.75">
      <c r="A273" s="13"/>
      <c r="B273" s="7"/>
      <c r="C273" s="7"/>
      <c r="D273" s="7"/>
      <c r="E273" s="7"/>
      <c r="F273" s="7"/>
      <c r="G273" s="7"/>
      <c r="H273" s="214"/>
      <c r="I273" s="7"/>
      <c r="J273" s="7"/>
      <c r="K273" s="7"/>
      <c r="L273" s="7"/>
      <c r="M273" s="7"/>
      <c r="N273" s="7"/>
      <c r="O273" s="7"/>
      <c r="P273" s="7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7"/>
      <c r="AD273" s="23"/>
      <c r="AE273" s="7"/>
      <c r="AF273" s="7"/>
      <c r="AH273" s="6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</row>
    <row r="274" spans="1:100" ht="12.75">
      <c r="A274" s="13"/>
      <c r="B274" s="7"/>
      <c r="C274" s="7"/>
      <c r="D274" s="7"/>
      <c r="E274" s="7"/>
      <c r="F274" s="7"/>
      <c r="G274" s="7"/>
      <c r="H274" s="214"/>
      <c r="I274" s="7"/>
      <c r="J274" s="7"/>
      <c r="K274" s="7"/>
      <c r="L274" s="7"/>
      <c r="M274" s="7"/>
      <c r="N274" s="7"/>
      <c r="O274" s="7"/>
      <c r="P274" s="7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7"/>
      <c r="AD274" s="23"/>
      <c r="AE274" s="7"/>
      <c r="AF274" s="7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</row>
    <row r="275" spans="1:100" ht="12.75">
      <c r="A275" s="13"/>
      <c r="B275" s="7"/>
      <c r="C275" s="7"/>
      <c r="D275" s="7"/>
      <c r="E275" s="7"/>
      <c r="F275" s="7"/>
      <c r="G275" s="7"/>
      <c r="H275" s="214"/>
      <c r="I275" s="7"/>
      <c r="J275" s="7"/>
      <c r="K275" s="7"/>
      <c r="L275" s="7"/>
      <c r="M275" s="7"/>
      <c r="N275" s="7"/>
      <c r="O275" s="7"/>
      <c r="P275" s="7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7"/>
      <c r="AD275" s="23"/>
      <c r="AE275" s="7"/>
      <c r="AF275" s="7"/>
      <c r="AH275" s="6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</row>
    <row r="276" spans="1:100" ht="12.75">
      <c r="A276" s="13"/>
      <c r="B276" s="7"/>
      <c r="C276" s="7"/>
      <c r="D276" s="7"/>
      <c r="E276" s="7"/>
      <c r="F276" s="7"/>
      <c r="G276" s="7"/>
      <c r="H276" s="214"/>
      <c r="I276" s="7"/>
      <c r="J276" s="7"/>
      <c r="K276" s="7"/>
      <c r="L276" s="7"/>
      <c r="M276" s="7"/>
      <c r="N276" s="7"/>
      <c r="O276" s="7"/>
      <c r="P276" s="7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7"/>
      <c r="AD276" s="23"/>
      <c r="AE276" s="7"/>
      <c r="AF276" s="7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</row>
    <row r="277" spans="1:100" ht="12.75">
      <c r="A277" s="13"/>
      <c r="B277" s="7"/>
      <c r="C277" s="7"/>
      <c r="D277" s="7"/>
      <c r="E277" s="7"/>
      <c r="F277" s="7"/>
      <c r="G277" s="7"/>
      <c r="H277" s="214"/>
      <c r="I277" s="7"/>
      <c r="J277" s="7"/>
      <c r="K277" s="7"/>
      <c r="L277" s="7"/>
      <c r="M277" s="7"/>
      <c r="N277" s="7"/>
      <c r="O277" s="7"/>
      <c r="P277" s="7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7"/>
      <c r="AD277" s="23"/>
      <c r="AE277" s="7"/>
      <c r="AF277" s="7"/>
      <c r="AH277" s="6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</row>
    <row r="278" spans="1:100" ht="12.75" customHeight="1">
      <c r="A278" s="13"/>
      <c r="B278" s="7"/>
      <c r="C278" s="7"/>
      <c r="D278" s="7"/>
      <c r="E278" s="7"/>
      <c r="F278" s="7"/>
      <c r="G278" s="7"/>
      <c r="H278" s="214"/>
      <c r="I278" s="7"/>
      <c r="J278" s="7"/>
      <c r="K278" s="7"/>
      <c r="L278" s="7"/>
      <c r="M278" s="7"/>
      <c r="N278" s="7"/>
      <c r="O278" s="7"/>
      <c r="P278" s="7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7"/>
      <c r="AD278" s="23"/>
      <c r="AE278" s="7"/>
      <c r="AF278" s="7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</row>
    <row r="279" spans="1:100" ht="12.75">
      <c r="A279" s="13"/>
      <c r="B279" s="7"/>
      <c r="C279" s="7"/>
      <c r="D279" s="7"/>
      <c r="E279" s="7"/>
      <c r="F279" s="7"/>
      <c r="G279" s="7"/>
      <c r="H279" s="214"/>
      <c r="I279" s="7"/>
      <c r="J279" s="7"/>
      <c r="K279" s="7"/>
      <c r="L279" s="7"/>
      <c r="M279" s="7"/>
      <c r="N279" s="7"/>
      <c r="O279" s="7"/>
      <c r="P279" s="7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7"/>
      <c r="AD279" s="23"/>
      <c r="AE279" s="7"/>
      <c r="AF279" s="7"/>
      <c r="AH279" s="6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</row>
    <row r="280" spans="1:100" ht="12.75" customHeight="1">
      <c r="A280" s="13"/>
      <c r="B280" s="7"/>
      <c r="C280" s="7"/>
      <c r="D280" s="7"/>
      <c r="E280" s="7"/>
      <c r="F280" s="7"/>
      <c r="G280" s="7"/>
      <c r="H280" s="214"/>
      <c r="I280" s="7"/>
      <c r="J280" s="7"/>
      <c r="K280" s="7"/>
      <c r="L280" s="7"/>
      <c r="M280" s="7"/>
      <c r="N280" s="7"/>
      <c r="O280" s="7"/>
      <c r="P280" s="7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7"/>
      <c r="AD280" s="23"/>
      <c r="AE280" s="7"/>
      <c r="AF280" s="7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</row>
    <row r="281" spans="1:100" ht="12.75">
      <c r="A281" s="13"/>
      <c r="B281" s="7"/>
      <c r="C281" s="7"/>
      <c r="D281" s="7"/>
      <c r="E281" s="7"/>
      <c r="F281" s="7"/>
      <c r="G281" s="7"/>
      <c r="H281" s="214"/>
      <c r="I281" s="7"/>
      <c r="J281" s="7"/>
      <c r="K281" s="7"/>
      <c r="L281" s="7"/>
      <c r="M281" s="7"/>
      <c r="N281" s="7"/>
      <c r="O281" s="7"/>
      <c r="P281" s="7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7"/>
      <c r="AD281" s="23"/>
      <c r="AE281" s="7"/>
      <c r="AF281" s="7"/>
      <c r="AH281" s="6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</row>
    <row r="282" spans="1:100" ht="12.75" customHeight="1">
      <c r="A282" s="13"/>
      <c r="B282" s="7"/>
      <c r="C282" s="7"/>
      <c r="D282" s="7"/>
      <c r="E282" s="7"/>
      <c r="F282" s="7"/>
      <c r="G282" s="7"/>
      <c r="H282" s="214"/>
      <c r="I282" s="7"/>
      <c r="J282" s="7"/>
      <c r="K282" s="7"/>
      <c r="L282" s="7"/>
      <c r="M282" s="7"/>
      <c r="N282" s="7"/>
      <c r="O282" s="7"/>
      <c r="P282" s="7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7"/>
      <c r="AD282" s="23"/>
      <c r="AE282" s="7"/>
      <c r="AF282" s="7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</row>
  </sheetData>
  <sheetProtection/>
  <mergeCells count="15">
    <mergeCell ref="S156:T156"/>
    <mergeCell ref="S153:T153"/>
    <mergeCell ref="S154:T154"/>
    <mergeCell ref="S155:T155"/>
    <mergeCell ref="U152:U154"/>
    <mergeCell ref="Q147:S147"/>
    <mergeCell ref="V152:V154"/>
    <mergeCell ref="R145:S145"/>
    <mergeCell ref="V149:V150"/>
    <mergeCell ref="U155:U156"/>
    <mergeCell ref="V155:V156"/>
    <mergeCell ref="S149:T149"/>
    <mergeCell ref="S150:T150"/>
    <mergeCell ref="S152:T152"/>
    <mergeCell ref="U149:U151"/>
  </mergeCells>
  <printOptions horizontalCentered="1"/>
  <pageMargins left="0.5905511811023623" right="0.3937007874015748" top="0.2362204724409449" bottom="0.2362204724409449" header="0.15748031496062992" footer="0.15748031496062992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165"/>
  <sheetViews>
    <sheetView zoomScalePageLayoutView="0" workbookViewId="0" topLeftCell="A58">
      <selection activeCell="K170" sqref="K170"/>
    </sheetView>
  </sheetViews>
  <sheetFormatPr defaultColWidth="9.00390625" defaultRowHeight="12.75"/>
  <cols>
    <col min="1" max="1" width="0.6171875" style="147" customWidth="1"/>
    <col min="2" max="2" width="13.25390625" style="442" customWidth="1"/>
    <col min="3" max="3" width="4.75390625" style="147" customWidth="1"/>
    <col min="4" max="4" width="26.75390625" style="147" customWidth="1"/>
    <col min="5" max="5" width="18.75390625" style="147" customWidth="1"/>
    <col min="6" max="6" width="8.00390625" style="592" customWidth="1"/>
    <col min="7" max="7" width="6.875" style="592" customWidth="1"/>
    <col min="8" max="8" width="11.00390625" style="592" customWidth="1"/>
    <col min="9" max="9" width="10.75390625" style="592" customWidth="1"/>
    <col min="10" max="10" width="11.25390625" style="442" customWidth="1"/>
    <col min="11" max="11" width="9.125" style="442" customWidth="1"/>
    <col min="12" max="12" width="9.125" style="147" customWidth="1"/>
    <col min="13" max="13" width="12.625" style="147" customWidth="1"/>
    <col min="14" max="14" width="9.125" style="145" customWidth="1"/>
    <col min="15" max="15" width="11.375" style="147" bestFit="1" customWidth="1"/>
    <col min="16" max="19" width="9.125" style="147" customWidth="1"/>
    <col min="20" max="20" width="17.625" style="147" customWidth="1"/>
    <col min="21" max="16384" width="9.125" style="147" customWidth="1"/>
  </cols>
  <sheetData>
    <row r="1" spans="2:11" ht="20.25">
      <c r="B1" s="256" t="s">
        <v>426</v>
      </c>
      <c r="E1" s="591"/>
      <c r="F1" s="435"/>
      <c r="G1" s="435"/>
      <c r="H1" s="435"/>
      <c r="K1" s="593"/>
    </row>
    <row r="2" spans="2:23" ht="12.75">
      <c r="B2" s="443" t="s">
        <v>332</v>
      </c>
      <c r="C2" s="443" t="s">
        <v>333</v>
      </c>
      <c r="D2" s="594"/>
      <c r="E2" s="594"/>
      <c r="F2" s="595"/>
      <c r="G2" s="595"/>
      <c r="H2" s="595"/>
      <c r="I2" s="595"/>
      <c r="J2" s="596"/>
      <c r="K2" s="596"/>
      <c r="L2" s="594"/>
      <c r="M2" s="594"/>
      <c r="N2" s="597"/>
      <c r="O2" s="594"/>
      <c r="P2" s="594"/>
      <c r="Q2" s="594"/>
      <c r="R2" s="594"/>
      <c r="S2" s="594"/>
      <c r="T2" s="594"/>
      <c r="U2" s="594"/>
      <c r="V2" s="594"/>
      <c r="W2" s="594"/>
    </row>
    <row r="3" spans="2:23" s="145" customFormat="1" ht="12.75">
      <c r="B3" s="598"/>
      <c r="C3" s="599"/>
      <c r="D3" s="600"/>
      <c r="E3" s="600"/>
      <c r="F3" s="601"/>
      <c r="G3" s="601"/>
      <c r="H3" s="601"/>
      <c r="I3" s="601"/>
      <c r="J3" s="602"/>
      <c r="K3" s="602"/>
      <c r="L3" s="600"/>
      <c r="M3" s="600"/>
      <c r="N3" s="600"/>
      <c r="O3" s="600"/>
      <c r="P3" s="597"/>
      <c r="Q3" s="597"/>
      <c r="R3" s="597"/>
      <c r="S3" s="597"/>
      <c r="T3" s="597"/>
      <c r="U3" s="597"/>
      <c r="V3" s="597"/>
      <c r="W3" s="597"/>
    </row>
    <row r="4" spans="2:23" ht="12.75">
      <c r="B4" s="603" t="s">
        <v>427</v>
      </c>
      <c r="C4" s="597"/>
      <c r="D4" s="594" t="s">
        <v>428</v>
      </c>
      <c r="E4" s="597"/>
      <c r="F4" s="604"/>
      <c r="G4" s="604"/>
      <c r="H4" s="604" t="s">
        <v>429</v>
      </c>
      <c r="I4" s="604"/>
      <c r="J4" s="548"/>
      <c r="K4" s="548"/>
      <c r="L4" s="597"/>
      <c r="M4" s="594"/>
      <c r="N4" s="597"/>
      <c r="O4" s="594"/>
      <c r="P4" s="594"/>
      <c r="Q4" s="594"/>
      <c r="R4" s="594"/>
      <c r="S4" s="594"/>
      <c r="T4" s="594"/>
      <c r="U4" s="594"/>
      <c r="V4" s="594"/>
      <c r="W4" s="594"/>
    </row>
    <row r="5" spans="2:23" ht="12.75">
      <c r="B5" s="605"/>
      <c r="C5" s="597"/>
      <c r="D5" s="597"/>
      <c r="E5" s="597"/>
      <c r="F5" s="604"/>
      <c r="G5" s="604"/>
      <c r="H5" s="604"/>
      <c r="I5" s="604"/>
      <c r="J5" s="548"/>
      <c r="K5" s="548"/>
      <c r="L5" s="597"/>
      <c r="M5" s="594"/>
      <c r="N5" s="597"/>
      <c r="O5" s="594"/>
      <c r="P5" s="594"/>
      <c r="Q5" s="594"/>
      <c r="R5" s="594"/>
      <c r="S5" s="594"/>
      <c r="T5" s="594"/>
      <c r="U5" s="594"/>
      <c r="V5" s="594"/>
      <c r="W5" s="594"/>
    </row>
    <row r="6" spans="2:23" s="145" customFormat="1" ht="12.75">
      <c r="B6" s="459" t="s">
        <v>430</v>
      </c>
      <c r="C6" s="606"/>
      <c r="D6" s="607"/>
      <c r="E6" s="608" t="s">
        <v>101</v>
      </c>
      <c r="F6" s="609">
        <v>8.5</v>
      </c>
      <c r="G6" s="610" t="s">
        <v>9</v>
      </c>
      <c r="H6" s="261"/>
      <c r="I6" s="261"/>
      <c r="J6" s="436"/>
      <c r="K6" s="463"/>
      <c r="L6" s="611"/>
      <c r="M6" s="597"/>
      <c r="N6" s="597"/>
      <c r="O6" s="612"/>
      <c r="P6" s="606"/>
      <c r="Q6" s="607"/>
      <c r="R6" s="613"/>
      <c r="S6" s="614"/>
      <c r="T6" s="611"/>
      <c r="U6" s="597"/>
      <c r="V6" s="597"/>
      <c r="W6" s="597"/>
    </row>
    <row r="7" spans="2:23" s="145" customFormat="1" ht="12.75">
      <c r="B7" s="459" t="s">
        <v>431</v>
      </c>
      <c r="C7" s="606"/>
      <c r="D7" s="607"/>
      <c r="E7" s="608"/>
      <c r="F7" s="609"/>
      <c r="G7" s="610"/>
      <c r="H7" s="261"/>
      <c r="I7" s="261"/>
      <c r="J7" s="436"/>
      <c r="K7" s="463"/>
      <c r="L7" s="611"/>
      <c r="M7" s="597"/>
      <c r="N7" s="597"/>
      <c r="O7" s="612"/>
      <c r="P7" s="606"/>
      <c r="Q7" s="607"/>
      <c r="R7" s="613"/>
      <c r="S7" s="614"/>
      <c r="T7" s="611"/>
      <c r="U7" s="597"/>
      <c r="V7" s="597"/>
      <c r="W7" s="597"/>
    </row>
    <row r="8" spans="2:23" ht="14.25">
      <c r="B8" s="459"/>
      <c r="C8" s="577" t="s">
        <v>432</v>
      </c>
      <c r="D8" s="436"/>
      <c r="E8" s="608" t="s">
        <v>433</v>
      </c>
      <c r="F8" s="609">
        <f>7.5*3.65*0.5</f>
        <v>13.6875</v>
      </c>
      <c r="G8" s="610" t="s">
        <v>434</v>
      </c>
      <c r="H8" s="615">
        <f>7.5*3.65</f>
        <v>27.375</v>
      </c>
      <c r="I8" s="610" t="s">
        <v>435</v>
      </c>
      <c r="J8" s="464" t="s">
        <v>436</v>
      </c>
      <c r="K8" s="463"/>
      <c r="L8" s="436"/>
      <c r="M8" s="594"/>
      <c r="N8" s="597"/>
      <c r="O8" s="612"/>
      <c r="P8" s="606"/>
      <c r="Q8" s="607"/>
      <c r="R8" s="613"/>
      <c r="S8" s="614"/>
      <c r="T8" s="611"/>
      <c r="U8" s="594"/>
      <c r="V8" s="594"/>
      <c r="W8" s="594"/>
    </row>
    <row r="9" spans="2:23" ht="6" customHeight="1">
      <c r="B9" s="459"/>
      <c r="C9" s="577"/>
      <c r="D9" s="436"/>
      <c r="E9" s="608"/>
      <c r="F9" s="609"/>
      <c r="G9" s="610"/>
      <c r="H9" s="616"/>
      <c r="I9" s="617"/>
      <c r="J9" s="464"/>
      <c r="K9" s="463"/>
      <c r="L9" s="436"/>
      <c r="M9" s="594"/>
      <c r="N9" s="597"/>
      <c r="O9" s="612"/>
      <c r="P9" s="606"/>
      <c r="Q9" s="607"/>
      <c r="R9" s="613"/>
      <c r="S9" s="614"/>
      <c r="T9" s="611"/>
      <c r="U9" s="594"/>
      <c r="V9" s="594"/>
      <c r="W9" s="594"/>
    </row>
    <row r="10" spans="2:23" ht="13.5" customHeight="1">
      <c r="B10" s="459" t="s">
        <v>365</v>
      </c>
      <c r="C10" s="577" t="s">
        <v>366</v>
      </c>
      <c r="D10" s="436"/>
      <c r="E10" s="608"/>
      <c r="F10" s="609">
        <f>3.15*(5.6*0.66+3.4*0.5)+2*(1.46+3.45)/2*3.4+(4+2*(1.46+4.02))*0.4*0.3</f>
        <v>35.4866</v>
      </c>
      <c r="G10" s="610" t="s">
        <v>434</v>
      </c>
      <c r="H10" s="616"/>
      <c r="I10" s="617"/>
      <c r="J10" s="464" t="s">
        <v>437</v>
      </c>
      <c r="K10" s="463"/>
      <c r="L10" s="436"/>
      <c r="M10" s="594"/>
      <c r="N10" s="597"/>
      <c r="O10" s="612"/>
      <c r="P10" s="606"/>
      <c r="Q10" s="607"/>
      <c r="R10" s="613"/>
      <c r="S10" s="614"/>
      <c r="T10" s="611"/>
      <c r="U10" s="594"/>
      <c r="V10" s="594"/>
      <c r="W10" s="594"/>
    </row>
    <row r="11" spans="2:23" ht="13.5" customHeight="1">
      <c r="B11" s="459"/>
      <c r="C11" s="577" t="s">
        <v>367</v>
      </c>
      <c r="D11" s="436"/>
      <c r="E11" s="608"/>
      <c r="F11" s="609">
        <f>0.02*F10*7.85</f>
        <v>5.5713962</v>
      </c>
      <c r="G11" s="610" t="s">
        <v>368</v>
      </c>
      <c r="H11" s="618" t="s">
        <v>438</v>
      </c>
      <c r="I11" s="617"/>
      <c r="J11" s="464" t="s">
        <v>439</v>
      </c>
      <c r="K11" s="463"/>
      <c r="L11" s="436"/>
      <c r="M11" s="594"/>
      <c r="N11" s="597"/>
      <c r="O11" s="612"/>
      <c r="P11" s="606"/>
      <c r="Q11" s="607"/>
      <c r="R11" s="613"/>
      <c r="S11" s="614"/>
      <c r="T11" s="611"/>
      <c r="U11" s="594"/>
      <c r="V11" s="594"/>
      <c r="W11" s="594"/>
    </row>
    <row r="12" spans="2:23" ht="14.25">
      <c r="B12" s="459"/>
      <c r="C12" s="577" t="s">
        <v>369</v>
      </c>
      <c r="D12" s="436"/>
      <c r="E12" s="608" t="s">
        <v>73</v>
      </c>
      <c r="F12" s="609">
        <f>4.65*7.1*0.15</f>
        <v>4.95225</v>
      </c>
      <c r="G12" s="610" t="s">
        <v>434</v>
      </c>
      <c r="H12" s="615"/>
      <c r="I12" s="610"/>
      <c r="J12" s="464" t="s">
        <v>440</v>
      </c>
      <c r="K12" s="463"/>
      <c r="L12" s="436"/>
      <c r="M12" s="597"/>
      <c r="N12" s="597"/>
      <c r="O12" s="612"/>
      <c r="P12" s="606"/>
      <c r="Q12" s="607"/>
      <c r="R12" s="613"/>
      <c r="S12" s="614"/>
      <c r="T12" s="611"/>
      <c r="U12" s="594"/>
      <c r="V12" s="594"/>
      <c r="W12" s="594"/>
    </row>
    <row r="13" spans="2:23" ht="14.25">
      <c r="B13" s="459"/>
      <c r="C13" s="577" t="s">
        <v>370</v>
      </c>
      <c r="D13" s="436"/>
      <c r="E13" s="608" t="s">
        <v>87</v>
      </c>
      <c r="F13" s="609">
        <f>11.5*0.5</f>
        <v>5.75</v>
      </c>
      <c r="G13" s="610" t="s">
        <v>435</v>
      </c>
      <c r="H13" s="615"/>
      <c r="I13" s="610"/>
      <c r="J13" s="464" t="s">
        <v>441</v>
      </c>
      <c r="K13" s="463"/>
      <c r="L13" s="436"/>
      <c r="M13" s="597"/>
      <c r="N13" s="597"/>
      <c r="O13" s="612"/>
      <c r="P13" s="606"/>
      <c r="Q13" s="607"/>
      <c r="R13" s="613"/>
      <c r="S13" s="614"/>
      <c r="T13" s="611"/>
      <c r="U13" s="594"/>
      <c r="V13" s="594"/>
      <c r="W13" s="594"/>
    </row>
    <row r="14" spans="2:23" ht="14.25">
      <c r="B14" s="459"/>
      <c r="C14" s="577" t="s">
        <v>353</v>
      </c>
      <c r="D14" s="435"/>
      <c r="E14" s="619"/>
      <c r="F14" s="609">
        <f>2*3.15*4.06+2*(5.6*0.66+3.4*0.5)+4*(1.46+3.45)/2*3.4+2*(1.46+4.02)*0.8</f>
        <v>78.526</v>
      </c>
      <c r="G14" s="610" t="s">
        <v>435</v>
      </c>
      <c r="H14" s="615"/>
      <c r="I14" s="610"/>
      <c r="J14" s="464" t="s">
        <v>442</v>
      </c>
      <c r="K14" s="463"/>
      <c r="L14" s="436"/>
      <c r="M14" s="597"/>
      <c r="N14" s="597"/>
      <c r="O14" s="612"/>
      <c r="P14" s="606"/>
      <c r="Q14" s="607"/>
      <c r="R14" s="613"/>
      <c r="S14" s="614"/>
      <c r="T14" s="611"/>
      <c r="U14" s="594"/>
      <c r="V14" s="594"/>
      <c r="W14" s="594"/>
    </row>
    <row r="15" spans="2:23" ht="6" customHeight="1">
      <c r="B15" s="459"/>
      <c r="C15" s="577"/>
      <c r="D15" s="435"/>
      <c r="E15" s="619"/>
      <c r="F15" s="609"/>
      <c r="G15" s="610"/>
      <c r="H15" s="615"/>
      <c r="I15" s="610"/>
      <c r="J15" s="464"/>
      <c r="K15" s="463"/>
      <c r="L15" s="436"/>
      <c r="M15" s="597"/>
      <c r="N15" s="597"/>
      <c r="O15" s="612"/>
      <c r="P15" s="606"/>
      <c r="Q15" s="607"/>
      <c r="R15" s="613"/>
      <c r="S15" s="614"/>
      <c r="T15" s="611"/>
      <c r="U15" s="594"/>
      <c r="V15" s="594"/>
      <c r="W15" s="594"/>
    </row>
    <row r="16" spans="2:23" ht="14.25">
      <c r="B16" s="459" t="s">
        <v>371</v>
      </c>
      <c r="C16" s="577" t="s">
        <v>372</v>
      </c>
      <c r="D16" s="436"/>
      <c r="E16" s="608"/>
      <c r="F16" s="609">
        <f>3.15*3.4*0.5+1.85*1.2*0.4+(3.15+1.4+1.6)*2.375*0.5</f>
        <v>13.546125</v>
      </c>
      <c r="G16" s="610" t="s">
        <v>434</v>
      </c>
      <c r="H16" s="616"/>
      <c r="I16" s="617"/>
      <c r="J16" s="464" t="s">
        <v>443</v>
      </c>
      <c r="K16" s="463"/>
      <c r="L16" s="436"/>
      <c r="M16" s="597"/>
      <c r="N16" s="597"/>
      <c r="O16" s="612"/>
      <c r="P16" s="606"/>
      <c r="Q16" s="607"/>
      <c r="R16" s="613"/>
      <c r="S16" s="614"/>
      <c r="T16" s="611"/>
      <c r="U16" s="594"/>
      <c r="V16" s="594"/>
      <c r="W16" s="594"/>
    </row>
    <row r="17" spans="2:23" ht="12.75">
      <c r="B17" s="459"/>
      <c r="C17" s="577" t="s">
        <v>367</v>
      </c>
      <c r="D17" s="436"/>
      <c r="E17" s="608"/>
      <c r="F17" s="609">
        <f>0.02*F16*7.85</f>
        <v>2.126741625</v>
      </c>
      <c r="G17" s="610" t="s">
        <v>368</v>
      </c>
      <c r="H17" s="618" t="s">
        <v>438</v>
      </c>
      <c r="I17" s="261"/>
      <c r="J17" s="464" t="s">
        <v>444</v>
      </c>
      <c r="K17" s="463"/>
      <c r="L17" s="436"/>
      <c r="M17" s="594"/>
      <c r="N17" s="597"/>
      <c r="O17" s="612"/>
      <c r="P17" s="606"/>
      <c r="Q17" s="607"/>
      <c r="R17" s="613"/>
      <c r="S17" s="614"/>
      <c r="T17" s="611"/>
      <c r="U17" s="594"/>
      <c r="V17" s="594"/>
      <c r="W17" s="594"/>
    </row>
    <row r="18" spans="2:23" ht="14.25">
      <c r="B18" s="459"/>
      <c r="C18" s="577" t="s">
        <v>350</v>
      </c>
      <c r="D18" s="436"/>
      <c r="E18" s="608" t="s">
        <v>73</v>
      </c>
      <c r="F18" s="609">
        <f>4.45*4.75*0.15</f>
        <v>3.170625</v>
      </c>
      <c r="G18" s="610" t="s">
        <v>434</v>
      </c>
      <c r="H18" s="616"/>
      <c r="I18" s="617"/>
      <c r="J18" s="464" t="s">
        <v>445</v>
      </c>
      <c r="K18" s="463"/>
      <c r="L18" s="436"/>
      <c r="M18" s="594"/>
      <c r="N18" s="597"/>
      <c r="O18" s="612"/>
      <c r="P18" s="606"/>
      <c r="Q18" s="607"/>
      <c r="R18" s="613"/>
      <c r="S18" s="614"/>
      <c r="T18" s="611"/>
      <c r="U18" s="594"/>
      <c r="V18" s="594"/>
      <c r="W18" s="594"/>
    </row>
    <row r="19" spans="2:23" ht="14.25">
      <c r="B19" s="459"/>
      <c r="C19" s="577" t="s">
        <v>377</v>
      </c>
      <c r="D19" s="436"/>
      <c r="E19" s="608" t="s">
        <v>73</v>
      </c>
      <c r="F19" s="609">
        <f>1.85*1</f>
        <v>1.85</v>
      </c>
      <c r="G19" s="610" t="s">
        <v>435</v>
      </c>
      <c r="H19" s="615"/>
      <c r="I19" s="610"/>
      <c r="J19" s="464" t="s">
        <v>446</v>
      </c>
      <c r="K19" s="463"/>
      <c r="L19" s="436"/>
      <c r="M19" s="594"/>
      <c r="N19" s="597"/>
      <c r="O19" s="612"/>
      <c r="P19" s="606"/>
      <c r="Q19" s="607"/>
      <c r="R19" s="613"/>
      <c r="S19" s="614"/>
      <c r="T19" s="611"/>
      <c r="U19" s="594"/>
      <c r="V19" s="594"/>
      <c r="W19" s="594"/>
    </row>
    <row r="20" spans="2:23" ht="14.25">
      <c r="B20" s="459"/>
      <c r="C20" s="597" t="s">
        <v>378</v>
      </c>
      <c r="D20" s="597"/>
      <c r="E20" s="597"/>
      <c r="F20" s="620">
        <f>0.6*1.85</f>
        <v>1.11</v>
      </c>
      <c r="G20" s="610" t="s">
        <v>435</v>
      </c>
      <c r="H20" s="621"/>
      <c r="I20" s="604"/>
      <c r="J20" s="548" t="s">
        <v>447</v>
      </c>
      <c r="K20" s="548"/>
      <c r="L20" s="436"/>
      <c r="M20" s="594"/>
      <c r="N20" s="597"/>
      <c r="O20" s="612"/>
      <c r="P20" s="606"/>
      <c r="Q20" s="607"/>
      <c r="R20" s="613"/>
      <c r="S20" s="614"/>
      <c r="T20" s="611"/>
      <c r="U20" s="594"/>
      <c r="V20" s="594"/>
      <c r="W20" s="594"/>
    </row>
    <row r="21" spans="2:23" ht="14.25">
      <c r="B21" s="459"/>
      <c r="C21" s="597" t="s">
        <v>364</v>
      </c>
      <c r="D21" s="597"/>
      <c r="E21" s="608" t="s">
        <v>379</v>
      </c>
      <c r="F21" s="620">
        <f>0.6*1.85*0.35</f>
        <v>0.3885</v>
      </c>
      <c r="G21" s="610" t="s">
        <v>434</v>
      </c>
      <c r="H21" s="621"/>
      <c r="I21" s="604"/>
      <c r="J21" s="548" t="s">
        <v>448</v>
      </c>
      <c r="K21" s="548"/>
      <c r="L21" s="436"/>
      <c r="M21" s="594"/>
      <c r="N21" s="597"/>
      <c r="O21" s="612"/>
      <c r="P21" s="606"/>
      <c r="Q21" s="607"/>
      <c r="R21" s="613"/>
      <c r="S21" s="614"/>
      <c r="T21" s="611"/>
      <c r="U21" s="594"/>
      <c r="V21" s="594"/>
      <c r="W21" s="594"/>
    </row>
    <row r="22" spans="2:23" ht="14.25">
      <c r="B22" s="459"/>
      <c r="C22" s="597" t="s">
        <v>449</v>
      </c>
      <c r="D22" s="597"/>
      <c r="E22" s="608" t="s">
        <v>351</v>
      </c>
      <c r="F22" s="620">
        <f>0.6*1.85*0.1</f>
        <v>0.11100000000000002</v>
      </c>
      <c r="G22" s="610" t="s">
        <v>434</v>
      </c>
      <c r="H22" s="615">
        <f>0.6*1.85</f>
        <v>1.11</v>
      </c>
      <c r="I22" s="610" t="s">
        <v>435</v>
      </c>
      <c r="J22" s="548" t="s">
        <v>450</v>
      </c>
      <c r="K22" s="548"/>
      <c r="L22" s="436"/>
      <c r="M22" s="594"/>
      <c r="N22" s="597"/>
      <c r="O22" s="612"/>
      <c r="P22" s="606"/>
      <c r="Q22" s="607"/>
      <c r="R22" s="613"/>
      <c r="S22" s="614"/>
      <c r="T22" s="611"/>
      <c r="U22" s="594"/>
      <c r="V22" s="594"/>
      <c r="W22" s="594"/>
    </row>
    <row r="23" spans="2:23" s="145" customFormat="1" ht="14.25">
      <c r="B23" s="459"/>
      <c r="C23" s="577" t="s">
        <v>353</v>
      </c>
      <c r="D23" s="435"/>
      <c r="E23" s="619"/>
      <c r="F23" s="609">
        <f>2*(3.15+3.4)*0.5+2*1.85*1.2+(1.9+3.15+2.1+2*1+1.85+2*0.5+0.2)*2.375</f>
        <v>39.964999999999996</v>
      </c>
      <c r="G23" s="610" t="s">
        <v>435</v>
      </c>
      <c r="H23" s="615"/>
      <c r="I23" s="610"/>
      <c r="J23" s="464" t="s">
        <v>451</v>
      </c>
      <c r="K23" s="463"/>
      <c r="L23" s="436"/>
      <c r="M23" s="597"/>
      <c r="N23" s="597"/>
      <c r="O23" s="612"/>
      <c r="P23" s="606"/>
      <c r="Q23" s="607"/>
      <c r="R23" s="613"/>
      <c r="S23" s="614"/>
      <c r="T23" s="611"/>
      <c r="U23" s="597"/>
      <c r="V23" s="597"/>
      <c r="W23" s="597"/>
    </row>
    <row r="24" spans="2:23" ht="12.75">
      <c r="B24" s="459"/>
      <c r="C24" s="622" t="s">
        <v>383</v>
      </c>
      <c r="D24" s="435"/>
      <c r="E24" s="619"/>
      <c r="F24" s="623">
        <v>1</v>
      </c>
      <c r="G24" s="610" t="s">
        <v>107</v>
      </c>
      <c r="H24" s="615"/>
      <c r="I24" s="610"/>
      <c r="J24" s="464"/>
      <c r="K24" s="463"/>
      <c r="L24" s="436"/>
      <c r="M24" s="597"/>
      <c r="N24" s="597"/>
      <c r="O24" s="612"/>
      <c r="P24" s="606"/>
      <c r="Q24" s="607"/>
      <c r="R24" s="613"/>
      <c r="S24" s="614"/>
      <c r="T24" s="611"/>
      <c r="U24" s="594"/>
      <c r="V24" s="594"/>
      <c r="W24" s="594"/>
    </row>
    <row r="25" spans="2:23" ht="12.75">
      <c r="B25" s="459"/>
      <c r="C25" s="622" t="s">
        <v>385</v>
      </c>
      <c r="D25" s="435"/>
      <c r="E25" s="619" t="s">
        <v>101</v>
      </c>
      <c r="F25" s="609">
        <v>1.6</v>
      </c>
      <c r="G25" s="610" t="s">
        <v>9</v>
      </c>
      <c r="H25" s="615"/>
      <c r="I25" s="610"/>
      <c r="J25" s="464"/>
      <c r="K25" s="463"/>
      <c r="L25" s="436"/>
      <c r="M25" s="594"/>
      <c r="N25" s="597"/>
      <c r="O25" s="612"/>
      <c r="P25" s="606"/>
      <c r="Q25" s="607"/>
      <c r="R25" s="613"/>
      <c r="S25" s="614"/>
      <c r="T25" s="611"/>
      <c r="U25" s="594"/>
      <c r="V25" s="594"/>
      <c r="W25" s="594"/>
    </row>
    <row r="26" spans="2:23" s="145" customFormat="1" ht="6" customHeight="1">
      <c r="B26" s="459"/>
      <c r="C26" s="606"/>
      <c r="D26" s="435"/>
      <c r="E26" s="619"/>
      <c r="F26" s="609"/>
      <c r="G26" s="610"/>
      <c r="H26" s="616"/>
      <c r="I26" s="617"/>
      <c r="J26" s="462"/>
      <c r="K26" s="463"/>
      <c r="L26" s="611"/>
      <c r="M26" s="597"/>
      <c r="N26" s="597"/>
      <c r="O26" s="612"/>
      <c r="P26" s="606"/>
      <c r="Q26" s="607"/>
      <c r="R26" s="613"/>
      <c r="S26" s="614"/>
      <c r="T26" s="611"/>
      <c r="U26" s="597"/>
      <c r="V26" s="597"/>
      <c r="W26" s="597"/>
    </row>
    <row r="27" spans="2:23" ht="14.25">
      <c r="B27" s="624" t="s">
        <v>386</v>
      </c>
      <c r="C27" s="597" t="s">
        <v>378</v>
      </c>
      <c r="D27" s="597"/>
      <c r="E27" s="597"/>
      <c r="F27" s="620">
        <f>4*2.6+1.55*2.15+1.9*2.15</f>
        <v>17.8175</v>
      </c>
      <c r="G27" s="610" t="s">
        <v>435</v>
      </c>
      <c r="H27" s="621"/>
      <c r="I27" s="604"/>
      <c r="J27" s="548" t="s">
        <v>452</v>
      </c>
      <c r="K27" s="548"/>
      <c r="L27" s="548"/>
      <c r="M27" s="594"/>
      <c r="N27" s="597"/>
      <c r="O27" s="594"/>
      <c r="P27" s="594"/>
      <c r="Q27" s="594"/>
      <c r="R27" s="594"/>
      <c r="S27" s="594"/>
      <c r="T27" s="594"/>
      <c r="U27" s="594"/>
      <c r="V27" s="594"/>
      <c r="W27" s="594"/>
    </row>
    <row r="28" spans="2:23" ht="14.25">
      <c r="B28" s="624"/>
      <c r="C28" s="597" t="s">
        <v>364</v>
      </c>
      <c r="D28" s="597"/>
      <c r="E28" s="608" t="s">
        <v>379</v>
      </c>
      <c r="F28" s="620">
        <f>4*2.6*0.35</f>
        <v>3.6399999999999997</v>
      </c>
      <c r="G28" s="610" t="s">
        <v>434</v>
      </c>
      <c r="H28" s="621"/>
      <c r="I28" s="604"/>
      <c r="J28" s="548" t="s">
        <v>453</v>
      </c>
      <c r="K28" s="548"/>
      <c r="L28" s="548"/>
      <c r="M28" s="594"/>
      <c r="N28" s="597"/>
      <c r="O28" s="594"/>
      <c r="P28" s="594"/>
      <c r="Q28" s="594"/>
      <c r="R28" s="594"/>
      <c r="S28" s="594"/>
      <c r="T28" s="594"/>
      <c r="U28" s="594"/>
      <c r="V28" s="594"/>
      <c r="W28" s="594"/>
    </row>
    <row r="29" spans="2:23" ht="14.25">
      <c r="B29" s="624"/>
      <c r="C29" s="597"/>
      <c r="D29" s="597"/>
      <c r="E29" s="608" t="s">
        <v>387</v>
      </c>
      <c r="F29" s="620">
        <f>1.9*2.15*0.65</f>
        <v>2.65525</v>
      </c>
      <c r="G29" s="610" t="s">
        <v>434</v>
      </c>
      <c r="H29" s="621"/>
      <c r="I29" s="604"/>
      <c r="J29" s="548" t="s">
        <v>454</v>
      </c>
      <c r="K29" s="548"/>
      <c r="L29" s="548"/>
      <c r="M29" s="594"/>
      <c r="N29" s="597"/>
      <c r="O29" s="594"/>
      <c r="P29" s="594"/>
      <c r="Q29" s="594"/>
      <c r="R29" s="594"/>
      <c r="S29" s="594"/>
      <c r="T29" s="594"/>
      <c r="U29" s="594"/>
      <c r="V29" s="594"/>
      <c r="W29" s="594"/>
    </row>
    <row r="30" spans="2:23" ht="14.25">
      <c r="B30" s="624"/>
      <c r="C30" s="597"/>
      <c r="D30" s="597"/>
      <c r="E30" s="608" t="s">
        <v>388</v>
      </c>
      <c r="F30" s="620">
        <f>1.55*2.15*1.15</f>
        <v>3.832375</v>
      </c>
      <c r="G30" s="610" t="s">
        <v>434</v>
      </c>
      <c r="H30" s="621"/>
      <c r="I30" s="604"/>
      <c r="J30" s="548" t="s">
        <v>455</v>
      </c>
      <c r="K30" s="548"/>
      <c r="L30" s="548"/>
      <c r="M30" s="594"/>
      <c r="N30" s="597"/>
      <c r="O30" s="594"/>
      <c r="P30" s="594"/>
      <c r="Q30" s="594"/>
      <c r="R30" s="594"/>
      <c r="S30" s="594"/>
      <c r="T30" s="594"/>
      <c r="U30" s="594"/>
      <c r="V30" s="594"/>
      <c r="W30" s="594"/>
    </row>
    <row r="31" spans="2:23" ht="12.75">
      <c r="B31" s="624"/>
      <c r="C31" s="597" t="s">
        <v>449</v>
      </c>
      <c r="D31" s="597"/>
      <c r="E31" s="608" t="s">
        <v>351</v>
      </c>
      <c r="F31" s="620"/>
      <c r="G31" s="610"/>
      <c r="H31" s="615"/>
      <c r="I31" s="610"/>
      <c r="J31" s="548"/>
      <c r="K31" s="548"/>
      <c r="L31" s="548"/>
      <c r="M31" s="594"/>
      <c r="N31" s="597"/>
      <c r="O31" s="594"/>
      <c r="P31" s="594"/>
      <c r="Q31" s="594"/>
      <c r="R31" s="594"/>
      <c r="S31" s="594"/>
      <c r="T31" s="594"/>
      <c r="U31" s="594"/>
      <c r="V31" s="594"/>
      <c r="W31" s="594"/>
    </row>
    <row r="32" spans="2:23" ht="14.25">
      <c r="B32" s="624"/>
      <c r="C32" s="597"/>
      <c r="D32" s="597"/>
      <c r="E32" s="608" t="s">
        <v>390</v>
      </c>
      <c r="F32" s="620">
        <f>4*2.6*0.1</f>
        <v>1.04</v>
      </c>
      <c r="G32" s="610" t="s">
        <v>434</v>
      </c>
      <c r="H32" s="615">
        <f>4*2.6</f>
        <v>10.4</v>
      </c>
      <c r="I32" s="610" t="s">
        <v>435</v>
      </c>
      <c r="J32" s="548" t="s">
        <v>456</v>
      </c>
      <c r="K32" s="548"/>
      <c r="L32" s="548"/>
      <c r="M32" s="594"/>
      <c r="N32" s="597"/>
      <c r="O32" s="594"/>
      <c r="P32" s="594"/>
      <c r="Q32" s="594"/>
      <c r="R32" s="594"/>
      <c r="S32" s="594"/>
      <c r="T32" s="594"/>
      <c r="U32" s="594"/>
      <c r="V32" s="594"/>
      <c r="W32" s="594"/>
    </row>
    <row r="33" spans="2:23" ht="14.25">
      <c r="B33" s="624"/>
      <c r="C33" s="597"/>
      <c r="D33" s="597"/>
      <c r="E33" s="608" t="s">
        <v>391</v>
      </c>
      <c r="F33" s="620">
        <f>2.6*0.7*0.1</f>
        <v>0.182</v>
      </c>
      <c r="G33" s="610" t="s">
        <v>434</v>
      </c>
      <c r="H33" s="615">
        <f>2.6*0.7</f>
        <v>1.8199999999999998</v>
      </c>
      <c r="I33" s="610" t="s">
        <v>435</v>
      </c>
      <c r="J33" s="548" t="s">
        <v>457</v>
      </c>
      <c r="K33" s="548"/>
      <c r="L33" s="548"/>
      <c r="M33" s="594"/>
      <c r="N33" s="597"/>
      <c r="O33" s="594"/>
      <c r="P33" s="594"/>
      <c r="Q33" s="594"/>
      <c r="R33" s="594"/>
      <c r="S33" s="594"/>
      <c r="T33" s="594"/>
      <c r="U33" s="594"/>
      <c r="V33" s="594"/>
      <c r="W33" s="594"/>
    </row>
    <row r="34" spans="2:23" ht="14.25">
      <c r="B34" s="624"/>
      <c r="C34" s="577" t="s">
        <v>392</v>
      </c>
      <c r="D34" s="436"/>
      <c r="E34" s="608"/>
      <c r="F34" s="609">
        <f>2.5*0.5*1</f>
        <v>1.25</v>
      </c>
      <c r="G34" s="610" t="s">
        <v>434</v>
      </c>
      <c r="H34" s="616"/>
      <c r="I34" s="617"/>
      <c r="J34" s="464" t="s">
        <v>458</v>
      </c>
      <c r="K34" s="548"/>
      <c r="L34" s="548"/>
      <c r="M34" s="594"/>
      <c r="N34" s="597"/>
      <c r="O34" s="594"/>
      <c r="P34" s="594"/>
      <c r="Q34" s="594"/>
      <c r="R34" s="594"/>
      <c r="S34" s="594"/>
      <c r="T34" s="594"/>
      <c r="U34" s="594"/>
      <c r="V34" s="594"/>
      <c r="W34" s="594"/>
    </row>
    <row r="35" spans="2:23" s="145" customFormat="1" ht="14.25">
      <c r="B35" s="624"/>
      <c r="C35" s="577" t="s">
        <v>353</v>
      </c>
      <c r="D35" s="435"/>
      <c r="E35" s="619"/>
      <c r="F35" s="609">
        <f>2*(2.5+0.5)*1</f>
        <v>6</v>
      </c>
      <c r="G35" s="610" t="s">
        <v>435</v>
      </c>
      <c r="H35" s="615"/>
      <c r="I35" s="610"/>
      <c r="J35" s="464" t="s">
        <v>459</v>
      </c>
      <c r="K35" s="463"/>
      <c r="L35" s="436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</row>
    <row r="36" spans="2:23" s="145" customFormat="1" ht="6" customHeight="1">
      <c r="B36" s="624"/>
      <c r="C36" s="577"/>
      <c r="D36" s="435"/>
      <c r="E36" s="619"/>
      <c r="F36" s="609"/>
      <c r="G36" s="610"/>
      <c r="H36" s="615"/>
      <c r="I36" s="610"/>
      <c r="J36" s="464"/>
      <c r="K36" s="463"/>
      <c r="L36" s="436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</row>
    <row r="37" spans="2:23" ht="14.25">
      <c r="B37" s="624" t="s">
        <v>401</v>
      </c>
      <c r="C37" s="577" t="s">
        <v>402</v>
      </c>
      <c r="D37" s="435"/>
      <c r="E37" s="619"/>
      <c r="F37" s="609">
        <f>2.7*1*3.3</f>
        <v>8.91</v>
      </c>
      <c r="G37" s="610" t="s">
        <v>434</v>
      </c>
      <c r="H37" s="435"/>
      <c r="I37" s="617" t="s">
        <v>460</v>
      </c>
      <c r="J37" s="436" t="s">
        <v>461</v>
      </c>
      <c r="K37" s="463"/>
      <c r="L37" s="611"/>
      <c r="M37" s="594"/>
      <c r="N37" s="597"/>
      <c r="O37" s="594"/>
      <c r="P37" s="594"/>
      <c r="Q37" s="594"/>
      <c r="R37" s="594"/>
      <c r="S37" s="594"/>
      <c r="T37" s="594"/>
      <c r="U37" s="594"/>
      <c r="V37" s="594"/>
      <c r="W37" s="594"/>
    </row>
    <row r="38" spans="2:23" ht="14.25">
      <c r="B38" s="624"/>
      <c r="C38" s="577" t="s">
        <v>403</v>
      </c>
      <c r="D38" s="435"/>
      <c r="E38" s="619"/>
      <c r="F38" s="609">
        <f>3.3*2.3*2.4-2.6*0.8*1.7</f>
        <v>14.679999999999998</v>
      </c>
      <c r="G38" s="610" t="s">
        <v>434</v>
      </c>
      <c r="H38" s="435"/>
      <c r="I38" s="617" t="s">
        <v>460</v>
      </c>
      <c r="J38" s="436" t="s">
        <v>462</v>
      </c>
      <c r="K38" s="463"/>
      <c r="L38" s="611"/>
      <c r="M38" s="594"/>
      <c r="N38" s="597"/>
      <c r="O38" s="594"/>
      <c r="P38" s="594"/>
      <c r="Q38" s="594"/>
      <c r="R38" s="594"/>
      <c r="S38" s="594"/>
      <c r="T38" s="594"/>
      <c r="U38" s="594"/>
      <c r="V38" s="594"/>
      <c r="W38" s="594"/>
    </row>
    <row r="39" spans="2:23" ht="14.25">
      <c r="B39" s="624"/>
      <c r="C39" s="577" t="s">
        <v>463</v>
      </c>
      <c r="D39" s="435"/>
      <c r="E39" s="619"/>
      <c r="F39" s="609">
        <f>9.2*(1.4*1.4-0.8*0.8)</f>
        <v>12.143999999999995</v>
      </c>
      <c r="G39" s="610" t="s">
        <v>434</v>
      </c>
      <c r="H39" s="435"/>
      <c r="I39" s="617" t="s">
        <v>460</v>
      </c>
      <c r="J39" s="436" t="s">
        <v>464</v>
      </c>
      <c r="K39" s="463"/>
      <c r="L39" s="611"/>
      <c r="M39" s="597"/>
      <c r="N39" s="597"/>
      <c r="O39" s="594"/>
      <c r="P39" s="594"/>
      <c r="Q39" s="594"/>
      <c r="R39" s="594"/>
      <c r="S39" s="594"/>
      <c r="T39" s="594"/>
      <c r="U39" s="594"/>
      <c r="V39" s="594"/>
      <c r="W39" s="594"/>
    </row>
    <row r="40" spans="2:23" ht="14.25">
      <c r="B40" s="624"/>
      <c r="C40" s="577" t="s">
        <v>408</v>
      </c>
      <c r="D40" s="435"/>
      <c r="E40" s="619" t="s">
        <v>349</v>
      </c>
      <c r="F40" s="609">
        <f>2*(2.6+0.8)*1.7+2.6*0.8</f>
        <v>13.64</v>
      </c>
      <c r="G40" s="610" t="s">
        <v>435</v>
      </c>
      <c r="H40" s="435"/>
      <c r="I40" s="617" t="s">
        <v>460</v>
      </c>
      <c r="J40" s="436" t="s">
        <v>465</v>
      </c>
      <c r="K40" s="463"/>
      <c r="L40" s="611"/>
      <c r="M40" s="594"/>
      <c r="N40" s="597"/>
      <c r="O40" s="594"/>
      <c r="P40" s="594"/>
      <c r="Q40" s="594"/>
      <c r="R40" s="594"/>
      <c r="S40" s="594"/>
      <c r="T40" s="594"/>
      <c r="U40" s="594"/>
      <c r="V40" s="594"/>
      <c r="W40" s="594"/>
    </row>
    <row r="41" spans="2:23" ht="12.75">
      <c r="B41" s="624"/>
      <c r="C41" s="577" t="s">
        <v>466</v>
      </c>
      <c r="D41" s="435"/>
      <c r="E41" s="619" t="s">
        <v>467</v>
      </c>
      <c r="F41" s="609">
        <f>3+2+2</f>
        <v>7</v>
      </c>
      <c r="G41" s="610" t="s">
        <v>9</v>
      </c>
      <c r="H41" s="435"/>
      <c r="I41" s="261"/>
      <c r="J41" s="436" t="s">
        <v>468</v>
      </c>
      <c r="K41" s="463"/>
      <c r="L41" s="611"/>
      <c r="M41" s="594"/>
      <c r="N41" s="597"/>
      <c r="O41" s="594"/>
      <c r="P41" s="594"/>
      <c r="Q41" s="594"/>
      <c r="R41" s="594"/>
      <c r="S41" s="594"/>
      <c r="T41" s="594"/>
      <c r="U41" s="594"/>
      <c r="V41" s="594"/>
      <c r="W41" s="594"/>
    </row>
    <row r="42" spans="2:23" ht="6" customHeight="1">
      <c r="B42" s="624"/>
      <c r="C42" s="577"/>
      <c r="D42" s="435"/>
      <c r="E42" s="619"/>
      <c r="F42" s="609"/>
      <c r="G42" s="610"/>
      <c r="H42" s="435"/>
      <c r="I42" s="617"/>
      <c r="J42" s="436"/>
      <c r="K42" s="463"/>
      <c r="L42" s="611"/>
      <c r="M42" s="594"/>
      <c r="N42" s="597"/>
      <c r="O42" s="594"/>
      <c r="P42" s="594"/>
      <c r="Q42" s="594"/>
      <c r="R42" s="594"/>
      <c r="S42" s="594"/>
      <c r="T42" s="594"/>
      <c r="U42" s="594"/>
      <c r="V42" s="594"/>
      <c r="W42" s="594"/>
    </row>
    <row r="43" spans="2:23" ht="14.25">
      <c r="B43" s="624"/>
      <c r="C43" s="577" t="s">
        <v>411</v>
      </c>
      <c r="D43" s="435"/>
      <c r="E43" s="619"/>
      <c r="F43" s="609">
        <f>(8.5-3.45-3.9)*4.6*2.6</f>
        <v>13.753999999999998</v>
      </c>
      <c r="G43" s="610" t="s">
        <v>434</v>
      </c>
      <c r="H43" s="616"/>
      <c r="I43" s="617"/>
      <c r="J43" s="464" t="s">
        <v>469</v>
      </c>
      <c r="K43" s="463"/>
      <c r="L43" s="611"/>
      <c r="M43" s="594"/>
      <c r="N43" s="597"/>
      <c r="O43" s="594"/>
      <c r="P43" s="594"/>
      <c r="Q43" s="594"/>
      <c r="R43" s="594"/>
      <c r="S43" s="594"/>
      <c r="T43" s="594"/>
      <c r="U43" s="594"/>
      <c r="V43" s="594"/>
      <c r="W43" s="594"/>
    </row>
    <row r="44" spans="2:23" ht="14.25">
      <c r="B44" s="624"/>
      <c r="C44" s="577" t="s">
        <v>412</v>
      </c>
      <c r="D44" s="435"/>
      <c r="E44" s="619"/>
      <c r="F44" s="609">
        <f>6.05*5*3</f>
        <v>90.75</v>
      </c>
      <c r="G44" s="610" t="s">
        <v>434</v>
      </c>
      <c r="H44" s="616"/>
      <c r="I44" s="617"/>
      <c r="J44" s="436" t="s">
        <v>470</v>
      </c>
      <c r="K44" s="463"/>
      <c r="L44" s="611"/>
      <c r="M44" s="594"/>
      <c r="N44" s="597"/>
      <c r="O44" s="594"/>
      <c r="P44" s="594"/>
      <c r="Q44" s="594"/>
      <c r="R44" s="594"/>
      <c r="S44" s="594"/>
      <c r="T44" s="594"/>
      <c r="U44" s="594"/>
      <c r="V44" s="594"/>
      <c r="W44" s="594"/>
    </row>
    <row r="45" spans="2:23" ht="14.25">
      <c r="B45" s="624"/>
      <c r="C45" s="577" t="s">
        <v>413</v>
      </c>
      <c r="D45" s="435"/>
      <c r="E45" s="619"/>
      <c r="F45" s="609">
        <f>6.65*8.01*4</f>
        <v>213.066</v>
      </c>
      <c r="G45" s="610" t="s">
        <v>434</v>
      </c>
      <c r="H45" s="616"/>
      <c r="I45" s="617"/>
      <c r="J45" s="436" t="s">
        <v>471</v>
      </c>
      <c r="K45" s="463"/>
      <c r="L45" s="611"/>
      <c r="M45" s="594"/>
      <c r="N45" s="597"/>
      <c r="O45" s="594"/>
      <c r="P45" s="594"/>
      <c r="Q45" s="594"/>
      <c r="R45" s="594"/>
      <c r="S45" s="594"/>
      <c r="T45" s="594"/>
      <c r="U45" s="594"/>
      <c r="V45" s="594"/>
      <c r="W45" s="594"/>
    </row>
    <row r="46" spans="2:23" ht="14.25">
      <c r="B46" s="624"/>
      <c r="C46" s="577" t="s">
        <v>414</v>
      </c>
      <c r="D46" s="435"/>
      <c r="E46" s="619"/>
      <c r="F46" s="609">
        <f>3.1*1.1*1.1</f>
        <v>3.751000000000001</v>
      </c>
      <c r="G46" s="610" t="s">
        <v>434</v>
      </c>
      <c r="H46" s="616"/>
      <c r="I46" s="617"/>
      <c r="J46" s="464" t="s">
        <v>472</v>
      </c>
      <c r="K46" s="463"/>
      <c r="L46" s="611"/>
      <c r="M46" s="594"/>
      <c r="N46" s="597"/>
      <c r="O46" s="594"/>
      <c r="P46" s="594"/>
      <c r="Q46" s="594"/>
      <c r="R46" s="594"/>
      <c r="S46" s="594"/>
      <c r="T46" s="594"/>
      <c r="U46" s="594"/>
      <c r="V46" s="594"/>
      <c r="W46" s="594"/>
    </row>
    <row r="47" spans="2:23" ht="14.25">
      <c r="B47" s="624"/>
      <c r="C47" s="577" t="s">
        <v>416</v>
      </c>
      <c r="D47" s="597"/>
      <c r="E47" s="597"/>
      <c r="F47" s="620">
        <f>4*2.9*0.75</f>
        <v>8.7</v>
      </c>
      <c r="G47" s="610" t="s">
        <v>434</v>
      </c>
      <c r="H47" s="625"/>
      <c r="I47" s="604"/>
      <c r="J47" s="548" t="s">
        <v>473</v>
      </c>
      <c r="K47" s="548"/>
      <c r="L47" s="548"/>
      <c r="M47" s="594"/>
      <c r="N47" s="597"/>
      <c r="O47" s="594"/>
      <c r="P47" s="594"/>
      <c r="Q47" s="594"/>
      <c r="R47" s="594"/>
      <c r="S47" s="594"/>
      <c r="T47" s="594"/>
      <c r="U47" s="594"/>
      <c r="V47" s="594"/>
      <c r="W47" s="594"/>
    </row>
    <row r="48" spans="2:23" s="145" customFormat="1" ht="6" customHeight="1">
      <c r="B48" s="624"/>
      <c r="C48" s="577"/>
      <c r="D48" s="597"/>
      <c r="E48" s="597"/>
      <c r="F48" s="620"/>
      <c r="G48" s="610"/>
      <c r="H48" s="625"/>
      <c r="I48" s="604"/>
      <c r="J48" s="548"/>
      <c r="K48" s="548"/>
      <c r="L48" s="548"/>
      <c r="M48" s="597"/>
      <c r="N48" s="597"/>
      <c r="O48" s="597"/>
      <c r="P48" s="597"/>
      <c r="Q48" s="597"/>
      <c r="R48" s="597"/>
      <c r="S48" s="597"/>
      <c r="T48" s="597"/>
      <c r="U48" s="597"/>
      <c r="V48" s="597"/>
      <c r="W48" s="597"/>
    </row>
    <row r="49" spans="2:23" ht="14.25">
      <c r="B49" s="626"/>
      <c r="C49" s="627" t="s">
        <v>418</v>
      </c>
      <c r="D49" s="597"/>
      <c r="E49" s="597"/>
      <c r="F49" s="620">
        <f>(8.5-3.45-3.9)*(4.6*2.2-2.3)</f>
        <v>8.992999999999999</v>
      </c>
      <c r="G49" s="610" t="s">
        <v>434</v>
      </c>
      <c r="H49" s="625"/>
      <c r="I49" s="604"/>
      <c r="J49" s="464" t="s">
        <v>474</v>
      </c>
      <c r="K49" s="548"/>
      <c r="L49" s="548"/>
      <c r="M49" s="597"/>
      <c r="N49" s="597"/>
      <c r="O49" s="594"/>
      <c r="P49" s="594"/>
      <c r="Q49" s="594"/>
      <c r="R49" s="594"/>
      <c r="S49" s="594"/>
      <c r="T49" s="594"/>
      <c r="U49" s="594"/>
      <c r="V49" s="594"/>
      <c r="W49" s="594"/>
    </row>
    <row r="50" spans="2:23" ht="14.25">
      <c r="B50" s="626"/>
      <c r="C50" s="577" t="s">
        <v>419</v>
      </c>
      <c r="D50" s="577"/>
      <c r="E50" s="597"/>
      <c r="F50" s="620">
        <f>6.05*5*2.6-(3.15*3.4*0.5-3.15*1.9*1.85)-2.95*2.3</f>
        <v>77.58225</v>
      </c>
      <c r="G50" s="610" t="s">
        <v>434</v>
      </c>
      <c r="H50" s="625"/>
      <c r="I50" s="604"/>
      <c r="J50" s="436" t="s">
        <v>475</v>
      </c>
      <c r="K50" s="548"/>
      <c r="L50" s="548"/>
      <c r="M50" s="597"/>
      <c r="N50" s="597"/>
      <c r="O50" s="594"/>
      <c r="P50" s="594"/>
      <c r="Q50" s="594"/>
      <c r="R50" s="594"/>
      <c r="S50" s="594"/>
      <c r="T50" s="594"/>
      <c r="U50" s="594"/>
      <c r="V50" s="594"/>
      <c r="W50" s="594"/>
    </row>
    <row r="51" spans="2:23" ht="14.25">
      <c r="B51" s="626"/>
      <c r="C51" s="577" t="s">
        <v>420</v>
      </c>
      <c r="D51" s="577"/>
      <c r="E51" s="597"/>
      <c r="F51" s="620">
        <f>6.65*8.01*3.6-(3.15*(5.6*0.66+2.99*0.5)+2.15*(1.46+3.45)/2*2.49)</f>
        <v>162.2649075</v>
      </c>
      <c r="G51" s="610" t="s">
        <v>434</v>
      </c>
      <c r="H51" s="625"/>
      <c r="I51" s="604"/>
      <c r="J51" s="436" t="s">
        <v>476</v>
      </c>
      <c r="K51" s="548"/>
      <c r="L51" s="548"/>
      <c r="M51" s="597"/>
      <c r="N51" s="597"/>
      <c r="O51" s="594"/>
      <c r="P51" s="594"/>
      <c r="Q51" s="594"/>
      <c r="R51" s="594"/>
      <c r="S51" s="594"/>
      <c r="T51" s="594"/>
      <c r="U51" s="594"/>
      <c r="V51" s="594"/>
      <c r="W51" s="594"/>
    </row>
    <row r="52" spans="2:23" ht="14.25">
      <c r="B52" s="626"/>
      <c r="C52" s="577" t="s">
        <v>421</v>
      </c>
      <c r="D52" s="435"/>
      <c r="E52" s="597"/>
      <c r="F52" s="620">
        <f>3.1*1.1*1.1-2.5*0.5*1.1</f>
        <v>2.376000000000001</v>
      </c>
      <c r="G52" s="610" t="s">
        <v>434</v>
      </c>
      <c r="H52" s="625"/>
      <c r="I52" s="604"/>
      <c r="J52" s="464" t="s">
        <v>477</v>
      </c>
      <c r="K52" s="548"/>
      <c r="L52" s="548"/>
      <c r="M52" s="597"/>
      <c r="N52" s="597"/>
      <c r="O52" s="594"/>
      <c r="P52" s="594"/>
      <c r="Q52" s="594"/>
      <c r="R52" s="594"/>
      <c r="S52" s="594"/>
      <c r="T52" s="594"/>
      <c r="U52" s="594"/>
      <c r="V52" s="594"/>
      <c r="W52" s="594"/>
    </row>
    <row r="53" spans="2:23" ht="14.25">
      <c r="B53" s="626"/>
      <c r="C53" s="577" t="s">
        <v>478</v>
      </c>
      <c r="D53" s="577"/>
      <c r="E53" s="597"/>
      <c r="F53" s="620">
        <v>0</v>
      </c>
      <c r="G53" s="610" t="s">
        <v>434</v>
      </c>
      <c r="H53" s="625"/>
      <c r="I53" s="604"/>
      <c r="J53" s="548"/>
      <c r="K53" s="548"/>
      <c r="L53" s="548"/>
      <c r="M53" s="594"/>
      <c r="N53" s="597"/>
      <c r="O53" s="594"/>
      <c r="P53" s="594"/>
      <c r="Q53" s="594"/>
      <c r="R53" s="594"/>
      <c r="S53" s="594"/>
      <c r="T53" s="594"/>
      <c r="U53" s="594"/>
      <c r="V53" s="594"/>
      <c r="W53" s="594"/>
    </row>
    <row r="54" spans="2:23" s="145" customFormat="1" ht="6" customHeight="1">
      <c r="B54" s="626"/>
      <c r="C54" s="577"/>
      <c r="D54" s="577"/>
      <c r="E54" s="597"/>
      <c r="F54" s="620"/>
      <c r="G54" s="610"/>
      <c r="H54" s="625"/>
      <c r="I54" s="604"/>
      <c r="J54" s="548"/>
      <c r="K54" s="548"/>
      <c r="L54" s="548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</row>
    <row r="55" spans="2:23" s="145" customFormat="1" ht="14.25">
      <c r="B55" s="624" t="s">
        <v>423</v>
      </c>
      <c r="C55" s="577"/>
      <c r="D55" s="435"/>
      <c r="E55" s="619" t="s">
        <v>424</v>
      </c>
      <c r="F55" s="609">
        <f>7.5*3</f>
        <v>22.5</v>
      </c>
      <c r="G55" s="610" t="s">
        <v>435</v>
      </c>
      <c r="H55" s="616"/>
      <c r="I55" s="617"/>
      <c r="J55" s="464" t="s">
        <v>479</v>
      </c>
      <c r="K55" s="548"/>
      <c r="L55" s="548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</row>
    <row r="56" spans="2:23" s="145" customFormat="1" ht="6" customHeight="1">
      <c r="B56" s="624"/>
      <c r="C56" s="577"/>
      <c r="D56" s="435"/>
      <c r="E56" s="619"/>
      <c r="F56" s="609"/>
      <c r="G56" s="610"/>
      <c r="H56" s="616"/>
      <c r="I56" s="617"/>
      <c r="J56" s="464"/>
      <c r="K56" s="548"/>
      <c r="L56" s="548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</row>
    <row r="57" spans="2:23" ht="14.25">
      <c r="B57" s="624" t="s">
        <v>425</v>
      </c>
      <c r="C57" s="577"/>
      <c r="D57" s="435" t="s">
        <v>689</v>
      </c>
      <c r="E57" s="619"/>
      <c r="F57" s="609">
        <v>40</v>
      </c>
      <c r="G57" s="610" t="s">
        <v>435</v>
      </c>
      <c r="H57" s="616"/>
      <c r="I57" s="617"/>
      <c r="J57" s="442">
        <f>2*8*2.5</f>
        <v>40</v>
      </c>
      <c r="K57" s="548"/>
      <c r="L57" s="464" t="s">
        <v>480</v>
      </c>
      <c r="M57" s="597"/>
      <c r="N57" s="597"/>
      <c r="O57" s="594" t="s">
        <v>690</v>
      </c>
      <c r="P57" s="594"/>
      <c r="Q57" s="594"/>
      <c r="R57" s="594" t="s">
        <v>691</v>
      </c>
      <c r="S57" s="594" t="s">
        <v>692</v>
      </c>
      <c r="T57" s="594"/>
      <c r="U57" s="594"/>
      <c r="V57" s="594"/>
      <c r="W57" s="594"/>
    </row>
    <row r="59" spans="2:15" ht="12.75">
      <c r="B59" s="598"/>
      <c r="C59" s="599"/>
      <c r="D59" s="600"/>
      <c r="E59" s="600"/>
      <c r="F59" s="601"/>
      <c r="G59" s="601"/>
      <c r="H59" s="601"/>
      <c r="I59" s="601"/>
      <c r="J59" s="602"/>
      <c r="K59" s="602"/>
      <c r="L59" s="600"/>
      <c r="M59" s="600"/>
      <c r="N59" s="600"/>
      <c r="O59" s="600"/>
    </row>
    <row r="60" spans="2:15" ht="12.75">
      <c r="B60" s="603" t="s">
        <v>481</v>
      </c>
      <c r="C60" s="597"/>
      <c r="D60" s="594" t="s">
        <v>428</v>
      </c>
      <c r="E60" s="597"/>
      <c r="F60" s="604"/>
      <c r="G60" s="604"/>
      <c r="H60" s="604" t="s">
        <v>482</v>
      </c>
      <c r="I60" s="604"/>
      <c r="J60" s="548"/>
      <c r="K60" s="548"/>
      <c r="L60" s="597"/>
      <c r="M60" s="594"/>
      <c r="N60" s="597"/>
      <c r="O60" s="594"/>
    </row>
    <row r="62" spans="2:11" ht="12.75">
      <c r="B62" s="459" t="s">
        <v>483</v>
      </c>
      <c r="C62" s="606"/>
      <c r="D62" s="607"/>
      <c r="E62" s="608" t="s">
        <v>101</v>
      </c>
      <c r="F62" s="609">
        <v>16.3</v>
      </c>
      <c r="G62" s="610" t="s">
        <v>9</v>
      </c>
      <c r="H62" s="261">
        <v>7</v>
      </c>
      <c r="I62" s="261" t="s">
        <v>107</v>
      </c>
      <c r="J62" s="436"/>
      <c r="K62" s="463"/>
    </row>
    <row r="63" spans="2:11" ht="12.75">
      <c r="B63" s="459"/>
      <c r="C63" s="628" t="s">
        <v>340</v>
      </c>
      <c r="D63" s="463"/>
      <c r="E63" s="629"/>
      <c r="F63" s="630">
        <f>2*7</f>
        <v>14</v>
      </c>
      <c r="G63" s="631" t="s">
        <v>107</v>
      </c>
      <c r="H63" s="632"/>
      <c r="I63" s="633"/>
      <c r="J63" s="482" t="s">
        <v>484</v>
      </c>
      <c r="K63" s="463"/>
    </row>
    <row r="64" spans="2:11" ht="14.25">
      <c r="B64" s="459"/>
      <c r="C64" s="577" t="s">
        <v>341</v>
      </c>
      <c r="D64" s="436"/>
      <c r="E64" s="608" t="s">
        <v>342</v>
      </c>
      <c r="F64" s="634">
        <f>16.3*(1.2*1-3.14*0.4*0.4)</f>
        <v>11.370879999999998</v>
      </c>
      <c r="G64" s="610" t="s">
        <v>434</v>
      </c>
      <c r="H64" s="616"/>
      <c r="I64" s="617"/>
      <c r="J64" s="464" t="s">
        <v>485</v>
      </c>
      <c r="K64" s="463"/>
    </row>
    <row r="65" spans="2:11" ht="14.25">
      <c r="B65" s="459"/>
      <c r="C65" s="577" t="s">
        <v>344</v>
      </c>
      <c r="D65" s="436"/>
      <c r="E65" s="608" t="s">
        <v>345</v>
      </c>
      <c r="F65" s="609">
        <f>16.2*(2*0.95+1.1)</f>
        <v>48.599999999999994</v>
      </c>
      <c r="G65" s="610" t="s">
        <v>435</v>
      </c>
      <c r="H65" s="615">
        <f>F65*7.9</f>
        <v>383.94</v>
      </c>
      <c r="I65" s="261" t="s">
        <v>241</v>
      </c>
      <c r="J65" s="436" t="s">
        <v>486</v>
      </c>
      <c r="K65" s="464"/>
    </row>
    <row r="66" spans="2:11" ht="14.25">
      <c r="B66" s="459"/>
      <c r="C66" s="577"/>
      <c r="D66" s="436"/>
      <c r="E66" s="608" t="s">
        <v>347</v>
      </c>
      <c r="F66" s="609">
        <f>2*13.3*1.1</f>
        <v>29.260000000000005</v>
      </c>
      <c r="G66" s="610" t="s">
        <v>435</v>
      </c>
      <c r="H66" s="615">
        <f>F66*7.9</f>
        <v>231.15400000000005</v>
      </c>
      <c r="I66" s="261" t="s">
        <v>241</v>
      </c>
      <c r="J66" s="436" t="s">
        <v>487</v>
      </c>
      <c r="K66" s="464"/>
    </row>
    <row r="67" spans="2:11" ht="14.25">
      <c r="B67" s="459"/>
      <c r="C67" s="577" t="s">
        <v>348</v>
      </c>
      <c r="D67" s="436"/>
      <c r="E67" s="608" t="s">
        <v>349</v>
      </c>
      <c r="F67" s="609">
        <f>13.3*1.2*0.3</f>
        <v>4.788</v>
      </c>
      <c r="G67" s="610" t="s">
        <v>434</v>
      </c>
      <c r="H67" s="616"/>
      <c r="I67" s="617"/>
      <c r="J67" s="464" t="s">
        <v>488</v>
      </c>
      <c r="K67" s="463"/>
    </row>
    <row r="68" spans="2:11" ht="14.25">
      <c r="B68" s="459"/>
      <c r="C68" s="577" t="s">
        <v>350</v>
      </c>
      <c r="D68" s="436"/>
      <c r="E68" s="608" t="s">
        <v>351</v>
      </c>
      <c r="F68" s="609">
        <f>13.3*1.45*0.1</f>
        <v>1.9285</v>
      </c>
      <c r="G68" s="610" t="s">
        <v>434</v>
      </c>
      <c r="H68" s="616"/>
      <c r="I68" s="617"/>
      <c r="J68" s="464" t="s">
        <v>489</v>
      </c>
      <c r="K68" s="463"/>
    </row>
    <row r="69" spans="2:13" ht="14.25">
      <c r="B69" s="459"/>
      <c r="C69" s="577" t="s">
        <v>352</v>
      </c>
      <c r="D69" s="436"/>
      <c r="E69" s="608" t="s">
        <v>351</v>
      </c>
      <c r="F69" s="609">
        <f>13.3*1.65*0.1</f>
        <v>2.1945</v>
      </c>
      <c r="G69" s="610" t="s">
        <v>434</v>
      </c>
      <c r="H69" s="615">
        <f>12*1.65</f>
        <v>19.799999999999997</v>
      </c>
      <c r="I69" s="610" t="s">
        <v>435</v>
      </c>
      <c r="J69" s="464" t="s">
        <v>490</v>
      </c>
      <c r="K69" s="463"/>
      <c r="L69" s="145"/>
      <c r="M69" s="145"/>
    </row>
    <row r="70" spans="2:12" ht="14.25">
      <c r="B70" s="459"/>
      <c r="C70" s="577" t="s">
        <v>353</v>
      </c>
      <c r="D70" s="436"/>
      <c r="E70" s="608"/>
      <c r="F70" s="609">
        <f>2*(16.3*1.3+2*1.2*1.3)</f>
        <v>48.620000000000005</v>
      </c>
      <c r="G70" s="610" t="s">
        <v>435</v>
      </c>
      <c r="H70" s="615"/>
      <c r="I70" s="610"/>
      <c r="J70" s="464" t="s">
        <v>491</v>
      </c>
      <c r="K70" s="463"/>
      <c r="L70" s="145"/>
    </row>
    <row r="71" spans="2:12" ht="6" customHeight="1">
      <c r="B71" s="459"/>
      <c r="C71" s="577"/>
      <c r="D71" s="436"/>
      <c r="E71" s="608"/>
      <c r="F71" s="609"/>
      <c r="G71" s="610"/>
      <c r="H71" s="615"/>
      <c r="I71" s="610"/>
      <c r="J71" s="464"/>
      <c r="K71" s="463"/>
      <c r="L71" s="145"/>
    </row>
    <row r="72" spans="2:11" ht="14.25">
      <c r="B72" s="459" t="s">
        <v>361</v>
      </c>
      <c r="C72" s="577" t="s">
        <v>362</v>
      </c>
      <c r="D72" s="436"/>
      <c r="E72" s="608"/>
      <c r="F72" s="609">
        <f>2*2*1.5*0.8</f>
        <v>4.800000000000001</v>
      </c>
      <c r="G72" s="610" t="s">
        <v>434</v>
      </c>
      <c r="H72" s="616"/>
      <c r="I72" s="617"/>
      <c r="J72" s="464" t="s">
        <v>492</v>
      </c>
      <c r="K72" s="463"/>
    </row>
    <row r="73" spans="2:11" ht="14.25">
      <c r="B73" s="459"/>
      <c r="C73" s="577" t="s">
        <v>350</v>
      </c>
      <c r="D73" s="436"/>
      <c r="E73" s="608" t="s">
        <v>73</v>
      </c>
      <c r="F73" s="609">
        <f>2*2.6*2.1*0.15</f>
        <v>1.6380000000000001</v>
      </c>
      <c r="G73" s="610" t="s">
        <v>434</v>
      </c>
      <c r="H73" s="616"/>
      <c r="I73" s="617"/>
      <c r="J73" s="464" t="s">
        <v>493</v>
      </c>
      <c r="K73" s="463"/>
    </row>
    <row r="74" spans="2:12" ht="14.25">
      <c r="B74" s="459"/>
      <c r="C74" s="577" t="s">
        <v>352</v>
      </c>
      <c r="D74" s="436"/>
      <c r="E74" s="608" t="s">
        <v>351</v>
      </c>
      <c r="F74" s="609">
        <f>2*2.5*2*0.1</f>
        <v>1</v>
      </c>
      <c r="G74" s="610" t="s">
        <v>434</v>
      </c>
      <c r="H74" s="615">
        <f>2*2.5*2</f>
        <v>10</v>
      </c>
      <c r="I74" s="610" t="s">
        <v>435</v>
      </c>
      <c r="J74" s="464" t="s">
        <v>494</v>
      </c>
      <c r="K74" s="463"/>
      <c r="L74" s="145"/>
    </row>
    <row r="75" spans="2:12" ht="14.25">
      <c r="B75" s="459"/>
      <c r="C75" s="597" t="s">
        <v>363</v>
      </c>
      <c r="D75" s="597"/>
      <c r="E75" s="608" t="s">
        <v>342</v>
      </c>
      <c r="F75" s="620">
        <f>(5+4)*2</f>
        <v>18</v>
      </c>
      <c r="G75" s="610" t="s">
        <v>435</v>
      </c>
      <c r="H75" s="621"/>
      <c r="I75" s="604"/>
      <c r="J75" s="548" t="s">
        <v>495</v>
      </c>
      <c r="K75" s="463"/>
      <c r="L75" s="145"/>
    </row>
    <row r="76" spans="2:11" ht="14.25">
      <c r="B76" s="459"/>
      <c r="C76" s="597" t="s">
        <v>364</v>
      </c>
      <c r="D76" s="597"/>
      <c r="E76" s="608" t="s">
        <v>351</v>
      </c>
      <c r="F76" s="620">
        <f>(5+4)*2*0.1</f>
        <v>1.8</v>
      </c>
      <c r="G76" s="610" t="s">
        <v>434</v>
      </c>
      <c r="H76" s="621"/>
      <c r="I76" s="604"/>
      <c r="J76" s="548" t="s">
        <v>496</v>
      </c>
      <c r="K76" s="463"/>
    </row>
    <row r="77" spans="2:11" ht="14.25">
      <c r="B77" s="459"/>
      <c r="C77" s="577" t="s">
        <v>353</v>
      </c>
      <c r="D77" s="436"/>
      <c r="E77" s="608"/>
      <c r="F77" s="609">
        <f>2*2*(2*0.8+1.5*0.8)</f>
        <v>11.200000000000001</v>
      </c>
      <c r="G77" s="610" t="s">
        <v>435</v>
      </c>
      <c r="H77" s="616"/>
      <c r="I77" s="617"/>
      <c r="J77" s="464" t="s">
        <v>497</v>
      </c>
      <c r="K77" s="463"/>
    </row>
    <row r="78" spans="2:11" ht="6" customHeight="1">
      <c r="B78" s="459"/>
      <c r="C78" s="577"/>
      <c r="D78" s="436"/>
      <c r="E78" s="608"/>
      <c r="F78" s="609"/>
      <c r="G78" s="610"/>
      <c r="H78" s="261"/>
      <c r="I78" s="610"/>
      <c r="J78" s="464"/>
      <c r="K78" s="463"/>
    </row>
    <row r="79" spans="2:11" ht="14.25">
      <c r="B79" s="624" t="s">
        <v>395</v>
      </c>
      <c r="C79" s="597" t="s">
        <v>363</v>
      </c>
      <c r="D79" s="597"/>
      <c r="E79" s="608" t="s">
        <v>342</v>
      </c>
      <c r="F79" s="620">
        <f>2*2*1</f>
        <v>4</v>
      </c>
      <c r="G79" s="610" t="s">
        <v>435</v>
      </c>
      <c r="H79" s="621"/>
      <c r="I79" s="604"/>
      <c r="J79" s="548" t="s">
        <v>498</v>
      </c>
      <c r="K79" s="548"/>
    </row>
    <row r="80" spans="2:12" ht="14.25">
      <c r="B80" s="624"/>
      <c r="C80" s="597" t="s">
        <v>364</v>
      </c>
      <c r="D80" s="597"/>
      <c r="E80" s="608" t="s">
        <v>351</v>
      </c>
      <c r="F80" s="620">
        <f>2*2*1*0.1</f>
        <v>0.4</v>
      </c>
      <c r="G80" s="610" t="s">
        <v>434</v>
      </c>
      <c r="H80" s="621"/>
      <c r="I80" s="604"/>
      <c r="J80" s="548" t="s">
        <v>499</v>
      </c>
      <c r="K80" s="548"/>
      <c r="L80" s="145"/>
    </row>
    <row r="81" spans="2:11" ht="12.75">
      <c r="B81" s="624"/>
      <c r="C81" s="597" t="s">
        <v>449</v>
      </c>
      <c r="D81" s="597"/>
      <c r="E81" s="608" t="s">
        <v>351</v>
      </c>
      <c r="F81" s="620"/>
      <c r="G81" s="610"/>
      <c r="H81" s="620"/>
      <c r="I81" s="610"/>
      <c r="J81" s="548"/>
      <c r="K81" s="548"/>
    </row>
    <row r="82" spans="2:11" ht="14.25">
      <c r="B82" s="624"/>
      <c r="C82" s="597"/>
      <c r="D82" s="597"/>
      <c r="E82" s="608" t="s">
        <v>397</v>
      </c>
      <c r="F82" s="620">
        <f>2*2*1*0.1</f>
        <v>0.4</v>
      </c>
      <c r="G82" s="610" t="s">
        <v>434</v>
      </c>
      <c r="H82" s="620">
        <f>2*2*1</f>
        <v>4</v>
      </c>
      <c r="I82" s="610" t="s">
        <v>435</v>
      </c>
      <c r="J82" s="548" t="s">
        <v>499</v>
      </c>
      <c r="K82" s="548"/>
    </row>
    <row r="83" spans="2:11" ht="14.25">
      <c r="B83" s="624"/>
      <c r="C83" s="597"/>
      <c r="D83" s="597"/>
      <c r="E83" s="608" t="s">
        <v>399</v>
      </c>
      <c r="F83" s="620">
        <f>2*1*0.4*0.1</f>
        <v>0.08000000000000002</v>
      </c>
      <c r="G83" s="610" t="s">
        <v>434</v>
      </c>
      <c r="H83" s="620">
        <f>2*1*0.4</f>
        <v>0.8</v>
      </c>
      <c r="I83" s="610" t="s">
        <v>435</v>
      </c>
      <c r="J83" s="548" t="s">
        <v>500</v>
      </c>
      <c r="K83" s="548"/>
    </row>
    <row r="84" spans="2:11" ht="14.25">
      <c r="B84" s="624"/>
      <c r="C84" s="577" t="s">
        <v>400</v>
      </c>
      <c r="D84" s="436"/>
      <c r="E84" s="608"/>
      <c r="F84" s="609">
        <f>2*1*0.4*0.6</f>
        <v>0.48</v>
      </c>
      <c r="G84" s="610" t="s">
        <v>434</v>
      </c>
      <c r="H84" s="616"/>
      <c r="I84" s="617"/>
      <c r="J84" s="464" t="s">
        <v>501</v>
      </c>
      <c r="K84" s="548"/>
    </row>
    <row r="85" spans="2:11" ht="6" customHeight="1">
      <c r="B85" s="624"/>
      <c r="C85" s="577"/>
      <c r="D85" s="436"/>
      <c r="E85" s="608"/>
      <c r="F85" s="609"/>
      <c r="G85" s="610"/>
      <c r="H85" s="616"/>
      <c r="I85" s="617"/>
      <c r="J85" s="464"/>
      <c r="K85" s="548"/>
    </row>
    <row r="86" spans="2:12" ht="14.25">
      <c r="B86" s="624" t="s">
        <v>401</v>
      </c>
      <c r="C86" s="577" t="s">
        <v>402</v>
      </c>
      <c r="D86" s="435"/>
      <c r="E86" s="619"/>
      <c r="F86" s="609">
        <f>1.5*0.7*1.5+1*0.7*1.6</f>
        <v>2.6949999999999994</v>
      </c>
      <c r="G86" s="610" t="s">
        <v>434</v>
      </c>
      <c r="H86" s="435"/>
      <c r="I86" s="617" t="s">
        <v>460</v>
      </c>
      <c r="J86" s="436" t="s">
        <v>502</v>
      </c>
      <c r="K86" s="463"/>
      <c r="L86" s="145"/>
    </row>
    <row r="87" spans="2:11" ht="12.75">
      <c r="B87" s="624"/>
      <c r="C87" s="577" t="s">
        <v>503</v>
      </c>
      <c r="D87" s="435"/>
      <c r="E87" s="619"/>
      <c r="F87" s="609">
        <v>10.2</v>
      </c>
      <c r="G87" s="610" t="s">
        <v>9</v>
      </c>
      <c r="H87" s="435"/>
      <c r="I87" s="617" t="s">
        <v>460</v>
      </c>
      <c r="J87" s="436"/>
      <c r="K87" s="463"/>
    </row>
    <row r="88" spans="2:11" s="145" customFormat="1" ht="6" customHeight="1">
      <c r="B88" s="624"/>
      <c r="C88" s="577"/>
      <c r="D88" s="435"/>
      <c r="E88" s="619"/>
      <c r="F88" s="609"/>
      <c r="G88" s="610"/>
      <c r="H88" s="435"/>
      <c r="I88" s="617"/>
      <c r="J88" s="436"/>
      <c r="K88" s="463"/>
    </row>
    <row r="89" spans="2:11" ht="14.25">
      <c r="B89" s="624"/>
      <c r="C89" s="577" t="s">
        <v>411</v>
      </c>
      <c r="D89" s="435"/>
      <c r="E89" s="619"/>
      <c r="F89" s="609">
        <f>16.3*2.4*2.25</f>
        <v>88.02</v>
      </c>
      <c r="G89" s="610" t="s">
        <v>434</v>
      </c>
      <c r="H89" s="616"/>
      <c r="I89" s="617"/>
      <c r="J89" s="464" t="s">
        <v>504</v>
      </c>
      <c r="K89" s="463"/>
    </row>
    <row r="90" spans="2:11" ht="14.25">
      <c r="B90" s="624"/>
      <c r="C90" s="577" t="s">
        <v>415</v>
      </c>
      <c r="D90" s="435"/>
      <c r="E90" s="619"/>
      <c r="F90" s="609">
        <f>2*2.9*2.4*0.8</f>
        <v>11.136000000000001</v>
      </c>
      <c r="G90" s="610" t="s">
        <v>434</v>
      </c>
      <c r="H90" s="616"/>
      <c r="I90" s="617"/>
      <c r="J90" s="436" t="s">
        <v>505</v>
      </c>
      <c r="K90" s="463"/>
    </row>
    <row r="91" spans="2:11" ht="14.25">
      <c r="B91" s="624"/>
      <c r="C91" s="577" t="s">
        <v>417</v>
      </c>
      <c r="D91" s="597"/>
      <c r="E91" s="597"/>
      <c r="F91" s="620">
        <f>2*2*1*0.4</f>
        <v>1.6</v>
      </c>
      <c r="G91" s="610" t="s">
        <v>434</v>
      </c>
      <c r="H91" s="625"/>
      <c r="I91" s="604"/>
      <c r="J91" s="548" t="s">
        <v>506</v>
      </c>
      <c r="K91" s="548"/>
    </row>
    <row r="92" spans="2:11" ht="6" customHeight="1">
      <c r="B92" s="624"/>
      <c r="C92" s="577"/>
      <c r="D92" s="597"/>
      <c r="E92" s="597"/>
      <c r="F92" s="620"/>
      <c r="G92" s="610"/>
      <c r="H92" s="625"/>
      <c r="I92" s="604"/>
      <c r="J92" s="548"/>
      <c r="K92" s="548"/>
    </row>
    <row r="93" spans="2:11" s="145" customFormat="1" ht="14.25">
      <c r="B93" s="626"/>
      <c r="C93" s="404" t="s">
        <v>418</v>
      </c>
      <c r="D93" s="597"/>
      <c r="E93" s="597"/>
      <c r="F93" s="620">
        <f>16.3*(2.4*1.8-1.2*1.5)</f>
        <v>41.07600000000001</v>
      </c>
      <c r="G93" s="610" t="s">
        <v>434</v>
      </c>
      <c r="H93" s="625"/>
      <c r="I93" s="604"/>
      <c r="J93" s="464" t="s">
        <v>507</v>
      </c>
      <c r="K93" s="548"/>
    </row>
    <row r="94" spans="2:11" ht="14.25">
      <c r="B94" s="626"/>
      <c r="C94" s="577" t="s">
        <v>422</v>
      </c>
      <c r="D94" s="577"/>
      <c r="E94" s="597"/>
      <c r="F94" s="620">
        <f>2*(2.9*2.4*0.8-2*1.5*0.8)</f>
        <v>6.336</v>
      </c>
      <c r="G94" s="610" t="s">
        <v>434</v>
      </c>
      <c r="H94" s="625"/>
      <c r="I94" s="604"/>
      <c r="J94" s="436" t="s">
        <v>508</v>
      </c>
      <c r="K94" s="548"/>
    </row>
    <row r="95" spans="2:11" ht="6" customHeight="1">
      <c r="B95" s="626"/>
      <c r="C95" s="577"/>
      <c r="D95" s="577"/>
      <c r="E95" s="597"/>
      <c r="F95" s="620"/>
      <c r="G95" s="610"/>
      <c r="H95" s="625"/>
      <c r="I95" s="604"/>
      <c r="J95" s="436"/>
      <c r="K95" s="548"/>
    </row>
    <row r="96" spans="2:11" ht="14.25">
      <c r="B96" s="624" t="s">
        <v>423</v>
      </c>
      <c r="C96" s="577"/>
      <c r="D96" s="435"/>
      <c r="E96" s="619" t="s">
        <v>424</v>
      </c>
      <c r="F96" s="609">
        <f>8.02*3</f>
        <v>24.06</v>
      </c>
      <c r="G96" s="610" t="s">
        <v>435</v>
      </c>
      <c r="H96" s="616"/>
      <c r="I96" s="617"/>
      <c r="J96" s="464" t="s">
        <v>509</v>
      </c>
      <c r="K96" s="548"/>
    </row>
    <row r="97" spans="2:11" ht="6" customHeight="1">
      <c r="B97" s="624"/>
      <c r="C97" s="577"/>
      <c r="D97" s="435"/>
      <c r="E97" s="619"/>
      <c r="F97" s="609"/>
      <c r="G97" s="610"/>
      <c r="H97" s="616"/>
      <c r="I97" s="617"/>
      <c r="J97" s="464"/>
      <c r="K97" s="548"/>
    </row>
    <row r="98" spans="2:12" ht="14.25">
      <c r="B98" s="624" t="s">
        <v>425</v>
      </c>
      <c r="C98" s="577"/>
      <c r="D98" s="435"/>
      <c r="E98" s="619"/>
      <c r="F98" s="609">
        <v>40</v>
      </c>
      <c r="G98" s="610" t="s">
        <v>435</v>
      </c>
      <c r="H98" s="616"/>
      <c r="I98" s="617"/>
      <c r="J98" s="464" t="s">
        <v>510</v>
      </c>
      <c r="K98" s="548"/>
      <c r="L98" s="145"/>
    </row>
    <row r="100" spans="2:13" ht="12.75">
      <c r="B100" s="598"/>
      <c r="C100" s="599"/>
      <c r="D100" s="600"/>
      <c r="E100" s="600"/>
      <c r="F100" s="601"/>
      <c r="G100" s="601"/>
      <c r="H100" s="601"/>
      <c r="I100" s="601"/>
      <c r="J100" s="602"/>
      <c r="K100" s="602"/>
      <c r="L100" s="600"/>
      <c r="M100" s="600"/>
    </row>
    <row r="101" spans="2:13" ht="12.75">
      <c r="B101" s="603" t="s">
        <v>511</v>
      </c>
      <c r="C101" s="597"/>
      <c r="D101" s="594" t="s">
        <v>512</v>
      </c>
      <c r="E101" s="597"/>
      <c r="F101" s="604"/>
      <c r="G101" s="604"/>
      <c r="H101" s="604" t="s">
        <v>513</v>
      </c>
      <c r="I101" s="604"/>
      <c r="J101" s="548"/>
      <c r="K101" s="548"/>
      <c r="L101" s="597"/>
      <c r="M101" s="594"/>
    </row>
    <row r="103" spans="2:11" ht="14.25">
      <c r="B103" s="459" t="s">
        <v>361</v>
      </c>
      <c r="C103" s="597" t="s">
        <v>363</v>
      </c>
      <c r="D103" s="597"/>
      <c r="E103" s="608" t="s">
        <v>342</v>
      </c>
      <c r="F103" s="620">
        <f>3.7*2</f>
        <v>7.4</v>
      </c>
      <c r="G103" s="610" t="s">
        <v>435</v>
      </c>
      <c r="H103" s="621"/>
      <c r="I103" s="604"/>
      <c r="J103" s="548" t="s">
        <v>514</v>
      </c>
      <c r="K103" s="463"/>
    </row>
    <row r="104" spans="2:11" ht="14.25">
      <c r="B104" s="459"/>
      <c r="C104" s="597" t="s">
        <v>364</v>
      </c>
      <c r="D104" s="597"/>
      <c r="E104" s="608" t="s">
        <v>351</v>
      </c>
      <c r="F104" s="620">
        <f>3.7*2*0.1</f>
        <v>0.7400000000000001</v>
      </c>
      <c r="G104" s="610" t="s">
        <v>434</v>
      </c>
      <c r="H104" s="621"/>
      <c r="I104" s="604"/>
      <c r="J104" s="548" t="s">
        <v>515</v>
      </c>
      <c r="K104" s="463"/>
    </row>
    <row r="105" spans="2:11" ht="6" customHeight="1">
      <c r="B105" s="459"/>
      <c r="C105" s="577"/>
      <c r="D105" s="436"/>
      <c r="E105" s="608"/>
      <c r="F105" s="609"/>
      <c r="G105" s="610"/>
      <c r="H105" s="261"/>
      <c r="I105" s="610"/>
      <c r="J105" s="464"/>
      <c r="K105" s="463"/>
    </row>
    <row r="106" spans="2:12" ht="14.25">
      <c r="B106" s="624" t="s">
        <v>401</v>
      </c>
      <c r="C106" s="577" t="s">
        <v>402</v>
      </c>
      <c r="D106" s="435"/>
      <c r="E106" s="619"/>
      <c r="F106" s="609">
        <f>2*0.7*0.9</f>
        <v>1.26</v>
      </c>
      <c r="G106" s="610" t="s">
        <v>434</v>
      </c>
      <c r="H106" s="435"/>
      <c r="I106" s="617" t="s">
        <v>460</v>
      </c>
      <c r="J106" s="436" t="s">
        <v>516</v>
      </c>
      <c r="K106" s="463"/>
      <c r="L106" s="145"/>
    </row>
    <row r="107" spans="2:11" ht="12.75">
      <c r="B107" s="624"/>
      <c r="C107" s="577" t="s">
        <v>517</v>
      </c>
      <c r="D107" s="435"/>
      <c r="E107" s="619" t="s">
        <v>101</v>
      </c>
      <c r="F107" s="609">
        <v>1</v>
      </c>
      <c r="G107" s="610" t="s">
        <v>9</v>
      </c>
      <c r="H107" s="435"/>
      <c r="I107" s="617" t="s">
        <v>460</v>
      </c>
      <c r="J107" s="436"/>
      <c r="K107" s="463"/>
    </row>
    <row r="108" spans="2:13" ht="6" customHeight="1">
      <c r="B108" s="624"/>
      <c r="C108" s="577"/>
      <c r="D108" s="435"/>
      <c r="E108" s="619"/>
      <c r="F108" s="609"/>
      <c r="G108" s="610"/>
      <c r="H108" s="435"/>
      <c r="I108" s="617"/>
      <c r="J108" s="436"/>
      <c r="K108" s="463"/>
      <c r="L108" s="145"/>
      <c r="M108" s="145"/>
    </row>
    <row r="109" spans="2:11" s="145" customFormat="1" ht="14.25">
      <c r="B109" s="624"/>
      <c r="C109" s="577" t="s">
        <v>417</v>
      </c>
      <c r="D109" s="597"/>
      <c r="E109" s="597"/>
      <c r="F109" s="620">
        <f>3.7*2*0.4</f>
        <v>2.9600000000000004</v>
      </c>
      <c r="G109" s="610" t="s">
        <v>434</v>
      </c>
      <c r="H109" s="625"/>
      <c r="I109" s="604"/>
      <c r="J109" s="548" t="s">
        <v>518</v>
      </c>
      <c r="K109" s="548"/>
    </row>
    <row r="110" spans="2:11" s="145" customFormat="1" ht="12.75">
      <c r="B110" s="624"/>
      <c r="C110" s="577"/>
      <c r="D110" s="597"/>
      <c r="E110" s="597"/>
      <c r="F110" s="620"/>
      <c r="G110" s="610"/>
      <c r="H110" s="625"/>
      <c r="I110" s="604"/>
      <c r="J110" s="548"/>
      <c r="K110" s="548"/>
    </row>
    <row r="111" spans="2:13" ht="12.75">
      <c r="B111" s="598"/>
      <c r="C111" s="599"/>
      <c r="D111" s="600"/>
      <c r="E111" s="600"/>
      <c r="F111" s="601"/>
      <c r="G111" s="601"/>
      <c r="H111" s="601"/>
      <c r="I111" s="601"/>
      <c r="J111" s="602"/>
      <c r="K111" s="602"/>
      <c r="L111" s="600"/>
      <c r="M111" s="600"/>
    </row>
    <row r="112" spans="2:13" ht="12.75">
      <c r="B112" s="603" t="s">
        <v>519</v>
      </c>
      <c r="C112" s="597"/>
      <c r="D112" s="594" t="s">
        <v>428</v>
      </c>
      <c r="E112" s="597"/>
      <c r="F112" s="604"/>
      <c r="G112" s="604"/>
      <c r="H112" s="604" t="s">
        <v>520</v>
      </c>
      <c r="I112" s="604"/>
      <c r="J112" s="548"/>
      <c r="K112" s="548"/>
      <c r="L112" s="597"/>
      <c r="M112" s="594"/>
    </row>
    <row r="114" spans="2:12" ht="12.75">
      <c r="B114" s="459" t="s">
        <v>483</v>
      </c>
      <c r="C114" s="606"/>
      <c r="D114" s="607"/>
      <c r="E114" s="608" t="s">
        <v>101</v>
      </c>
      <c r="F114" s="609">
        <v>10.95</v>
      </c>
      <c r="G114" s="610" t="s">
        <v>9</v>
      </c>
      <c r="H114" s="261">
        <v>5</v>
      </c>
      <c r="I114" s="261" t="s">
        <v>107</v>
      </c>
      <c r="J114" s="436"/>
      <c r="K114" s="463"/>
      <c r="L114" s="611"/>
    </row>
    <row r="115" spans="2:12" ht="12.75">
      <c r="B115" s="459"/>
      <c r="C115" s="628" t="s">
        <v>340</v>
      </c>
      <c r="D115" s="463"/>
      <c r="E115" s="629"/>
      <c r="F115" s="630">
        <f>2*5</f>
        <v>10</v>
      </c>
      <c r="G115" s="631" t="s">
        <v>107</v>
      </c>
      <c r="H115" s="632"/>
      <c r="I115" s="633"/>
      <c r="J115" s="482" t="s">
        <v>521</v>
      </c>
      <c r="K115" s="463"/>
      <c r="L115" s="436"/>
    </row>
    <row r="116" spans="2:12" ht="14.25">
      <c r="B116" s="459"/>
      <c r="C116" s="577" t="s">
        <v>341</v>
      </c>
      <c r="D116" s="436"/>
      <c r="E116" s="608" t="s">
        <v>342</v>
      </c>
      <c r="F116" s="634">
        <f>10.65*(1.2*1-3.14*0.4*0.4)</f>
        <v>7.429439999999999</v>
      </c>
      <c r="G116" s="610" t="s">
        <v>434</v>
      </c>
      <c r="H116" s="616"/>
      <c r="I116" s="617"/>
      <c r="J116" s="464" t="s">
        <v>522</v>
      </c>
      <c r="K116" s="463"/>
      <c r="L116" s="436"/>
    </row>
    <row r="117" spans="2:12" ht="14.25">
      <c r="B117" s="459"/>
      <c r="C117" s="577" t="s">
        <v>344</v>
      </c>
      <c r="D117" s="436"/>
      <c r="E117" s="608" t="s">
        <v>345</v>
      </c>
      <c r="F117" s="609">
        <f>10.95*(2*0.95+1.1)</f>
        <v>32.849999999999994</v>
      </c>
      <c r="G117" s="610" t="s">
        <v>435</v>
      </c>
      <c r="H117" s="615">
        <f>F117*7.9</f>
        <v>259.515</v>
      </c>
      <c r="I117" s="261" t="s">
        <v>241</v>
      </c>
      <c r="J117" s="436" t="s">
        <v>523</v>
      </c>
      <c r="K117" s="464"/>
      <c r="L117" s="436"/>
    </row>
    <row r="118" spans="2:12" ht="14.25">
      <c r="B118" s="459"/>
      <c r="C118" s="577"/>
      <c r="D118" s="436"/>
      <c r="E118" s="608" t="s">
        <v>347</v>
      </c>
      <c r="F118" s="609">
        <f>2*10.55*1.1</f>
        <v>23.210000000000004</v>
      </c>
      <c r="G118" s="610" t="s">
        <v>435</v>
      </c>
      <c r="H118" s="615">
        <f>F118*7.9</f>
        <v>183.35900000000004</v>
      </c>
      <c r="I118" s="261" t="s">
        <v>241</v>
      </c>
      <c r="J118" s="436" t="s">
        <v>524</v>
      </c>
      <c r="K118" s="464"/>
      <c r="L118" s="436"/>
    </row>
    <row r="119" spans="2:12" ht="14.25">
      <c r="B119" s="459"/>
      <c r="C119" s="577" t="s">
        <v>348</v>
      </c>
      <c r="D119" s="436"/>
      <c r="E119" s="608" t="s">
        <v>349</v>
      </c>
      <c r="F119" s="609">
        <f>10.55*1.2*0.3</f>
        <v>3.798</v>
      </c>
      <c r="G119" s="610" t="s">
        <v>434</v>
      </c>
      <c r="H119" s="616"/>
      <c r="I119" s="617"/>
      <c r="J119" s="464" t="s">
        <v>525</v>
      </c>
      <c r="K119" s="463"/>
      <c r="L119" s="436"/>
    </row>
    <row r="120" spans="2:12" ht="14.25">
      <c r="B120" s="459"/>
      <c r="C120" s="577" t="s">
        <v>350</v>
      </c>
      <c r="D120" s="436"/>
      <c r="E120" s="608" t="s">
        <v>351</v>
      </c>
      <c r="F120" s="609">
        <f>9.25*1.45*0.1</f>
        <v>1.34125</v>
      </c>
      <c r="G120" s="610" t="s">
        <v>434</v>
      </c>
      <c r="H120" s="616"/>
      <c r="I120" s="617"/>
      <c r="J120" s="464" t="s">
        <v>526</v>
      </c>
      <c r="K120" s="463"/>
      <c r="L120" s="436"/>
    </row>
    <row r="121" spans="2:12" ht="14.25">
      <c r="B121" s="459"/>
      <c r="C121" s="577" t="s">
        <v>352</v>
      </c>
      <c r="D121" s="436"/>
      <c r="E121" s="608" t="s">
        <v>351</v>
      </c>
      <c r="F121" s="609">
        <f>9.25*1.65*0.1</f>
        <v>1.52625</v>
      </c>
      <c r="G121" s="610" t="s">
        <v>434</v>
      </c>
      <c r="H121" s="615">
        <f>9.25*1.65</f>
        <v>15.2625</v>
      </c>
      <c r="I121" s="610" t="s">
        <v>435</v>
      </c>
      <c r="J121" s="464" t="s">
        <v>527</v>
      </c>
      <c r="K121" s="463"/>
      <c r="L121" s="436"/>
    </row>
    <row r="122" spans="2:12" ht="14.25">
      <c r="B122" s="459"/>
      <c r="C122" s="577" t="s">
        <v>353</v>
      </c>
      <c r="D122" s="436"/>
      <c r="E122" s="608"/>
      <c r="F122" s="609">
        <f>2*10.65*1.3+1.2*1.3</f>
        <v>29.25</v>
      </c>
      <c r="G122" s="610" t="s">
        <v>435</v>
      </c>
      <c r="H122" s="615"/>
      <c r="I122" s="610"/>
      <c r="J122" s="464" t="s">
        <v>528</v>
      </c>
      <c r="K122" s="463"/>
      <c r="L122" s="436"/>
    </row>
    <row r="123" ht="6" customHeight="1"/>
    <row r="124" spans="2:10" ht="14.25">
      <c r="B124" s="459" t="s">
        <v>361</v>
      </c>
      <c r="C124" s="577" t="s">
        <v>362</v>
      </c>
      <c r="D124" s="436"/>
      <c r="E124" s="608"/>
      <c r="F124" s="609">
        <f>2*1.5*0.8</f>
        <v>2.4000000000000004</v>
      </c>
      <c r="G124" s="610" t="s">
        <v>434</v>
      </c>
      <c r="H124" s="616"/>
      <c r="I124" s="617"/>
      <c r="J124" s="464" t="s">
        <v>529</v>
      </c>
    </row>
    <row r="125" spans="2:10" ht="14.25">
      <c r="B125" s="459"/>
      <c r="C125" s="577" t="s">
        <v>350</v>
      </c>
      <c r="D125" s="436"/>
      <c r="E125" s="608" t="s">
        <v>73</v>
      </c>
      <c r="F125" s="609">
        <f>2.6*2.1*0.15</f>
        <v>0.8190000000000001</v>
      </c>
      <c r="G125" s="610" t="s">
        <v>434</v>
      </c>
      <c r="H125" s="616"/>
      <c r="I125" s="617"/>
      <c r="J125" s="464" t="s">
        <v>530</v>
      </c>
    </row>
    <row r="126" spans="2:10" ht="14.25">
      <c r="B126" s="459"/>
      <c r="C126" s="577" t="s">
        <v>352</v>
      </c>
      <c r="D126" s="436"/>
      <c r="E126" s="608" t="s">
        <v>351</v>
      </c>
      <c r="F126" s="609">
        <f>2.5*2*0.1</f>
        <v>0.5</v>
      </c>
      <c r="G126" s="610" t="s">
        <v>434</v>
      </c>
      <c r="H126" s="615">
        <f>2.5*2</f>
        <v>5</v>
      </c>
      <c r="I126" s="610" t="s">
        <v>435</v>
      </c>
      <c r="J126" s="464" t="s">
        <v>531</v>
      </c>
    </row>
    <row r="127" spans="2:11" ht="14.25">
      <c r="B127" s="459"/>
      <c r="C127" s="577" t="s">
        <v>353</v>
      </c>
      <c r="D127" s="436"/>
      <c r="E127" s="608"/>
      <c r="F127" s="609">
        <f>2*(2*0.8+1.5*0.8)</f>
        <v>5.6000000000000005</v>
      </c>
      <c r="G127" s="610" t="s">
        <v>435</v>
      </c>
      <c r="H127" s="616"/>
      <c r="I127" s="617"/>
      <c r="J127" s="464" t="s">
        <v>532</v>
      </c>
      <c r="K127" s="436"/>
    </row>
    <row r="128" ht="6" customHeight="1"/>
    <row r="129" spans="2:13" ht="14.25">
      <c r="B129" s="459" t="s">
        <v>371</v>
      </c>
      <c r="C129" s="577" t="s">
        <v>372</v>
      </c>
      <c r="D129" s="436"/>
      <c r="E129" s="608"/>
      <c r="F129" s="609">
        <f>1.85*1.4*2.15-1.2*0.8*1.85-0.3*3.14*0.4*0.4</f>
        <v>3.6417799999999994</v>
      </c>
      <c r="G129" s="610" t="s">
        <v>434</v>
      </c>
      <c r="H129" s="616"/>
      <c r="I129" s="617"/>
      <c r="J129" s="464" t="s">
        <v>533</v>
      </c>
      <c r="K129" s="463"/>
      <c r="L129" s="436"/>
      <c r="M129" s="594"/>
    </row>
    <row r="130" spans="2:13" ht="14.25">
      <c r="B130" s="459"/>
      <c r="C130" s="577" t="s">
        <v>344</v>
      </c>
      <c r="D130" s="436"/>
      <c r="E130" s="608" t="s">
        <v>373</v>
      </c>
      <c r="F130" s="609">
        <f>4*1.7*2.05+2*1.3*1.95+2*0.9*1.95+1.7*1.3+1.3*0.9</f>
        <v>25.9</v>
      </c>
      <c r="G130" s="610" t="s">
        <v>435</v>
      </c>
      <c r="H130" s="615">
        <f>F130*7.9</f>
        <v>204.60999999999999</v>
      </c>
      <c r="I130" s="261" t="s">
        <v>241</v>
      </c>
      <c r="J130" s="436" t="s">
        <v>534</v>
      </c>
      <c r="K130" s="463"/>
      <c r="L130" s="436"/>
      <c r="M130" s="594"/>
    </row>
    <row r="131" spans="2:13" ht="12.75">
      <c r="B131" s="459"/>
      <c r="C131" s="577" t="s">
        <v>350</v>
      </c>
      <c r="D131" s="436"/>
      <c r="E131" s="608" t="s">
        <v>73</v>
      </c>
      <c r="F131" s="609"/>
      <c r="G131" s="610"/>
      <c r="H131" s="616"/>
      <c r="I131" s="617"/>
      <c r="J131" s="464"/>
      <c r="K131" s="463"/>
      <c r="L131" s="436"/>
      <c r="M131" s="594"/>
    </row>
    <row r="132" spans="2:13" ht="14.25">
      <c r="B132" s="459"/>
      <c r="C132" s="577"/>
      <c r="D132" s="436"/>
      <c r="E132" s="608" t="s">
        <v>375</v>
      </c>
      <c r="F132" s="609">
        <f>2.3*1.9*0.15</f>
        <v>0.6554999999999999</v>
      </c>
      <c r="G132" s="610" t="s">
        <v>434</v>
      </c>
      <c r="H132" s="616"/>
      <c r="I132" s="617"/>
      <c r="J132" s="464" t="s">
        <v>535</v>
      </c>
      <c r="K132" s="463"/>
      <c r="L132" s="436"/>
      <c r="M132" s="594"/>
    </row>
    <row r="133" spans="2:13" ht="14.25">
      <c r="B133" s="459"/>
      <c r="C133" s="577"/>
      <c r="D133" s="436"/>
      <c r="E133" s="608" t="s">
        <v>376</v>
      </c>
      <c r="F133" s="609">
        <f>1.2*0.8*0.15</f>
        <v>0.144</v>
      </c>
      <c r="G133" s="610" t="s">
        <v>434</v>
      </c>
      <c r="H133" s="616"/>
      <c r="I133" s="617"/>
      <c r="J133" s="464" t="s">
        <v>536</v>
      </c>
      <c r="K133" s="463"/>
      <c r="L133" s="436"/>
      <c r="M133" s="594"/>
    </row>
    <row r="134" spans="2:13" ht="14.25">
      <c r="B134" s="459"/>
      <c r="C134" s="577" t="s">
        <v>377</v>
      </c>
      <c r="D134" s="436"/>
      <c r="E134" s="608" t="s">
        <v>73</v>
      </c>
      <c r="F134" s="609">
        <f>1.2*0.8</f>
        <v>0.96</v>
      </c>
      <c r="G134" s="610" t="s">
        <v>435</v>
      </c>
      <c r="H134" s="615"/>
      <c r="I134" s="610"/>
      <c r="J134" s="464" t="s">
        <v>537</v>
      </c>
      <c r="K134" s="463"/>
      <c r="L134" s="436"/>
      <c r="M134" s="594"/>
    </row>
    <row r="135" spans="2:13" ht="14.25">
      <c r="B135" s="459"/>
      <c r="C135" s="577" t="s">
        <v>352</v>
      </c>
      <c r="D135" s="436"/>
      <c r="E135" s="608" t="s">
        <v>351</v>
      </c>
      <c r="F135" s="609">
        <f>2.2*1.9*0.1</f>
        <v>0.418</v>
      </c>
      <c r="G135" s="610" t="s">
        <v>434</v>
      </c>
      <c r="H135" s="615">
        <f>2.2*1.9</f>
        <v>4.18</v>
      </c>
      <c r="I135" s="610" t="s">
        <v>435</v>
      </c>
      <c r="J135" s="464" t="s">
        <v>538</v>
      </c>
      <c r="K135" s="463"/>
      <c r="L135" s="436"/>
      <c r="M135" s="594"/>
    </row>
    <row r="136" spans="2:13" ht="14.25">
      <c r="B136" s="459"/>
      <c r="C136" s="577" t="s">
        <v>353</v>
      </c>
      <c r="D136" s="435"/>
      <c r="E136" s="619"/>
      <c r="F136" s="609">
        <f>2*((1.8+1.4)*2.15+(1.2+0.8)*1.85)</f>
        <v>21.16</v>
      </c>
      <c r="G136" s="610" t="s">
        <v>435</v>
      </c>
      <c r="H136" s="615"/>
      <c r="I136" s="610"/>
      <c r="J136" s="464" t="s">
        <v>539</v>
      </c>
      <c r="K136" s="463"/>
      <c r="L136" s="436"/>
      <c r="M136" s="594"/>
    </row>
    <row r="137" spans="2:13" ht="12.75">
      <c r="B137" s="459"/>
      <c r="C137" s="622" t="s">
        <v>382</v>
      </c>
      <c r="D137" s="435"/>
      <c r="E137" s="619"/>
      <c r="F137" s="623">
        <v>1</v>
      </c>
      <c r="G137" s="610" t="s">
        <v>107</v>
      </c>
      <c r="H137" s="615"/>
      <c r="I137" s="610"/>
      <c r="J137" s="464"/>
      <c r="K137" s="463"/>
      <c r="L137" s="436"/>
      <c r="M137" s="594"/>
    </row>
    <row r="138" spans="2:13" ht="12.75">
      <c r="B138" s="459"/>
      <c r="C138" s="622" t="s">
        <v>384</v>
      </c>
      <c r="D138" s="435"/>
      <c r="E138" s="619"/>
      <c r="F138" s="623">
        <v>5</v>
      </c>
      <c r="G138" s="610" t="s">
        <v>107</v>
      </c>
      <c r="H138" s="615"/>
      <c r="I138" s="610"/>
      <c r="J138" s="464"/>
      <c r="K138" s="463"/>
      <c r="L138" s="436"/>
      <c r="M138" s="594"/>
    </row>
    <row r="139" ht="6" customHeight="1"/>
    <row r="140" spans="2:12" ht="14.25">
      <c r="B140" s="624" t="s">
        <v>386</v>
      </c>
      <c r="C140" s="597" t="s">
        <v>378</v>
      </c>
      <c r="D140" s="597"/>
      <c r="E140" s="597"/>
      <c r="F140" s="620">
        <f>2.7*2.2</f>
        <v>5.940000000000001</v>
      </c>
      <c r="G140" s="610" t="s">
        <v>435</v>
      </c>
      <c r="H140" s="621"/>
      <c r="I140" s="604"/>
      <c r="J140" s="548" t="s">
        <v>540</v>
      </c>
      <c r="K140" s="548"/>
      <c r="L140" s="548"/>
    </row>
    <row r="141" spans="2:12" ht="14.25">
      <c r="B141" s="624"/>
      <c r="C141" s="597" t="s">
        <v>364</v>
      </c>
      <c r="D141" s="597"/>
      <c r="E141" s="608" t="s">
        <v>379</v>
      </c>
      <c r="F141" s="620">
        <f>2.7*2.2*0.35</f>
        <v>2.079</v>
      </c>
      <c r="G141" s="610" t="s">
        <v>434</v>
      </c>
      <c r="H141" s="621"/>
      <c r="I141" s="604"/>
      <c r="J141" s="548" t="s">
        <v>541</v>
      </c>
      <c r="K141" s="548"/>
      <c r="L141" s="548"/>
    </row>
    <row r="142" spans="2:12" ht="12.75">
      <c r="B142" s="624"/>
      <c r="C142" s="597" t="s">
        <v>449</v>
      </c>
      <c r="D142" s="597"/>
      <c r="E142" s="608" t="s">
        <v>351</v>
      </c>
      <c r="F142" s="620"/>
      <c r="G142" s="610"/>
      <c r="H142" s="615"/>
      <c r="I142" s="610"/>
      <c r="J142" s="548"/>
      <c r="K142" s="548"/>
      <c r="L142" s="548"/>
    </row>
    <row r="143" spans="2:12" ht="14.25">
      <c r="B143" s="624"/>
      <c r="C143" s="597"/>
      <c r="D143" s="597"/>
      <c r="E143" s="608" t="s">
        <v>390</v>
      </c>
      <c r="F143" s="620">
        <f>2.7*2.2*0.1</f>
        <v>0.5940000000000002</v>
      </c>
      <c r="G143" s="610" t="s">
        <v>434</v>
      </c>
      <c r="H143" s="615">
        <f>2.7*2.2</f>
        <v>5.940000000000001</v>
      </c>
      <c r="I143" s="610" t="s">
        <v>435</v>
      </c>
      <c r="J143" s="548" t="s">
        <v>542</v>
      </c>
      <c r="K143" s="548"/>
      <c r="L143" s="548"/>
    </row>
    <row r="144" spans="2:12" ht="14.25">
      <c r="B144" s="624"/>
      <c r="C144" s="597"/>
      <c r="D144" s="597"/>
      <c r="E144" s="608" t="s">
        <v>391</v>
      </c>
      <c r="F144" s="620">
        <f>2.2*0.9*0.1</f>
        <v>0.19800000000000004</v>
      </c>
      <c r="G144" s="610" t="s">
        <v>434</v>
      </c>
      <c r="H144" s="615">
        <f>2.2*0.9</f>
        <v>1.9800000000000002</v>
      </c>
      <c r="I144" s="610" t="s">
        <v>435</v>
      </c>
      <c r="J144" s="548" t="s">
        <v>543</v>
      </c>
      <c r="K144" s="548"/>
      <c r="L144" s="548"/>
    </row>
    <row r="145" spans="2:12" ht="14.25">
      <c r="B145" s="624"/>
      <c r="C145" s="577" t="s">
        <v>392</v>
      </c>
      <c r="D145" s="436"/>
      <c r="E145" s="608"/>
      <c r="F145" s="609">
        <f>2.2*0.7*1.1</f>
        <v>1.6940000000000002</v>
      </c>
      <c r="G145" s="610" t="s">
        <v>434</v>
      </c>
      <c r="H145" s="616"/>
      <c r="I145" s="617"/>
      <c r="J145" s="464" t="s">
        <v>544</v>
      </c>
      <c r="K145" s="548"/>
      <c r="L145" s="548"/>
    </row>
    <row r="146" spans="2:12" ht="14.25">
      <c r="B146" s="624"/>
      <c r="C146" s="597" t="s">
        <v>393</v>
      </c>
      <c r="D146" s="597"/>
      <c r="E146" s="597"/>
      <c r="F146" s="620">
        <f>2.2*3</f>
        <v>6.6000000000000005</v>
      </c>
      <c r="G146" s="610" t="s">
        <v>435</v>
      </c>
      <c r="H146" s="621"/>
      <c r="I146" s="604"/>
      <c r="J146" s="548" t="s">
        <v>545</v>
      </c>
      <c r="K146" s="548"/>
      <c r="L146" s="548"/>
    </row>
    <row r="147" spans="2:12" ht="14.25">
      <c r="B147" s="624"/>
      <c r="C147" s="597" t="s">
        <v>546</v>
      </c>
      <c r="D147" s="597"/>
      <c r="E147" s="597"/>
      <c r="F147" s="620">
        <f>3.2*3</f>
        <v>9.600000000000001</v>
      </c>
      <c r="G147" s="610" t="s">
        <v>435</v>
      </c>
      <c r="H147" s="621"/>
      <c r="I147" s="604"/>
      <c r="J147" s="548" t="s">
        <v>547</v>
      </c>
      <c r="K147" s="548"/>
      <c r="L147" s="548"/>
    </row>
    <row r="148" spans="2:12" ht="14.25">
      <c r="B148" s="624"/>
      <c r="C148" s="577" t="s">
        <v>353</v>
      </c>
      <c r="D148" s="435"/>
      <c r="E148" s="619"/>
      <c r="F148" s="609">
        <f>2*3.2*1.1+2*0.7*1.1</f>
        <v>8.580000000000002</v>
      </c>
      <c r="G148" s="610" t="s">
        <v>435</v>
      </c>
      <c r="H148" s="615"/>
      <c r="I148" s="610"/>
      <c r="J148" s="464" t="s">
        <v>548</v>
      </c>
      <c r="K148" s="463"/>
      <c r="L148" s="436"/>
    </row>
    <row r="149" ht="6" customHeight="1"/>
    <row r="150" spans="2:12" ht="14.25">
      <c r="B150" s="624" t="s">
        <v>401</v>
      </c>
      <c r="C150" s="577" t="s">
        <v>402</v>
      </c>
      <c r="D150" s="435"/>
      <c r="E150" s="619"/>
      <c r="F150" s="609">
        <f>2.9*0.7*1.9+2*0.7*1.4</f>
        <v>5.816999999999999</v>
      </c>
      <c r="G150" s="610" t="s">
        <v>434</v>
      </c>
      <c r="H150" s="435"/>
      <c r="I150" s="617" t="s">
        <v>460</v>
      </c>
      <c r="J150" s="436" t="s">
        <v>549</v>
      </c>
      <c r="K150" s="463"/>
      <c r="L150" s="611"/>
    </row>
    <row r="151" spans="2:12" ht="12.75">
      <c r="B151" s="624"/>
      <c r="C151" s="577" t="s">
        <v>503</v>
      </c>
      <c r="D151" s="435"/>
      <c r="E151" s="619"/>
      <c r="F151" s="609">
        <v>9.5</v>
      </c>
      <c r="G151" s="610" t="s">
        <v>9</v>
      </c>
      <c r="H151" s="435"/>
      <c r="I151" s="617" t="s">
        <v>460</v>
      </c>
      <c r="J151" s="436"/>
      <c r="K151" s="463"/>
      <c r="L151" s="611"/>
    </row>
    <row r="152" spans="2:12" ht="6" customHeight="1">
      <c r="B152" s="624"/>
      <c r="C152" s="577"/>
      <c r="D152" s="435"/>
      <c r="E152" s="619"/>
      <c r="F152" s="609"/>
      <c r="G152" s="610"/>
      <c r="H152" s="435"/>
      <c r="I152" s="617"/>
      <c r="J152" s="436"/>
      <c r="K152" s="463"/>
      <c r="L152" s="611"/>
    </row>
    <row r="153" spans="2:12" ht="14.25">
      <c r="B153" s="624"/>
      <c r="C153" s="577" t="s">
        <v>411</v>
      </c>
      <c r="D153" s="435"/>
      <c r="E153" s="619"/>
      <c r="F153" s="609">
        <f>(10.95-1.55)*2.3*1.95</f>
        <v>42.158999999999985</v>
      </c>
      <c r="G153" s="610" t="s">
        <v>434</v>
      </c>
      <c r="H153" s="616"/>
      <c r="I153" s="617"/>
      <c r="J153" s="464" t="s">
        <v>550</v>
      </c>
      <c r="K153" s="463"/>
      <c r="L153" s="611"/>
    </row>
    <row r="154" spans="2:12" ht="14.25">
      <c r="B154" s="624"/>
      <c r="C154" s="577" t="s">
        <v>412</v>
      </c>
      <c r="D154" s="435"/>
      <c r="E154" s="619"/>
      <c r="F154" s="609">
        <f>3.2*3.35*2.35</f>
        <v>25.192000000000004</v>
      </c>
      <c r="G154" s="610" t="s">
        <v>434</v>
      </c>
      <c r="H154" s="616"/>
      <c r="I154" s="617"/>
      <c r="J154" s="436" t="s">
        <v>551</v>
      </c>
      <c r="K154" s="463"/>
      <c r="L154" s="611"/>
    </row>
    <row r="155" spans="2:12" ht="14.25">
      <c r="B155" s="624"/>
      <c r="C155" s="577" t="s">
        <v>414</v>
      </c>
      <c r="D155" s="435"/>
      <c r="E155" s="619"/>
      <c r="F155" s="609">
        <f>2.8*1.5*1.1</f>
        <v>4.619999999999999</v>
      </c>
      <c r="G155" s="610" t="s">
        <v>434</v>
      </c>
      <c r="H155" s="616"/>
      <c r="I155" s="617"/>
      <c r="J155" s="464" t="s">
        <v>552</v>
      </c>
      <c r="K155" s="463"/>
      <c r="L155" s="611"/>
    </row>
    <row r="156" spans="2:12" ht="14.25">
      <c r="B156" s="624"/>
      <c r="C156" s="577" t="s">
        <v>416</v>
      </c>
      <c r="D156" s="597"/>
      <c r="E156" s="597"/>
      <c r="F156" s="620">
        <f>2.5*2.2*0.75</f>
        <v>4.125</v>
      </c>
      <c r="G156" s="610" t="s">
        <v>434</v>
      </c>
      <c r="H156" s="625"/>
      <c r="I156" s="604"/>
      <c r="J156" s="548" t="s">
        <v>553</v>
      </c>
      <c r="K156" s="548"/>
      <c r="L156" s="548"/>
    </row>
    <row r="157" spans="2:12" s="145" customFormat="1" ht="6" customHeight="1">
      <c r="B157" s="624"/>
      <c r="C157" s="577"/>
      <c r="D157" s="597"/>
      <c r="E157" s="597"/>
      <c r="F157" s="620"/>
      <c r="G157" s="610"/>
      <c r="H157" s="625"/>
      <c r="I157" s="604"/>
      <c r="J157" s="548"/>
      <c r="K157" s="548"/>
      <c r="L157" s="548"/>
    </row>
    <row r="158" spans="2:12" ht="14.25">
      <c r="B158" s="626"/>
      <c r="C158" s="404" t="s">
        <v>418</v>
      </c>
      <c r="D158" s="597"/>
      <c r="E158" s="597"/>
      <c r="F158" s="620">
        <f>(10.95-1.55)*(2.3*1.7-1.2*1.5)</f>
        <v>19.833999999999996</v>
      </c>
      <c r="G158" s="610" t="s">
        <v>434</v>
      </c>
      <c r="H158" s="625"/>
      <c r="I158" s="604"/>
      <c r="J158" s="464" t="s">
        <v>554</v>
      </c>
      <c r="K158" s="548"/>
      <c r="L158" s="548"/>
    </row>
    <row r="159" spans="2:12" ht="14.25">
      <c r="B159" s="626"/>
      <c r="C159" s="577" t="s">
        <v>419</v>
      </c>
      <c r="D159" s="577"/>
      <c r="E159" s="597"/>
      <c r="F159" s="620">
        <f>3.2*3.35*2.1-1.8*1.4*1.85-1.25*1.2*1.5</f>
        <v>15.600000000000005</v>
      </c>
      <c r="G159" s="610" t="s">
        <v>434</v>
      </c>
      <c r="H159" s="625"/>
      <c r="I159" s="604"/>
      <c r="J159" s="436" t="s">
        <v>555</v>
      </c>
      <c r="K159" s="548"/>
      <c r="L159" s="548"/>
    </row>
    <row r="160" spans="2:13" ht="14.25">
      <c r="B160" s="626"/>
      <c r="C160" s="577" t="s">
        <v>421</v>
      </c>
      <c r="D160" s="435"/>
      <c r="E160" s="597"/>
      <c r="F160" s="620">
        <f>2.8*1.5*1.1-2.2*0.7*1.1</f>
        <v>2.9259999999999993</v>
      </c>
      <c r="G160" s="610" t="s">
        <v>434</v>
      </c>
      <c r="H160" s="625"/>
      <c r="I160" s="604"/>
      <c r="J160" s="464" t="s">
        <v>556</v>
      </c>
      <c r="K160" s="548"/>
      <c r="L160" s="548"/>
      <c r="M160" s="145"/>
    </row>
    <row r="161" spans="2:12" ht="14.25">
      <c r="B161" s="626"/>
      <c r="C161" s="577" t="s">
        <v>478</v>
      </c>
      <c r="D161" s="577"/>
      <c r="E161" s="597"/>
      <c r="F161" s="620">
        <v>0</v>
      </c>
      <c r="G161" s="610" t="s">
        <v>434</v>
      </c>
      <c r="H161" s="625"/>
      <c r="I161" s="604"/>
      <c r="J161" s="548"/>
      <c r="K161" s="548"/>
      <c r="L161" s="548"/>
    </row>
    <row r="162" spans="2:12" s="145" customFormat="1" ht="6" customHeight="1">
      <c r="B162" s="626"/>
      <c r="C162" s="577"/>
      <c r="D162" s="577"/>
      <c r="E162" s="597"/>
      <c r="F162" s="620"/>
      <c r="G162" s="610"/>
      <c r="H162" s="625"/>
      <c r="I162" s="604"/>
      <c r="J162" s="548"/>
      <c r="K162" s="548"/>
      <c r="L162" s="548"/>
    </row>
    <row r="163" spans="2:12" s="145" customFormat="1" ht="14.25">
      <c r="B163" s="624" t="s">
        <v>423</v>
      </c>
      <c r="C163" s="577"/>
      <c r="D163" s="435"/>
      <c r="E163" s="619" t="s">
        <v>424</v>
      </c>
      <c r="F163" s="609">
        <f>6.7*3</f>
        <v>20.1</v>
      </c>
      <c r="G163" s="610" t="s">
        <v>435</v>
      </c>
      <c r="H163" s="616"/>
      <c r="I163" s="617"/>
      <c r="J163" s="464" t="s">
        <v>557</v>
      </c>
      <c r="K163" s="548"/>
      <c r="L163" s="548"/>
    </row>
    <row r="164" spans="2:12" s="145" customFormat="1" ht="6" customHeight="1">
      <c r="B164" s="624"/>
      <c r="C164" s="577"/>
      <c r="D164" s="435"/>
      <c r="E164" s="619"/>
      <c r="F164" s="609"/>
      <c r="G164" s="610"/>
      <c r="H164" s="616"/>
      <c r="I164" s="617"/>
      <c r="J164" s="464"/>
      <c r="K164" s="548"/>
      <c r="L164" s="548"/>
    </row>
    <row r="165" spans="2:12" s="145" customFormat="1" ht="14.25">
      <c r="B165" s="624" t="s">
        <v>425</v>
      </c>
      <c r="C165" s="577"/>
      <c r="D165" s="435"/>
      <c r="E165" s="619"/>
      <c r="F165" s="609">
        <v>40</v>
      </c>
      <c r="G165" s="610" t="s">
        <v>435</v>
      </c>
      <c r="H165" s="616"/>
      <c r="I165" s="617"/>
      <c r="J165" s="464" t="s">
        <v>558</v>
      </c>
      <c r="K165" s="548"/>
      <c r="L165" s="548"/>
    </row>
  </sheetData>
  <sheetProtection/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G33"/>
  <sheetViews>
    <sheetView zoomScalePageLayoutView="0" workbookViewId="0" topLeftCell="A1">
      <selection activeCell="G32" sqref="G32"/>
    </sheetView>
  </sheetViews>
  <sheetFormatPr defaultColWidth="9.00390625" defaultRowHeight="15" customHeight="1"/>
  <cols>
    <col min="1" max="1" width="3.75390625" style="0" customWidth="1"/>
    <col min="2" max="2" width="5.75390625" style="0" customWidth="1"/>
    <col min="3" max="3" width="29.25390625" style="0" customWidth="1"/>
    <col min="4" max="4" width="10.625" style="0" customWidth="1"/>
    <col min="5" max="5" width="8.125" style="0" customWidth="1"/>
  </cols>
  <sheetData>
    <row r="1" spans="3:4" ht="15" customHeight="1">
      <c r="C1" s="275" t="s">
        <v>204</v>
      </c>
      <c r="D1" s="253"/>
    </row>
    <row r="2" spans="3:4" ht="15" customHeight="1">
      <c r="C2" s="276" t="s">
        <v>118</v>
      </c>
      <c r="D2" s="253"/>
    </row>
    <row r="4" ht="15" customHeight="1">
      <c r="C4" s="720" t="s">
        <v>693</v>
      </c>
    </row>
    <row r="8" spans="3:5" ht="15" customHeight="1">
      <c r="C8" s="721" t="s">
        <v>282</v>
      </c>
      <c r="D8" s="722"/>
      <c r="E8" s="731"/>
    </row>
    <row r="9" spans="3:5" ht="15" customHeight="1">
      <c r="C9" s="723"/>
      <c r="D9" s="724"/>
      <c r="E9" s="732"/>
    </row>
    <row r="10" spans="3:7" ht="15" customHeight="1">
      <c r="C10" s="723" t="s">
        <v>77</v>
      </c>
      <c r="D10" s="725">
        <f>D11+D12+D13+D14</f>
        <v>13727.247000000001</v>
      </c>
      <c r="E10" s="733" t="s">
        <v>10</v>
      </c>
      <c r="G10" s="2"/>
    </row>
    <row r="11" spans="3:5" ht="15" customHeight="1">
      <c r="C11" s="728" t="s">
        <v>707</v>
      </c>
      <c r="D11" s="727">
        <f>2647+942</f>
        <v>3589</v>
      </c>
      <c r="E11" s="733" t="s">
        <v>10</v>
      </c>
    </row>
    <row r="12" spans="3:5" ht="15" customHeight="1">
      <c r="C12" s="728" t="s">
        <v>697</v>
      </c>
      <c r="D12" s="729">
        <f>'SO.101- tabulka PK'!S139</f>
        <v>8800.447000000002</v>
      </c>
      <c r="E12" s="733" t="s">
        <v>10</v>
      </c>
    </row>
    <row r="13" spans="3:7" ht="15" customHeight="1">
      <c r="C13" s="728" t="s">
        <v>705</v>
      </c>
      <c r="D13" s="729">
        <f>12.9+416.9</f>
        <v>429.79999999999995</v>
      </c>
      <c r="E13" s="733" t="s">
        <v>10</v>
      </c>
      <c r="G13" s="2"/>
    </row>
    <row r="14" spans="3:5" ht="15" customHeight="1">
      <c r="C14" s="728" t="s">
        <v>708</v>
      </c>
      <c r="D14" s="732">
        <v>908</v>
      </c>
      <c r="E14" s="733" t="s">
        <v>10</v>
      </c>
    </row>
    <row r="15" spans="3:5" ht="15" customHeight="1" thickBot="1">
      <c r="C15" s="753"/>
      <c r="D15" s="754"/>
      <c r="E15" s="755"/>
    </row>
    <row r="16" spans="3:5" ht="15" customHeight="1">
      <c r="C16" s="756" t="s">
        <v>695</v>
      </c>
      <c r="D16" s="748">
        <f>5184.6*0.4</f>
        <v>2073.84</v>
      </c>
      <c r="E16" s="749" t="s">
        <v>10</v>
      </c>
    </row>
    <row r="17" spans="3:5" ht="15" customHeight="1" thickBot="1">
      <c r="C17" s="750" t="s">
        <v>706</v>
      </c>
      <c r="D17" s="751">
        <f>133*0.1+4676*0.1+22156*0.1</f>
        <v>2696.5</v>
      </c>
      <c r="E17" s="752" t="s">
        <v>10</v>
      </c>
    </row>
    <row r="18" spans="3:5" ht="15" customHeight="1">
      <c r="C18" s="742"/>
      <c r="D18" s="743"/>
      <c r="E18" s="744"/>
    </row>
    <row r="19" spans="3:5" ht="15" customHeight="1">
      <c r="C19" s="723" t="s">
        <v>78</v>
      </c>
      <c r="D19" s="725">
        <f>D20+D21+D22+D23</f>
        <v>11355.012</v>
      </c>
      <c r="E19" s="733" t="s">
        <v>10</v>
      </c>
    </row>
    <row r="20" spans="3:5" ht="15" customHeight="1">
      <c r="C20" s="726" t="s">
        <v>694</v>
      </c>
      <c r="D20" s="727">
        <f>'SO.101- tabulka PK'!U139</f>
        <v>2200.552</v>
      </c>
      <c r="E20" s="733" t="s">
        <v>10</v>
      </c>
    </row>
    <row r="21" spans="3:5" ht="15" customHeight="1">
      <c r="C21" s="728" t="s">
        <v>698</v>
      </c>
      <c r="D21" s="729">
        <f>'SO.101- tabulka PK'!T139</f>
        <v>8199.460000000001</v>
      </c>
      <c r="E21" s="733" t="s">
        <v>10</v>
      </c>
    </row>
    <row r="22" spans="3:5" ht="15" customHeight="1">
      <c r="C22" s="728" t="s">
        <v>703</v>
      </c>
      <c r="D22" s="730">
        <v>610</v>
      </c>
      <c r="E22" s="733" t="s">
        <v>10</v>
      </c>
    </row>
    <row r="23" spans="3:5" ht="15" customHeight="1">
      <c r="C23" s="728" t="s">
        <v>709</v>
      </c>
      <c r="D23" s="730">
        <v>345</v>
      </c>
      <c r="E23" s="733" t="s">
        <v>10</v>
      </c>
    </row>
    <row r="24" spans="3:5" ht="15" customHeight="1" thickBot="1">
      <c r="C24" s="745"/>
      <c r="D24" s="746"/>
      <c r="E24" s="741"/>
    </row>
    <row r="25" spans="3:5" ht="15" customHeight="1">
      <c r="C25" s="747" t="s">
        <v>710</v>
      </c>
      <c r="D25" s="748">
        <f>1240</f>
        <v>1240</v>
      </c>
      <c r="E25" s="749" t="s">
        <v>10</v>
      </c>
    </row>
    <row r="26" spans="3:5" ht="15" customHeight="1" thickBot="1">
      <c r="C26" s="750" t="s">
        <v>704</v>
      </c>
      <c r="D26" s="751">
        <v>593.6</v>
      </c>
      <c r="E26" s="752" t="s">
        <v>10</v>
      </c>
    </row>
    <row r="27" spans="3:5" ht="15" customHeight="1">
      <c r="C27" s="735"/>
      <c r="D27" s="736"/>
      <c r="E27" s="737"/>
    </row>
    <row r="28" spans="3:5" ht="15" customHeight="1">
      <c r="C28" s="723" t="s">
        <v>699</v>
      </c>
      <c r="D28" s="724">
        <v>0</v>
      </c>
      <c r="E28" s="733" t="s">
        <v>10</v>
      </c>
    </row>
    <row r="29" spans="3:5" ht="15" customHeight="1">
      <c r="C29" s="723"/>
      <c r="D29" s="730"/>
      <c r="E29" s="734"/>
    </row>
    <row r="30" spans="3:5" ht="15" customHeight="1">
      <c r="C30" s="723" t="s">
        <v>696</v>
      </c>
      <c r="D30" s="725">
        <f>D31+D31</f>
        <v>0</v>
      </c>
      <c r="E30" s="733" t="s">
        <v>10</v>
      </c>
    </row>
    <row r="31" spans="3:5" ht="15" customHeight="1">
      <c r="C31" s="728" t="s">
        <v>700</v>
      </c>
      <c r="D31" s="736">
        <v>0</v>
      </c>
      <c r="E31" s="733" t="s">
        <v>10</v>
      </c>
    </row>
    <row r="32" spans="3:5" ht="18.75" customHeight="1" thickBot="1">
      <c r="C32" s="738" t="s">
        <v>701</v>
      </c>
      <c r="D32" s="739">
        <f>4610*0.15</f>
        <v>691.5</v>
      </c>
      <c r="E32" s="740" t="s">
        <v>10</v>
      </c>
    </row>
    <row r="33" spans="3:5" ht="15" customHeight="1" thickTop="1">
      <c r="C33" s="735" t="s">
        <v>702</v>
      </c>
      <c r="D33" s="736">
        <v>0</v>
      </c>
      <c r="E33" s="744" t="s">
        <v>10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64">
      <selection activeCell="H106" sqref="H106"/>
    </sheetView>
  </sheetViews>
  <sheetFormatPr defaultColWidth="9.00390625" defaultRowHeight="12.75"/>
  <cols>
    <col min="1" max="1" width="20.875" style="442" bestFit="1" customWidth="1"/>
    <col min="2" max="2" width="35.75390625" style="442" bestFit="1" customWidth="1"/>
    <col min="3" max="3" width="13.875" style="442" bestFit="1" customWidth="1"/>
    <col min="4" max="7" width="7.75390625" style="442" customWidth="1"/>
    <col min="8" max="8" width="8.75390625" style="442" customWidth="1"/>
    <col min="9" max="9" width="24.00390625" style="442" customWidth="1"/>
    <col min="10" max="10" width="13.875" style="442" bestFit="1" customWidth="1"/>
    <col min="11" max="11" width="35.75390625" style="442" bestFit="1" customWidth="1"/>
    <col min="12" max="16384" width="9.125" style="442" customWidth="1"/>
  </cols>
  <sheetData>
    <row r="1" ht="12.75">
      <c r="A1" s="256" t="s">
        <v>331</v>
      </c>
    </row>
    <row r="2" spans="1:2" ht="12.75">
      <c r="A2" s="443" t="s">
        <v>332</v>
      </c>
      <c r="B2" s="443" t="s">
        <v>333</v>
      </c>
    </row>
    <row r="3" ht="12.75" thickBot="1"/>
    <row r="4" spans="1:11" ht="12.75" customHeight="1">
      <c r="A4" s="776" t="s">
        <v>334</v>
      </c>
      <c r="B4" s="777"/>
      <c r="C4" s="778"/>
      <c r="D4" s="779" t="s">
        <v>335</v>
      </c>
      <c r="E4" s="780"/>
      <c r="F4" s="780"/>
      <c r="G4" s="780"/>
      <c r="H4" s="444" t="s">
        <v>11</v>
      </c>
      <c r="J4" s="781" t="s">
        <v>334</v>
      </c>
      <c r="K4" s="782"/>
    </row>
    <row r="5" spans="1:11" ht="12.75" thickBot="1">
      <c r="A5" s="445"/>
      <c r="B5" s="446"/>
      <c r="C5" s="447"/>
      <c r="D5" s="448">
        <v>1.67887</v>
      </c>
      <c r="E5" s="449">
        <v>2.0877</v>
      </c>
      <c r="F5" s="449">
        <v>2.82456</v>
      </c>
      <c r="G5" s="449">
        <v>3.75275</v>
      </c>
      <c r="H5" s="450"/>
      <c r="J5" s="451"/>
      <c r="K5" s="452"/>
    </row>
    <row r="6" spans="1:15" ht="12.75" thickTop="1">
      <c r="A6" s="453" t="s">
        <v>336</v>
      </c>
      <c r="B6" s="454" t="s">
        <v>337</v>
      </c>
      <c r="C6" s="455" t="s">
        <v>101</v>
      </c>
      <c r="D6" s="456" t="s">
        <v>338</v>
      </c>
      <c r="E6" s="457">
        <f>'[1]Propustky'!F62</f>
        <v>16.3</v>
      </c>
      <c r="F6" s="457" t="s">
        <v>338</v>
      </c>
      <c r="G6" s="457">
        <f>'[1]Propustky'!F114</f>
        <v>10.95</v>
      </c>
      <c r="H6" s="458">
        <f aca="true" t="shared" si="0" ref="H6:H18">SUM(D6:G6)</f>
        <v>27.25</v>
      </c>
      <c r="I6" s="459" t="s">
        <v>9</v>
      </c>
      <c r="J6" s="460" t="s">
        <v>101</v>
      </c>
      <c r="K6" s="461" t="s">
        <v>337</v>
      </c>
      <c r="L6" s="462"/>
      <c r="M6" s="436"/>
      <c r="N6" s="463"/>
      <c r="O6" s="464"/>
    </row>
    <row r="7" spans="1:15" ht="12">
      <c r="A7" s="465" t="s">
        <v>339</v>
      </c>
      <c r="B7" s="466"/>
      <c r="C7" s="467" t="s">
        <v>122</v>
      </c>
      <c r="D7" s="468" t="s">
        <v>338</v>
      </c>
      <c r="E7" s="469">
        <f>'[1]Propustky'!H62</f>
        <v>7</v>
      </c>
      <c r="F7" s="469" t="s">
        <v>338</v>
      </c>
      <c r="G7" s="469">
        <f>'[1]Propustky'!H114</f>
        <v>5</v>
      </c>
      <c r="H7" s="470">
        <f t="shared" si="0"/>
        <v>12</v>
      </c>
      <c r="I7" s="459" t="s">
        <v>107</v>
      </c>
      <c r="J7" s="471" t="s">
        <v>122</v>
      </c>
      <c r="K7" s="472"/>
      <c r="L7" s="462"/>
      <c r="M7" s="436"/>
      <c r="N7" s="463"/>
      <c r="O7" s="464"/>
    </row>
    <row r="8" spans="1:15" ht="12">
      <c r="A8" s="465"/>
      <c r="B8" s="473" t="s">
        <v>340</v>
      </c>
      <c r="C8" s="474"/>
      <c r="D8" s="475" t="s">
        <v>338</v>
      </c>
      <c r="E8" s="476">
        <f>'[1]Propustky'!F63</f>
        <v>14</v>
      </c>
      <c r="F8" s="476" t="s">
        <v>338</v>
      </c>
      <c r="G8" s="476">
        <f>'[1]Propustky'!F115</f>
        <v>10</v>
      </c>
      <c r="H8" s="477">
        <f t="shared" si="0"/>
        <v>24</v>
      </c>
      <c r="I8" s="478" t="s">
        <v>107</v>
      </c>
      <c r="J8" s="479"/>
      <c r="K8" s="480" t="s">
        <v>340</v>
      </c>
      <c r="L8" s="481"/>
      <c r="M8" s="482"/>
      <c r="N8" s="463"/>
      <c r="O8" s="436"/>
    </row>
    <row r="9" spans="1:15" ht="13.5">
      <c r="A9" s="465"/>
      <c r="B9" s="483" t="s">
        <v>341</v>
      </c>
      <c r="C9" s="474" t="s">
        <v>342</v>
      </c>
      <c r="D9" s="484" t="s">
        <v>338</v>
      </c>
      <c r="E9" s="485">
        <f>'[1]Propustky'!F64</f>
        <v>11.370879999999998</v>
      </c>
      <c r="F9" s="485" t="s">
        <v>338</v>
      </c>
      <c r="G9" s="485">
        <f>'[1]Propustky'!F116</f>
        <v>7.429439999999999</v>
      </c>
      <c r="H9" s="486">
        <f t="shared" si="0"/>
        <v>18.800319999999996</v>
      </c>
      <c r="I9" s="459" t="s">
        <v>343</v>
      </c>
      <c r="J9" s="479" t="s">
        <v>342</v>
      </c>
      <c r="K9" s="487" t="s">
        <v>341</v>
      </c>
      <c r="L9" s="488"/>
      <c r="M9" s="464"/>
      <c r="N9" s="463"/>
      <c r="O9" s="436"/>
    </row>
    <row r="10" spans="1:15" ht="13.5">
      <c r="A10" s="465"/>
      <c r="B10" s="489" t="s">
        <v>344</v>
      </c>
      <c r="C10" s="490" t="s">
        <v>345</v>
      </c>
      <c r="D10" s="491" t="s">
        <v>338</v>
      </c>
      <c r="E10" s="492">
        <f>'[1]Propustky'!F65</f>
        <v>48.599999999999994</v>
      </c>
      <c r="F10" s="492" t="s">
        <v>338</v>
      </c>
      <c r="G10" s="492">
        <f>'[1]Propustky'!F117</f>
        <v>32.849999999999994</v>
      </c>
      <c r="H10" s="493">
        <f t="shared" si="0"/>
        <v>81.44999999999999</v>
      </c>
      <c r="I10" s="459" t="s">
        <v>346</v>
      </c>
      <c r="J10" s="494" t="s">
        <v>345</v>
      </c>
      <c r="K10" s="495" t="s">
        <v>344</v>
      </c>
      <c r="L10" s="462"/>
      <c r="M10" s="436"/>
      <c r="N10" s="464"/>
      <c r="O10" s="436"/>
    </row>
    <row r="11" spans="1:15" ht="12">
      <c r="A11" s="465"/>
      <c r="B11" s="496"/>
      <c r="C11" s="467"/>
      <c r="D11" s="497" t="s">
        <v>338</v>
      </c>
      <c r="E11" s="498">
        <f>'[1]Propustky'!H65</f>
        <v>383.94</v>
      </c>
      <c r="F11" s="498" t="s">
        <v>338</v>
      </c>
      <c r="G11" s="498">
        <f>'[1]Propustky'!H117</f>
        <v>259.515</v>
      </c>
      <c r="H11" s="499">
        <f t="shared" si="0"/>
        <v>643.4549999999999</v>
      </c>
      <c r="I11" s="718" t="s">
        <v>241</v>
      </c>
      <c r="J11" s="471"/>
      <c r="K11" s="472"/>
      <c r="L11" s="462"/>
      <c r="M11" s="436"/>
      <c r="N11" s="464"/>
      <c r="O11" s="436"/>
    </row>
    <row r="12" spans="1:15" ht="13.5">
      <c r="A12" s="465"/>
      <c r="B12" s="496"/>
      <c r="C12" s="490" t="s">
        <v>347</v>
      </c>
      <c r="D12" s="491" t="s">
        <v>338</v>
      </c>
      <c r="E12" s="492">
        <f>'[1]Propustky'!F66</f>
        <v>29.260000000000005</v>
      </c>
      <c r="F12" s="492" t="s">
        <v>338</v>
      </c>
      <c r="G12" s="492">
        <f>'[1]Propustky'!F118</f>
        <v>23.210000000000004</v>
      </c>
      <c r="H12" s="493">
        <f t="shared" si="0"/>
        <v>52.47000000000001</v>
      </c>
      <c r="I12" s="459" t="s">
        <v>346</v>
      </c>
      <c r="J12" s="494" t="s">
        <v>347</v>
      </c>
      <c r="K12" s="500"/>
      <c r="L12" s="462"/>
      <c r="M12" s="436"/>
      <c r="N12" s="464"/>
      <c r="O12" s="436"/>
    </row>
    <row r="13" spans="1:15" ht="12">
      <c r="A13" s="465"/>
      <c r="B13" s="501"/>
      <c r="C13" s="467"/>
      <c r="D13" s="497" t="s">
        <v>338</v>
      </c>
      <c r="E13" s="498">
        <f>'[1]Propustky'!H66</f>
        <v>231.15400000000005</v>
      </c>
      <c r="F13" s="498" t="s">
        <v>338</v>
      </c>
      <c r="G13" s="498">
        <f>'[1]Propustky'!H118</f>
        <v>183.35900000000004</v>
      </c>
      <c r="H13" s="499">
        <f t="shared" si="0"/>
        <v>414.5130000000001</v>
      </c>
      <c r="I13" s="459" t="s">
        <v>241</v>
      </c>
      <c r="J13" s="471"/>
      <c r="K13" s="472"/>
      <c r="L13" s="462"/>
      <c r="M13" s="436"/>
      <c r="N13" s="464"/>
      <c r="O13" s="436"/>
    </row>
    <row r="14" spans="1:15" ht="13.5">
      <c r="A14" s="465"/>
      <c r="B14" s="483" t="s">
        <v>348</v>
      </c>
      <c r="C14" s="474" t="s">
        <v>349</v>
      </c>
      <c r="D14" s="484" t="s">
        <v>338</v>
      </c>
      <c r="E14" s="485">
        <f>'[1]Propustky'!F67</f>
        <v>4.788</v>
      </c>
      <c r="F14" s="485" t="s">
        <v>338</v>
      </c>
      <c r="G14" s="485">
        <f>'[1]Propustky'!F119</f>
        <v>3.798</v>
      </c>
      <c r="H14" s="493">
        <f t="shared" si="0"/>
        <v>8.586</v>
      </c>
      <c r="I14" s="459" t="s">
        <v>343</v>
      </c>
      <c r="J14" s="479" t="s">
        <v>349</v>
      </c>
      <c r="K14" s="487" t="s">
        <v>348</v>
      </c>
      <c r="L14" s="488"/>
      <c r="M14" s="464"/>
      <c r="N14" s="463"/>
      <c r="O14" s="436"/>
    </row>
    <row r="15" spans="1:15" ht="13.5">
      <c r="A15" s="465"/>
      <c r="B15" s="483" t="s">
        <v>350</v>
      </c>
      <c r="C15" s="474" t="s">
        <v>351</v>
      </c>
      <c r="D15" s="484" t="s">
        <v>338</v>
      </c>
      <c r="E15" s="485">
        <f>'[1]Propustky'!F68</f>
        <v>1.9285</v>
      </c>
      <c r="F15" s="485" t="s">
        <v>338</v>
      </c>
      <c r="G15" s="485">
        <f>'[1]Propustky'!F120</f>
        <v>1.34125</v>
      </c>
      <c r="H15" s="493">
        <f t="shared" si="0"/>
        <v>3.26975</v>
      </c>
      <c r="I15" s="459" t="s">
        <v>343</v>
      </c>
      <c r="J15" s="479" t="s">
        <v>351</v>
      </c>
      <c r="K15" s="487" t="s">
        <v>350</v>
      </c>
      <c r="L15" s="488"/>
      <c r="M15" s="464"/>
      <c r="N15" s="463"/>
      <c r="O15" s="436"/>
    </row>
    <row r="16" spans="1:15" ht="13.5">
      <c r="A16" s="465"/>
      <c r="B16" s="502" t="s">
        <v>352</v>
      </c>
      <c r="C16" s="490" t="s">
        <v>351</v>
      </c>
      <c r="D16" s="491" t="s">
        <v>338</v>
      </c>
      <c r="E16" s="492">
        <f>'[1]Propustky'!F69</f>
        <v>2.1945</v>
      </c>
      <c r="F16" s="492" t="s">
        <v>338</v>
      </c>
      <c r="G16" s="492">
        <f>'[1]Propustky'!F121</f>
        <v>1.52625</v>
      </c>
      <c r="H16" s="716">
        <f t="shared" si="0"/>
        <v>3.7207500000000002</v>
      </c>
      <c r="I16" s="459" t="s">
        <v>343</v>
      </c>
      <c r="J16" s="494" t="s">
        <v>351</v>
      </c>
      <c r="K16" s="495" t="s">
        <v>352</v>
      </c>
      <c r="L16" s="459"/>
      <c r="M16" s="464"/>
      <c r="N16" s="463"/>
      <c r="O16" s="436"/>
    </row>
    <row r="17" spans="1:15" ht="13.5">
      <c r="A17" s="465"/>
      <c r="B17" s="466"/>
      <c r="C17" s="467"/>
      <c r="D17" s="497" t="s">
        <v>338</v>
      </c>
      <c r="E17" s="498">
        <f>'[1]Propustky'!H69</f>
        <v>19.799999999999997</v>
      </c>
      <c r="F17" s="498" t="s">
        <v>338</v>
      </c>
      <c r="G17" s="498">
        <f>'[1]Propustky'!H121</f>
        <v>15.2625</v>
      </c>
      <c r="H17" s="499">
        <f t="shared" si="0"/>
        <v>35.0625</v>
      </c>
      <c r="I17" s="459" t="s">
        <v>346</v>
      </c>
      <c r="J17" s="471"/>
      <c r="K17" s="472"/>
      <c r="L17" s="459"/>
      <c r="M17" s="464"/>
      <c r="N17" s="463"/>
      <c r="O17" s="436"/>
    </row>
    <row r="18" spans="1:15" ht="13.5">
      <c r="A18" s="503"/>
      <c r="B18" s="483" t="s">
        <v>353</v>
      </c>
      <c r="C18" s="474"/>
      <c r="D18" s="484" t="s">
        <v>338</v>
      </c>
      <c r="E18" s="485">
        <f>'[1]Propustky'!F70</f>
        <v>48.620000000000005</v>
      </c>
      <c r="F18" s="485" t="s">
        <v>338</v>
      </c>
      <c r="G18" s="485">
        <f>'[1]Propustky'!F122</f>
        <v>29.25</v>
      </c>
      <c r="H18" s="493">
        <f t="shared" si="0"/>
        <v>77.87</v>
      </c>
      <c r="I18" s="459" t="s">
        <v>346</v>
      </c>
      <c r="J18" s="479"/>
      <c r="K18" s="487" t="s">
        <v>353</v>
      </c>
      <c r="L18" s="459"/>
      <c r="M18" s="464"/>
      <c r="N18" s="463"/>
      <c r="O18" s="436"/>
    </row>
    <row r="19" spans="1:15" ht="6" customHeight="1">
      <c r="A19" s="504"/>
      <c r="B19" s="505"/>
      <c r="C19" s="506"/>
      <c r="D19" s="507"/>
      <c r="E19" s="508"/>
      <c r="F19" s="508"/>
      <c r="G19" s="508"/>
      <c r="H19" s="509"/>
      <c r="I19" s="459"/>
      <c r="J19" s="510"/>
      <c r="K19" s="511"/>
      <c r="L19" s="459"/>
      <c r="M19" s="464"/>
      <c r="N19" s="463"/>
      <c r="O19" s="436"/>
    </row>
    <row r="20" spans="1:15" ht="12">
      <c r="A20" s="512" t="s">
        <v>354</v>
      </c>
      <c r="B20" s="502" t="s">
        <v>355</v>
      </c>
      <c r="C20" s="490" t="s">
        <v>101</v>
      </c>
      <c r="D20" s="491">
        <f>'[1]Propustky'!F6</f>
        <v>8.5</v>
      </c>
      <c r="E20" s="492" t="s">
        <v>338</v>
      </c>
      <c r="F20" s="492" t="s">
        <v>338</v>
      </c>
      <c r="G20" s="492" t="s">
        <v>338</v>
      </c>
      <c r="H20" s="493">
        <f>SUM(D20:G20)</f>
        <v>8.5</v>
      </c>
      <c r="I20" s="459" t="s">
        <v>9</v>
      </c>
      <c r="J20" s="494" t="s">
        <v>101</v>
      </c>
      <c r="K20" s="495" t="s">
        <v>355</v>
      </c>
      <c r="L20" s="459"/>
      <c r="M20" s="464"/>
      <c r="N20" s="463"/>
      <c r="O20" s="436"/>
    </row>
    <row r="21" spans="1:15" ht="12">
      <c r="A21" s="465" t="s">
        <v>356</v>
      </c>
      <c r="B21" s="466" t="s">
        <v>357</v>
      </c>
      <c r="C21" s="467"/>
      <c r="D21" s="513"/>
      <c r="E21" s="514"/>
      <c r="F21" s="514"/>
      <c r="G21" s="514"/>
      <c r="H21" s="515"/>
      <c r="I21" s="459"/>
      <c r="J21" s="471"/>
      <c r="K21" s="472" t="s">
        <v>357</v>
      </c>
      <c r="L21" s="459"/>
      <c r="M21" s="464"/>
      <c r="N21" s="463"/>
      <c r="O21" s="436"/>
    </row>
    <row r="22" spans="1:15" ht="13.5">
      <c r="A22" s="465" t="s">
        <v>358</v>
      </c>
      <c r="B22" s="502" t="s">
        <v>359</v>
      </c>
      <c r="C22" s="490" t="s">
        <v>360</v>
      </c>
      <c r="D22" s="491">
        <f>'[1]Propustky'!F8</f>
        <v>13.6875</v>
      </c>
      <c r="E22" s="492" t="s">
        <v>338</v>
      </c>
      <c r="F22" s="492" t="s">
        <v>338</v>
      </c>
      <c r="G22" s="492" t="s">
        <v>338</v>
      </c>
      <c r="H22" s="493">
        <f>SUM(D22:G22)</f>
        <v>13.6875</v>
      </c>
      <c r="I22" s="459" t="s">
        <v>343</v>
      </c>
      <c r="J22" s="494" t="s">
        <v>360</v>
      </c>
      <c r="K22" s="495" t="s">
        <v>359</v>
      </c>
      <c r="L22" s="459"/>
      <c r="M22" s="464"/>
      <c r="N22" s="463"/>
      <c r="O22" s="436"/>
    </row>
    <row r="23" spans="1:15" ht="13.5">
      <c r="A23" s="465"/>
      <c r="B23" s="466"/>
      <c r="C23" s="467"/>
      <c r="D23" s="497">
        <f>'[1]Propustky'!H8</f>
        <v>27.375</v>
      </c>
      <c r="E23" s="498" t="s">
        <v>338</v>
      </c>
      <c r="F23" s="498" t="s">
        <v>338</v>
      </c>
      <c r="G23" s="498" t="s">
        <v>338</v>
      </c>
      <c r="H23" s="499">
        <f>SUM(D23:G23)</f>
        <v>27.375</v>
      </c>
      <c r="I23" s="459" t="s">
        <v>346</v>
      </c>
      <c r="J23" s="471"/>
      <c r="K23" s="472"/>
      <c r="L23" s="459"/>
      <c r="M23" s="464"/>
      <c r="N23" s="463"/>
      <c r="O23" s="436"/>
    </row>
    <row r="24" spans="1:15" ht="6" customHeight="1">
      <c r="A24" s="516"/>
      <c r="B24" s="517"/>
      <c r="C24" s="518"/>
      <c r="D24" s="519"/>
      <c r="E24" s="520"/>
      <c r="F24" s="520"/>
      <c r="G24" s="520"/>
      <c r="H24" s="521"/>
      <c r="I24" s="459"/>
      <c r="J24" s="522"/>
      <c r="K24" s="523"/>
      <c r="L24" s="459"/>
      <c r="M24" s="464"/>
      <c r="N24" s="463"/>
      <c r="O24" s="436"/>
    </row>
    <row r="25" spans="1:15" ht="13.5">
      <c r="A25" s="512" t="s">
        <v>361</v>
      </c>
      <c r="B25" s="483" t="s">
        <v>362</v>
      </c>
      <c r="C25" s="490"/>
      <c r="D25" s="484" t="s">
        <v>338</v>
      </c>
      <c r="E25" s="485">
        <f>'[1]Propustky'!F72</f>
        <v>4.800000000000001</v>
      </c>
      <c r="F25" s="485" t="s">
        <v>338</v>
      </c>
      <c r="G25" s="485">
        <f>'[1]Propustky'!F124</f>
        <v>2.4000000000000004</v>
      </c>
      <c r="H25" s="493">
        <f aca="true" t="shared" si="1" ref="H25:H31">SUM(D25:G25)</f>
        <v>7.200000000000001</v>
      </c>
      <c r="I25" s="459" t="s">
        <v>343</v>
      </c>
      <c r="J25" s="494"/>
      <c r="K25" s="487" t="s">
        <v>362</v>
      </c>
      <c r="L25" s="459"/>
      <c r="M25" s="464"/>
      <c r="N25" s="463"/>
      <c r="O25" s="436"/>
    </row>
    <row r="26" spans="1:15" ht="13.5">
      <c r="A26" s="465"/>
      <c r="B26" s="483" t="s">
        <v>350</v>
      </c>
      <c r="C26" s="490" t="s">
        <v>73</v>
      </c>
      <c r="D26" s="484" t="s">
        <v>338</v>
      </c>
      <c r="E26" s="485">
        <f>'[1]Propustky'!F73</f>
        <v>1.6380000000000001</v>
      </c>
      <c r="F26" s="485" t="s">
        <v>338</v>
      </c>
      <c r="G26" s="485">
        <f>'[1]Propustky'!F125</f>
        <v>0.8190000000000001</v>
      </c>
      <c r="H26" s="493">
        <f t="shared" si="1"/>
        <v>2.4570000000000003</v>
      </c>
      <c r="I26" s="459" t="s">
        <v>343</v>
      </c>
      <c r="J26" s="494" t="s">
        <v>73</v>
      </c>
      <c r="K26" s="487" t="s">
        <v>350</v>
      </c>
      <c r="L26" s="459"/>
      <c r="M26" s="464"/>
      <c r="N26" s="463"/>
      <c r="O26" s="436"/>
    </row>
    <row r="27" spans="1:15" ht="13.5">
      <c r="A27" s="465"/>
      <c r="B27" s="502" t="s">
        <v>352</v>
      </c>
      <c r="C27" s="490" t="s">
        <v>351</v>
      </c>
      <c r="D27" s="491" t="s">
        <v>338</v>
      </c>
      <c r="E27" s="492">
        <f>'[1]Propustky'!F74</f>
        <v>1</v>
      </c>
      <c r="F27" s="492" t="s">
        <v>338</v>
      </c>
      <c r="G27" s="492">
        <f>'[1]Propustky'!F126</f>
        <v>0.5</v>
      </c>
      <c r="H27" s="716">
        <f t="shared" si="1"/>
        <v>1.5</v>
      </c>
      <c r="I27" s="459" t="s">
        <v>343</v>
      </c>
      <c r="J27" s="494" t="s">
        <v>351</v>
      </c>
      <c r="K27" s="495" t="s">
        <v>352</v>
      </c>
      <c r="L27" s="459"/>
      <c r="M27" s="464"/>
      <c r="N27" s="463"/>
      <c r="O27" s="436"/>
    </row>
    <row r="28" spans="1:15" ht="13.5">
      <c r="A28" s="465"/>
      <c r="B28" s="466"/>
      <c r="C28" s="467"/>
      <c r="D28" s="497" t="s">
        <v>338</v>
      </c>
      <c r="E28" s="498">
        <f>'[1]Propustky'!H74</f>
        <v>10</v>
      </c>
      <c r="F28" s="498" t="s">
        <v>338</v>
      </c>
      <c r="G28" s="498">
        <f>'[1]Propustky'!H126</f>
        <v>5</v>
      </c>
      <c r="H28" s="499">
        <f t="shared" si="1"/>
        <v>15</v>
      </c>
      <c r="I28" s="459" t="s">
        <v>346</v>
      </c>
      <c r="J28" s="471"/>
      <c r="K28" s="472"/>
      <c r="L28" s="459"/>
      <c r="M28" s="464"/>
      <c r="N28" s="463"/>
      <c r="O28" s="436"/>
    </row>
    <row r="29" spans="1:15" ht="13.5">
      <c r="A29" s="465"/>
      <c r="B29" s="483" t="s">
        <v>363</v>
      </c>
      <c r="C29" s="490" t="s">
        <v>342</v>
      </c>
      <c r="D29" s="484" t="s">
        <v>338</v>
      </c>
      <c r="E29" s="485">
        <f>'[1]Propustky'!F75</f>
        <v>18</v>
      </c>
      <c r="F29" s="485">
        <f>'[1]Propustky'!F103</f>
        <v>7.4</v>
      </c>
      <c r="G29" s="485" t="s">
        <v>338</v>
      </c>
      <c r="H29" s="493">
        <f t="shared" si="1"/>
        <v>25.4</v>
      </c>
      <c r="I29" s="459" t="s">
        <v>346</v>
      </c>
      <c r="J29" s="494" t="s">
        <v>342</v>
      </c>
      <c r="K29" s="487" t="s">
        <v>363</v>
      </c>
      <c r="L29" s="459"/>
      <c r="M29" s="464"/>
      <c r="N29" s="463"/>
      <c r="O29" s="436"/>
    </row>
    <row r="30" spans="1:15" ht="13.5">
      <c r="A30" s="465"/>
      <c r="B30" s="483" t="s">
        <v>364</v>
      </c>
      <c r="C30" s="490" t="s">
        <v>351</v>
      </c>
      <c r="D30" s="484" t="s">
        <v>338</v>
      </c>
      <c r="E30" s="485">
        <f>'[1]Propustky'!F76</f>
        <v>1.8</v>
      </c>
      <c r="F30" s="485">
        <f>'[1]Propustky'!F104</f>
        <v>0.7400000000000001</v>
      </c>
      <c r="G30" s="485" t="s">
        <v>338</v>
      </c>
      <c r="H30" s="493">
        <f t="shared" si="1"/>
        <v>2.54</v>
      </c>
      <c r="I30" s="459" t="s">
        <v>343</v>
      </c>
      <c r="J30" s="494" t="s">
        <v>351</v>
      </c>
      <c r="K30" s="487" t="s">
        <v>364</v>
      </c>
      <c r="L30" s="459"/>
      <c r="M30" s="464"/>
      <c r="N30" s="463"/>
      <c r="O30" s="436"/>
    </row>
    <row r="31" spans="1:15" ht="13.5">
      <c r="A31" s="465"/>
      <c r="B31" s="483" t="s">
        <v>353</v>
      </c>
      <c r="C31" s="490"/>
      <c r="D31" s="484" t="s">
        <v>338</v>
      </c>
      <c r="E31" s="485">
        <f>'[1]Propustky'!F77</f>
        <v>11.200000000000001</v>
      </c>
      <c r="F31" s="485" t="s">
        <v>338</v>
      </c>
      <c r="G31" s="485">
        <f>'[1]Propustky'!F127</f>
        <v>5.6000000000000005</v>
      </c>
      <c r="H31" s="493">
        <f t="shared" si="1"/>
        <v>16.8</v>
      </c>
      <c r="I31" s="459" t="s">
        <v>346</v>
      </c>
      <c r="J31" s="494"/>
      <c r="K31" s="487" t="s">
        <v>353</v>
      </c>
      <c r="L31" s="459"/>
      <c r="M31" s="464"/>
      <c r="N31" s="463"/>
      <c r="O31" s="436"/>
    </row>
    <row r="32" spans="1:15" ht="6" customHeight="1">
      <c r="A32" s="524"/>
      <c r="B32" s="517"/>
      <c r="C32" s="518"/>
      <c r="D32" s="519"/>
      <c r="E32" s="520"/>
      <c r="F32" s="520"/>
      <c r="G32" s="520"/>
      <c r="H32" s="521"/>
      <c r="I32" s="459"/>
      <c r="J32" s="522"/>
      <c r="K32" s="523"/>
      <c r="L32" s="459"/>
      <c r="M32" s="464"/>
      <c r="N32" s="463"/>
      <c r="O32" s="436"/>
    </row>
    <row r="33" spans="1:15" ht="13.5">
      <c r="A33" s="465" t="s">
        <v>365</v>
      </c>
      <c r="B33" s="525" t="s">
        <v>366</v>
      </c>
      <c r="C33" s="474"/>
      <c r="D33" s="484">
        <f>'[1]Propustky'!F10</f>
        <v>35.4866</v>
      </c>
      <c r="E33" s="485" t="s">
        <v>338</v>
      </c>
      <c r="F33" s="485" t="s">
        <v>338</v>
      </c>
      <c r="G33" s="485" t="s">
        <v>338</v>
      </c>
      <c r="H33" s="493">
        <f>SUM(D33:G33)</f>
        <v>35.4866</v>
      </c>
      <c r="I33" s="459" t="s">
        <v>343</v>
      </c>
      <c r="J33" s="479"/>
      <c r="K33" s="487" t="s">
        <v>366</v>
      </c>
      <c r="L33" s="459"/>
      <c r="M33" s="464"/>
      <c r="N33" s="463"/>
      <c r="O33" s="436"/>
    </row>
    <row r="34" spans="1:15" ht="12">
      <c r="A34" s="465"/>
      <c r="B34" s="525" t="s">
        <v>367</v>
      </c>
      <c r="C34" s="474"/>
      <c r="D34" s="484">
        <f>'[1]Propustky'!F11</f>
        <v>5.5713962</v>
      </c>
      <c r="E34" s="485" t="s">
        <v>338</v>
      </c>
      <c r="F34" s="485" t="s">
        <v>338</v>
      </c>
      <c r="G34" s="485" t="s">
        <v>338</v>
      </c>
      <c r="H34" s="493">
        <f>SUM(D34:G34)</f>
        <v>5.5713962</v>
      </c>
      <c r="I34" s="459" t="s">
        <v>368</v>
      </c>
      <c r="J34" s="479"/>
      <c r="K34" s="487" t="s">
        <v>367</v>
      </c>
      <c r="L34" s="459"/>
      <c r="M34" s="464"/>
      <c r="N34" s="463"/>
      <c r="O34" s="436"/>
    </row>
    <row r="35" spans="1:15" ht="13.5">
      <c r="A35" s="465"/>
      <c r="B35" s="525" t="s">
        <v>369</v>
      </c>
      <c r="C35" s="474" t="s">
        <v>73</v>
      </c>
      <c r="D35" s="484">
        <f>'[1]Propustky'!F12</f>
        <v>4.95225</v>
      </c>
      <c r="E35" s="485" t="s">
        <v>338</v>
      </c>
      <c r="F35" s="485" t="s">
        <v>338</v>
      </c>
      <c r="G35" s="485" t="s">
        <v>338</v>
      </c>
      <c r="H35" s="493">
        <f>SUM(D35:G35)</f>
        <v>4.95225</v>
      </c>
      <c r="I35" s="459" t="s">
        <v>343</v>
      </c>
      <c r="J35" s="479" t="s">
        <v>73</v>
      </c>
      <c r="K35" s="487" t="s">
        <v>369</v>
      </c>
      <c r="L35" s="459"/>
      <c r="M35" s="464"/>
      <c r="N35" s="463"/>
      <c r="O35" s="436"/>
    </row>
    <row r="36" spans="1:15" ht="13.5">
      <c r="A36" s="465"/>
      <c r="B36" s="525" t="s">
        <v>370</v>
      </c>
      <c r="C36" s="474" t="s">
        <v>87</v>
      </c>
      <c r="D36" s="484">
        <f>'[1]Propustky'!F13</f>
        <v>5.75</v>
      </c>
      <c r="E36" s="485" t="s">
        <v>338</v>
      </c>
      <c r="F36" s="485" t="s">
        <v>338</v>
      </c>
      <c r="G36" s="485" t="s">
        <v>338</v>
      </c>
      <c r="H36" s="493">
        <f>SUM(D36:G36)</f>
        <v>5.75</v>
      </c>
      <c r="I36" s="459" t="s">
        <v>346</v>
      </c>
      <c r="J36" s="479" t="s">
        <v>87</v>
      </c>
      <c r="K36" s="487" t="s">
        <v>370</v>
      </c>
      <c r="L36" s="459"/>
      <c r="M36" s="464"/>
      <c r="N36" s="463"/>
      <c r="O36" s="436"/>
    </row>
    <row r="37" spans="1:15" ht="13.5">
      <c r="A37" s="465"/>
      <c r="B37" s="525" t="s">
        <v>353</v>
      </c>
      <c r="C37" s="526"/>
      <c r="D37" s="484">
        <f>'[1]Propustky'!F14</f>
        <v>78.526</v>
      </c>
      <c r="E37" s="485" t="s">
        <v>338</v>
      </c>
      <c r="F37" s="485" t="s">
        <v>338</v>
      </c>
      <c r="G37" s="485" t="s">
        <v>338</v>
      </c>
      <c r="H37" s="493">
        <f>SUM(D37:G37)</f>
        <v>78.526</v>
      </c>
      <c r="I37" s="459" t="s">
        <v>346</v>
      </c>
      <c r="J37" s="527"/>
      <c r="K37" s="487" t="s">
        <v>353</v>
      </c>
      <c r="L37" s="459"/>
      <c r="M37" s="464"/>
      <c r="N37" s="463"/>
      <c r="O37" s="436"/>
    </row>
    <row r="38" spans="1:15" ht="6" customHeight="1">
      <c r="A38" s="524"/>
      <c r="B38" s="517"/>
      <c r="C38" s="518"/>
      <c r="D38" s="519"/>
      <c r="E38" s="520"/>
      <c r="F38" s="520"/>
      <c r="G38" s="520"/>
      <c r="H38" s="521"/>
      <c r="I38" s="459"/>
      <c r="J38" s="522"/>
      <c r="K38" s="523"/>
      <c r="L38" s="459"/>
      <c r="M38" s="464"/>
      <c r="N38" s="463"/>
      <c r="O38" s="436"/>
    </row>
    <row r="39" spans="1:15" ht="13.5">
      <c r="A39" s="512" t="s">
        <v>371</v>
      </c>
      <c r="B39" s="483" t="s">
        <v>372</v>
      </c>
      <c r="C39" s="474"/>
      <c r="D39" s="484">
        <f>'[1]Propustky'!F16</f>
        <v>13.546125</v>
      </c>
      <c r="E39" s="485" t="s">
        <v>338</v>
      </c>
      <c r="F39" s="485" t="s">
        <v>338</v>
      </c>
      <c r="G39" s="485">
        <f>'[1]Propustky'!F129</f>
        <v>3.6417799999999994</v>
      </c>
      <c r="H39" s="486"/>
      <c r="I39" s="459" t="s">
        <v>343</v>
      </c>
      <c r="J39" s="479"/>
      <c r="K39" s="487" t="s">
        <v>372</v>
      </c>
      <c r="L39" s="488"/>
      <c r="M39" s="464"/>
      <c r="N39" s="463"/>
      <c r="O39" s="436"/>
    </row>
    <row r="40" spans="1:15" ht="12">
      <c r="A40" s="465"/>
      <c r="B40" s="502" t="s">
        <v>344</v>
      </c>
      <c r="C40" s="490" t="s">
        <v>373</v>
      </c>
      <c r="D40" s="491" t="s">
        <v>338</v>
      </c>
      <c r="E40" s="492" t="s">
        <v>338</v>
      </c>
      <c r="F40" s="492" t="s">
        <v>338</v>
      </c>
      <c r="G40" s="492">
        <f>'[1]Propustky'!F130</f>
        <v>25.9</v>
      </c>
      <c r="H40" s="493">
        <f aca="true" t="shared" si="2" ref="H40:H55">SUM(D40:G40)</f>
        <v>25.9</v>
      </c>
      <c r="I40" s="717">
        <f>H27+H48+H48+H61</f>
        <v>3.97</v>
      </c>
      <c r="J40" s="494" t="s">
        <v>373</v>
      </c>
      <c r="K40" s="495" t="s">
        <v>344</v>
      </c>
      <c r="L40" s="462"/>
      <c r="M40" s="436"/>
      <c r="N40" s="463"/>
      <c r="O40" s="436"/>
    </row>
    <row r="41" spans="1:15" ht="12">
      <c r="A41" s="465"/>
      <c r="B41" s="466"/>
      <c r="C41" s="467"/>
      <c r="D41" s="497" t="s">
        <v>338</v>
      </c>
      <c r="E41" s="498" t="s">
        <v>338</v>
      </c>
      <c r="F41" s="498" t="s">
        <v>338</v>
      </c>
      <c r="G41" s="498">
        <f>'[1]Propustky'!H130</f>
        <v>204.60999999999999</v>
      </c>
      <c r="H41" s="499">
        <f t="shared" si="2"/>
        <v>204.60999999999999</v>
      </c>
      <c r="I41" s="719" t="s">
        <v>241</v>
      </c>
      <c r="J41" s="471"/>
      <c r="K41" s="472"/>
      <c r="L41" s="462"/>
      <c r="M41" s="436"/>
      <c r="N41" s="463"/>
      <c r="O41" s="436"/>
    </row>
    <row r="42" spans="1:15" ht="12">
      <c r="A42" s="465"/>
      <c r="B42" s="489" t="s">
        <v>367</v>
      </c>
      <c r="C42" s="490" t="s">
        <v>373</v>
      </c>
      <c r="D42" s="528">
        <f>'[1]Propustky'!F17</f>
        <v>2.126741625</v>
      </c>
      <c r="E42" s="529" t="s">
        <v>338</v>
      </c>
      <c r="F42" s="529" t="s">
        <v>338</v>
      </c>
      <c r="G42" s="529" t="s">
        <v>338</v>
      </c>
      <c r="H42" s="493">
        <f t="shared" si="2"/>
        <v>2.126741625</v>
      </c>
      <c r="I42" s="459" t="s">
        <v>368</v>
      </c>
      <c r="J42" s="530"/>
      <c r="K42" s="500"/>
      <c r="L42" s="462"/>
      <c r="M42" s="436"/>
      <c r="N42" s="463"/>
      <c r="O42" s="436"/>
    </row>
    <row r="43" spans="1:15" ht="13.5">
      <c r="A43" s="465"/>
      <c r="B43" s="489" t="s">
        <v>374</v>
      </c>
      <c r="C43" s="474" t="s">
        <v>375</v>
      </c>
      <c r="D43" s="484">
        <f>'[1]Propustky'!F18</f>
        <v>3.170625</v>
      </c>
      <c r="E43" s="485" t="s">
        <v>338</v>
      </c>
      <c r="F43" s="485" t="s">
        <v>338</v>
      </c>
      <c r="G43" s="485">
        <f>'[1]Propustky'!F132</f>
        <v>0.6554999999999999</v>
      </c>
      <c r="H43" s="493">
        <f t="shared" si="2"/>
        <v>3.8261249999999998</v>
      </c>
      <c r="I43" s="459" t="s">
        <v>343</v>
      </c>
      <c r="J43" s="479" t="s">
        <v>375</v>
      </c>
      <c r="K43" s="495" t="s">
        <v>374</v>
      </c>
      <c r="L43" s="488"/>
      <c r="M43" s="464"/>
      <c r="N43" s="463"/>
      <c r="O43" s="436"/>
    </row>
    <row r="44" spans="1:15" ht="13.5">
      <c r="A44" s="465"/>
      <c r="B44" s="501"/>
      <c r="C44" s="474" t="s">
        <v>376</v>
      </c>
      <c r="D44" s="484" t="s">
        <v>338</v>
      </c>
      <c r="E44" s="485" t="s">
        <v>338</v>
      </c>
      <c r="F44" s="485" t="s">
        <v>338</v>
      </c>
      <c r="G44" s="485">
        <f>'[1]Propustky'!F133</f>
        <v>0.144</v>
      </c>
      <c r="H44" s="493">
        <f t="shared" si="2"/>
        <v>0.144</v>
      </c>
      <c r="I44" s="459" t="s">
        <v>343</v>
      </c>
      <c r="J44" s="479" t="s">
        <v>376</v>
      </c>
      <c r="K44" s="472"/>
      <c r="L44" s="488"/>
      <c r="M44" s="464"/>
      <c r="N44" s="463"/>
      <c r="O44" s="436"/>
    </row>
    <row r="45" spans="1:15" ht="13.5">
      <c r="A45" s="465"/>
      <c r="B45" s="483" t="s">
        <v>377</v>
      </c>
      <c r="C45" s="474" t="s">
        <v>73</v>
      </c>
      <c r="D45" s="484">
        <f>'[1]Propustky'!F19</f>
        <v>1.85</v>
      </c>
      <c r="E45" s="485" t="s">
        <v>338</v>
      </c>
      <c r="F45" s="485" t="s">
        <v>338</v>
      </c>
      <c r="G45" s="485">
        <f>'[1]Propustky'!F134</f>
        <v>0.96</v>
      </c>
      <c r="H45" s="493">
        <f t="shared" si="2"/>
        <v>2.81</v>
      </c>
      <c r="I45" s="459" t="s">
        <v>346</v>
      </c>
      <c r="J45" s="479" t="s">
        <v>73</v>
      </c>
      <c r="K45" s="487" t="s">
        <v>377</v>
      </c>
      <c r="L45" s="459"/>
      <c r="M45" s="464"/>
      <c r="N45" s="463"/>
      <c r="O45" s="436"/>
    </row>
    <row r="46" spans="1:15" ht="13.5">
      <c r="A46" s="465"/>
      <c r="B46" s="531" t="s">
        <v>378</v>
      </c>
      <c r="C46" s="532"/>
      <c r="D46" s="533">
        <f>'[1]Propustky'!F20</f>
        <v>1.11</v>
      </c>
      <c r="E46" s="534" t="s">
        <v>338</v>
      </c>
      <c r="F46" s="534" t="s">
        <v>338</v>
      </c>
      <c r="G46" s="534" t="s">
        <v>338</v>
      </c>
      <c r="H46" s="493">
        <f t="shared" si="2"/>
        <v>1.11</v>
      </c>
      <c r="I46" s="459" t="s">
        <v>346</v>
      </c>
      <c r="J46" s="535"/>
      <c r="K46" s="532" t="s">
        <v>378</v>
      </c>
      <c r="L46" s="459"/>
      <c r="M46" s="464"/>
      <c r="N46" s="463"/>
      <c r="O46" s="436"/>
    </row>
    <row r="47" spans="1:15" ht="13.5">
      <c r="A47" s="465"/>
      <c r="B47" s="536" t="s">
        <v>364</v>
      </c>
      <c r="C47" s="537" t="s">
        <v>379</v>
      </c>
      <c r="D47" s="538">
        <f>'[1]Propustky'!F21</f>
        <v>0.3885</v>
      </c>
      <c r="E47" s="539" t="s">
        <v>338</v>
      </c>
      <c r="F47" s="539" t="s">
        <v>338</v>
      </c>
      <c r="G47" s="539" t="s">
        <v>338</v>
      </c>
      <c r="H47" s="493">
        <f t="shared" si="2"/>
        <v>0.3885</v>
      </c>
      <c r="I47" s="459" t="s">
        <v>343</v>
      </c>
      <c r="J47" s="540" t="s">
        <v>379</v>
      </c>
      <c r="K47" s="541" t="s">
        <v>380</v>
      </c>
      <c r="L47" s="459"/>
      <c r="M47" s="464"/>
      <c r="N47" s="463"/>
      <c r="O47" s="436"/>
    </row>
    <row r="48" spans="1:15" ht="13.5">
      <c r="A48" s="465"/>
      <c r="B48" s="502" t="s">
        <v>352</v>
      </c>
      <c r="C48" s="490" t="s">
        <v>351</v>
      </c>
      <c r="D48" s="491" t="s">
        <v>338</v>
      </c>
      <c r="E48" s="492" t="s">
        <v>338</v>
      </c>
      <c r="F48" s="492" t="s">
        <v>338</v>
      </c>
      <c r="G48" s="492">
        <f>'[1]Propustky'!F135</f>
        <v>0.418</v>
      </c>
      <c r="H48" s="716">
        <f t="shared" si="2"/>
        <v>0.418</v>
      </c>
      <c r="I48" s="459" t="s">
        <v>343</v>
      </c>
      <c r="J48" s="494" t="s">
        <v>351</v>
      </c>
      <c r="K48" s="495" t="s">
        <v>352</v>
      </c>
      <c r="L48" s="459"/>
      <c r="M48" s="464"/>
      <c r="N48" s="463"/>
      <c r="O48" s="436"/>
    </row>
    <row r="49" spans="1:15" ht="13.5">
      <c r="A49" s="465"/>
      <c r="B49" s="466"/>
      <c r="C49" s="467"/>
      <c r="D49" s="497" t="s">
        <v>338</v>
      </c>
      <c r="E49" s="498" t="s">
        <v>338</v>
      </c>
      <c r="F49" s="498" t="s">
        <v>338</v>
      </c>
      <c r="G49" s="498">
        <f>'[1]Propustky'!H135</f>
        <v>4.18</v>
      </c>
      <c r="H49" s="499">
        <f t="shared" si="2"/>
        <v>4.18</v>
      </c>
      <c r="I49" s="459" t="s">
        <v>346</v>
      </c>
      <c r="J49" s="471"/>
      <c r="K49" s="472"/>
      <c r="L49" s="459"/>
      <c r="M49" s="464"/>
      <c r="N49" s="463"/>
      <c r="O49" s="436"/>
    </row>
    <row r="50" spans="1:15" ht="13.5">
      <c r="A50" s="465"/>
      <c r="B50" s="502" t="s">
        <v>381</v>
      </c>
      <c r="C50" s="490" t="s">
        <v>351</v>
      </c>
      <c r="D50" s="491">
        <f>'[1]Propustky'!F22</f>
        <v>0.11100000000000002</v>
      </c>
      <c r="E50" s="492" t="s">
        <v>338</v>
      </c>
      <c r="F50" s="492" t="s">
        <v>338</v>
      </c>
      <c r="G50" s="492" t="s">
        <v>338</v>
      </c>
      <c r="H50" s="716">
        <f t="shared" si="2"/>
        <v>0.11100000000000002</v>
      </c>
      <c r="I50" s="459" t="s">
        <v>343</v>
      </c>
      <c r="J50" s="494" t="s">
        <v>351</v>
      </c>
      <c r="K50" s="495" t="s">
        <v>381</v>
      </c>
      <c r="L50" s="459"/>
      <c r="M50" s="464"/>
      <c r="N50" s="463"/>
      <c r="O50" s="436"/>
    </row>
    <row r="51" spans="1:15" ht="13.5">
      <c r="A51" s="465"/>
      <c r="B51" s="466"/>
      <c r="C51" s="467"/>
      <c r="D51" s="497">
        <f>'[1]Propustky'!H22</f>
        <v>1.11</v>
      </c>
      <c r="E51" s="498" t="s">
        <v>338</v>
      </c>
      <c r="F51" s="498" t="s">
        <v>338</v>
      </c>
      <c r="G51" s="498" t="s">
        <v>338</v>
      </c>
      <c r="H51" s="499">
        <f t="shared" si="2"/>
        <v>1.11</v>
      </c>
      <c r="I51" s="459" t="s">
        <v>346</v>
      </c>
      <c r="J51" s="471"/>
      <c r="K51" s="472"/>
      <c r="L51" s="459"/>
      <c r="M51" s="464"/>
      <c r="N51" s="463"/>
      <c r="O51" s="436"/>
    </row>
    <row r="52" spans="1:15" ht="13.5">
      <c r="A52" s="465"/>
      <c r="B52" s="483" t="s">
        <v>353</v>
      </c>
      <c r="C52" s="474"/>
      <c r="D52" s="484">
        <f>'[1]Propustky'!F23</f>
        <v>39.964999999999996</v>
      </c>
      <c r="E52" s="485" t="s">
        <v>338</v>
      </c>
      <c r="F52" s="485" t="s">
        <v>338</v>
      </c>
      <c r="G52" s="485">
        <f>'[1]Propustky'!F136</f>
        <v>21.16</v>
      </c>
      <c r="H52" s="493">
        <f t="shared" si="2"/>
        <v>61.125</v>
      </c>
      <c r="I52" s="459" t="s">
        <v>346</v>
      </c>
      <c r="J52" s="479"/>
      <c r="K52" s="487" t="s">
        <v>353</v>
      </c>
      <c r="L52" s="459"/>
      <c r="M52" s="464"/>
      <c r="N52" s="463"/>
      <c r="O52" s="436"/>
    </row>
    <row r="53" spans="1:15" ht="12">
      <c r="A53" s="465"/>
      <c r="B53" s="542" t="s">
        <v>635</v>
      </c>
      <c r="C53" s="474"/>
      <c r="D53" s="543" t="s">
        <v>338</v>
      </c>
      <c r="E53" s="544" t="s">
        <v>338</v>
      </c>
      <c r="F53" s="544" t="s">
        <v>338</v>
      </c>
      <c r="G53" s="544">
        <f>'[1]Propustky'!F137</f>
        <v>1</v>
      </c>
      <c r="H53" s="545">
        <f t="shared" si="2"/>
        <v>1</v>
      </c>
      <c r="I53" s="459" t="s">
        <v>107</v>
      </c>
      <c r="J53" s="479"/>
      <c r="K53" s="546" t="s">
        <v>382</v>
      </c>
      <c r="L53" s="459"/>
      <c r="M53" s="464"/>
      <c r="N53" s="463"/>
      <c r="O53" s="436"/>
    </row>
    <row r="54" spans="1:15" ht="12">
      <c r="A54" s="465"/>
      <c r="B54" s="542" t="s">
        <v>384</v>
      </c>
      <c r="C54" s="474"/>
      <c r="D54" s="543" t="s">
        <v>338</v>
      </c>
      <c r="E54" s="544" t="s">
        <v>338</v>
      </c>
      <c r="F54" s="544" t="s">
        <v>338</v>
      </c>
      <c r="G54" s="544">
        <f>'[1]Propustky'!F138</f>
        <v>5</v>
      </c>
      <c r="H54" s="545">
        <f t="shared" si="2"/>
        <v>5</v>
      </c>
      <c r="I54" s="459" t="s">
        <v>107</v>
      </c>
      <c r="J54" s="479"/>
      <c r="K54" s="546" t="s">
        <v>384</v>
      </c>
      <c r="L54" s="459"/>
      <c r="M54" s="464"/>
      <c r="N54" s="463"/>
      <c r="O54" s="436"/>
    </row>
    <row r="55" spans="1:15" ht="12">
      <c r="A55" s="503"/>
      <c r="B55" s="542" t="s">
        <v>385</v>
      </c>
      <c r="C55" s="474"/>
      <c r="D55" s="484">
        <f>'[1]Propustky'!F25</f>
        <v>1.6</v>
      </c>
      <c r="E55" s="544" t="s">
        <v>338</v>
      </c>
      <c r="F55" s="544" t="s">
        <v>338</v>
      </c>
      <c r="G55" s="544" t="s">
        <v>338</v>
      </c>
      <c r="H55" s="493">
        <f t="shared" si="2"/>
        <v>1.6</v>
      </c>
      <c r="I55" s="459" t="s">
        <v>9</v>
      </c>
      <c r="J55" s="479"/>
      <c r="K55" s="546" t="s">
        <v>634</v>
      </c>
      <c r="L55" s="459"/>
      <c r="M55" s="464"/>
      <c r="N55" s="463"/>
      <c r="O55" s="436"/>
    </row>
    <row r="56" spans="1:15" ht="6" customHeight="1">
      <c r="A56" s="516"/>
      <c r="B56" s="517"/>
      <c r="C56" s="518"/>
      <c r="D56" s="519"/>
      <c r="E56" s="520"/>
      <c r="F56" s="520"/>
      <c r="G56" s="520"/>
      <c r="H56" s="521"/>
      <c r="I56" s="459"/>
      <c r="J56" s="522"/>
      <c r="K56" s="523"/>
      <c r="L56" s="488"/>
      <c r="M56" s="462"/>
      <c r="N56" s="463"/>
      <c r="O56" s="464"/>
    </row>
    <row r="57" spans="1:15" ht="13.5">
      <c r="A57" s="547" t="s">
        <v>386</v>
      </c>
      <c r="B57" s="531" t="s">
        <v>378</v>
      </c>
      <c r="C57" s="532"/>
      <c r="D57" s="533">
        <f>'[1]Propustky'!F27</f>
        <v>17.8175</v>
      </c>
      <c r="E57" s="534" t="s">
        <v>338</v>
      </c>
      <c r="F57" s="534" t="s">
        <v>338</v>
      </c>
      <c r="G57" s="534">
        <f>'[1]Propustky'!F140</f>
        <v>5.940000000000001</v>
      </c>
      <c r="H57" s="493">
        <f aca="true" t="shared" si="3" ref="H57:H68">SUM(D57:G57)</f>
        <v>23.7575</v>
      </c>
      <c r="I57" s="459" t="s">
        <v>346</v>
      </c>
      <c r="J57" s="535"/>
      <c r="K57" s="532" t="s">
        <v>378</v>
      </c>
      <c r="L57" s="548"/>
      <c r="M57" s="548"/>
      <c r="N57" s="548"/>
      <c r="O57" s="548"/>
    </row>
    <row r="58" spans="1:15" ht="13.5">
      <c r="A58" s="549"/>
      <c r="B58" s="550" t="s">
        <v>364</v>
      </c>
      <c r="C58" s="474" t="s">
        <v>379</v>
      </c>
      <c r="D58" s="533">
        <f>'[1]Propustky'!F28</f>
        <v>3.6399999999999997</v>
      </c>
      <c r="E58" s="534" t="s">
        <v>338</v>
      </c>
      <c r="F58" s="534" t="s">
        <v>338</v>
      </c>
      <c r="G58" s="534">
        <f>'[1]Propustky'!F141</f>
        <v>2.079</v>
      </c>
      <c r="H58" s="493">
        <f t="shared" si="3"/>
        <v>5.718999999999999</v>
      </c>
      <c r="I58" s="459" t="s">
        <v>343</v>
      </c>
      <c r="J58" s="479" t="s">
        <v>379</v>
      </c>
      <c r="K58" s="541" t="s">
        <v>364</v>
      </c>
      <c r="L58" s="548"/>
      <c r="M58" s="548"/>
      <c r="N58" s="548"/>
      <c r="O58" s="548"/>
    </row>
    <row r="59" spans="1:15" ht="13.5">
      <c r="A59" s="549"/>
      <c r="B59" s="551"/>
      <c r="C59" s="474" t="s">
        <v>387</v>
      </c>
      <c r="D59" s="538">
        <f>'[1]Propustky'!F29</f>
        <v>2.65525</v>
      </c>
      <c r="E59" s="539" t="s">
        <v>338</v>
      </c>
      <c r="F59" s="539" t="s">
        <v>338</v>
      </c>
      <c r="G59" s="539" t="s">
        <v>338</v>
      </c>
      <c r="H59" s="493">
        <f t="shared" si="3"/>
        <v>2.65525</v>
      </c>
      <c r="I59" s="459" t="s">
        <v>343</v>
      </c>
      <c r="J59" s="479" t="s">
        <v>387</v>
      </c>
      <c r="K59" s="552"/>
      <c r="L59" s="548"/>
      <c r="M59" s="548"/>
      <c r="N59" s="548"/>
      <c r="O59" s="548"/>
    </row>
    <row r="60" spans="1:15" ht="13.5">
      <c r="A60" s="549"/>
      <c r="B60" s="553"/>
      <c r="C60" s="474" t="s">
        <v>388</v>
      </c>
      <c r="D60" s="538">
        <f>'[1]Propustky'!F30</f>
        <v>3.832375</v>
      </c>
      <c r="E60" s="539" t="s">
        <v>338</v>
      </c>
      <c r="F60" s="539" t="s">
        <v>338</v>
      </c>
      <c r="G60" s="539" t="s">
        <v>338</v>
      </c>
      <c r="H60" s="493">
        <f t="shared" si="3"/>
        <v>3.832375</v>
      </c>
      <c r="I60" s="459" t="s">
        <v>343</v>
      </c>
      <c r="J60" s="479" t="s">
        <v>388</v>
      </c>
      <c r="K60" s="554"/>
      <c r="L60" s="548"/>
      <c r="M60" s="548"/>
      <c r="N60" s="548"/>
      <c r="O60" s="548"/>
    </row>
    <row r="61" spans="1:15" ht="13.5">
      <c r="A61" s="549"/>
      <c r="B61" s="550" t="s">
        <v>389</v>
      </c>
      <c r="C61" s="490" t="s">
        <v>390</v>
      </c>
      <c r="D61" s="538">
        <f>'[1]Propustky'!F32</f>
        <v>1.04</v>
      </c>
      <c r="E61" s="539" t="s">
        <v>338</v>
      </c>
      <c r="F61" s="539" t="s">
        <v>338</v>
      </c>
      <c r="G61" s="539">
        <f>'[1]Propustky'!F143</f>
        <v>0.5940000000000002</v>
      </c>
      <c r="H61" s="716">
        <f t="shared" si="3"/>
        <v>1.6340000000000003</v>
      </c>
      <c r="I61" s="459" t="s">
        <v>343</v>
      </c>
      <c r="J61" s="494" t="s">
        <v>390</v>
      </c>
      <c r="K61" s="541" t="s">
        <v>389</v>
      </c>
      <c r="L61" s="459"/>
      <c r="M61" s="548"/>
      <c r="N61" s="548"/>
      <c r="O61" s="548"/>
    </row>
    <row r="62" spans="1:15" ht="13.5">
      <c r="A62" s="549"/>
      <c r="B62" s="551"/>
      <c r="C62" s="467"/>
      <c r="D62" s="555">
        <f>'[1]Propustky'!H32</f>
        <v>10.4</v>
      </c>
      <c r="E62" s="556" t="s">
        <v>338</v>
      </c>
      <c r="F62" s="556" t="s">
        <v>338</v>
      </c>
      <c r="G62" s="556">
        <f>'[1]Propustky'!H143</f>
        <v>5.940000000000001</v>
      </c>
      <c r="H62" s="499">
        <f t="shared" si="3"/>
        <v>16.340000000000003</v>
      </c>
      <c r="I62" s="459" t="s">
        <v>346</v>
      </c>
      <c r="J62" s="471"/>
      <c r="K62" s="552"/>
      <c r="L62" s="459"/>
      <c r="M62" s="548"/>
      <c r="N62" s="548"/>
      <c r="O62" s="548"/>
    </row>
    <row r="63" spans="1:15" ht="13.5">
      <c r="A63" s="549"/>
      <c r="B63" s="551"/>
      <c r="C63" s="490" t="s">
        <v>391</v>
      </c>
      <c r="D63" s="538">
        <f>'[1]Propustky'!F33</f>
        <v>0.182</v>
      </c>
      <c r="E63" s="539" t="s">
        <v>338</v>
      </c>
      <c r="F63" s="539" t="s">
        <v>338</v>
      </c>
      <c r="G63" s="539">
        <f>'[1]Propustky'!F144</f>
        <v>0.19800000000000004</v>
      </c>
      <c r="H63" s="493">
        <f t="shared" si="3"/>
        <v>0.38</v>
      </c>
      <c r="I63" s="459" t="s">
        <v>343</v>
      </c>
      <c r="J63" s="494" t="s">
        <v>391</v>
      </c>
      <c r="K63" s="552"/>
      <c r="L63" s="459"/>
      <c r="M63" s="548"/>
      <c r="N63" s="548"/>
      <c r="O63" s="548"/>
    </row>
    <row r="64" spans="1:15" ht="13.5">
      <c r="A64" s="549"/>
      <c r="B64" s="553"/>
      <c r="C64" s="467"/>
      <c r="D64" s="555">
        <f>'[1]Propustky'!H33</f>
        <v>1.8199999999999998</v>
      </c>
      <c r="E64" s="556" t="s">
        <v>338</v>
      </c>
      <c r="F64" s="556" t="s">
        <v>338</v>
      </c>
      <c r="G64" s="556">
        <f>'[1]Propustky'!H144</f>
        <v>1.9800000000000002</v>
      </c>
      <c r="H64" s="499">
        <f t="shared" si="3"/>
        <v>3.8</v>
      </c>
      <c r="I64" s="459" t="s">
        <v>346</v>
      </c>
      <c r="J64" s="471"/>
      <c r="K64" s="554"/>
      <c r="L64" s="459"/>
      <c r="M64" s="548"/>
      <c r="N64" s="548"/>
      <c r="O64" s="548"/>
    </row>
    <row r="65" spans="1:15" ht="13.5">
      <c r="A65" s="549"/>
      <c r="B65" s="483" t="s">
        <v>392</v>
      </c>
      <c r="C65" s="474"/>
      <c r="D65" s="484">
        <f>'[1]Propustky'!F34</f>
        <v>1.25</v>
      </c>
      <c r="E65" s="485" t="s">
        <v>338</v>
      </c>
      <c r="F65" s="485" t="s">
        <v>338</v>
      </c>
      <c r="G65" s="485">
        <f>'[1]Propustky'!F145</f>
        <v>1.6940000000000002</v>
      </c>
      <c r="H65" s="493">
        <f t="shared" si="3"/>
        <v>2.944</v>
      </c>
      <c r="I65" s="459" t="s">
        <v>343</v>
      </c>
      <c r="J65" s="479"/>
      <c r="K65" s="487" t="s">
        <v>392</v>
      </c>
      <c r="L65" s="488"/>
      <c r="M65" s="464"/>
      <c r="N65" s="548"/>
      <c r="O65" s="548"/>
    </row>
    <row r="66" spans="1:15" ht="13.5">
      <c r="A66" s="549"/>
      <c r="B66" s="531" t="s">
        <v>393</v>
      </c>
      <c r="C66" s="532"/>
      <c r="D66" s="533" t="s">
        <v>338</v>
      </c>
      <c r="E66" s="534" t="s">
        <v>338</v>
      </c>
      <c r="F66" s="534" t="s">
        <v>338</v>
      </c>
      <c r="G66" s="534">
        <f>'[1]Propustky'!F146</f>
        <v>6.6000000000000005</v>
      </c>
      <c r="H66" s="493">
        <f t="shared" si="3"/>
        <v>6.6000000000000005</v>
      </c>
      <c r="I66" s="459" t="s">
        <v>346</v>
      </c>
      <c r="J66" s="535"/>
      <c r="K66" s="532" t="s">
        <v>393</v>
      </c>
      <c r="L66" s="548"/>
      <c r="M66" s="548"/>
      <c r="N66" s="548"/>
      <c r="O66" s="548"/>
    </row>
    <row r="67" spans="1:15" ht="13.5">
      <c r="A67" s="549"/>
      <c r="B67" s="531" t="s">
        <v>394</v>
      </c>
      <c r="C67" s="532"/>
      <c r="D67" s="533" t="s">
        <v>338</v>
      </c>
      <c r="E67" s="534" t="s">
        <v>338</v>
      </c>
      <c r="F67" s="534" t="s">
        <v>338</v>
      </c>
      <c r="G67" s="534">
        <f>'[1]Propustky'!F147</f>
        <v>9.600000000000001</v>
      </c>
      <c r="H67" s="493">
        <f t="shared" si="3"/>
        <v>9.600000000000001</v>
      </c>
      <c r="I67" s="459" t="s">
        <v>346</v>
      </c>
      <c r="J67" s="535"/>
      <c r="K67" s="532" t="s">
        <v>394</v>
      </c>
      <c r="L67" s="548"/>
      <c r="M67" s="548"/>
      <c r="N67" s="548"/>
      <c r="O67" s="548"/>
    </row>
    <row r="68" spans="1:15" ht="10.5" customHeight="1">
      <c r="A68" s="557"/>
      <c r="B68" s="483" t="s">
        <v>353</v>
      </c>
      <c r="C68" s="474"/>
      <c r="D68" s="484">
        <f>'[1]Propustky'!F35</f>
        <v>6</v>
      </c>
      <c r="E68" s="485" t="s">
        <v>338</v>
      </c>
      <c r="F68" s="485" t="s">
        <v>338</v>
      </c>
      <c r="G68" s="485">
        <f>'[1]Propustky'!F148</f>
        <v>8.580000000000002</v>
      </c>
      <c r="H68" s="493">
        <f t="shared" si="3"/>
        <v>14.580000000000002</v>
      </c>
      <c r="I68" s="459" t="s">
        <v>346</v>
      </c>
      <c r="J68" s="479"/>
      <c r="K68" s="487" t="s">
        <v>353</v>
      </c>
      <c r="L68" s="459"/>
      <c r="M68" s="464"/>
      <c r="N68" s="463"/>
      <c r="O68" s="436"/>
    </row>
    <row r="69" spans="1:15" ht="6" customHeight="1">
      <c r="A69" s="558"/>
      <c r="B69" s="517"/>
      <c r="C69" s="518"/>
      <c r="D69" s="519"/>
      <c r="E69" s="559"/>
      <c r="F69" s="520"/>
      <c r="G69" s="520"/>
      <c r="H69" s="521"/>
      <c r="I69" s="459"/>
      <c r="J69" s="522"/>
      <c r="K69" s="523"/>
      <c r="L69" s="459"/>
      <c r="M69" s="464"/>
      <c r="N69" s="463"/>
      <c r="O69" s="436"/>
    </row>
    <row r="70" spans="1:15" ht="13.5">
      <c r="A70" s="547" t="s">
        <v>395</v>
      </c>
      <c r="B70" s="560" t="s">
        <v>363</v>
      </c>
      <c r="C70" s="474" t="s">
        <v>342</v>
      </c>
      <c r="D70" s="533" t="s">
        <v>338</v>
      </c>
      <c r="E70" s="534">
        <f>'[1]Propustky'!F79</f>
        <v>4</v>
      </c>
      <c r="F70" s="534" t="s">
        <v>338</v>
      </c>
      <c r="G70" s="534" t="s">
        <v>338</v>
      </c>
      <c r="H70" s="493">
        <f aca="true" t="shared" si="4" ref="H70:H76">SUM(D70:G70)</f>
        <v>4</v>
      </c>
      <c r="I70" s="459" t="s">
        <v>346</v>
      </c>
      <c r="J70" s="479" t="s">
        <v>342</v>
      </c>
      <c r="K70" s="561" t="s">
        <v>363</v>
      </c>
      <c r="L70" s="548"/>
      <c r="M70" s="548"/>
      <c r="N70" s="548"/>
      <c r="O70" s="548"/>
    </row>
    <row r="71" spans="1:15" ht="13.5">
      <c r="A71" s="549"/>
      <c r="B71" s="562" t="s">
        <v>364</v>
      </c>
      <c r="C71" s="490" t="s">
        <v>351</v>
      </c>
      <c r="D71" s="538" t="s">
        <v>338</v>
      </c>
      <c r="E71" s="539">
        <f>'[1]Propustky'!F80</f>
        <v>0.4</v>
      </c>
      <c r="F71" s="539" t="s">
        <v>338</v>
      </c>
      <c r="G71" s="539" t="s">
        <v>338</v>
      </c>
      <c r="H71" s="493">
        <f t="shared" si="4"/>
        <v>0.4</v>
      </c>
      <c r="I71" s="459" t="s">
        <v>343</v>
      </c>
      <c r="J71" s="494" t="s">
        <v>351</v>
      </c>
      <c r="K71" s="563" t="s">
        <v>364</v>
      </c>
      <c r="L71" s="548"/>
      <c r="M71" s="548"/>
      <c r="N71" s="548"/>
      <c r="O71" s="548"/>
    </row>
    <row r="72" spans="1:15" ht="13.5">
      <c r="A72" s="549"/>
      <c r="B72" s="562" t="s">
        <v>396</v>
      </c>
      <c r="C72" s="490" t="s">
        <v>397</v>
      </c>
      <c r="D72" s="538" t="s">
        <v>338</v>
      </c>
      <c r="E72" s="539">
        <f>'[1]Propustky'!F82</f>
        <v>0.4</v>
      </c>
      <c r="F72" s="539" t="s">
        <v>338</v>
      </c>
      <c r="G72" s="539" t="s">
        <v>338</v>
      </c>
      <c r="H72" s="716">
        <f t="shared" si="4"/>
        <v>0.4</v>
      </c>
      <c r="I72" s="459" t="s">
        <v>343</v>
      </c>
      <c r="J72" s="494" t="s">
        <v>397</v>
      </c>
      <c r="K72" s="563" t="s">
        <v>398</v>
      </c>
      <c r="L72" s="548"/>
      <c r="M72" s="548"/>
      <c r="N72" s="548"/>
      <c r="O72" s="548"/>
    </row>
    <row r="73" spans="1:15" ht="13.5">
      <c r="A73" s="549"/>
      <c r="B73" s="564"/>
      <c r="C73" s="467"/>
      <c r="D73" s="555" t="s">
        <v>338</v>
      </c>
      <c r="E73" s="556">
        <f>'[1]Propustky'!H82</f>
        <v>4</v>
      </c>
      <c r="F73" s="556" t="s">
        <v>338</v>
      </c>
      <c r="G73" s="556" t="s">
        <v>338</v>
      </c>
      <c r="H73" s="499">
        <f t="shared" si="4"/>
        <v>4</v>
      </c>
      <c r="I73" s="459" t="s">
        <v>346</v>
      </c>
      <c r="J73" s="471"/>
      <c r="K73" s="565"/>
      <c r="L73" s="548"/>
      <c r="M73" s="548"/>
      <c r="N73" s="548"/>
      <c r="O73" s="548"/>
    </row>
    <row r="74" spans="1:15" ht="13.5">
      <c r="A74" s="549"/>
      <c r="B74" s="564"/>
      <c r="C74" s="490" t="s">
        <v>399</v>
      </c>
      <c r="D74" s="538" t="s">
        <v>338</v>
      </c>
      <c r="E74" s="539">
        <f>'[1]Propustky'!F83</f>
        <v>0.08000000000000002</v>
      </c>
      <c r="F74" s="539" t="s">
        <v>338</v>
      </c>
      <c r="G74" s="539" t="s">
        <v>338</v>
      </c>
      <c r="H74" s="493">
        <f t="shared" si="4"/>
        <v>0.08000000000000002</v>
      </c>
      <c r="I74" s="459" t="s">
        <v>343</v>
      </c>
      <c r="J74" s="494" t="s">
        <v>399</v>
      </c>
      <c r="K74" s="565"/>
      <c r="L74" s="548"/>
      <c r="M74" s="548"/>
      <c r="N74" s="548"/>
      <c r="O74" s="548"/>
    </row>
    <row r="75" spans="1:15" ht="13.5">
      <c r="A75" s="549"/>
      <c r="B75" s="566"/>
      <c r="C75" s="467"/>
      <c r="D75" s="555" t="s">
        <v>338</v>
      </c>
      <c r="E75" s="556">
        <f>'[1]Propustky'!H83</f>
        <v>0.8</v>
      </c>
      <c r="F75" s="556" t="s">
        <v>338</v>
      </c>
      <c r="G75" s="556" t="s">
        <v>338</v>
      </c>
      <c r="H75" s="499">
        <f t="shared" si="4"/>
        <v>0.8</v>
      </c>
      <c r="I75" s="459" t="s">
        <v>346</v>
      </c>
      <c r="J75" s="471"/>
      <c r="K75" s="567"/>
      <c r="L75" s="548"/>
      <c r="M75" s="548"/>
      <c r="N75" s="548"/>
      <c r="O75" s="548"/>
    </row>
    <row r="76" spans="1:15" ht="13.5">
      <c r="A76" s="557"/>
      <c r="B76" s="489" t="s">
        <v>400</v>
      </c>
      <c r="C76" s="541"/>
      <c r="D76" s="533" t="s">
        <v>338</v>
      </c>
      <c r="E76" s="534">
        <f>'[1]Propustky'!F84</f>
        <v>0.48</v>
      </c>
      <c r="F76" s="539" t="s">
        <v>338</v>
      </c>
      <c r="G76" s="539" t="s">
        <v>338</v>
      </c>
      <c r="H76" s="486">
        <f t="shared" si="4"/>
        <v>0.48</v>
      </c>
      <c r="I76" s="459" t="s">
        <v>343</v>
      </c>
      <c r="J76" s="568"/>
      <c r="K76" s="495" t="s">
        <v>400</v>
      </c>
      <c r="L76" s="548"/>
      <c r="M76" s="548"/>
      <c r="N76" s="548"/>
      <c r="O76" s="548"/>
    </row>
    <row r="77" spans="1:15" ht="6" customHeight="1">
      <c r="A77" s="558"/>
      <c r="B77" s="569"/>
      <c r="C77" s="570"/>
      <c r="D77" s="571"/>
      <c r="E77" s="572"/>
      <c r="F77" s="573"/>
      <c r="G77" s="573"/>
      <c r="H77" s="521"/>
      <c r="I77" s="459"/>
      <c r="J77" s="574"/>
      <c r="K77" s="523"/>
      <c r="L77" s="548"/>
      <c r="M77" s="548"/>
      <c r="N77" s="548"/>
      <c r="O77" s="548"/>
    </row>
    <row r="78" spans="1:15" ht="13.5">
      <c r="A78" s="547" t="s">
        <v>401</v>
      </c>
      <c r="B78" s="525" t="s">
        <v>402</v>
      </c>
      <c r="C78" s="575"/>
      <c r="D78" s="484">
        <f>'[1]Propustky'!F37</f>
        <v>8.91</v>
      </c>
      <c r="E78" s="485">
        <f>'[1]Propustky'!F86</f>
        <v>2.6949999999999994</v>
      </c>
      <c r="F78" s="485">
        <f>'[1]Propustky'!F106</f>
        <v>1.26</v>
      </c>
      <c r="G78" s="485">
        <f>'[1]Propustky'!F150</f>
        <v>5.816999999999999</v>
      </c>
      <c r="H78" s="493">
        <f aca="true" t="shared" si="5" ref="H78:H83">SUM(D78:G78)</f>
        <v>18.682</v>
      </c>
      <c r="I78" s="459" t="s">
        <v>343</v>
      </c>
      <c r="J78" s="576"/>
      <c r="K78" s="487" t="s">
        <v>402</v>
      </c>
      <c r="L78" s="488"/>
      <c r="N78" s="463"/>
      <c r="O78" s="464"/>
    </row>
    <row r="79" spans="1:15" ht="13.5">
      <c r="A79" s="549"/>
      <c r="B79" s="525" t="s">
        <v>403</v>
      </c>
      <c r="C79" s="575"/>
      <c r="D79" s="484">
        <f>'[1]Propustky'!F38</f>
        <v>14.679999999999998</v>
      </c>
      <c r="E79" s="485" t="s">
        <v>338</v>
      </c>
      <c r="F79" s="485" t="s">
        <v>338</v>
      </c>
      <c r="G79" s="485" t="s">
        <v>338</v>
      </c>
      <c r="H79" s="493">
        <f t="shared" si="5"/>
        <v>14.679999999999998</v>
      </c>
      <c r="I79" s="459" t="s">
        <v>343</v>
      </c>
      <c r="J79" s="576"/>
      <c r="K79" s="487" t="s">
        <v>403</v>
      </c>
      <c r="L79" s="488"/>
      <c r="N79" s="463"/>
      <c r="O79" s="464"/>
    </row>
    <row r="80" spans="1:15" ht="12.75">
      <c r="A80" s="549"/>
      <c r="B80" s="489" t="s">
        <v>404</v>
      </c>
      <c r="C80" s="526" t="s">
        <v>405</v>
      </c>
      <c r="D80" s="484" t="s">
        <v>338</v>
      </c>
      <c r="E80" s="485">
        <f>'[1]Propustky'!F87</f>
        <v>10.2</v>
      </c>
      <c r="F80" s="485" t="s">
        <v>338</v>
      </c>
      <c r="G80" s="485">
        <f>'[1]Propustky'!F151</f>
        <v>9.5</v>
      </c>
      <c r="H80" s="493">
        <f t="shared" si="5"/>
        <v>19.7</v>
      </c>
      <c r="I80" s="459" t="s">
        <v>9</v>
      </c>
      <c r="J80" s="527" t="s">
        <v>405</v>
      </c>
      <c r="K80" s="495" t="s">
        <v>404</v>
      </c>
      <c r="L80" s="488"/>
      <c r="N80" s="463"/>
      <c r="O80" s="464"/>
    </row>
    <row r="81" spans="1:15" ht="13.5">
      <c r="A81" s="549"/>
      <c r="B81" s="525" t="s">
        <v>406</v>
      </c>
      <c r="C81" s="526" t="s">
        <v>407</v>
      </c>
      <c r="D81" s="484">
        <f>'[1]Propustky'!F39</f>
        <v>12.143999999999995</v>
      </c>
      <c r="E81" s="485" t="s">
        <v>338</v>
      </c>
      <c r="F81" s="485" t="s">
        <v>338</v>
      </c>
      <c r="G81" s="485" t="s">
        <v>338</v>
      </c>
      <c r="H81" s="493">
        <f t="shared" si="5"/>
        <v>12.143999999999995</v>
      </c>
      <c r="I81" s="459" t="s">
        <v>343</v>
      </c>
      <c r="J81" s="527" t="s">
        <v>407</v>
      </c>
      <c r="K81" s="487" t="s">
        <v>406</v>
      </c>
      <c r="L81" s="488"/>
      <c r="N81" s="463"/>
      <c r="O81" s="464"/>
    </row>
    <row r="82" spans="1:15" ht="13.5">
      <c r="A82" s="549"/>
      <c r="B82" s="525" t="s">
        <v>408</v>
      </c>
      <c r="C82" s="526" t="s">
        <v>349</v>
      </c>
      <c r="D82" s="484">
        <f>'[1]Propustky'!F40</f>
        <v>13.64</v>
      </c>
      <c r="E82" s="485" t="s">
        <v>338</v>
      </c>
      <c r="F82" s="485" t="s">
        <v>338</v>
      </c>
      <c r="G82" s="485" t="s">
        <v>338</v>
      </c>
      <c r="H82" s="493">
        <f t="shared" si="5"/>
        <v>13.64</v>
      </c>
      <c r="I82" s="459" t="s">
        <v>346</v>
      </c>
      <c r="J82" s="527" t="s">
        <v>349</v>
      </c>
      <c r="K82" s="487" t="s">
        <v>408</v>
      </c>
      <c r="L82" s="488"/>
      <c r="N82" s="463"/>
      <c r="O82" s="464"/>
    </row>
    <row r="83" spans="1:15" ht="12.75">
      <c r="A83" s="549"/>
      <c r="B83" s="483" t="s">
        <v>409</v>
      </c>
      <c r="C83" s="526" t="s">
        <v>101</v>
      </c>
      <c r="D83" s="484">
        <f>'[1]Propustky'!F41</f>
        <v>7</v>
      </c>
      <c r="E83" s="485" t="s">
        <v>338</v>
      </c>
      <c r="F83" s="485" t="s">
        <v>338</v>
      </c>
      <c r="G83" s="485" t="s">
        <v>338</v>
      </c>
      <c r="H83" s="486">
        <f t="shared" si="5"/>
        <v>7</v>
      </c>
      <c r="I83" s="459" t="s">
        <v>9</v>
      </c>
      <c r="J83" s="527" t="s">
        <v>101</v>
      </c>
      <c r="K83" s="487" t="s">
        <v>409</v>
      </c>
      <c r="L83" s="488"/>
      <c r="N83" s="463"/>
      <c r="O83" s="464"/>
    </row>
    <row r="84" spans="1:15" ht="12.75">
      <c r="A84" s="549"/>
      <c r="B84" s="483" t="s">
        <v>410</v>
      </c>
      <c r="C84" s="526" t="s">
        <v>101</v>
      </c>
      <c r="D84" s="484" t="s">
        <v>338</v>
      </c>
      <c r="E84" s="485" t="s">
        <v>338</v>
      </c>
      <c r="F84" s="485">
        <f>'[1]Propustky'!F107</f>
        <v>1</v>
      </c>
      <c r="G84" s="485" t="s">
        <v>338</v>
      </c>
      <c r="H84" s="486">
        <f>SUM(D84:G84)</f>
        <v>1</v>
      </c>
      <c r="I84" s="459" t="s">
        <v>9</v>
      </c>
      <c r="J84" s="527" t="s">
        <v>101</v>
      </c>
      <c r="K84" s="487" t="s">
        <v>410</v>
      </c>
      <c r="L84" s="488"/>
      <c r="N84" s="463"/>
      <c r="O84" s="464"/>
    </row>
    <row r="85" spans="1:15" ht="6" customHeight="1">
      <c r="A85" s="549"/>
      <c r="B85" s="525"/>
      <c r="C85" s="474"/>
      <c r="D85" s="484"/>
      <c r="E85" s="485"/>
      <c r="F85" s="485"/>
      <c r="G85" s="485"/>
      <c r="H85" s="486"/>
      <c r="I85" s="459"/>
      <c r="J85" s="479"/>
      <c r="K85" s="487"/>
      <c r="L85" s="488"/>
      <c r="N85" s="463"/>
      <c r="O85" s="464"/>
    </row>
    <row r="86" spans="1:15" ht="13.5">
      <c r="A86" s="549"/>
      <c r="B86" s="525" t="s">
        <v>411</v>
      </c>
      <c r="C86" s="474"/>
      <c r="D86" s="484">
        <f>'[1]Propustky'!F43</f>
        <v>13.753999999999998</v>
      </c>
      <c r="E86" s="485">
        <f>'[1]Propustky'!F89</f>
        <v>88.02</v>
      </c>
      <c r="F86" s="485" t="s">
        <v>338</v>
      </c>
      <c r="G86" s="485">
        <f>'[1]Propustky'!F153</f>
        <v>42.158999999999985</v>
      </c>
      <c r="H86" s="493">
        <f aca="true" t="shared" si="6" ref="H86:H92">SUM(D86:G86)</f>
        <v>143.933</v>
      </c>
      <c r="I86" s="459" t="s">
        <v>343</v>
      </c>
      <c r="J86" s="479"/>
      <c r="K86" s="487" t="s">
        <v>411</v>
      </c>
      <c r="L86" s="488"/>
      <c r="M86" s="464"/>
      <c r="N86" s="463"/>
      <c r="O86" s="464"/>
    </row>
    <row r="87" spans="1:15" ht="13.5">
      <c r="A87" s="549"/>
      <c r="B87" s="483" t="s">
        <v>412</v>
      </c>
      <c r="C87" s="474"/>
      <c r="D87" s="484">
        <f>'[1]Propustky'!F44</f>
        <v>90.75</v>
      </c>
      <c r="E87" s="485" t="s">
        <v>338</v>
      </c>
      <c r="F87" s="485" t="s">
        <v>338</v>
      </c>
      <c r="G87" s="485">
        <f>'[1]Propustky'!F154</f>
        <v>25.192000000000004</v>
      </c>
      <c r="H87" s="493">
        <f t="shared" si="6"/>
        <v>115.94200000000001</v>
      </c>
      <c r="I87" s="459" t="s">
        <v>343</v>
      </c>
      <c r="J87" s="479"/>
      <c r="K87" s="487" t="s">
        <v>412</v>
      </c>
      <c r="L87" s="488"/>
      <c r="N87" s="463"/>
      <c r="O87" s="464"/>
    </row>
    <row r="88" spans="1:15" ht="13.5">
      <c r="A88" s="549"/>
      <c r="B88" s="483" t="s">
        <v>413</v>
      </c>
      <c r="C88" s="474"/>
      <c r="D88" s="484">
        <f>'[1]Propustky'!F45</f>
        <v>213.066</v>
      </c>
      <c r="E88" s="485" t="s">
        <v>338</v>
      </c>
      <c r="F88" s="485" t="s">
        <v>338</v>
      </c>
      <c r="G88" s="485" t="s">
        <v>338</v>
      </c>
      <c r="H88" s="493">
        <f t="shared" si="6"/>
        <v>213.066</v>
      </c>
      <c r="I88" s="459" t="s">
        <v>343</v>
      </c>
      <c r="J88" s="479"/>
      <c r="K88" s="487" t="s">
        <v>413</v>
      </c>
      <c r="L88" s="488"/>
      <c r="N88" s="463"/>
      <c r="O88" s="464"/>
    </row>
    <row r="89" spans="1:15" ht="13.5">
      <c r="A89" s="549"/>
      <c r="B89" s="483" t="s">
        <v>414</v>
      </c>
      <c r="C89" s="474"/>
      <c r="D89" s="484">
        <f>'[1]Propustky'!F46</f>
        <v>3.751000000000001</v>
      </c>
      <c r="E89" s="485" t="s">
        <v>338</v>
      </c>
      <c r="F89" s="485" t="s">
        <v>338</v>
      </c>
      <c r="G89" s="485">
        <f>'[1]Propustky'!F155</f>
        <v>4.619999999999999</v>
      </c>
      <c r="H89" s="493">
        <f t="shared" si="6"/>
        <v>8.371</v>
      </c>
      <c r="I89" s="459" t="s">
        <v>343</v>
      </c>
      <c r="J89" s="479"/>
      <c r="K89" s="487" t="s">
        <v>414</v>
      </c>
      <c r="L89" s="488"/>
      <c r="M89" s="464"/>
      <c r="N89" s="463"/>
      <c r="O89" s="464"/>
    </row>
    <row r="90" spans="1:15" ht="13.5">
      <c r="A90" s="549"/>
      <c r="B90" s="577" t="s">
        <v>415</v>
      </c>
      <c r="C90" s="474"/>
      <c r="D90" s="484" t="s">
        <v>338</v>
      </c>
      <c r="E90" s="485">
        <f>'[1]Propustky'!F90</f>
        <v>11.136000000000001</v>
      </c>
      <c r="F90" s="485" t="s">
        <v>338</v>
      </c>
      <c r="G90" s="485" t="s">
        <v>338</v>
      </c>
      <c r="H90" s="493">
        <f t="shared" si="6"/>
        <v>11.136000000000001</v>
      </c>
      <c r="I90" s="459" t="s">
        <v>343</v>
      </c>
      <c r="J90" s="479"/>
      <c r="K90" s="500" t="s">
        <v>415</v>
      </c>
      <c r="L90" s="488"/>
      <c r="M90" s="464"/>
      <c r="N90" s="463"/>
      <c r="O90" s="464"/>
    </row>
    <row r="91" spans="1:15" ht="13.5">
      <c r="A91" s="549"/>
      <c r="B91" s="483" t="s">
        <v>416</v>
      </c>
      <c r="C91" s="532"/>
      <c r="D91" s="533">
        <f>'[1]Propustky'!F47</f>
        <v>8.7</v>
      </c>
      <c r="E91" s="534" t="s">
        <v>338</v>
      </c>
      <c r="F91" s="534" t="s">
        <v>338</v>
      </c>
      <c r="G91" s="534">
        <f>'[1]Propustky'!F156</f>
        <v>4.125</v>
      </c>
      <c r="H91" s="493">
        <f t="shared" si="6"/>
        <v>12.825</v>
      </c>
      <c r="I91" s="459" t="s">
        <v>343</v>
      </c>
      <c r="J91" s="535"/>
      <c r="K91" s="487" t="s">
        <v>416</v>
      </c>
      <c r="L91" s="548"/>
      <c r="M91" s="548"/>
      <c r="N91" s="548"/>
      <c r="O91" s="548"/>
    </row>
    <row r="92" spans="1:15" ht="13.5">
      <c r="A92" s="549"/>
      <c r="B92" s="483" t="s">
        <v>417</v>
      </c>
      <c r="C92" s="532"/>
      <c r="D92" s="533" t="s">
        <v>338</v>
      </c>
      <c r="E92" s="534">
        <f>'[1]Propustky'!F91</f>
        <v>1.6</v>
      </c>
      <c r="F92" s="534">
        <f>'[1]Propustky'!F109</f>
        <v>2.9600000000000004</v>
      </c>
      <c r="G92" s="534" t="s">
        <v>338</v>
      </c>
      <c r="H92" s="493">
        <f t="shared" si="6"/>
        <v>4.5600000000000005</v>
      </c>
      <c r="I92" s="459" t="s">
        <v>343</v>
      </c>
      <c r="J92" s="535"/>
      <c r="K92" s="487" t="s">
        <v>417</v>
      </c>
      <c r="L92" s="548"/>
      <c r="M92" s="548"/>
      <c r="N92" s="548"/>
      <c r="O92" s="548"/>
    </row>
    <row r="93" spans="1:15" ht="1.5" customHeight="1">
      <c r="A93" s="549"/>
      <c r="B93" s="483"/>
      <c r="C93" s="532"/>
      <c r="D93" s="533"/>
      <c r="E93" s="534"/>
      <c r="F93" s="534"/>
      <c r="G93" s="534"/>
      <c r="H93" s="486"/>
      <c r="I93" s="459"/>
      <c r="J93" s="535"/>
      <c r="K93" s="487"/>
      <c r="L93" s="548"/>
      <c r="M93" s="548"/>
      <c r="N93" s="548"/>
      <c r="O93" s="548"/>
    </row>
    <row r="94" spans="1:15" ht="13.5">
      <c r="A94" s="578"/>
      <c r="B94" s="579" t="s">
        <v>418</v>
      </c>
      <c r="C94" s="532"/>
      <c r="D94" s="533">
        <f>'[1]Propustky'!F49</f>
        <v>8.992999999999999</v>
      </c>
      <c r="E94" s="534">
        <f>'[1]Propustky'!F93</f>
        <v>41.07600000000001</v>
      </c>
      <c r="F94" s="534" t="s">
        <v>338</v>
      </c>
      <c r="G94" s="534">
        <f>'[1]Propustky'!F158</f>
        <v>19.833999999999996</v>
      </c>
      <c r="H94" s="493">
        <f>SUM(D94:G94)</f>
        <v>69.90299999999999</v>
      </c>
      <c r="I94" s="459" t="s">
        <v>343</v>
      </c>
      <c r="J94" s="535"/>
      <c r="K94" s="580" t="s">
        <v>418</v>
      </c>
      <c r="L94" s="548"/>
      <c r="M94" s="464"/>
      <c r="N94" s="548"/>
      <c r="O94" s="548"/>
    </row>
    <row r="95" spans="1:15" ht="13.5">
      <c r="A95" s="578"/>
      <c r="B95" s="483" t="s">
        <v>419</v>
      </c>
      <c r="C95" s="532"/>
      <c r="D95" s="533">
        <f>'[1]Propustky'!F50</f>
        <v>77.58225</v>
      </c>
      <c r="E95" s="534" t="s">
        <v>338</v>
      </c>
      <c r="F95" s="534" t="s">
        <v>338</v>
      </c>
      <c r="G95" s="534">
        <f>'[1]Propustky'!F159</f>
        <v>15.600000000000005</v>
      </c>
      <c r="H95" s="493">
        <f>SUM(D95:G95)</f>
        <v>93.18225000000001</v>
      </c>
      <c r="I95" s="459" t="s">
        <v>343</v>
      </c>
      <c r="J95" s="535"/>
      <c r="K95" s="487" t="s">
        <v>419</v>
      </c>
      <c r="L95" s="548"/>
      <c r="M95" s="436"/>
      <c r="N95" s="548"/>
      <c r="O95" s="548"/>
    </row>
    <row r="96" spans="1:15" ht="13.5">
      <c r="A96" s="578"/>
      <c r="B96" s="483" t="s">
        <v>420</v>
      </c>
      <c r="C96" s="532"/>
      <c r="D96" s="533">
        <f>'[1]Propustky'!F51</f>
        <v>162.2649075</v>
      </c>
      <c r="E96" s="534" t="s">
        <v>338</v>
      </c>
      <c r="F96" s="534" t="s">
        <v>338</v>
      </c>
      <c r="G96" s="534" t="s">
        <v>338</v>
      </c>
      <c r="H96" s="493">
        <f>SUM(D96:G96)</f>
        <v>162.2649075</v>
      </c>
      <c r="I96" s="459" t="s">
        <v>343</v>
      </c>
      <c r="J96" s="535"/>
      <c r="K96" s="487" t="s">
        <v>420</v>
      </c>
      <c r="L96" s="548"/>
      <c r="M96" s="436"/>
      <c r="N96" s="548"/>
      <c r="O96" s="548"/>
    </row>
    <row r="97" spans="1:15" ht="13.5">
      <c r="A97" s="578"/>
      <c r="B97" s="483" t="s">
        <v>421</v>
      </c>
      <c r="C97" s="532"/>
      <c r="D97" s="533">
        <f>'[1]Propustky'!F52</f>
        <v>2.376000000000001</v>
      </c>
      <c r="E97" s="534" t="s">
        <v>338</v>
      </c>
      <c r="F97" s="534" t="s">
        <v>338</v>
      </c>
      <c r="G97" s="534">
        <f>'[1]Propustky'!F160</f>
        <v>2.9259999999999993</v>
      </c>
      <c r="H97" s="493">
        <f>SUM(D97:G97)</f>
        <v>5.302</v>
      </c>
      <c r="I97" s="459" t="s">
        <v>343</v>
      </c>
      <c r="J97" s="535"/>
      <c r="K97" s="487" t="s">
        <v>421</v>
      </c>
      <c r="L97" s="548"/>
      <c r="M97" s="464"/>
      <c r="N97" s="548"/>
      <c r="O97" s="548"/>
    </row>
    <row r="98" spans="1:15" ht="13.5">
      <c r="A98" s="578"/>
      <c r="B98" s="577" t="s">
        <v>422</v>
      </c>
      <c r="C98" s="532"/>
      <c r="D98" s="533" t="s">
        <v>338</v>
      </c>
      <c r="E98" s="534">
        <f>'[1]Propustky'!F94</f>
        <v>6.336</v>
      </c>
      <c r="F98" s="534" t="s">
        <v>338</v>
      </c>
      <c r="G98" s="534" t="s">
        <v>338</v>
      </c>
      <c r="H98" s="493">
        <f>SUM(D98:G98)</f>
        <v>6.336</v>
      </c>
      <c r="I98" s="459" t="s">
        <v>343</v>
      </c>
      <c r="J98" s="535"/>
      <c r="K98" s="500" t="s">
        <v>422</v>
      </c>
      <c r="L98" s="548"/>
      <c r="M98" s="464"/>
      <c r="N98" s="548"/>
      <c r="O98" s="548"/>
    </row>
    <row r="99" spans="1:15" ht="6" customHeight="1">
      <c r="A99" s="581"/>
      <c r="B99" s="517"/>
      <c r="C99" s="570"/>
      <c r="D99" s="571"/>
      <c r="E99" s="573" t="s">
        <v>338</v>
      </c>
      <c r="F99" s="573"/>
      <c r="G99" s="573"/>
      <c r="H99" s="521"/>
      <c r="I99" s="459"/>
      <c r="J99" s="574"/>
      <c r="K99" s="523"/>
      <c r="L99" s="548"/>
      <c r="M99" s="548"/>
      <c r="N99" s="548"/>
      <c r="O99" s="548"/>
    </row>
    <row r="100" spans="1:15" ht="13.5">
      <c r="A100" s="582" t="s">
        <v>423</v>
      </c>
      <c r="B100" s="483"/>
      <c r="C100" s="474" t="s">
        <v>424</v>
      </c>
      <c r="D100" s="484">
        <f>'[1]Propustky'!F55</f>
        <v>22.5</v>
      </c>
      <c r="E100" s="485">
        <f>'[1]Propustky'!F96</f>
        <v>24.06</v>
      </c>
      <c r="F100" s="485" t="s">
        <v>338</v>
      </c>
      <c r="G100" s="485">
        <f>'[1]Propustky'!F163</f>
        <v>20.1</v>
      </c>
      <c r="H100" s="647">
        <f>SUM(D100:G100)</f>
        <v>66.66</v>
      </c>
      <c r="I100" s="459" t="s">
        <v>346</v>
      </c>
      <c r="J100" s="479" t="s">
        <v>424</v>
      </c>
      <c r="K100" s="487"/>
      <c r="L100" s="488"/>
      <c r="M100" s="464"/>
      <c r="N100" s="548"/>
      <c r="O100" s="548"/>
    </row>
    <row r="101" spans="1:15" ht="6" customHeight="1">
      <c r="A101" s="558"/>
      <c r="B101" s="517"/>
      <c r="C101" s="518"/>
      <c r="D101" s="519"/>
      <c r="E101" s="520"/>
      <c r="F101" s="520"/>
      <c r="G101" s="520"/>
      <c r="H101" s="521"/>
      <c r="I101" s="459"/>
      <c r="J101" s="522"/>
      <c r="K101" s="523"/>
      <c r="L101" s="488"/>
      <c r="M101" s="464"/>
      <c r="N101" s="548"/>
      <c r="O101" s="548"/>
    </row>
    <row r="102" spans="1:15" ht="14.25" thickBot="1">
      <c r="A102" s="583" t="s">
        <v>425</v>
      </c>
      <c r="B102" s="584"/>
      <c r="C102" s="585"/>
      <c r="D102" s="586">
        <v>40</v>
      </c>
      <c r="E102" s="587">
        <v>40</v>
      </c>
      <c r="F102" s="587" t="s">
        <v>338</v>
      </c>
      <c r="G102" s="587">
        <v>40</v>
      </c>
      <c r="H102" s="588">
        <f>SUM(D102:G102)</f>
        <v>120</v>
      </c>
      <c r="I102" s="459" t="s">
        <v>346</v>
      </c>
      <c r="J102" s="589"/>
      <c r="K102" s="590"/>
      <c r="L102" s="488"/>
      <c r="M102" s="464"/>
      <c r="N102" s="548"/>
      <c r="O102" s="548"/>
    </row>
    <row r="105" ht="12">
      <c r="H105" s="714"/>
    </row>
  </sheetData>
  <sheetProtection/>
  <mergeCells count="3">
    <mergeCell ref="A4:C4"/>
    <mergeCell ref="D4:G4"/>
    <mergeCell ref="J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zoomScale="125" zoomScaleNormal="125" zoomScalePageLayoutView="0" workbookViewId="0" topLeftCell="A4">
      <selection activeCell="D23" sqref="D23"/>
    </sheetView>
  </sheetViews>
  <sheetFormatPr defaultColWidth="8.875" defaultRowHeight="12.75"/>
  <cols>
    <col min="1" max="1" width="14.625" style="148" customWidth="1"/>
    <col min="2" max="2" width="15.375" style="148" customWidth="1"/>
    <col min="3" max="3" width="19.25390625" style="148" customWidth="1"/>
    <col min="4" max="4" width="9.25390625" style="148" customWidth="1"/>
    <col min="5" max="5" width="6.75390625" style="148" bestFit="1" customWidth="1"/>
    <col min="6" max="6" width="2.875" style="148" customWidth="1"/>
    <col min="7" max="7" width="1.75390625" style="148" customWidth="1"/>
    <col min="8" max="8" width="5.75390625" style="148" bestFit="1" customWidth="1"/>
    <col min="9" max="9" width="2.875" style="148" bestFit="1" customWidth="1"/>
    <col min="10" max="10" width="1.75390625" style="148" customWidth="1"/>
    <col min="11" max="11" width="19.25390625" style="148" customWidth="1"/>
    <col min="12" max="12" width="6.75390625" style="405" customWidth="1"/>
    <col min="13" max="13" width="8.875" style="406" customWidth="1"/>
    <col min="14" max="16384" width="8.875" style="148" customWidth="1"/>
  </cols>
  <sheetData>
    <row r="2" spans="1:4" ht="12.75">
      <c r="A2" s="146" t="s">
        <v>277</v>
      </c>
      <c r="B2"/>
      <c r="C2"/>
      <c r="D2"/>
    </row>
    <row r="3" ht="12.75">
      <c r="A3" s="152" t="s">
        <v>26</v>
      </c>
    </row>
    <row r="5" ht="12.75">
      <c r="B5" s="149" t="s">
        <v>279</v>
      </c>
    </row>
    <row r="6" ht="12.75">
      <c r="B6" s="407" t="s">
        <v>280</v>
      </c>
    </row>
    <row r="8" spans="1:13" ht="12.75">
      <c r="A8" s="408" t="s">
        <v>70</v>
      </c>
      <c r="B8" s="409"/>
      <c r="C8" s="410" t="s">
        <v>281</v>
      </c>
      <c r="D8" s="411"/>
      <c r="E8" s="412"/>
      <c r="F8" s="413"/>
      <c r="G8" s="405"/>
      <c r="H8" s="405"/>
      <c r="I8" s="405"/>
      <c r="J8" s="405"/>
      <c r="K8" s="405"/>
      <c r="M8" s="414"/>
    </row>
    <row r="9" spans="2:13" s="153" customFormat="1" ht="12.75">
      <c r="B9" s="407"/>
      <c r="C9" s="407"/>
      <c r="D9" s="415"/>
      <c r="E9" s="416"/>
      <c r="F9" s="413"/>
      <c r="G9" s="409"/>
      <c r="H9" s="412"/>
      <c r="I9" s="413"/>
      <c r="J9" s="417"/>
      <c r="K9" s="418"/>
      <c r="L9" s="419"/>
      <c r="M9" s="420"/>
    </row>
    <row r="10" spans="1:12" ht="12.75">
      <c r="A10" s="408" t="s">
        <v>282</v>
      </c>
      <c r="B10" s="421"/>
      <c r="C10" s="421"/>
      <c r="D10" s="415"/>
      <c r="E10" s="412"/>
      <c r="F10" s="413"/>
      <c r="G10" s="421"/>
      <c r="H10" s="422"/>
      <c r="I10" s="421"/>
      <c r="J10" s="421"/>
      <c r="K10" s="419"/>
      <c r="L10" s="419"/>
    </row>
    <row r="11" spans="1:12" ht="12.75">
      <c r="A11" s="421"/>
      <c r="B11" s="421"/>
      <c r="C11" s="421"/>
      <c r="D11" s="411"/>
      <c r="E11" s="412"/>
      <c r="F11" s="413"/>
      <c r="G11" s="421"/>
      <c r="H11" s="422"/>
      <c r="I11" s="421"/>
      <c r="J11" s="421"/>
      <c r="K11" s="419"/>
      <c r="L11" s="419"/>
    </row>
    <row r="12" spans="1:12" ht="12.75">
      <c r="A12" s="421" t="s">
        <v>283</v>
      </c>
      <c r="B12" s="421"/>
      <c r="C12" s="421"/>
      <c r="D12" s="411"/>
      <c r="E12" s="410">
        <f>E18</f>
        <v>243</v>
      </c>
      <c r="F12" s="413" t="s">
        <v>8</v>
      </c>
      <c r="G12" s="421"/>
      <c r="H12" s="422"/>
      <c r="I12" s="421"/>
      <c r="J12" s="421"/>
      <c r="K12" s="418"/>
      <c r="L12" s="419"/>
    </row>
    <row r="13" spans="1:12" ht="12.75">
      <c r="A13" s="421" t="s">
        <v>284</v>
      </c>
      <c r="B13" s="421"/>
      <c r="C13" s="421"/>
      <c r="D13" s="411"/>
      <c r="E13" s="412">
        <v>0</v>
      </c>
      <c r="F13" s="413" t="s">
        <v>8</v>
      </c>
      <c r="G13" s="421"/>
      <c r="H13" s="422"/>
      <c r="I13" s="421"/>
      <c r="J13" s="421"/>
      <c r="K13" s="418"/>
      <c r="L13" s="419"/>
    </row>
    <row r="14" spans="1:12" ht="12.75">
      <c r="A14" s="421"/>
      <c r="B14" s="421"/>
      <c r="C14" s="421"/>
      <c r="D14" s="411"/>
      <c r="E14" s="412"/>
      <c r="F14" s="413"/>
      <c r="G14" s="407"/>
      <c r="H14" s="423"/>
      <c r="I14" s="407"/>
      <c r="J14" s="407"/>
      <c r="K14" s="419"/>
      <c r="L14" s="419"/>
    </row>
    <row r="15" spans="1:12" ht="12.75">
      <c r="A15" s="408" t="s">
        <v>285</v>
      </c>
      <c r="B15" s="408"/>
      <c r="C15" s="421"/>
      <c r="D15" s="411"/>
      <c r="E15" s="412"/>
      <c r="F15" s="413" t="s">
        <v>8</v>
      </c>
      <c r="G15" s="407"/>
      <c r="H15" s="423"/>
      <c r="I15" s="407"/>
      <c r="J15" s="407"/>
      <c r="K15" s="419"/>
      <c r="L15" s="419"/>
    </row>
    <row r="16" spans="1:12" ht="12.75">
      <c r="A16" s="421" t="s">
        <v>286</v>
      </c>
      <c r="B16" s="421"/>
      <c r="C16" s="421" t="s">
        <v>287</v>
      </c>
      <c r="D16" s="411" t="s">
        <v>288</v>
      </c>
      <c r="E16" s="410">
        <f>41+40+40+44+40+38</f>
        <v>243</v>
      </c>
      <c r="F16" s="413" t="s">
        <v>8</v>
      </c>
      <c r="G16" s="407"/>
      <c r="H16" s="423"/>
      <c r="I16" s="407"/>
      <c r="J16" s="407"/>
      <c r="K16" s="407" t="s">
        <v>305</v>
      </c>
      <c r="L16" s="419"/>
    </row>
    <row r="17" spans="1:12" ht="12.75">
      <c r="A17" s="421" t="s">
        <v>289</v>
      </c>
      <c r="B17" s="421"/>
      <c r="C17" s="421" t="s">
        <v>290</v>
      </c>
      <c r="D17" s="411" t="s">
        <v>91</v>
      </c>
      <c r="E17" s="410">
        <f>E16</f>
        <v>243</v>
      </c>
      <c r="F17" s="413" t="s">
        <v>8</v>
      </c>
      <c r="G17" s="407"/>
      <c r="H17" s="423"/>
      <c r="I17" s="407"/>
      <c r="J17" s="407"/>
      <c r="K17" s="419"/>
      <c r="L17" s="419"/>
    </row>
    <row r="18" spans="1:12" ht="12.75">
      <c r="A18" s="421" t="s">
        <v>92</v>
      </c>
      <c r="B18" s="421"/>
      <c r="C18" s="421" t="s">
        <v>5</v>
      </c>
      <c r="D18" s="411" t="s">
        <v>73</v>
      </c>
      <c r="E18" s="410">
        <f>E16</f>
        <v>243</v>
      </c>
      <c r="F18" s="413" t="s">
        <v>8</v>
      </c>
      <c r="G18" s="407"/>
      <c r="H18" s="423"/>
      <c r="I18" s="407"/>
      <c r="J18" s="407"/>
      <c r="K18" s="419"/>
      <c r="L18" s="419"/>
    </row>
    <row r="19" spans="1:12" ht="12.75">
      <c r="A19" s="421" t="s">
        <v>291</v>
      </c>
      <c r="B19" s="421"/>
      <c r="C19" s="421"/>
      <c r="D19" s="411"/>
      <c r="E19" s="412"/>
      <c r="F19" s="413"/>
      <c r="G19" s="407"/>
      <c r="H19" s="423"/>
      <c r="I19" s="407"/>
      <c r="J19" s="407"/>
      <c r="K19" s="419"/>
      <c r="L19" s="419"/>
    </row>
    <row r="20" spans="1:12" ht="12.75">
      <c r="A20" s="408"/>
      <c r="B20" s="421"/>
      <c r="C20" s="421"/>
      <c r="D20" s="411"/>
      <c r="E20" s="412"/>
      <c r="F20" s="413"/>
      <c r="G20" s="407"/>
      <c r="H20" s="423"/>
      <c r="I20" s="407"/>
      <c r="J20" s="407"/>
      <c r="K20" s="419"/>
      <c r="L20" s="419"/>
    </row>
    <row r="21" spans="1:12" ht="12.75">
      <c r="A21" s="424" t="s">
        <v>186</v>
      </c>
      <c r="B21" s="419"/>
      <c r="C21" s="421"/>
      <c r="D21" s="411"/>
      <c r="E21" s="412"/>
      <c r="F21" s="413"/>
      <c r="G21" s="407"/>
      <c r="H21" s="423"/>
      <c r="I21" s="407"/>
      <c r="J21" s="407"/>
      <c r="K21" s="419"/>
      <c r="L21" s="419"/>
    </row>
    <row r="22" spans="1:12" ht="12.75">
      <c r="A22" s="407" t="s">
        <v>292</v>
      </c>
      <c r="B22" s="407"/>
      <c r="C22" s="407" t="s">
        <v>293</v>
      </c>
      <c r="D22" s="415"/>
      <c r="E22" s="425">
        <f>64+60+52+77+65+74-E23</f>
        <v>260</v>
      </c>
      <c r="F22" s="410" t="s">
        <v>9</v>
      </c>
      <c r="G22" s="407"/>
      <c r="H22" s="423"/>
      <c r="I22" s="407"/>
      <c r="J22" s="407"/>
      <c r="K22" s="418" t="s">
        <v>310</v>
      </c>
      <c r="L22" s="426"/>
    </row>
    <row r="23" spans="1:15" ht="12.75">
      <c r="A23" s="407" t="s">
        <v>294</v>
      </c>
      <c r="B23" s="407"/>
      <c r="C23" s="407" t="s">
        <v>293</v>
      </c>
      <c r="D23" s="415"/>
      <c r="E23" s="425">
        <f>6*19+6*3</f>
        <v>132</v>
      </c>
      <c r="F23" s="410" t="s">
        <v>9</v>
      </c>
      <c r="H23" s="427"/>
      <c r="I23" s="410"/>
      <c r="K23" s="419" t="s">
        <v>309</v>
      </c>
      <c r="L23" s="426"/>
      <c r="M23" s="428"/>
      <c r="N23" s="407"/>
      <c r="O23" s="153"/>
    </row>
    <row r="24" spans="1:15" ht="12.75">
      <c r="A24" s="407" t="s">
        <v>295</v>
      </c>
      <c r="E24" s="416">
        <f>27+26+27+28+26+24</f>
        <v>158</v>
      </c>
      <c r="F24" s="410" t="s">
        <v>9</v>
      </c>
      <c r="G24" s="410"/>
      <c r="H24" s="427"/>
      <c r="I24" s="410"/>
      <c r="K24" s="419" t="s">
        <v>308</v>
      </c>
      <c r="L24" s="426"/>
      <c r="M24" s="428"/>
      <c r="N24" s="407"/>
      <c r="O24" s="153"/>
    </row>
    <row r="25" spans="1:15" ht="12.75">
      <c r="A25" s="410" t="s">
        <v>296</v>
      </c>
      <c r="B25" s="407"/>
      <c r="C25" s="407"/>
      <c r="D25" s="415"/>
      <c r="E25" s="425">
        <f>47.3+35.9+51+34.5</f>
        <v>168.7</v>
      </c>
      <c r="F25" s="410" t="s">
        <v>9</v>
      </c>
      <c r="H25" s="412"/>
      <c r="I25" s="413"/>
      <c r="K25" s="419" t="s">
        <v>307</v>
      </c>
      <c r="L25" s="426"/>
      <c r="M25" s="428"/>
      <c r="N25" s="407"/>
      <c r="O25" s="153"/>
    </row>
    <row r="26" spans="8:15" ht="12.75">
      <c r="H26" s="412"/>
      <c r="I26" s="413"/>
      <c r="K26" s="419"/>
      <c r="L26" s="426"/>
      <c r="M26" s="428"/>
      <c r="N26" s="407"/>
      <c r="O26" s="153"/>
    </row>
    <row r="27" spans="1:15" ht="12.75">
      <c r="A27" s="421" t="s">
        <v>299</v>
      </c>
      <c r="B27" s="407"/>
      <c r="C27" s="407" t="s">
        <v>297</v>
      </c>
      <c r="D27" s="415"/>
      <c r="E27" s="425">
        <v>3</v>
      </c>
      <c r="F27" s="410" t="s">
        <v>107</v>
      </c>
      <c r="H27" s="412"/>
      <c r="I27" s="413"/>
      <c r="K27" s="419" t="s">
        <v>300</v>
      </c>
      <c r="L27" s="426"/>
      <c r="M27" s="428"/>
      <c r="N27" s="407"/>
      <c r="O27" s="153"/>
    </row>
    <row r="28" spans="1:15" ht="12.75">
      <c r="A28" s="421"/>
      <c r="B28" s="407"/>
      <c r="C28" s="407" t="s">
        <v>306</v>
      </c>
      <c r="D28" s="415"/>
      <c r="E28" s="425"/>
      <c r="F28" s="410"/>
      <c r="H28" s="412"/>
      <c r="I28" s="413"/>
      <c r="K28" s="419"/>
      <c r="L28" s="426"/>
      <c r="M28" s="428"/>
      <c r="N28" s="407"/>
      <c r="O28" s="153"/>
    </row>
    <row r="29" spans="3:12" ht="12.75">
      <c r="C29" s="429"/>
      <c r="I29" s="410"/>
      <c r="J29" s="407"/>
      <c r="K29" s="418"/>
      <c r="L29" s="413"/>
    </row>
    <row r="30" spans="9:12" ht="12.75">
      <c r="I30" s="410"/>
      <c r="J30" s="407"/>
      <c r="K30" s="418"/>
      <c r="L30" s="413"/>
    </row>
    <row r="31" spans="1:12" ht="12.75">
      <c r="A31" s="430" t="s">
        <v>298</v>
      </c>
      <c r="B31" s="431"/>
      <c r="C31" s="432" t="s">
        <v>40</v>
      </c>
      <c r="D31" s="431"/>
      <c r="E31" s="433">
        <v>6</v>
      </c>
      <c r="F31" s="434" t="s">
        <v>107</v>
      </c>
      <c r="G31" s="407"/>
      <c r="H31" s="410"/>
      <c r="I31" s="410"/>
      <c r="J31" s="407"/>
      <c r="K31" s="418"/>
      <c r="L31" s="413"/>
    </row>
    <row r="32" spans="7:11" ht="12.75">
      <c r="G32" s="410"/>
      <c r="H32" s="410"/>
      <c r="I32" s="407"/>
      <c r="J32" s="407"/>
      <c r="K32" s="407"/>
    </row>
    <row r="33" spans="4:11" ht="12.75">
      <c r="D33" s="407"/>
      <c r="E33" s="407"/>
      <c r="F33" s="407"/>
      <c r="G33" s="407"/>
      <c r="H33" s="407"/>
      <c r="I33" s="407"/>
      <c r="J33" s="407"/>
      <c r="K33" s="407"/>
    </row>
    <row r="34" spans="1:15" s="405" customFormat="1" ht="12.75">
      <c r="A34" s="148"/>
      <c r="B34" s="407"/>
      <c r="C34" s="368"/>
      <c r="D34" s="407"/>
      <c r="E34" s="410"/>
      <c r="F34" s="413"/>
      <c r="G34" s="407"/>
      <c r="H34" s="407"/>
      <c r="I34" s="407"/>
      <c r="J34" s="407"/>
      <c r="K34" s="407"/>
      <c r="L34" s="421"/>
      <c r="M34" s="406"/>
      <c r="N34" s="148"/>
      <c r="O34" s="148"/>
    </row>
    <row r="35" spans="1:15" s="405" customFormat="1" ht="12.75">
      <c r="A35" s="148"/>
      <c r="B35" s="421"/>
      <c r="C35" s="368"/>
      <c r="D35" s="407"/>
      <c r="E35" s="410"/>
      <c r="F35" s="413"/>
      <c r="G35" s="407"/>
      <c r="H35" s="407"/>
      <c r="I35" s="407"/>
      <c r="J35" s="407"/>
      <c r="K35" s="407"/>
      <c r="L35" s="421"/>
      <c r="M35" s="406"/>
      <c r="N35" s="148"/>
      <c r="O35" s="148"/>
    </row>
    <row r="36" spans="1:15" s="405" customFormat="1" ht="12.75">
      <c r="A36" s="408"/>
      <c r="B36" s="407"/>
      <c r="C36" s="358"/>
      <c r="D36" s="407"/>
      <c r="E36" s="410"/>
      <c r="F36" s="413"/>
      <c r="G36" s="407"/>
      <c r="H36" s="407"/>
      <c r="I36" s="407"/>
      <c r="J36" s="407"/>
      <c r="K36" s="407"/>
      <c r="L36" s="421"/>
      <c r="M36" s="406"/>
      <c r="N36" s="148"/>
      <c r="O36" s="148"/>
    </row>
    <row r="37" spans="2:11" ht="12.75">
      <c r="B37" s="407"/>
      <c r="C37" s="405"/>
      <c r="D37" s="407"/>
      <c r="E37" s="410"/>
      <c r="F37" s="413"/>
      <c r="G37" s="407"/>
      <c r="H37" s="407"/>
      <c r="I37" s="407"/>
      <c r="J37" s="407"/>
      <c r="K37" s="407"/>
    </row>
    <row r="38" spans="2:11" ht="12.75">
      <c r="B38" s="407"/>
      <c r="C38" s="407"/>
      <c r="D38" s="407"/>
      <c r="E38" s="410"/>
      <c r="F38" s="413"/>
      <c r="G38" s="407"/>
      <c r="H38" s="407"/>
      <c r="I38" s="407"/>
      <c r="J38" s="407"/>
      <c r="K38" s="407"/>
    </row>
  </sheetData>
  <sheetProtection/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.875" style="147" customWidth="1"/>
    <col min="2" max="2" width="21.375" style="147" customWidth="1"/>
    <col min="3" max="3" width="17.625" style="174" customWidth="1"/>
    <col min="4" max="4" width="28.375" style="155" customWidth="1"/>
    <col min="5" max="16384" width="9.125" style="147" customWidth="1"/>
  </cols>
  <sheetData>
    <row r="1" spans="2:10" s="145" customFormat="1" ht="12.75">
      <c r="B1" s="146" t="s">
        <v>204</v>
      </c>
      <c r="C1" s="147"/>
      <c r="D1" s="147"/>
      <c r="I1" s="148"/>
      <c r="J1" s="148"/>
    </row>
    <row r="2" spans="2:10" s="145" customFormat="1" ht="14.25" customHeight="1">
      <c r="B2" s="149" t="s">
        <v>662</v>
      </c>
      <c r="C2" s="147"/>
      <c r="D2" s="150"/>
      <c r="I2" s="148"/>
      <c r="J2" s="148"/>
    </row>
    <row r="3" spans="2:10" s="145" customFormat="1" ht="4.5" customHeight="1">
      <c r="B3" s="149"/>
      <c r="C3" s="147"/>
      <c r="D3" s="151"/>
      <c r="I3" s="148"/>
      <c r="J3" s="148"/>
    </row>
    <row r="4" spans="2:10" s="145" customFormat="1" ht="12.75">
      <c r="B4" s="152" t="s">
        <v>26</v>
      </c>
      <c r="C4" s="153"/>
      <c r="D4" s="147"/>
      <c r="I4" s="148"/>
      <c r="J4" s="148"/>
    </row>
    <row r="5" spans="3:10" s="145" customFormat="1" ht="6.75" customHeight="1" thickBot="1">
      <c r="C5" s="154"/>
      <c r="D5" s="155"/>
      <c r="I5" s="148"/>
      <c r="J5" s="148"/>
    </row>
    <row r="6" spans="2:10" ht="12.75">
      <c r="B6" s="194"/>
      <c r="C6" s="157" t="s">
        <v>48</v>
      </c>
      <c r="D6" s="783"/>
      <c r="I6" s="148"/>
      <c r="J6" s="148"/>
    </row>
    <row r="7" spans="2:10" ht="12.75">
      <c r="B7" s="195"/>
      <c r="C7" s="159"/>
      <c r="D7" s="784"/>
      <c r="H7" s="152"/>
      <c r="I7" s="148"/>
      <c r="J7" s="148"/>
    </row>
    <row r="8" spans="2:4" ht="15">
      <c r="B8" s="196" t="s">
        <v>27</v>
      </c>
      <c r="C8" s="192" t="s">
        <v>44</v>
      </c>
      <c r="D8" s="784"/>
    </row>
    <row r="9" spans="1:4" ht="15.75">
      <c r="A9" s="161"/>
      <c r="B9" s="197"/>
      <c r="C9" s="159"/>
      <c r="D9" s="784"/>
    </row>
    <row r="10" spans="1:4" ht="6" customHeight="1" thickBot="1">
      <c r="A10" s="161"/>
      <c r="B10" s="198"/>
      <c r="C10" s="163"/>
      <c r="D10" s="164"/>
    </row>
    <row r="11" spans="2:4" ht="12.75" customHeight="1">
      <c r="B11" s="199" t="s">
        <v>28</v>
      </c>
      <c r="C11" s="193">
        <v>2</v>
      </c>
      <c r="D11" s="785" t="s">
        <v>209</v>
      </c>
    </row>
    <row r="12" spans="2:4" ht="7.5" customHeight="1">
      <c r="B12" s="200"/>
      <c r="C12" s="178"/>
      <c r="D12" s="786"/>
    </row>
    <row r="13" spans="2:4" ht="12.75" customHeight="1">
      <c r="B13" s="201" t="s">
        <v>29</v>
      </c>
      <c r="C13" s="182"/>
      <c r="D13" s="786"/>
    </row>
    <row r="14" spans="2:4" ht="7.5" customHeight="1">
      <c r="B14" s="202"/>
      <c r="C14" s="183"/>
      <c r="D14" s="786"/>
    </row>
    <row r="15" spans="2:4" ht="12.75" customHeight="1">
      <c r="B15" s="203" t="s">
        <v>30</v>
      </c>
      <c r="C15" s="181">
        <v>2</v>
      </c>
      <c r="D15" s="786"/>
    </row>
    <row r="16" spans="2:4" ht="5.25" customHeight="1">
      <c r="B16" s="195"/>
      <c r="C16" s="181"/>
      <c r="D16" s="786"/>
    </row>
    <row r="17" spans="2:4" ht="14.25" customHeight="1">
      <c r="B17" s="195" t="s">
        <v>31</v>
      </c>
      <c r="C17" s="182"/>
      <c r="D17" s="786"/>
    </row>
    <row r="18" spans="2:4" ht="6" customHeight="1">
      <c r="B18" s="203"/>
      <c r="C18" s="181"/>
      <c r="D18" s="786"/>
    </row>
    <row r="19" spans="2:4" ht="12.75" customHeight="1">
      <c r="B19" s="195" t="s">
        <v>32</v>
      </c>
      <c r="C19" s="181">
        <v>2</v>
      </c>
      <c r="D19" s="786"/>
    </row>
    <row r="20" spans="2:4" ht="6.75" customHeight="1">
      <c r="B20" s="195"/>
      <c r="C20" s="181"/>
      <c r="D20" s="786"/>
    </row>
    <row r="21" spans="2:4" ht="12.75" customHeight="1">
      <c r="B21" s="195" t="s">
        <v>33</v>
      </c>
      <c r="C21" s="181">
        <v>2</v>
      </c>
      <c r="D21" s="786"/>
    </row>
    <row r="22" spans="2:4" ht="6.75" customHeight="1">
      <c r="B22" s="195" t="s">
        <v>34</v>
      </c>
      <c r="C22" s="181"/>
      <c r="D22" s="786"/>
    </row>
    <row r="23" spans="2:4" ht="12.75" customHeight="1">
      <c r="B23" s="195" t="s">
        <v>35</v>
      </c>
      <c r="C23" s="181">
        <v>2</v>
      </c>
      <c r="D23" s="786"/>
    </row>
    <row r="24" spans="2:4" ht="6.75" customHeight="1">
      <c r="B24" s="195"/>
      <c r="C24" s="181"/>
      <c r="D24" s="786"/>
    </row>
    <row r="25" spans="2:4" ht="12.75" customHeight="1">
      <c r="B25" s="195" t="s">
        <v>36</v>
      </c>
      <c r="C25" s="181">
        <v>2</v>
      </c>
      <c r="D25" s="786"/>
    </row>
    <row r="26" spans="2:4" ht="6.75" customHeight="1">
      <c r="B26" s="195"/>
      <c r="C26" s="181"/>
      <c r="D26" s="786"/>
    </row>
    <row r="27" spans="2:4" ht="12.75" customHeight="1">
      <c r="B27" s="195" t="s">
        <v>37</v>
      </c>
      <c r="C27" s="181">
        <v>2</v>
      </c>
      <c r="D27" s="786"/>
    </row>
    <row r="28" spans="2:4" ht="6" customHeight="1">
      <c r="B28" s="195"/>
      <c r="C28" s="181"/>
      <c r="D28" s="786"/>
    </row>
    <row r="29" spans="2:4" ht="12.75" customHeight="1">
      <c r="B29" s="195" t="s">
        <v>38</v>
      </c>
      <c r="C29" s="182"/>
      <c r="D29" s="786"/>
    </row>
    <row r="30" spans="2:4" ht="5.25" customHeight="1">
      <c r="B30" s="195"/>
      <c r="C30" s="181"/>
      <c r="D30" s="786"/>
    </row>
    <row r="31" spans="2:4" ht="12.75" customHeight="1">
      <c r="B31" s="195" t="s">
        <v>39</v>
      </c>
      <c r="C31" s="181">
        <v>1</v>
      </c>
      <c r="D31" s="786"/>
    </row>
    <row r="32" spans="2:4" ht="7.5" customHeight="1">
      <c r="B32" s="195"/>
      <c r="C32" s="181"/>
      <c r="D32" s="786"/>
    </row>
    <row r="33" spans="2:4" ht="12.75" customHeight="1">
      <c r="B33" s="195" t="s">
        <v>40</v>
      </c>
      <c r="C33" s="182"/>
      <c r="D33" s="786"/>
    </row>
    <row r="34" spans="2:4" ht="7.5" customHeight="1">
      <c r="B34" s="195"/>
      <c r="C34" s="181"/>
      <c r="D34" s="786"/>
    </row>
    <row r="35" spans="2:4" ht="12.75" customHeight="1">
      <c r="B35" s="195" t="s">
        <v>41</v>
      </c>
      <c r="C35" s="181">
        <v>2</v>
      </c>
      <c r="D35" s="786"/>
    </row>
    <row r="36" spans="2:4" ht="6" customHeight="1">
      <c r="B36" s="204"/>
      <c r="C36" s="184"/>
      <c r="D36" s="786"/>
    </row>
    <row r="37" spans="2:4" ht="12.75" customHeight="1">
      <c r="B37" s="205" t="s">
        <v>63</v>
      </c>
      <c r="C37" s="178">
        <f>SUM(C11:C36)</f>
        <v>17</v>
      </c>
      <c r="D37" s="786"/>
    </row>
    <row r="38" spans="2:4" s="145" customFormat="1" ht="12.75" customHeight="1">
      <c r="B38" s="206"/>
      <c r="C38" s="181"/>
      <c r="D38" s="786"/>
    </row>
    <row r="39" spans="2:4" ht="12.75" customHeight="1">
      <c r="B39" s="207" t="s">
        <v>42</v>
      </c>
      <c r="C39" s="185">
        <v>1</v>
      </c>
      <c r="D39" s="786"/>
    </row>
    <row r="40" spans="2:4" ht="6.75" customHeight="1">
      <c r="B40" s="195"/>
      <c r="C40" s="181"/>
      <c r="D40" s="786"/>
    </row>
    <row r="41" spans="2:4" ht="12.75" customHeight="1">
      <c r="B41" s="208" t="s">
        <v>46</v>
      </c>
      <c r="C41" s="185" t="s">
        <v>47</v>
      </c>
      <c r="D41" s="786"/>
    </row>
    <row r="42" spans="2:4" ht="6.75" customHeight="1">
      <c r="B42" s="195"/>
      <c r="C42" s="181"/>
      <c r="D42" s="786"/>
    </row>
    <row r="43" spans="2:4" ht="12.75" customHeight="1">
      <c r="B43" s="208" t="s">
        <v>64</v>
      </c>
      <c r="C43" s="186" t="s">
        <v>43</v>
      </c>
      <c r="D43" s="786"/>
    </row>
    <row r="44" spans="2:4" ht="6.75" customHeight="1">
      <c r="B44" s="195"/>
      <c r="C44" s="187"/>
      <c r="D44" s="786"/>
    </row>
    <row r="45" spans="2:4" ht="12.75" customHeight="1" thickBot="1">
      <c r="B45" s="189" t="s">
        <v>50</v>
      </c>
      <c r="C45" s="188" t="s">
        <v>62</v>
      </c>
      <c r="D45" s="787"/>
    </row>
    <row r="46" spans="2:3" ht="12.75">
      <c r="B46" s="145"/>
      <c r="C46" s="155"/>
    </row>
    <row r="47" spans="2:3" ht="12.75">
      <c r="B47" s="145"/>
      <c r="C47" s="155"/>
    </row>
    <row r="48" spans="2:3" ht="12.75">
      <c r="B48" s="145"/>
      <c r="C48" s="155"/>
    </row>
    <row r="49" spans="2:3" ht="12.75">
      <c r="B49" s="145"/>
      <c r="C49" s="155"/>
    </row>
    <row r="50" spans="2:3" ht="12.75">
      <c r="B50" s="145"/>
      <c r="C50" s="155"/>
    </row>
    <row r="51" spans="2:3" ht="12.75">
      <c r="B51" s="145"/>
      <c r="C51" s="155"/>
    </row>
    <row r="52" spans="2:3" ht="12.75">
      <c r="B52" s="145"/>
      <c r="C52" s="155"/>
    </row>
    <row r="53" spans="2:3" ht="12.75">
      <c r="B53" s="145"/>
      <c r="C53" s="155"/>
    </row>
    <row r="54" spans="2:3" ht="12.75">
      <c r="B54" s="145"/>
      <c r="C54" s="155"/>
    </row>
    <row r="55" spans="2:3" ht="12.75">
      <c r="B55" s="145"/>
      <c r="C55" s="155"/>
    </row>
    <row r="56" spans="2:3" ht="12.75">
      <c r="B56" s="145"/>
      <c r="C56" s="155"/>
    </row>
  </sheetData>
  <sheetProtection/>
  <mergeCells count="2">
    <mergeCell ref="D6:D9"/>
    <mergeCell ref="D11:D4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G54" sqref="G54"/>
    </sheetView>
  </sheetViews>
  <sheetFormatPr defaultColWidth="9.00390625" defaultRowHeight="12.75"/>
  <cols>
    <col min="1" max="1" width="2.875" style="147" customWidth="1"/>
    <col min="2" max="2" width="22.25390625" style="147" customWidth="1"/>
    <col min="3" max="3" width="17.625" style="174" customWidth="1"/>
    <col min="4" max="4" width="34.125" style="155" customWidth="1"/>
    <col min="5" max="5" width="3.875" style="145" customWidth="1"/>
    <col min="6" max="6" width="2.875" style="147" customWidth="1"/>
    <col min="7" max="7" width="23.00390625" style="147" customWidth="1"/>
    <col min="8" max="8" width="17.625" style="174" customWidth="1"/>
    <col min="9" max="9" width="6.75390625" style="155" customWidth="1"/>
    <col min="10" max="10" width="3.875" style="145" customWidth="1"/>
    <col min="11" max="16384" width="9.125" style="147" customWidth="1"/>
  </cols>
  <sheetData>
    <row r="1" spans="2:10" s="145" customFormat="1" ht="12.75">
      <c r="B1" s="146" t="s">
        <v>204</v>
      </c>
      <c r="C1" s="147"/>
      <c r="D1" s="147"/>
      <c r="E1" s="147"/>
      <c r="G1" s="146" t="s">
        <v>204</v>
      </c>
      <c r="H1" s="147"/>
      <c r="I1" s="147"/>
      <c r="J1" s="147"/>
    </row>
    <row r="2" spans="2:10" s="145" customFormat="1" ht="14.25" customHeight="1">
      <c r="B2" s="149" t="s">
        <v>663</v>
      </c>
      <c r="C2" s="147"/>
      <c r="D2" s="150"/>
      <c r="E2" s="147"/>
      <c r="G2" s="149" t="s">
        <v>217</v>
      </c>
      <c r="H2" s="147"/>
      <c r="I2" s="150"/>
      <c r="J2" s="147"/>
    </row>
    <row r="3" spans="2:10" s="145" customFormat="1" ht="4.5" customHeight="1">
      <c r="B3" s="149"/>
      <c r="C3" s="147"/>
      <c r="D3" s="151"/>
      <c r="E3" s="147"/>
      <c r="G3" s="149"/>
      <c r="H3" s="147"/>
      <c r="I3" s="151"/>
      <c r="J3" s="147"/>
    </row>
    <row r="4" spans="2:10" s="145" customFormat="1" ht="12.75">
      <c r="B4" s="152" t="s">
        <v>26</v>
      </c>
      <c r="C4" s="153"/>
      <c r="D4" s="147"/>
      <c r="E4" s="147"/>
      <c r="G4" s="152" t="s">
        <v>26</v>
      </c>
      <c r="H4" s="153"/>
      <c r="I4" s="147"/>
      <c r="J4" s="147"/>
    </row>
    <row r="5" spans="3:9" s="145" customFormat="1" ht="6.75" customHeight="1" thickBot="1">
      <c r="C5" s="154"/>
      <c r="D5" s="155"/>
      <c r="H5" s="154"/>
      <c r="I5" s="155"/>
    </row>
    <row r="6" spans="2:10" ht="12.75">
      <c r="B6" s="156"/>
      <c r="C6" s="177" t="s">
        <v>52</v>
      </c>
      <c r="D6" s="788" t="s">
        <v>61</v>
      </c>
      <c r="E6" s="147"/>
      <c r="G6" s="156"/>
      <c r="H6" s="177" t="s">
        <v>48</v>
      </c>
      <c r="I6" s="790" t="s">
        <v>208</v>
      </c>
      <c r="J6" s="147"/>
    </row>
    <row r="7" spans="2:10" ht="12.75">
      <c r="B7" s="158"/>
      <c r="C7" s="178"/>
      <c r="D7" s="789"/>
      <c r="E7" s="147"/>
      <c r="G7" s="158"/>
      <c r="H7" s="178"/>
      <c r="I7" s="791"/>
      <c r="J7" s="147"/>
    </row>
    <row r="8" spans="2:10" ht="12.75">
      <c r="B8" s="176" t="s">
        <v>27</v>
      </c>
      <c r="C8" s="179" t="s">
        <v>53</v>
      </c>
      <c r="D8" s="789"/>
      <c r="E8" s="147"/>
      <c r="G8" s="176" t="s">
        <v>27</v>
      </c>
      <c r="H8" s="179" t="s">
        <v>44</v>
      </c>
      <c r="I8" s="791"/>
      <c r="J8" s="147"/>
    </row>
    <row r="9" spans="1:10" ht="12.75">
      <c r="A9" s="161"/>
      <c r="B9" s="175" t="s">
        <v>49</v>
      </c>
      <c r="C9" s="178" t="s">
        <v>54</v>
      </c>
      <c r="D9" s="789"/>
      <c r="E9" s="147"/>
      <c r="F9" s="161"/>
      <c r="G9" s="175" t="s">
        <v>49</v>
      </c>
      <c r="H9" s="178" t="s">
        <v>45</v>
      </c>
      <c r="I9" s="791"/>
      <c r="J9" s="147"/>
    </row>
    <row r="10" spans="1:10" ht="6" customHeight="1">
      <c r="A10" s="161"/>
      <c r="B10" s="162"/>
      <c r="C10" s="180"/>
      <c r="D10" s="180"/>
      <c r="E10" s="147"/>
      <c r="F10" s="161"/>
      <c r="G10" s="162"/>
      <c r="H10" s="180"/>
      <c r="I10" s="792"/>
      <c r="J10" s="147"/>
    </row>
    <row r="11" spans="2:10" ht="12.75">
      <c r="B11" s="165" t="s">
        <v>28</v>
      </c>
      <c r="C11" s="182"/>
      <c r="D11" s="785" t="s">
        <v>203</v>
      </c>
      <c r="E11" s="147"/>
      <c r="G11" s="165" t="s">
        <v>28</v>
      </c>
      <c r="H11" s="181">
        <v>2</v>
      </c>
      <c r="I11" s="792"/>
      <c r="J11" s="147"/>
    </row>
    <row r="12" spans="2:10" ht="7.5" customHeight="1">
      <c r="B12" s="166"/>
      <c r="C12" s="178"/>
      <c r="D12" s="786"/>
      <c r="E12" s="147"/>
      <c r="G12" s="166"/>
      <c r="H12" s="178"/>
      <c r="I12" s="792"/>
      <c r="J12" s="147"/>
    </row>
    <row r="13" spans="2:10" ht="12.75">
      <c r="B13" s="167" t="s">
        <v>29</v>
      </c>
      <c r="C13" s="182"/>
      <c r="D13" s="786"/>
      <c r="E13" s="147"/>
      <c r="G13" s="167" t="s">
        <v>29</v>
      </c>
      <c r="H13" s="182"/>
      <c r="I13" s="792"/>
      <c r="J13" s="147"/>
    </row>
    <row r="14" spans="2:10" ht="7.5" customHeight="1">
      <c r="B14" s="168"/>
      <c r="C14" s="183"/>
      <c r="D14" s="786"/>
      <c r="E14" s="147"/>
      <c r="G14" s="168"/>
      <c r="H14" s="183"/>
      <c r="I14" s="792"/>
      <c r="J14" s="147"/>
    </row>
    <row r="15" spans="2:10" ht="12.75">
      <c r="B15" s="169" t="s">
        <v>30</v>
      </c>
      <c r="C15" s="181">
        <v>2</v>
      </c>
      <c r="D15" s="786"/>
      <c r="E15" s="147"/>
      <c r="G15" s="169" t="s">
        <v>30</v>
      </c>
      <c r="H15" s="181">
        <v>2</v>
      </c>
      <c r="I15" s="792"/>
      <c r="J15" s="147"/>
    </row>
    <row r="16" spans="2:10" ht="5.25" customHeight="1">
      <c r="B16" s="158"/>
      <c r="C16" s="181"/>
      <c r="D16" s="786"/>
      <c r="E16" s="147"/>
      <c r="G16" s="158"/>
      <c r="H16" s="181"/>
      <c r="I16" s="792"/>
      <c r="J16" s="147"/>
    </row>
    <row r="17" spans="2:10" ht="14.25" customHeight="1">
      <c r="B17" s="158" t="s">
        <v>55</v>
      </c>
      <c r="C17" s="181">
        <v>1</v>
      </c>
      <c r="D17" s="786"/>
      <c r="E17" s="147"/>
      <c r="G17" s="158" t="s">
        <v>31</v>
      </c>
      <c r="H17" s="182"/>
      <c r="I17" s="792"/>
      <c r="J17" s="147"/>
    </row>
    <row r="18" spans="2:10" ht="6" customHeight="1">
      <c r="B18" s="169"/>
      <c r="C18" s="181"/>
      <c r="D18" s="786"/>
      <c r="E18" s="147"/>
      <c r="G18" s="169"/>
      <c r="H18" s="181"/>
      <c r="I18" s="792"/>
      <c r="J18" s="147"/>
    </row>
    <row r="19" spans="2:10" ht="12.75">
      <c r="B19" s="158" t="s">
        <v>32</v>
      </c>
      <c r="C19" s="181">
        <v>1</v>
      </c>
      <c r="D19" s="786"/>
      <c r="E19" s="147"/>
      <c r="G19" s="158" t="s">
        <v>32</v>
      </c>
      <c r="H19" s="181">
        <v>2</v>
      </c>
      <c r="I19" s="792"/>
      <c r="J19" s="147"/>
    </row>
    <row r="20" spans="2:10" ht="6.75" customHeight="1">
      <c r="B20" s="158"/>
      <c r="C20" s="181"/>
      <c r="D20" s="786"/>
      <c r="E20" s="147"/>
      <c r="G20" s="158"/>
      <c r="H20" s="181"/>
      <c r="I20" s="792"/>
      <c r="J20" s="147"/>
    </row>
    <row r="21" spans="2:10" ht="12.75">
      <c r="B21" s="158" t="s">
        <v>33</v>
      </c>
      <c r="C21" s="181">
        <v>2</v>
      </c>
      <c r="D21" s="786"/>
      <c r="E21" s="147"/>
      <c r="G21" s="158" t="s">
        <v>33</v>
      </c>
      <c r="H21" s="181">
        <v>2</v>
      </c>
      <c r="I21" s="792"/>
      <c r="J21" s="147"/>
    </row>
    <row r="22" spans="2:10" ht="6.75" customHeight="1">
      <c r="B22" s="158" t="s">
        <v>34</v>
      </c>
      <c r="C22" s="181"/>
      <c r="D22" s="786"/>
      <c r="E22" s="147"/>
      <c r="G22" s="158" t="s">
        <v>34</v>
      </c>
      <c r="H22" s="181"/>
      <c r="I22" s="792"/>
      <c r="J22" s="147"/>
    </row>
    <row r="23" spans="2:10" ht="12.75">
      <c r="B23" s="158" t="s">
        <v>35</v>
      </c>
      <c r="C23" s="181">
        <v>2</v>
      </c>
      <c r="D23" s="786"/>
      <c r="E23" s="147"/>
      <c r="G23" s="158" t="s">
        <v>35</v>
      </c>
      <c r="H23" s="181">
        <v>2</v>
      </c>
      <c r="I23" s="792"/>
      <c r="J23" s="147"/>
    </row>
    <row r="24" spans="2:10" ht="6.75" customHeight="1">
      <c r="B24" s="158"/>
      <c r="C24" s="181"/>
      <c r="D24" s="786"/>
      <c r="E24" s="147"/>
      <c r="G24" s="158"/>
      <c r="H24" s="181"/>
      <c r="I24" s="792"/>
      <c r="J24" s="147"/>
    </row>
    <row r="25" spans="2:10" ht="12.75">
      <c r="B25" s="158" t="s">
        <v>36</v>
      </c>
      <c r="C25" s="181">
        <v>2</v>
      </c>
      <c r="D25" s="786"/>
      <c r="E25" s="147"/>
      <c r="G25" s="158" t="s">
        <v>36</v>
      </c>
      <c r="H25" s="181">
        <v>2</v>
      </c>
      <c r="I25" s="792"/>
      <c r="J25" s="147"/>
    </row>
    <row r="26" spans="2:10" ht="6.75" customHeight="1">
      <c r="B26" s="158"/>
      <c r="C26" s="181"/>
      <c r="D26" s="786"/>
      <c r="E26" s="147"/>
      <c r="G26" s="158"/>
      <c r="H26" s="181"/>
      <c r="I26" s="792"/>
      <c r="J26" s="147"/>
    </row>
    <row r="27" spans="2:10" ht="12.75">
      <c r="B27" s="158" t="s">
        <v>58</v>
      </c>
      <c r="C27" s="181">
        <v>2</v>
      </c>
      <c r="D27" s="786"/>
      <c r="E27" s="147"/>
      <c r="G27" s="158" t="s">
        <v>37</v>
      </c>
      <c r="H27" s="181">
        <v>2</v>
      </c>
      <c r="I27" s="792"/>
      <c r="J27" s="147"/>
    </row>
    <row r="28" spans="2:10" ht="6" customHeight="1">
      <c r="B28" s="158"/>
      <c r="C28" s="181"/>
      <c r="D28" s="786"/>
      <c r="E28" s="147"/>
      <c r="G28" s="158"/>
      <c r="H28" s="181"/>
      <c r="I28" s="792"/>
      <c r="J28" s="147"/>
    </row>
    <row r="29" spans="2:10" ht="12.75">
      <c r="B29" s="158" t="s">
        <v>59</v>
      </c>
      <c r="C29" s="181">
        <v>1</v>
      </c>
      <c r="D29" s="786"/>
      <c r="E29" s="147"/>
      <c r="G29" s="158" t="s">
        <v>38</v>
      </c>
      <c r="H29" s="182"/>
      <c r="I29" s="792"/>
      <c r="J29" s="147"/>
    </row>
    <row r="30" spans="2:10" ht="5.25" customHeight="1">
      <c r="B30" s="158"/>
      <c r="C30" s="181"/>
      <c r="D30" s="786"/>
      <c r="E30" s="147"/>
      <c r="G30" s="158"/>
      <c r="H30" s="181"/>
      <c r="I30" s="792"/>
      <c r="J30" s="147"/>
    </row>
    <row r="31" spans="2:10" ht="12.75">
      <c r="B31" s="158" t="s">
        <v>60</v>
      </c>
      <c r="C31" s="181">
        <v>1</v>
      </c>
      <c r="D31" s="786"/>
      <c r="E31" s="147"/>
      <c r="G31" s="158" t="s">
        <v>39</v>
      </c>
      <c r="H31" s="181">
        <v>1</v>
      </c>
      <c r="I31" s="792"/>
      <c r="J31" s="147"/>
    </row>
    <row r="32" spans="2:10" ht="7.5" customHeight="1">
      <c r="B32" s="158"/>
      <c r="C32" s="181"/>
      <c r="D32" s="786"/>
      <c r="E32" s="147"/>
      <c r="G32" s="158"/>
      <c r="H32" s="181"/>
      <c r="I32" s="792"/>
      <c r="J32" s="147"/>
    </row>
    <row r="33" spans="2:10" ht="12.75">
      <c r="B33" s="158" t="s">
        <v>40</v>
      </c>
      <c r="C33" s="182"/>
      <c r="D33" s="786"/>
      <c r="E33" s="147"/>
      <c r="G33" s="158" t="s">
        <v>40</v>
      </c>
      <c r="H33" s="182"/>
      <c r="I33" s="792"/>
      <c r="J33" s="147"/>
    </row>
    <row r="34" spans="2:10" ht="7.5" customHeight="1">
      <c r="B34" s="158"/>
      <c r="C34" s="181"/>
      <c r="D34" s="786"/>
      <c r="E34" s="147"/>
      <c r="G34" s="158"/>
      <c r="H34" s="181"/>
      <c r="I34" s="792"/>
      <c r="J34" s="147"/>
    </row>
    <row r="35" spans="2:10" ht="12.75">
      <c r="B35" s="158" t="s">
        <v>41</v>
      </c>
      <c r="C35" s="182"/>
      <c r="D35" s="786"/>
      <c r="E35" s="147"/>
      <c r="G35" s="158" t="s">
        <v>41</v>
      </c>
      <c r="H35" s="181">
        <v>2</v>
      </c>
      <c r="I35" s="792"/>
      <c r="J35" s="147"/>
    </row>
    <row r="36" spans="2:10" ht="6" customHeight="1">
      <c r="B36" s="170"/>
      <c r="C36" s="184"/>
      <c r="D36" s="786"/>
      <c r="E36" s="147"/>
      <c r="G36" s="170"/>
      <c r="H36" s="184"/>
      <c r="I36" s="792"/>
      <c r="J36" s="147"/>
    </row>
    <row r="37" spans="2:10" ht="12.75">
      <c r="B37" s="190" t="s">
        <v>56</v>
      </c>
      <c r="C37" s="191">
        <f>SUM(C13:C36)</f>
        <v>14</v>
      </c>
      <c r="D37" s="786"/>
      <c r="E37" s="147"/>
      <c r="G37" s="160" t="s">
        <v>56</v>
      </c>
      <c r="H37" s="178">
        <f>SUM(H11:H36)</f>
        <v>17</v>
      </c>
      <c r="I37" s="792"/>
      <c r="J37" s="147"/>
    </row>
    <row r="38" spans="2:9" s="145" customFormat="1" ht="12.75">
      <c r="B38" s="171"/>
      <c r="C38" s="181"/>
      <c r="D38" s="786"/>
      <c r="G38" s="171"/>
      <c r="H38" s="181"/>
      <c r="I38" s="792"/>
    </row>
    <row r="39" spans="2:10" ht="12.75">
      <c r="B39" s="172" t="s">
        <v>42</v>
      </c>
      <c r="C39" s="186">
        <v>0</v>
      </c>
      <c r="D39" s="786"/>
      <c r="E39" s="147"/>
      <c r="G39" s="172" t="s">
        <v>42</v>
      </c>
      <c r="H39" s="185">
        <v>1</v>
      </c>
      <c r="I39" s="792"/>
      <c r="J39" s="147"/>
    </row>
    <row r="40" spans="2:10" ht="6.75" customHeight="1">
      <c r="B40" s="158"/>
      <c r="C40" s="181"/>
      <c r="D40" s="786"/>
      <c r="E40" s="147"/>
      <c r="G40" s="158"/>
      <c r="H40" s="181"/>
      <c r="I40" s="792"/>
      <c r="J40" s="147"/>
    </row>
    <row r="41" spans="2:10" ht="12.75">
      <c r="B41" s="173" t="s">
        <v>46</v>
      </c>
      <c r="C41" s="185" t="s">
        <v>57</v>
      </c>
      <c r="D41" s="786"/>
      <c r="E41" s="147"/>
      <c r="G41" s="173" t="s">
        <v>46</v>
      </c>
      <c r="H41" s="185" t="s">
        <v>47</v>
      </c>
      <c r="I41" s="792"/>
      <c r="J41" s="147"/>
    </row>
    <row r="42" spans="2:10" ht="6.75" customHeight="1">
      <c r="B42" s="158"/>
      <c r="C42" s="181"/>
      <c r="D42" s="786"/>
      <c r="E42" s="147"/>
      <c r="G42" s="158"/>
      <c r="H42" s="181"/>
      <c r="I42" s="792"/>
      <c r="J42" s="147"/>
    </row>
    <row r="43" spans="2:10" ht="12.75">
      <c r="B43" s="173" t="s">
        <v>66</v>
      </c>
      <c r="C43" s="186">
        <v>0</v>
      </c>
      <c r="D43" s="786"/>
      <c r="E43" s="147"/>
      <c r="G43" s="173" t="s">
        <v>65</v>
      </c>
      <c r="H43" s="186" t="s">
        <v>43</v>
      </c>
      <c r="I43" s="792"/>
      <c r="J43" s="147"/>
    </row>
    <row r="44" spans="2:10" ht="6.75" customHeight="1">
      <c r="B44" s="158"/>
      <c r="C44" s="187"/>
      <c r="D44" s="786"/>
      <c r="E44" s="147"/>
      <c r="G44" s="158"/>
      <c r="H44" s="187"/>
      <c r="I44" s="792"/>
      <c r="J44" s="147"/>
    </row>
    <row r="45" spans="2:10" ht="13.5" thickBot="1">
      <c r="B45" s="189" t="s">
        <v>50</v>
      </c>
      <c r="C45" s="188">
        <v>0</v>
      </c>
      <c r="D45" s="787"/>
      <c r="E45" s="147"/>
      <c r="G45" s="189" t="s">
        <v>50</v>
      </c>
      <c r="H45" s="188" t="s">
        <v>51</v>
      </c>
      <c r="I45" s="793"/>
      <c r="J45" s="147"/>
    </row>
    <row r="46" spans="2:10" ht="12.75">
      <c r="B46" s="145"/>
      <c r="C46" s="155"/>
      <c r="E46" s="147"/>
      <c r="G46" s="145"/>
      <c r="H46" s="155"/>
      <c r="J46" s="147"/>
    </row>
    <row r="47" spans="2:10" ht="12.75">
      <c r="B47" s="145" t="s">
        <v>278</v>
      </c>
      <c r="C47" s="155"/>
      <c r="E47" s="147"/>
      <c r="G47" s="145"/>
      <c r="H47" s="155"/>
      <c r="J47" s="147"/>
    </row>
    <row r="48" spans="2:10" ht="12.75">
      <c r="B48" s="145"/>
      <c r="C48" s="155"/>
      <c r="E48" s="147"/>
      <c r="G48" s="145"/>
      <c r="H48" s="155"/>
      <c r="J48" s="147"/>
    </row>
    <row r="49" spans="2:10" ht="12.75">
      <c r="B49" s="145"/>
      <c r="C49" s="155"/>
      <c r="E49" s="147"/>
      <c r="G49" s="155"/>
      <c r="H49" s="155"/>
      <c r="I49" s="147"/>
      <c r="J49" s="147"/>
    </row>
    <row r="50" spans="2:10" ht="12.75">
      <c r="B50" s="145"/>
      <c r="C50" s="155"/>
      <c r="E50" s="147"/>
      <c r="G50" s="145"/>
      <c r="H50" s="155"/>
      <c r="J50" s="147"/>
    </row>
    <row r="51" spans="2:10" ht="12.75">
      <c r="B51" s="145"/>
      <c r="C51" s="155"/>
      <c r="E51" s="147"/>
      <c r="G51" s="145"/>
      <c r="H51" s="155"/>
      <c r="J51" s="147"/>
    </row>
    <row r="52" spans="2:8" ht="12.75">
      <c r="B52" s="145"/>
      <c r="C52" s="155"/>
      <c r="G52" s="145"/>
      <c r="H52" s="155"/>
    </row>
    <row r="53" spans="2:8" ht="12.75">
      <c r="B53" s="145"/>
      <c r="C53" s="155"/>
      <c r="G53" s="145"/>
      <c r="H53" s="155"/>
    </row>
    <row r="54" spans="2:8" ht="12.75">
      <c r="B54" s="145"/>
      <c r="C54" s="155"/>
      <c r="G54" s="145"/>
      <c r="H54" s="155"/>
    </row>
    <row r="55" spans="2:8" ht="12.75">
      <c r="B55" s="145"/>
      <c r="C55" s="155"/>
      <c r="G55" s="145"/>
      <c r="H55" s="155"/>
    </row>
    <row r="56" spans="2:8" ht="12.75">
      <c r="B56" s="145"/>
      <c r="C56" s="155"/>
      <c r="G56" s="145"/>
      <c r="H56" s="155"/>
    </row>
  </sheetData>
  <sheetProtection/>
  <mergeCells count="3">
    <mergeCell ref="D6:D9"/>
    <mergeCell ref="D11:D45"/>
    <mergeCell ref="I6:I4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JDO</cp:lastModifiedBy>
  <cp:lastPrinted>2018-04-13T14:11:21Z</cp:lastPrinted>
  <dcterms:created xsi:type="dcterms:W3CDTF">2000-10-30T13:38:13Z</dcterms:created>
  <dcterms:modified xsi:type="dcterms:W3CDTF">2018-08-09T13:15:27Z</dcterms:modified>
  <cp:category/>
  <cp:version/>
  <cp:contentType/>
  <cp:contentStatus/>
  <cp:revision>1</cp:revision>
</cp:coreProperties>
</file>