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800" activeTab="0"/>
  </bookViews>
  <sheets>
    <sheet name="Rekapitulace stavby" sheetId="1" r:id="rId1"/>
    <sheet name="00 - Vedlejší rozpočtové ..." sheetId="2" r:id="rId2"/>
    <sheet name="01 - Bourací práce" sheetId="3" r:id="rId3"/>
    <sheet name="02 - Rekonstrukce" sheetId="4" r:id="rId4"/>
    <sheet name="03 - Vzduchotechnika" sheetId="5" r:id="rId5"/>
    <sheet name="04 - ZTI" sheetId="6" r:id="rId6"/>
  </sheets>
  <definedNames>
    <definedName name="_xlnm.Print_Titles" localSheetId="1">'00 - Vedlejší rozpočtové ...'!$111:$111</definedName>
    <definedName name="_xlnm.Print_Titles" localSheetId="2">'01 - Bourací práce'!$122:$122</definedName>
    <definedName name="_xlnm.Print_Titles" localSheetId="3">'02 - Rekonstrukce'!$122:$122</definedName>
    <definedName name="_xlnm.Print_Titles" localSheetId="4">'03 - Vzduchotechnika'!$111:$111</definedName>
    <definedName name="_xlnm.Print_Titles" localSheetId="5">'04 - ZTI'!$111:$111</definedName>
    <definedName name="_xlnm.Print_Titles" localSheetId="0">'Rekapitulace stavby'!$85:$85</definedName>
    <definedName name="_xlnm.Print_Area" localSheetId="1">'00 - Vedlejší rozpočtové ...'!$C$4:$Q$70,'00 - Vedlejší rozpočtové ...'!$C$76:$Q$95,'00 - Vedlejší rozpočtové ...'!$C$101:$Q$119</definedName>
    <definedName name="_xlnm.Print_Area" localSheetId="2">'01 - Bourací práce'!$C$4:$Q$70,'01 - Bourací práce'!$C$76:$Q$106,'01 - Bourací práce'!$C$112:$Q$164</definedName>
    <definedName name="_xlnm.Print_Area" localSheetId="3">'02 - Rekonstrukce'!$C$4:$Q$70,'02 - Rekonstrukce'!$C$76:$Q$106,'02 - Rekonstrukce'!$C$112:$Q$180</definedName>
    <definedName name="_xlnm.Print_Area" localSheetId="4">'03 - Vzduchotechnika'!$C$4:$Q$70,'03 - Vzduchotechnika'!$C$76:$Q$95,'03 - Vzduchotechnika'!$C$101:$Q$124</definedName>
    <definedName name="_xlnm.Print_Area" localSheetId="5">'04 - ZTI'!$C$4:$Q$70,'04 - ZTI'!$C$76:$Q$95,'04 - ZTI'!$C$101:$Q$148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<sst xmlns="http://schemas.openxmlformats.org/spreadsheetml/2006/main" count="2532" uniqueCount="540">
  <si>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</si>
  <si>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</si>
  <si>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</si>
  <si>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</si>
  <si>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</si>
  <si>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</si>
  <si>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</si>
  <si>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</si>
  <si>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</si>
  <si>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</si>
  <si>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</si>
  <si>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</si>
  <si>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</si>
  <si>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</si>
  <si>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201710</t>
  </si>
  <si>
    <t>Stavba:</t>
  </si>
  <si>
    <t>0,1</t>
  </si>
  <si>
    <t>JKSO:</t>
  </si>
  <si>
    <t>CC-CZ:</t>
  </si>
  <si>
    <t>1</t>
  </si>
  <si>
    <t>Místo:</t>
  </si>
  <si>
    <t>Plzeň</t>
  </si>
  <si>
    <t>Datum:</t>
  </si>
  <si>
    <t>10</t>
  </si>
  <si>
    <t>100</t>
  </si>
  <si>
    <t>Objednatel:</t>
  </si>
  <si>
    <t>IČ:</t>
  </si>
  <si>
    <t>SOUE Plzeň</t>
  </si>
  <si>
    <t>DIČ:</t>
  </si>
  <si>
    <t>Zhotovitel:</t>
  </si>
  <si>
    <t>Projektant:</t>
  </si>
  <si>
    <t xml:space="preserve"> </t>
  </si>
  <si>
    <t>True</t>
  </si>
  <si>
    <t>Zpracovatel:</t>
  </si>
  <si>
    <t>Poznámka:</t>
  </si>
  <si>
    <t>Soupis prací je sestaven za využití položek cenové soustavy ÚRS. Cenové a technické podmínky položek Cenové soustavy ÚRS,  které nejsou uvedeny v soupisu prací (tzv. úvodní část katalogů) jsou neomezeně dálkově k dispouici na www.cs-urs.cz. Položky soupisu prací, které nemají ve sloupci "Cenová soustava" uveden žádný údaj, nepocházejí z cenové soustavy ÚRS.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</si>
  <si>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</si>
  <si>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</si>
  <si>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</si>
  <si>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</si>
  <si>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</si>
  <si>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</si>
  <si>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</si>
  <si>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</si>
  <si>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</si>
  <si>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</si>
  <si>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</si>
  <si>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</si>
  <si>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</si>
  <si>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</si>
  <si>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</si>
  <si>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</si>
  <si>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</si>
  <si>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</si>
  <si>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</si>
  <si>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</si>
  <si>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</si>
  <si>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</si>
  <si>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</si>
  <si>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</si>
  <si>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</si>
  <si>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</si>
  <si>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</si>
  <si>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</si>
  <si>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</si>
  <si>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</si>
  <si>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</si>
  <si>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</si>
  <si>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</si>
  <si>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</si>
  <si>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</si>
  <si>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</si>
  <si>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</si>
  <si>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</si>
  <si>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</si>
  <si>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</si>
  <si>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</si>
  <si>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</si>
  <si>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{5665450a-0c87-4edf-978a-0281aabf1bad}</t>
  </si>
  <si>
    <t>{00000000-0000-0000-0000-000000000000}</t>
  </si>
  <si>
    <t>00</t>
  </si>
  <si>
    <t>Vedlejší rozpočtové náklady</t>
  </si>
  <si>
    <t>{1b602289-dccc-492b-97c8-649538067057}</t>
  </si>
  <si>
    <t>01</t>
  </si>
  <si>
    <t>Bourací práce</t>
  </si>
  <si>
    <t>{fe4556d8-f0a8-4971-b1f2-5d41e412310a}</t>
  </si>
  <si>
    <t>02</t>
  </si>
  <si>
    <t>Rekonstrukce</t>
  </si>
  <si>
    <t>{23bb7011-d42a-45df-af73-6a6c47c88bc7}</t>
  </si>
  <si>
    <t>03</t>
  </si>
  <si>
    <t>Vzduchotechnika</t>
  </si>
  <si>
    <t>{e4b22e09-a625-4994-a383-e45ef3832a32}</t>
  </si>
  <si>
    <t>04</t>
  </si>
  <si>
    <t>ZTI</t>
  </si>
  <si>
    <t>{e326b29b-4c24-474c-9349-e0e198bd49ea}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</si>
  <si>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</si>
  <si>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</si>
  <si>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</si>
  <si>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</si>
  <si>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</si>
  <si>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</si>
  <si>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</si>
  <si>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</si>
  <si>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00 - Vedlejší rozpočtové náklady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</si>
  <si>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</si>
  <si>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</si>
  <si>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</si>
  <si>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</si>
  <si>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</si>
  <si>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</si>
  <si>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</si>
  <si>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</si>
  <si>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VRN3 - Zařízení staveniště</t>
  </si>
  <si>
    <t xml:space="preserve">    VRN4 -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</si>
  <si>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</si>
  <si>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</si>
  <si>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</si>
  <si>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</si>
  <si>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</si>
  <si>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</si>
  <si>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</si>
  <si>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</si>
  <si>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</si>
  <si>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</si>
  <si>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</si>
  <si>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</si>
  <si>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</si>
  <si>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</si>
  <si>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</si>
  <si>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</si>
  <si>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</si>
  <si>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</t>
  </si>
  <si>
    <t>030001000</t>
  </si>
  <si>
    <t>Zařízení staveniště</t>
  </si>
  <si>
    <t>%</t>
  </si>
  <si>
    <t>1024</t>
  </si>
  <si>
    <t>-488935495</t>
  </si>
  <si>
    <t>044002000</t>
  </si>
  <si>
    <t>Revize</t>
  </si>
  <si>
    <t>kpl</t>
  </si>
  <si>
    <t>1373321315</t>
  </si>
  <si>
    <t>3</t>
  </si>
  <si>
    <t>045002000</t>
  </si>
  <si>
    <t>Kompletační a koordinační činnost</t>
  </si>
  <si>
    <t>hod</t>
  </si>
  <si>
    <t>-283702280</t>
  </si>
  <si>
    <t>4</t>
  </si>
  <si>
    <t>045002001</t>
  </si>
  <si>
    <t>Náklady na etapizaci prací</t>
  </si>
  <si>
    <t>-1586833542</t>
  </si>
  <si>
    <t>01 - Bourací práce</t>
  </si>
  <si>
    <t>HSV - Práce a dodávky HSV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</si>
  <si>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</si>
  <si>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</si>
  <si>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</si>
  <si>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</si>
  <si>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</si>
  <si>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</si>
  <si>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</si>
  <si>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</si>
  <si>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</si>
  <si>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</si>
  <si>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</si>
  <si>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</si>
  <si>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HZS - Hodinové zúčtovací sazby</t>
  </si>
  <si>
    <t>949111112</t>
  </si>
  <si>
    <t>Montáž lešení lehkého kozového trubkového v do 1,9 m</t>
  </si>
  <si>
    <t>sada</t>
  </si>
  <si>
    <t>-492477287</t>
  </si>
  <si>
    <t>949111812</t>
  </si>
  <si>
    <t>Demontáž lešení lehkého kozového trubkového v do 1,9 m</t>
  </si>
  <si>
    <t>1323040121</t>
  </si>
  <si>
    <t>952902121</t>
  </si>
  <si>
    <t>Čištění budov zametení drsných podlah</t>
  </si>
  <si>
    <t>m2</t>
  </si>
  <si>
    <t>-1306683057</t>
  </si>
  <si>
    <t>962031136</t>
  </si>
  <si>
    <t>Bourání příček z tvárnic nebo příčkovek tl do 150 mm</t>
  </si>
  <si>
    <t>515454083</t>
  </si>
  <si>
    <t>962086111</t>
  </si>
  <si>
    <t>Bourání příček z plynosilikátu tl do 150 mm</t>
  </si>
  <si>
    <t>-1969321301</t>
  </si>
  <si>
    <t>6</t>
  </si>
  <si>
    <t>971038521</t>
  </si>
  <si>
    <t>Vybourání otvorů ve zdivu z dutých tvárnic nebo příčkovek pl do 1 m2 tl do 100 mm</t>
  </si>
  <si>
    <t>-1931506224</t>
  </si>
  <si>
    <t>7</t>
  </si>
  <si>
    <t>973032862</t>
  </si>
  <si>
    <t>Vysekání kapes ve zdivu z dutých cihel nebo tvárnic pro zavázání příček nebo zdí tl do 100 mm</t>
  </si>
  <si>
    <t>m</t>
  </si>
  <si>
    <t>-549332157</t>
  </si>
  <si>
    <t>8</t>
  </si>
  <si>
    <t>974032135</t>
  </si>
  <si>
    <t>Vysekání rýh ve stěnách nebo příčkách z dutých cihel nebo tvárnic hl do 50 mm š 200 mm</t>
  </si>
  <si>
    <t>575684419</t>
  </si>
  <si>
    <t>9</t>
  </si>
  <si>
    <t>978059511</t>
  </si>
  <si>
    <t>Odsekání a odebrání obkladů stěn z vnitřních obkládaček plochy do 1 m2</t>
  </si>
  <si>
    <t>-1899480138</t>
  </si>
  <si>
    <t>997002611</t>
  </si>
  <si>
    <t>Nakládání suti a vybouraných hmot</t>
  </si>
  <si>
    <t>t</t>
  </si>
  <si>
    <t>-1625804615</t>
  </si>
  <si>
    <t>11</t>
  </si>
  <si>
    <t>997013213</t>
  </si>
  <si>
    <t>Vnitrostaveništní doprava suti a vybouraných hmot pro budovy v do 12 m ručně</t>
  </si>
  <si>
    <t>-1595520303</t>
  </si>
  <si>
    <t>12</t>
  </si>
  <si>
    <t>997013501</t>
  </si>
  <si>
    <t>Odvoz suti a vybouraných hmot na skládku nebo meziskládku do 1 km se složením</t>
  </si>
  <si>
    <t>705976190</t>
  </si>
  <si>
    <t>13</t>
  </si>
  <si>
    <t>997013509</t>
  </si>
  <si>
    <t>Příplatek k odvozu suti a vybouraných hmot na skládku ZKD 1 km přes 1 km</t>
  </si>
  <si>
    <t>954154542</t>
  </si>
  <si>
    <t>14</t>
  </si>
  <si>
    <t>997013831</t>
  </si>
  <si>
    <t>Poplatek za uložení stavebního směsného odpadu na skládce (skládkovné)</t>
  </si>
  <si>
    <t>-1120618759</t>
  </si>
  <si>
    <t>721171809</t>
  </si>
  <si>
    <t>Demontáž potrubí z PVC do D 160</t>
  </si>
  <si>
    <t>16</t>
  </si>
  <si>
    <t>-657497463</t>
  </si>
  <si>
    <t>721290821</t>
  </si>
  <si>
    <t>Přemístění vnitrostaveništní demontovaných hmot vnitřní kanalizace v objektech výšky do 6 m</t>
  </si>
  <si>
    <t>312351755</t>
  </si>
  <si>
    <t>17</t>
  </si>
  <si>
    <t>725110811</t>
  </si>
  <si>
    <t>Demontáž klozetů splachovací s nádrží</t>
  </si>
  <si>
    <t>soubor</t>
  </si>
  <si>
    <t>2006612487</t>
  </si>
  <si>
    <t>18</t>
  </si>
  <si>
    <t>725240812</t>
  </si>
  <si>
    <t>Demontáž vaniček sprchových bez výtokových armatur</t>
  </si>
  <si>
    <t>-1561331373</t>
  </si>
  <si>
    <t>19</t>
  </si>
  <si>
    <t>725840850</t>
  </si>
  <si>
    <t>Demontáž baterie sprch T 954 diferenciální do G 3/4x1</t>
  </si>
  <si>
    <t>kus</t>
  </si>
  <si>
    <t>806522620</t>
  </si>
  <si>
    <t>20</t>
  </si>
  <si>
    <t>725840860</t>
  </si>
  <si>
    <t>Demontáž ramen sprchových nebo sprch táhlových</t>
  </si>
  <si>
    <t>-1435223342</t>
  </si>
  <si>
    <t>725850800</t>
  </si>
  <si>
    <t>Demontáž ventilů odpadních T 900 až T 902</t>
  </si>
  <si>
    <t>804848639</t>
  </si>
  <si>
    <t>22</t>
  </si>
  <si>
    <t>725590813</t>
  </si>
  <si>
    <t>Přemístění vnitrostaveništní demontovaných pro zařizovací předměty v objektech výšky do 24 m</t>
  </si>
  <si>
    <t>-1424161318</t>
  </si>
  <si>
    <t>23</t>
  </si>
  <si>
    <t>766691914</t>
  </si>
  <si>
    <t>Vyvěšení nebo zavěšení dřevěných křídel dveří pl do 2 m2</t>
  </si>
  <si>
    <t>1360552194</t>
  </si>
  <si>
    <t>24</t>
  </si>
  <si>
    <t>783306801</t>
  </si>
  <si>
    <t>Odstranění nátěru ze zámečnických konstrukcí obroušením</t>
  </si>
  <si>
    <t>1767246384</t>
  </si>
  <si>
    <t>25</t>
  </si>
  <si>
    <t>784121001</t>
  </si>
  <si>
    <t>Oškrabání malby v mísnostech výšky do 3,80 m</t>
  </si>
  <si>
    <t>-785289186</t>
  </si>
  <si>
    <t>26</t>
  </si>
  <si>
    <t>784121011</t>
  </si>
  <si>
    <t>Rozmývání podkladu po oškrabání malby v místnostech výšky do 3,80 m</t>
  </si>
  <si>
    <t>-1753385286</t>
  </si>
  <si>
    <t>27</t>
  </si>
  <si>
    <t>hzs-01</t>
  </si>
  <si>
    <t>Zakrývání nábytku, zástěna, protiprašné opatření (montáž, demontáž)</t>
  </si>
  <si>
    <t>512</t>
  </si>
  <si>
    <t>-2044147045</t>
  </si>
  <si>
    <t>02 - Rekonstrukce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</si>
  <si>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</si>
  <si>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</si>
  <si>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</si>
  <si>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</si>
  <si>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</si>
  <si>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998 - Přesun hmot</t>
  </si>
  <si>
    <t xml:space="preserve">    711 - Izolace proti vodě, vlhkosti a plynům</t>
  </si>
  <si>
    <t xml:space="preserve">    781 - Dokončovací práce - obklady</t>
  </si>
  <si>
    <t>340238233</t>
  </si>
  <si>
    <t>82537618</t>
  </si>
  <si>
    <t>411388621</t>
  </si>
  <si>
    <t>Zabetonování otvorů tl do 150 mm ze suchých směsí pl do 0,25 m2 ve stropech</t>
  </si>
  <si>
    <t>-1692519997</t>
  </si>
  <si>
    <t>611325412</t>
  </si>
  <si>
    <t>-1430970345</t>
  </si>
  <si>
    <t>612325412</t>
  </si>
  <si>
    <t>562605311</t>
  </si>
  <si>
    <t>612142001</t>
  </si>
  <si>
    <t>Potažení vnitřních stěn sklovláknitým pletivem vtlačeným do tenkovrstvé hmoty</t>
  </si>
  <si>
    <t>323873861</t>
  </si>
  <si>
    <t>612311101</t>
  </si>
  <si>
    <t>Vápenná omítka hrubá jednovrstvá nezatřená vnitřních stěn nanášená ručně</t>
  </si>
  <si>
    <t>1037307223</t>
  </si>
  <si>
    <t>612131111</t>
  </si>
  <si>
    <t>Polymercementový spojovací můstek vnitřních stěn nanášený ručně</t>
  </si>
  <si>
    <t>-1187814439</t>
  </si>
  <si>
    <t>612325203</t>
  </si>
  <si>
    <t>Vápenocementová hrubá omítka malých ploch do 1,0 m2 na stěnách</t>
  </si>
  <si>
    <t>90335066</t>
  </si>
  <si>
    <t>612135101</t>
  </si>
  <si>
    <t>Hrubá výplň rýh ve stěnách maltou jakékoli šířky rýhy</t>
  </si>
  <si>
    <t>735896056</t>
  </si>
  <si>
    <t>631311121</t>
  </si>
  <si>
    <t>Doplnění dosavadních mazanin betonem prostým plochy do 1 m2 tloušťky do 80 mm</t>
  </si>
  <si>
    <t>m3</t>
  </si>
  <si>
    <t>768488531</t>
  </si>
  <si>
    <t>631319195</t>
  </si>
  <si>
    <t>Příplatek k mazanině tl do 80 mm za plochu do 5 m2</t>
  </si>
  <si>
    <t>1667668847</t>
  </si>
  <si>
    <t>952901111</t>
  </si>
  <si>
    <t>Vyčištění budov bytové a občanské výstavby při výšce podlaží do 4 m</t>
  </si>
  <si>
    <t>-790436484</t>
  </si>
  <si>
    <t>998018003</t>
  </si>
  <si>
    <t>Přesun hmot ruční pro budovy v do 24 m</t>
  </si>
  <si>
    <t>1229597774</t>
  </si>
  <si>
    <t>711111001</t>
  </si>
  <si>
    <t>Provedení izolace proti zemní vlhkosti vodorovné za studena nátěrem penetračním</t>
  </si>
  <si>
    <t>1298673113</t>
  </si>
  <si>
    <t>M</t>
  </si>
  <si>
    <t>245515000</t>
  </si>
  <si>
    <t>kg</t>
  </si>
  <si>
    <t>32</t>
  </si>
  <si>
    <t>-1318489055</t>
  </si>
  <si>
    <t>711112001</t>
  </si>
  <si>
    <t>Provedení izolace proti zemní vlhkosti svislé za studena nátěrem penetračním</t>
  </si>
  <si>
    <t>1431945025</t>
  </si>
  <si>
    <t>1941035351</t>
  </si>
  <si>
    <t>711113117</t>
  </si>
  <si>
    <t>1265875021</t>
  </si>
  <si>
    <t>711113127</t>
  </si>
  <si>
    <t>-1546463537</t>
  </si>
  <si>
    <t>711131220</t>
  </si>
  <si>
    <t>-1671296818</t>
  </si>
  <si>
    <t>998711103</t>
  </si>
  <si>
    <t>Přesun hmot tonážní pro izolace proti vodě, vlhkosti a plynům v objektech výšky do 60 m</t>
  </si>
  <si>
    <t>1629314660</t>
  </si>
  <si>
    <t>998711181</t>
  </si>
  <si>
    <t>Příplatek k přesunu hmot tonážní 711 prováděný bez použití mechanizace</t>
  </si>
  <si>
    <t>1164835036</t>
  </si>
  <si>
    <t>1574086508</t>
  </si>
  <si>
    <t>781474113</t>
  </si>
  <si>
    <t>Montáž obkladů vnitřních keramických hladkých do 19 ks/m2 lepených flexibilním lepidlem</t>
  </si>
  <si>
    <t>-1155425893</t>
  </si>
  <si>
    <t>59761000R</t>
  </si>
  <si>
    <t>obkládačky keramické dle výběru objednatele</t>
  </si>
  <si>
    <t>-1098212980</t>
  </si>
  <si>
    <t>781479191</t>
  </si>
  <si>
    <t>Příplatek k montáži obkladů vnitřních keramických hladkých za plochu do 10 m2</t>
  </si>
  <si>
    <t>1191261941</t>
  </si>
  <si>
    <t>781479192</t>
  </si>
  <si>
    <t>Příplatek k montáži obkladů vnitřních keramických hladkých za omezený prostor</t>
  </si>
  <si>
    <t>285828885</t>
  </si>
  <si>
    <t>781479194</t>
  </si>
  <si>
    <t>Příplatek k montáži obkladů vnitřních keramických hladkých za nerovný povrch</t>
  </si>
  <si>
    <t>-1278278269</t>
  </si>
  <si>
    <t>776991111</t>
  </si>
  <si>
    <t>Spárování silikonem</t>
  </si>
  <si>
    <t>2023959896</t>
  </si>
  <si>
    <t>78199001R</t>
  </si>
  <si>
    <t>398729137</t>
  </si>
  <si>
    <t>998781103</t>
  </si>
  <si>
    <t>Přesun hmot tonážní pro obklady keramické v objektech v do 24 m</t>
  </si>
  <si>
    <t>-1888330503</t>
  </si>
  <si>
    <t>998781181</t>
  </si>
  <si>
    <t>Příplatek k přesunu hmot tonážní 781 prováděný bez použití mechanizace</t>
  </si>
  <si>
    <t>-1978146181</t>
  </si>
  <si>
    <t>783301313</t>
  </si>
  <si>
    <t>Odmaštění zámečnických konstrukcí ředidlovým odmašťovačem</t>
  </si>
  <si>
    <t>1140218101</t>
  </si>
  <si>
    <t>783314203</t>
  </si>
  <si>
    <t>Základní antikorozní jednonásobný syntetický samozákladující nátěr zámečnických konstrukcí</t>
  </si>
  <si>
    <t>785406412</t>
  </si>
  <si>
    <t>783317101</t>
  </si>
  <si>
    <t>Krycí jednonásobný syntetický standardní nátěr zámečnických konstrukcí</t>
  </si>
  <si>
    <t>-251656779</t>
  </si>
  <si>
    <t>783823131</t>
  </si>
  <si>
    <t>Penetrační akrylátový nátěr hladkých, tenkovrstvých zrnitých a štukových omítek</t>
  </si>
  <si>
    <t>617850928</t>
  </si>
  <si>
    <t>784181101</t>
  </si>
  <si>
    <t>Základní akrylátová jednonásobná penetrace podkladu v místnostech výšky do 3,80m</t>
  </si>
  <si>
    <t>-1001749964</t>
  </si>
  <si>
    <t>784211101</t>
  </si>
  <si>
    <t>Dvojnásobné bílé malby ze směsí za mokra výborně otěruvzdorných v místnostech výšky do 3,80 m</t>
  </si>
  <si>
    <t>-1335946677</t>
  </si>
  <si>
    <t>03 - Vzduchotechnika</t>
  </si>
  <si>
    <t xml:space="preserve">    751 - Vzduchotechnika</t>
  </si>
  <si>
    <t>OST - Ostatní</t>
  </si>
  <si>
    <t>75199001R</t>
  </si>
  <si>
    <t>Dodávka nástavce a záslepového plechu</t>
  </si>
  <si>
    <t>1556653312</t>
  </si>
  <si>
    <t>75199002R</t>
  </si>
  <si>
    <t>Dodávka potrubí Spiro včetně tvarovek</t>
  </si>
  <si>
    <t>-1104251250</t>
  </si>
  <si>
    <t>75199003R</t>
  </si>
  <si>
    <t>Dodávka tal. ventil pr. 125, pr. 100</t>
  </si>
  <si>
    <t>1173943445</t>
  </si>
  <si>
    <t>75199004R</t>
  </si>
  <si>
    <t>Dodávka montážního materiálu</t>
  </si>
  <si>
    <t>-1751004621</t>
  </si>
  <si>
    <t>75199005R</t>
  </si>
  <si>
    <t>Montáž VZT sestavy v buňce</t>
  </si>
  <si>
    <t>-1395021575</t>
  </si>
  <si>
    <t>75199006R</t>
  </si>
  <si>
    <t>Doprava materiálu</t>
  </si>
  <si>
    <t>696804537</t>
  </si>
  <si>
    <t>75199007R</t>
  </si>
  <si>
    <t>Zaměření</t>
  </si>
  <si>
    <t>-65342907</t>
  </si>
  <si>
    <t>998751202</t>
  </si>
  <si>
    <t>Přesun hmot procentní pro vzduchotechniku v objektech v do 24 m</t>
  </si>
  <si>
    <t>-1472838043</t>
  </si>
  <si>
    <t>OST-01</t>
  </si>
  <si>
    <t>Stavební přípomoce</t>
  </si>
  <si>
    <t>1444199744</t>
  </si>
  <si>
    <t>04 - ZTI</t>
  </si>
  <si>
    <t>721171915</t>
  </si>
  <si>
    <t>Potrubí z PP propojení potrubí DN 110</t>
  </si>
  <si>
    <t>-1254311471</t>
  </si>
  <si>
    <t>721171917</t>
  </si>
  <si>
    <t>Potrubí z PP propojení potrubí DN 160</t>
  </si>
  <si>
    <t>1869691687</t>
  </si>
  <si>
    <t>721173316</t>
  </si>
  <si>
    <t>Potrubí kanalizační plastové dešťové systém KG DN 125</t>
  </si>
  <si>
    <t>-1158070739</t>
  </si>
  <si>
    <t>721173317</t>
  </si>
  <si>
    <t>Potrubí kanalizační plastové dešťové systém KG DN 160</t>
  </si>
  <si>
    <t>-1291799274</t>
  </si>
  <si>
    <t>721174043</t>
  </si>
  <si>
    <t>Potrubí kanalizační z PP připojovací systém HT DN 50</t>
  </si>
  <si>
    <t>778963377</t>
  </si>
  <si>
    <t>721174063</t>
  </si>
  <si>
    <t>Potrubí kanalizační z PP větrací systém HT DN 110</t>
  </si>
  <si>
    <t>1147079662</t>
  </si>
  <si>
    <t>286156030</t>
  </si>
  <si>
    <t>čistící tvarovka HTRE, DN 100</t>
  </si>
  <si>
    <t>-1899212016</t>
  </si>
  <si>
    <t>721290112</t>
  </si>
  <si>
    <t>Zkouška těsnosti potrubí kanalizace vodou do DN 200</t>
  </si>
  <si>
    <t>-477311683</t>
  </si>
  <si>
    <t>72199001R</t>
  </si>
  <si>
    <t>Uchycení potrubí</t>
  </si>
  <si>
    <t>609963908</t>
  </si>
  <si>
    <t>722190402</t>
  </si>
  <si>
    <t>Vyvedení a upevnění výpustku do DN 50</t>
  </si>
  <si>
    <t>554715497</t>
  </si>
  <si>
    <t>722190403</t>
  </si>
  <si>
    <t>Vyvedení a upevnění výpustku do DN 100</t>
  </si>
  <si>
    <t>518635484</t>
  </si>
  <si>
    <t>998721103</t>
  </si>
  <si>
    <t>Přesun hmot tonážní pro vnitřní kanalizace v objektech v do 24 m</t>
  </si>
  <si>
    <t>2044767536</t>
  </si>
  <si>
    <t>998721181</t>
  </si>
  <si>
    <t>Příplatek k přesunu hmot tonážní 721 prováděný bez použití mechanizace</t>
  </si>
  <si>
    <t>-182159457</t>
  </si>
  <si>
    <t>725119122</t>
  </si>
  <si>
    <t>Montáž klozetových mís kombi</t>
  </si>
  <si>
    <t>170800589</t>
  </si>
  <si>
    <t>72599001R</t>
  </si>
  <si>
    <t>WC dopojovací kus s gumou</t>
  </si>
  <si>
    <t>ks</t>
  </si>
  <si>
    <t>408006427</t>
  </si>
  <si>
    <t>72599002R</t>
  </si>
  <si>
    <t>pryžová redukce 40/30</t>
  </si>
  <si>
    <t>679634184</t>
  </si>
  <si>
    <t>725219102</t>
  </si>
  <si>
    <t>Montáž umyvadla připevněného na šrouby do zdiva</t>
  </si>
  <si>
    <t>-483082701</t>
  </si>
  <si>
    <t>725249101</t>
  </si>
  <si>
    <t>-274677653</t>
  </si>
  <si>
    <t>64293851R</t>
  </si>
  <si>
    <t>1473566397</t>
  </si>
  <si>
    <t>725800967</t>
  </si>
  <si>
    <t>Výměna prodloužení G 1/2</t>
  </si>
  <si>
    <t>656699983</t>
  </si>
  <si>
    <t>725829131</t>
  </si>
  <si>
    <t>Montáž baterie umyvadlové stojánkové G 1/2 ostatní typ</t>
  </si>
  <si>
    <t>485302575</t>
  </si>
  <si>
    <t>55144006R</t>
  </si>
  <si>
    <t>1486303152</t>
  </si>
  <si>
    <t>725849412</t>
  </si>
  <si>
    <t>Montáž baterie sprchové nástěnné s pevnou výškou sprchy</t>
  </si>
  <si>
    <t>-1521343545</t>
  </si>
  <si>
    <t>551455250</t>
  </si>
  <si>
    <t>327672622</t>
  </si>
  <si>
    <t>551928580</t>
  </si>
  <si>
    <t>1135136332</t>
  </si>
  <si>
    <t>55199001R</t>
  </si>
  <si>
    <t>sprchová hlavice</t>
  </si>
  <si>
    <t>1499463776</t>
  </si>
  <si>
    <t>725869218</t>
  </si>
  <si>
    <t>Montáž zápachových uzávěrek U-sifonů</t>
  </si>
  <si>
    <t>-1373423002</t>
  </si>
  <si>
    <t>551613120</t>
  </si>
  <si>
    <t>-1916655130</t>
  </si>
  <si>
    <t>76317231R</t>
  </si>
  <si>
    <t>Montáž revizních dvířek vel. 300x300 mm</t>
  </si>
  <si>
    <t>-649285399</t>
  </si>
  <si>
    <t>10.833.723</t>
  </si>
  <si>
    <t>Dvířka D 300x300 revizní plastová</t>
  </si>
  <si>
    <t>KS</t>
  </si>
  <si>
    <t>-942405036</t>
  </si>
  <si>
    <t>998725103</t>
  </si>
  <si>
    <t>Přesun hmot tonážní pro zařizovací předměty v objektech v do 24 m</t>
  </si>
  <si>
    <t>-1753996728</t>
  </si>
  <si>
    <t>998725181</t>
  </si>
  <si>
    <t>Příplatek k přesunu hmot tonážní 725 prováděný bez použití mechanizace</t>
  </si>
  <si>
    <t>-1893576338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</si>
  <si>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</si>
  <si>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</si>
  <si>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</si>
  <si>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</si>
  <si>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</si>
  <si>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</si>
  <si>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</si>
  <si>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Oprava vnitřní vápenocementové hladké omítky stropů v rozsahu plochy do 70%</t>
  </si>
  <si>
    <t>Oprava vnitřní vápenocementové hladké omítky stěn v rozsahu plochy do 60%</t>
  </si>
  <si>
    <t>Cementový postřik - spojovací můstek</t>
  </si>
  <si>
    <t>Sanitární silikon</t>
  </si>
  <si>
    <t>7814791R8</t>
  </si>
  <si>
    <t>7814791R9</t>
  </si>
  <si>
    <t>Vyspravení malých ploch obkladů do 0,5 m2 pod umyvadly</t>
  </si>
  <si>
    <t>Vyspravení malých ploch obkladů do 0,5 m2 před vaničkami a za WC</t>
  </si>
  <si>
    <t>Pavilon 7 - Pavilon 7 SOUE - I+II+III  Etapa stupačky</t>
  </si>
  <si>
    <t>Odtokové sprchové žlaby se zápachovou uzávěrkou a krycím roštem délky 900 mm</t>
  </si>
  <si>
    <t>Montáž odtokových sprchových žlabů se zápachovou uzávěrkou a krycím roštem délky 900 mm</t>
  </si>
  <si>
    <t xml:space="preserve">penetrace aktivační </t>
  </si>
  <si>
    <t xml:space="preserve">Izolace proti zemní vlhkosti vodorovná za studena těsnicí stěrkou </t>
  </si>
  <si>
    <t xml:space="preserve">Izolace proti zemní vlhkosti svislá za studena těsnicí stěrkou </t>
  </si>
  <si>
    <t>Izolace proti zemní vlhkosti na vodorovné ploše na sucho pásy páskou</t>
  </si>
  <si>
    <t>Montáž dlažeb vnitřních keramických hladkých do 19 ks/m2 lepených flexibilním lepidlem</t>
  </si>
  <si>
    <t xml:space="preserve">baterie umyvadlová stojánková </t>
  </si>
  <si>
    <t>baterie sprchová podomítková sprchová</t>
  </si>
  <si>
    <t>hadice sprchová  plastová/kovová 200 cm</t>
  </si>
  <si>
    <t xml:space="preserve">sifon umyvadlový  </t>
  </si>
  <si>
    <t>Dodávka klozetových mís kombi</t>
  </si>
  <si>
    <t>72599021R</t>
  </si>
  <si>
    <t>Zazdívka otvorů pl do 1 m2 v příčkách nebo stěnách z příčkovek tl 100 mm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</si>
</sst>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7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8" fillId="0" borderId="0" xfId="0" applyFont="1" applyAlignment="1">
      <alignment horizontal="left" vertical="center"/>
    </xf>
    <xf numFmtId="0" fontId="7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79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8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172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1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2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2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79" fillId="0" borderId="30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vertical="center"/>
    </xf>
    <xf numFmtId="4" fontId="84" fillId="0" borderId="22" xfId="0" applyNumberFormat="1" applyFont="1" applyBorder="1" applyAlignment="1">
      <alignment vertical="center"/>
    </xf>
    <xf numFmtId="4" fontId="84" fillId="0" borderId="0" xfId="0" applyNumberFormat="1" applyFont="1" applyBorder="1" applyAlignment="1">
      <alignment vertical="center"/>
    </xf>
    <xf numFmtId="174" fontId="84" fillId="0" borderId="0" xfId="0" applyNumberFormat="1" applyFont="1" applyBorder="1" applyAlignment="1">
      <alignment vertical="center"/>
    </xf>
    <xf numFmtId="4" fontId="84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7" fillId="0" borderId="22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74" fontId="87" fillId="0" borderId="0" xfId="0" applyNumberFormat="1" applyFont="1" applyBorder="1" applyAlignment="1">
      <alignment vertical="center"/>
    </xf>
    <xf numFmtId="4" fontId="87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87" fillId="0" borderId="24" xfId="0" applyNumberFormat="1" applyFont="1" applyBorder="1" applyAlignment="1">
      <alignment vertical="center"/>
    </xf>
    <xf numFmtId="4" fontId="87" fillId="0" borderId="25" xfId="0" applyNumberFormat="1" applyFont="1" applyBorder="1" applyAlignment="1">
      <alignment vertical="center"/>
    </xf>
    <xf numFmtId="174" fontId="87" fillId="0" borderId="25" xfId="0" applyNumberFormat="1" applyFont="1" applyBorder="1" applyAlignment="1">
      <alignment vertical="center"/>
    </xf>
    <xf numFmtId="4" fontId="87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3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lef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9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89" fillId="0" borderId="20" xfId="0" applyNumberFormat="1" applyFont="1" applyBorder="1" applyAlignment="1">
      <alignment/>
    </xf>
    <xf numFmtId="174" fontId="89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6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6" fillId="0" borderId="14" xfId="0" applyFont="1" applyBorder="1" applyAlignment="1">
      <alignment/>
    </xf>
    <xf numFmtId="0" fontId="76" fillId="0" borderId="22" xfId="0" applyFont="1" applyBorder="1" applyAlignment="1">
      <alignment/>
    </xf>
    <xf numFmtId="174" fontId="76" fillId="0" borderId="0" xfId="0" applyNumberFormat="1" applyFont="1" applyBorder="1" applyAlignment="1">
      <alignment/>
    </xf>
    <xf numFmtId="174" fontId="76" fillId="0" borderId="23" xfId="0" applyNumberFormat="1" applyFont="1" applyBorder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3" fillId="0" borderId="33" xfId="0" applyFont="1" applyBorder="1" applyAlignment="1">
      <alignment horizontal="left" vertical="center"/>
    </xf>
    <xf numFmtId="174" fontId="73" fillId="0" borderId="0" xfId="0" applyNumberFormat="1" applyFont="1" applyBorder="1" applyAlignment="1">
      <alignment vertical="center"/>
    </xf>
    <xf numFmtId="174" fontId="73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3" fillId="0" borderId="25" xfId="0" applyFont="1" applyBorder="1" applyAlignment="1">
      <alignment horizontal="center" vertical="center"/>
    </xf>
    <xf numFmtId="174" fontId="73" fillId="0" borderId="25" xfId="0" applyNumberFormat="1" applyFont="1" applyBorder="1" applyAlignment="1">
      <alignment vertical="center"/>
    </xf>
    <xf numFmtId="174" fontId="73" fillId="0" borderId="26" xfId="0" applyNumberFormat="1" applyFont="1" applyBorder="1" applyAlignment="1">
      <alignment vertical="center"/>
    </xf>
    <xf numFmtId="0" fontId="90" fillId="0" borderId="33" xfId="0" applyFont="1" applyBorder="1" applyAlignment="1" applyProtection="1">
      <alignment horizontal="center" vertical="center"/>
      <protection locked="0"/>
    </xf>
    <xf numFmtId="49" fontId="90" fillId="0" borderId="33" xfId="0" applyNumberFormat="1" applyFont="1" applyBorder="1" applyAlignment="1" applyProtection="1">
      <alignment horizontal="left" vertical="center" wrapText="1"/>
      <protection locked="0"/>
    </xf>
    <xf numFmtId="0" fontId="90" fillId="0" borderId="33" xfId="0" applyFont="1" applyBorder="1" applyAlignment="1" applyProtection="1">
      <alignment horizontal="center" vertical="center" wrapText="1"/>
      <protection locked="0"/>
    </xf>
    <xf numFmtId="175" fontId="90" fillId="0" borderId="33" xfId="0" applyNumberFormat="1" applyFont="1" applyBorder="1" applyAlignment="1" applyProtection="1">
      <alignment vertical="center"/>
      <protection locked="0"/>
    </xf>
    <xf numFmtId="0" fontId="91" fillId="0" borderId="0" xfId="36" applyFont="1" applyAlignment="1">
      <alignment horizontal="center" vertical="center"/>
    </xf>
    <xf numFmtId="0" fontId="77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0" fontId="93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5" fontId="0" fillId="13" borderId="33" xfId="0" applyNumberFormat="1" applyFont="1" applyFill="1" applyBorder="1" applyAlignment="1" applyProtection="1">
      <alignment vertical="center"/>
      <protection locked="0"/>
    </xf>
    <xf numFmtId="0" fontId="7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horizontal="right" vertical="center"/>
    </xf>
    <xf numFmtId="4" fontId="83" fillId="0" borderId="0" xfId="0" applyNumberFormat="1" applyFont="1" applyBorder="1" applyAlignment="1">
      <alignment vertical="center"/>
    </xf>
    <xf numFmtId="4" fontId="83" fillId="35" borderId="0" xfId="0" applyNumberFormat="1" applyFont="1" applyFill="1" applyBorder="1" applyAlignment="1">
      <alignment vertical="center"/>
    </xf>
    <xf numFmtId="0" fontId="78" fillId="36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8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9" fillId="0" borderId="0" xfId="0" applyFont="1" applyBorder="1" applyAlignment="1">
      <alignment horizontal="left" vertical="center" wrapText="1"/>
    </xf>
    <xf numFmtId="173" fontId="4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4" fontId="73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0" fillId="13" borderId="33" xfId="0" applyNumberFormat="1" applyFont="1" applyFill="1" applyBorder="1" applyAlignment="1" applyProtection="1">
      <alignment vertical="center"/>
      <protection locked="0"/>
    </xf>
    <xf numFmtId="0" fontId="0" fillId="13" borderId="33" xfId="0" applyFont="1" applyFill="1" applyBorder="1" applyAlignment="1" applyProtection="1">
      <alignment vertical="center"/>
      <protection locked="0"/>
    </xf>
    <xf numFmtId="0" fontId="93" fillId="33" borderId="0" xfId="36" applyFont="1" applyFill="1" applyAlignment="1" applyProtection="1">
      <alignment horizontal="center" vertical="center"/>
      <protection/>
    </xf>
    <xf numFmtId="4" fontId="83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/>
    </xf>
    <xf numFmtId="4" fontId="75" fillId="0" borderId="25" xfId="0" applyNumberFormat="1" applyFont="1" applyBorder="1" applyAlignment="1">
      <alignment/>
    </xf>
    <xf numFmtId="4" fontId="75" fillId="0" borderId="25" xfId="0" applyNumberFormat="1" applyFont="1" applyBorder="1" applyAlignment="1">
      <alignment vertical="center"/>
    </xf>
    <xf numFmtId="4" fontId="75" fillId="0" borderId="31" xfId="0" applyNumberFormat="1" applyFont="1" applyBorder="1" applyAlignment="1">
      <alignment/>
    </xf>
    <xf numFmtId="4" fontId="75" fillId="0" borderId="31" xfId="0" applyNumberFormat="1" applyFont="1" applyBorder="1" applyAlignment="1">
      <alignment vertical="center"/>
    </xf>
    <xf numFmtId="4" fontId="75" fillId="0" borderId="0" xfId="0" applyNumberFormat="1" applyFont="1" applyBorder="1" applyAlignment="1">
      <alignment/>
    </xf>
    <xf numFmtId="4" fontId="74" fillId="0" borderId="25" xfId="0" applyNumberFormat="1" applyFont="1" applyBorder="1" applyAlignment="1">
      <alignment/>
    </xf>
    <xf numFmtId="4" fontId="74" fillId="0" borderId="25" xfId="0" applyNumberFormat="1" applyFont="1" applyBorder="1" applyAlignment="1">
      <alignment vertical="center"/>
    </xf>
    <xf numFmtId="4" fontId="74" fillId="0" borderId="20" xfId="0" applyNumberFormat="1" applyFont="1" applyBorder="1" applyAlignment="1">
      <alignment/>
    </xf>
    <xf numFmtId="4" fontId="74" fillId="0" borderId="20" xfId="0" applyNumberFormat="1" applyFont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90" fillId="0" borderId="33" xfId="0" applyFont="1" applyBorder="1" applyAlignment="1" applyProtection="1">
      <alignment horizontal="left" vertical="center" wrapText="1"/>
      <protection locked="0"/>
    </xf>
    <xf numFmtId="0" fontId="90" fillId="0" borderId="33" xfId="0" applyFont="1" applyBorder="1" applyAlignment="1" applyProtection="1">
      <alignment vertical="center"/>
      <protection locked="0"/>
    </xf>
    <xf numFmtId="4" fontId="90" fillId="0" borderId="33" xfId="0" applyNumberFormat="1" applyFont="1" applyBorder="1" applyAlignment="1" applyProtection="1">
      <alignment vertical="center"/>
      <protection locked="0"/>
    </xf>
    <xf numFmtId="4" fontId="74" fillId="0" borderId="31" xfId="0" applyNumberFormat="1" applyFont="1" applyBorder="1" applyAlignment="1">
      <alignment/>
    </xf>
    <xf numFmtId="4" fontId="74" fillId="0" borderId="31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0BF8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5770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CA0D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22DF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C477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76FA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0BF8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5770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CA0D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22DF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C477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76FA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I13" sqref="I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49" t="s">
        <v>0</v>
      </c>
      <c r="B1" s="150"/>
      <c r="C1" s="150"/>
      <c r="D1" s="151" t="s">
        <v>1</v>
      </c>
      <c r="E1" s="150"/>
      <c r="F1" s="150"/>
      <c r="G1" s="150"/>
      <c r="H1" s="150"/>
      <c r="I1" s="150"/>
      <c r="J1" s="150"/>
      <c r="K1" s="152" t="s">
        <v>510</v>
      </c>
      <c r="L1" s="152"/>
      <c r="M1" s="152"/>
      <c r="N1" s="152"/>
      <c r="O1" s="152"/>
      <c r="P1" s="152"/>
      <c r="Q1" s="152"/>
      <c r="R1" s="152"/>
      <c r="S1" s="152"/>
      <c r="T1" s="150"/>
      <c r="U1" s="150"/>
      <c r="V1" s="150"/>
      <c r="W1" s="152" t="s">
        <v>511</v>
      </c>
      <c r="X1" s="152"/>
      <c r="Y1" s="152"/>
      <c r="Z1" s="152"/>
      <c r="AA1" s="152"/>
      <c r="AB1" s="152"/>
      <c r="AC1" s="152"/>
      <c r="AD1" s="152"/>
      <c r="AE1" s="152"/>
      <c r="AF1" s="152"/>
      <c r="AG1" s="150"/>
      <c r="AH1" s="15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57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R2" s="186" t="s">
        <v>6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159" t="s">
        <v>10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9"/>
      <c r="AS4" s="20" t="s">
        <v>11</v>
      </c>
      <c r="BS4" s="13" t="s">
        <v>12</v>
      </c>
    </row>
    <row r="5" spans="2:71" ht="14.25" customHeight="1">
      <c r="B5" s="17"/>
      <c r="C5" s="18"/>
      <c r="D5" s="21" t="s">
        <v>13</v>
      </c>
      <c r="E5" s="18"/>
      <c r="F5" s="18"/>
      <c r="G5" s="18"/>
      <c r="H5" s="18"/>
      <c r="I5" s="18"/>
      <c r="J5" s="18"/>
      <c r="K5" s="161" t="s">
        <v>14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8"/>
      <c r="AQ5" s="19"/>
      <c r="BS5" s="13" t="s">
        <v>7</v>
      </c>
    </row>
    <row r="6" spans="2:71" ht="36.75" customHeight="1">
      <c r="B6" s="17"/>
      <c r="C6" s="18"/>
      <c r="D6" s="23" t="s">
        <v>15</v>
      </c>
      <c r="E6" s="18"/>
      <c r="F6" s="18"/>
      <c r="G6" s="18"/>
      <c r="H6" s="18"/>
      <c r="I6" s="18"/>
      <c r="J6" s="18"/>
      <c r="K6" s="162" t="s">
        <v>525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8"/>
      <c r="AQ6" s="19"/>
      <c r="BS6" s="13" t="s">
        <v>16</v>
      </c>
    </row>
    <row r="7" spans="2:71" ht="14.25" customHeight="1">
      <c r="B7" s="17"/>
      <c r="C7" s="18"/>
      <c r="D7" s="24" t="s">
        <v>17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18</v>
      </c>
      <c r="AL7" s="18"/>
      <c r="AM7" s="18"/>
      <c r="AN7" s="22" t="s">
        <v>3</v>
      </c>
      <c r="AO7" s="18"/>
      <c r="AP7" s="18"/>
      <c r="AQ7" s="19"/>
      <c r="BS7" s="13" t="s">
        <v>19</v>
      </c>
    </row>
    <row r="8" spans="2:71" ht="14.25" customHeight="1">
      <c r="B8" s="17"/>
      <c r="C8" s="18"/>
      <c r="D8" s="24" t="s">
        <v>20</v>
      </c>
      <c r="E8" s="18"/>
      <c r="F8" s="18"/>
      <c r="G8" s="18"/>
      <c r="H8" s="18"/>
      <c r="I8" s="18"/>
      <c r="J8" s="18"/>
      <c r="K8" s="2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22</v>
      </c>
      <c r="AL8" s="18"/>
      <c r="AM8" s="18"/>
      <c r="AN8" s="22"/>
      <c r="AO8" s="18"/>
      <c r="AP8" s="18"/>
      <c r="AQ8" s="19"/>
      <c r="BS8" s="13" t="s">
        <v>23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24</v>
      </c>
    </row>
    <row r="10" spans="2:71" ht="14.25" customHeight="1">
      <c r="B10" s="17"/>
      <c r="C10" s="18"/>
      <c r="D10" s="24" t="s">
        <v>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26</v>
      </c>
      <c r="AL10" s="18"/>
      <c r="AM10" s="18"/>
      <c r="AN10" s="22" t="s">
        <v>3</v>
      </c>
      <c r="AO10" s="18"/>
      <c r="AP10" s="18"/>
      <c r="AQ10" s="19"/>
      <c r="BS10" s="13" t="s">
        <v>16</v>
      </c>
    </row>
    <row r="11" spans="2:71" ht="18" customHeight="1">
      <c r="B11" s="17"/>
      <c r="C11" s="18"/>
      <c r="D11" s="18"/>
      <c r="E11" s="22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28</v>
      </c>
      <c r="AL11" s="18"/>
      <c r="AM11" s="18"/>
      <c r="AN11" s="22" t="s">
        <v>3</v>
      </c>
      <c r="AO11" s="18"/>
      <c r="AP11" s="18"/>
      <c r="AQ11" s="19"/>
      <c r="BS11" s="13" t="s">
        <v>16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16</v>
      </c>
    </row>
    <row r="13" spans="2:71" ht="14.25" customHeight="1">
      <c r="B13" s="17"/>
      <c r="C13" s="18"/>
      <c r="D13" s="24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26</v>
      </c>
      <c r="AL13" s="18"/>
      <c r="AM13" s="18"/>
      <c r="AN13" s="22" t="s">
        <v>3</v>
      </c>
      <c r="AO13" s="18"/>
      <c r="AP13" s="18"/>
      <c r="AQ13" s="19"/>
      <c r="BS13" s="13" t="s">
        <v>16</v>
      </c>
    </row>
    <row r="14" spans="2:71" ht="15">
      <c r="B14" s="17"/>
      <c r="C14" s="18"/>
      <c r="D14" s="18"/>
      <c r="E14" s="22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28</v>
      </c>
      <c r="AL14" s="18"/>
      <c r="AM14" s="18"/>
      <c r="AN14" s="22" t="s">
        <v>3</v>
      </c>
      <c r="AO14" s="18"/>
      <c r="AP14" s="18"/>
      <c r="AQ14" s="19"/>
      <c r="BS14" s="13" t="s">
        <v>16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2:71" ht="14.25" customHeight="1">
      <c r="B16" s="17"/>
      <c r="C16" s="18"/>
      <c r="D16" s="24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26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" customHeight="1">
      <c r="B17" s="17"/>
      <c r="C17" s="18"/>
      <c r="D17" s="18"/>
      <c r="E17" s="22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28</v>
      </c>
      <c r="AL17" s="18"/>
      <c r="AM17" s="18"/>
      <c r="AN17" s="22" t="s">
        <v>3</v>
      </c>
      <c r="AO17" s="18"/>
      <c r="AP17" s="18"/>
      <c r="AQ17" s="19"/>
      <c r="BS17" s="13" t="s">
        <v>32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25" customHeight="1">
      <c r="B19" s="17"/>
      <c r="C19" s="18"/>
      <c r="D19" s="24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26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43" ht="18" customHeight="1">
      <c r="B20" s="17"/>
      <c r="C20" s="18"/>
      <c r="D20" s="18"/>
      <c r="E20" s="2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28</v>
      </c>
      <c r="AL20" s="18"/>
      <c r="AM20" s="18"/>
      <c r="AN20" s="22" t="s">
        <v>3</v>
      </c>
      <c r="AO20" s="18"/>
      <c r="AP20" s="18"/>
      <c r="AQ20" s="19"/>
    </row>
    <row r="21" spans="2:43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43" ht="15">
      <c r="B22" s="17"/>
      <c r="C22" s="18"/>
      <c r="D22" s="24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43" ht="63" customHeight="1">
      <c r="B23" s="17"/>
      <c r="C23" s="18"/>
      <c r="D23" s="18"/>
      <c r="E23" s="163" t="s">
        <v>35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8"/>
      <c r="AP23" s="18"/>
      <c r="AQ23" s="19"/>
    </row>
    <row r="24" spans="2:43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43" ht="6.75" customHeight="1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43" ht="14.25" customHeight="1">
      <c r="B26" s="17"/>
      <c r="C26" s="18"/>
      <c r="D26" s="26" t="s">
        <v>36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64">
        <f>ROUND(AG87,2)</f>
        <v>0</v>
      </c>
      <c r="AL26" s="160"/>
      <c r="AM26" s="160"/>
      <c r="AN26" s="160"/>
      <c r="AO26" s="160"/>
      <c r="AP26" s="18"/>
      <c r="AQ26" s="19"/>
    </row>
    <row r="27" spans="2:43" ht="14.25" customHeight="1">
      <c r="B27" s="17"/>
      <c r="C27" s="18"/>
      <c r="D27" s="26" t="s">
        <v>37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64">
        <f>ROUND(AG94,2)</f>
        <v>0</v>
      </c>
      <c r="AL27" s="160"/>
      <c r="AM27" s="160"/>
      <c r="AN27" s="160"/>
      <c r="AO27" s="160"/>
      <c r="AP27" s="18"/>
      <c r="AQ27" s="19"/>
    </row>
    <row r="28" spans="2:43" s="1" customFormat="1" ht="6.7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43" s="1" customFormat="1" ht="25.5" customHeight="1">
      <c r="B29" s="27"/>
      <c r="C29" s="28"/>
      <c r="D29" s="30" t="s">
        <v>38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65">
        <f>ROUND(AK26+AK27,2)</f>
        <v>0</v>
      </c>
      <c r="AL29" s="166"/>
      <c r="AM29" s="166"/>
      <c r="AN29" s="166"/>
      <c r="AO29" s="166"/>
      <c r="AP29" s="28"/>
      <c r="AQ29" s="29"/>
    </row>
    <row r="30" spans="2:43" s="1" customFormat="1" ht="6.7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43" s="2" customFormat="1" ht="14.25" customHeight="1">
      <c r="B31" s="32"/>
      <c r="C31" s="33"/>
      <c r="D31" s="34" t="s">
        <v>39</v>
      </c>
      <c r="E31" s="33"/>
      <c r="F31" s="34" t="s">
        <v>40</v>
      </c>
      <c r="G31" s="33"/>
      <c r="H31" s="33"/>
      <c r="I31" s="33"/>
      <c r="J31" s="33"/>
      <c r="K31" s="33"/>
      <c r="L31" s="167">
        <v>0.21</v>
      </c>
      <c r="M31" s="168"/>
      <c r="N31" s="168"/>
      <c r="O31" s="168"/>
      <c r="P31" s="33"/>
      <c r="Q31" s="33"/>
      <c r="R31" s="33"/>
      <c r="S31" s="33"/>
      <c r="T31" s="36" t="s">
        <v>41</v>
      </c>
      <c r="U31" s="33"/>
      <c r="V31" s="33"/>
      <c r="W31" s="169">
        <f>ROUND(AZ87+SUM(CD95:CD95),2)</f>
        <v>0</v>
      </c>
      <c r="X31" s="168"/>
      <c r="Y31" s="168"/>
      <c r="Z31" s="168"/>
      <c r="AA31" s="168"/>
      <c r="AB31" s="168"/>
      <c r="AC31" s="168"/>
      <c r="AD31" s="168"/>
      <c r="AE31" s="168"/>
      <c r="AF31" s="33"/>
      <c r="AG31" s="33"/>
      <c r="AH31" s="33"/>
      <c r="AI31" s="33"/>
      <c r="AJ31" s="33"/>
      <c r="AK31" s="169">
        <f>ROUND(AV87+SUM(BY95:BY95),2)</f>
        <v>0</v>
      </c>
      <c r="AL31" s="168"/>
      <c r="AM31" s="168"/>
      <c r="AN31" s="168"/>
      <c r="AO31" s="168"/>
      <c r="AP31" s="33"/>
      <c r="AQ31" s="37"/>
    </row>
    <row r="32" spans="2:43" s="2" customFormat="1" ht="14.25" customHeight="1">
      <c r="B32" s="32"/>
      <c r="C32" s="33"/>
      <c r="D32" s="33"/>
      <c r="E32" s="33"/>
      <c r="F32" s="34" t="s">
        <v>42</v>
      </c>
      <c r="G32" s="33"/>
      <c r="H32" s="33"/>
      <c r="I32" s="33"/>
      <c r="J32" s="33"/>
      <c r="K32" s="33"/>
      <c r="L32" s="167">
        <v>0.15</v>
      </c>
      <c r="M32" s="168"/>
      <c r="N32" s="168"/>
      <c r="O32" s="168"/>
      <c r="P32" s="33"/>
      <c r="Q32" s="33"/>
      <c r="R32" s="33"/>
      <c r="S32" s="33"/>
      <c r="T32" s="36" t="s">
        <v>41</v>
      </c>
      <c r="U32" s="33"/>
      <c r="V32" s="33"/>
      <c r="W32" s="169">
        <f>ROUND(BA87+SUM(CE95:CE95),2)</f>
        <v>0</v>
      </c>
      <c r="X32" s="168"/>
      <c r="Y32" s="168"/>
      <c r="Z32" s="168"/>
      <c r="AA32" s="168"/>
      <c r="AB32" s="168"/>
      <c r="AC32" s="168"/>
      <c r="AD32" s="168"/>
      <c r="AE32" s="168"/>
      <c r="AF32" s="33"/>
      <c r="AG32" s="33"/>
      <c r="AH32" s="33"/>
      <c r="AI32" s="33"/>
      <c r="AJ32" s="33"/>
      <c r="AK32" s="169">
        <f>ROUND(AW87+SUM(BZ95:BZ95),2)</f>
        <v>0</v>
      </c>
      <c r="AL32" s="168"/>
      <c r="AM32" s="168"/>
      <c r="AN32" s="168"/>
      <c r="AO32" s="168"/>
      <c r="AP32" s="33"/>
      <c r="AQ32" s="37"/>
    </row>
    <row r="33" spans="2:43" s="2" customFormat="1" ht="14.25" customHeight="1" hidden="1">
      <c r="B33" s="32"/>
      <c r="C33" s="33"/>
      <c r="D33" s="33"/>
      <c r="E33" s="33"/>
      <c r="F33" s="34" t="s">
        <v>43</v>
      </c>
      <c r="G33" s="33"/>
      <c r="H33" s="33"/>
      <c r="I33" s="33"/>
      <c r="J33" s="33"/>
      <c r="K33" s="33"/>
      <c r="L33" s="167">
        <v>0.21</v>
      </c>
      <c r="M33" s="168"/>
      <c r="N33" s="168"/>
      <c r="O33" s="168"/>
      <c r="P33" s="33"/>
      <c r="Q33" s="33"/>
      <c r="R33" s="33"/>
      <c r="S33" s="33"/>
      <c r="T33" s="36" t="s">
        <v>41</v>
      </c>
      <c r="U33" s="33"/>
      <c r="V33" s="33"/>
      <c r="W33" s="169">
        <f>ROUND(BB87+SUM(CF95:CF95),2)</f>
        <v>0</v>
      </c>
      <c r="X33" s="168"/>
      <c r="Y33" s="168"/>
      <c r="Z33" s="168"/>
      <c r="AA33" s="168"/>
      <c r="AB33" s="168"/>
      <c r="AC33" s="168"/>
      <c r="AD33" s="168"/>
      <c r="AE33" s="168"/>
      <c r="AF33" s="33"/>
      <c r="AG33" s="33"/>
      <c r="AH33" s="33"/>
      <c r="AI33" s="33"/>
      <c r="AJ33" s="33"/>
      <c r="AK33" s="169">
        <v>0</v>
      </c>
      <c r="AL33" s="168"/>
      <c r="AM33" s="168"/>
      <c r="AN33" s="168"/>
      <c r="AO33" s="168"/>
      <c r="AP33" s="33"/>
      <c r="AQ33" s="37"/>
    </row>
    <row r="34" spans="2:43" s="2" customFormat="1" ht="14.25" customHeight="1" hidden="1">
      <c r="B34" s="32"/>
      <c r="C34" s="33"/>
      <c r="D34" s="33"/>
      <c r="E34" s="33"/>
      <c r="F34" s="34" t="s">
        <v>44</v>
      </c>
      <c r="G34" s="33"/>
      <c r="H34" s="33"/>
      <c r="I34" s="33"/>
      <c r="J34" s="33"/>
      <c r="K34" s="33"/>
      <c r="L34" s="167">
        <v>0.15</v>
      </c>
      <c r="M34" s="168"/>
      <c r="N34" s="168"/>
      <c r="O34" s="168"/>
      <c r="P34" s="33"/>
      <c r="Q34" s="33"/>
      <c r="R34" s="33"/>
      <c r="S34" s="33"/>
      <c r="T34" s="36" t="s">
        <v>41</v>
      </c>
      <c r="U34" s="33"/>
      <c r="V34" s="33"/>
      <c r="W34" s="169">
        <f>ROUND(BC87+SUM(CG95:CG95),2)</f>
        <v>0</v>
      </c>
      <c r="X34" s="168"/>
      <c r="Y34" s="168"/>
      <c r="Z34" s="168"/>
      <c r="AA34" s="168"/>
      <c r="AB34" s="168"/>
      <c r="AC34" s="168"/>
      <c r="AD34" s="168"/>
      <c r="AE34" s="168"/>
      <c r="AF34" s="33"/>
      <c r="AG34" s="33"/>
      <c r="AH34" s="33"/>
      <c r="AI34" s="33"/>
      <c r="AJ34" s="33"/>
      <c r="AK34" s="169">
        <v>0</v>
      </c>
      <c r="AL34" s="168"/>
      <c r="AM34" s="168"/>
      <c r="AN34" s="168"/>
      <c r="AO34" s="168"/>
      <c r="AP34" s="33"/>
      <c r="AQ34" s="37"/>
    </row>
    <row r="35" spans="2:43" s="2" customFormat="1" ht="14.25" customHeight="1" hidden="1">
      <c r="B35" s="32"/>
      <c r="C35" s="33"/>
      <c r="D35" s="33"/>
      <c r="E35" s="33"/>
      <c r="F35" s="34" t="s">
        <v>45</v>
      </c>
      <c r="G35" s="33"/>
      <c r="H35" s="33"/>
      <c r="I35" s="33"/>
      <c r="J35" s="33"/>
      <c r="K35" s="33"/>
      <c r="L35" s="167">
        <v>0</v>
      </c>
      <c r="M35" s="168"/>
      <c r="N35" s="168"/>
      <c r="O35" s="168"/>
      <c r="P35" s="33"/>
      <c r="Q35" s="33"/>
      <c r="R35" s="33"/>
      <c r="S35" s="33"/>
      <c r="T35" s="36" t="s">
        <v>41</v>
      </c>
      <c r="U35" s="33"/>
      <c r="V35" s="33"/>
      <c r="W35" s="169">
        <f>ROUND(BD87+SUM(CH95:CH95),2)</f>
        <v>0</v>
      </c>
      <c r="X35" s="168"/>
      <c r="Y35" s="168"/>
      <c r="Z35" s="168"/>
      <c r="AA35" s="168"/>
      <c r="AB35" s="168"/>
      <c r="AC35" s="168"/>
      <c r="AD35" s="168"/>
      <c r="AE35" s="168"/>
      <c r="AF35" s="33"/>
      <c r="AG35" s="33"/>
      <c r="AH35" s="33"/>
      <c r="AI35" s="33"/>
      <c r="AJ35" s="33"/>
      <c r="AK35" s="169">
        <v>0</v>
      </c>
      <c r="AL35" s="168"/>
      <c r="AM35" s="168"/>
      <c r="AN35" s="168"/>
      <c r="AO35" s="168"/>
      <c r="AP35" s="33"/>
      <c r="AQ35" s="37"/>
    </row>
    <row r="36" spans="2:43" s="1" customFormat="1" ht="6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5" customHeight="1">
      <c r="B37" s="27"/>
      <c r="C37" s="38"/>
      <c r="D37" s="39" t="s">
        <v>46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47</v>
      </c>
      <c r="U37" s="40"/>
      <c r="V37" s="40"/>
      <c r="W37" s="40"/>
      <c r="X37" s="176" t="s">
        <v>48</v>
      </c>
      <c r="Y37" s="177"/>
      <c r="Z37" s="177"/>
      <c r="AA37" s="177"/>
      <c r="AB37" s="177"/>
      <c r="AC37" s="40"/>
      <c r="AD37" s="40"/>
      <c r="AE37" s="40"/>
      <c r="AF37" s="40"/>
      <c r="AG37" s="40"/>
      <c r="AH37" s="40"/>
      <c r="AI37" s="40"/>
      <c r="AJ37" s="40"/>
      <c r="AK37" s="178">
        <f>SUM(AK29:AK35)</f>
        <v>0</v>
      </c>
      <c r="AL37" s="177"/>
      <c r="AM37" s="177"/>
      <c r="AN37" s="177"/>
      <c r="AO37" s="179"/>
      <c r="AP37" s="38"/>
      <c r="AQ37" s="29"/>
    </row>
    <row r="38" spans="2:43" s="1" customFormat="1" ht="14.2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27"/>
      <c r="C49" s="28"/>
      <c r="D49" s="42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50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8"/>
      <c r="AQ49" s="29"/>
    </row>
    <row r="50" spans="2:43" ht="13.5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ht="13.5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ht="13.5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ht="13.5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ht="13.5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ht="13.5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ht="13.5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ht="13.5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5">
      <c r="B58" s="27"/>
      <c r="C58" s="28"/>
      <c r="D58" s="47" t="s">
        <v>51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52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51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52</v>
      </c>
      <c r="AN58" s="48"/>
      <c r="AO58" s="50"/>
      <c r="AP58" s="28"/>
      <c r="AQ58" s="29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27"/>
      <c r="C60" s="28"/>
      <c r="D60" s="42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54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 ht="13.5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ht="13.5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ht="13.5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ht="13.5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ht="13.5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ht="13.5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ht="13.5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ht="13.5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5">
      <c r="B69" s="27"/>
      <c r="C69" s="28"/>
      <c r="D69" s="47" t="s">
        <v>51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52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51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52</v>
      </c>
      <c r="AN69" s="48"/>
      <c r="AO69" s="50"/>
      <c r="AP69" s="28"/>
      <c r="AQ69" s="29"/>
    </row>
    <row r="70" spans="2:43" s="1" customFormat="1" ht="6.75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7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75" customHeight="1">
      <c r="B76" s="27"/>
      <c r="C76" s="159" t="s">
        <v>55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29"/>
    </row>
    <row r="77" spans="2:43" s="3" customFormat="1" ht="14.25" customHeight="1">
      <c r="B77" s="57"/>
      <c r="C77" s="24" t="s">
        <v>13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201710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75" customHeight="1">
      <c r="B78" s="60"/>
      <c r="C78" s="61" t="s">
        <v>15</v>
      </c>
      <c r="D78" s="62"/>
      <c r="E78" s="62"/>
      <c r="F78" s="62"/>
      <c r="G78" s="62"/>
      <c r="H78" s="62"/>
      <c r="I78" s="62"/>
      <c r="J78" s="62"/>
      <c r="K78" s="62"/>
      <c r="L78" s="187" t="str">
        <f>K6</f>
        <v>Pavilon 7 - Pavilon 7 SOUE - I+II+III  Etapa stupačky</v>
      </c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62"/>
      <c r="AQ78" s="63"/>
    </row>
    <row r="79" spans="2:43" s="1" customFormat="1" ht="6.7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>
      <c r="B80" s="27"/>
      <c r="C80" s="24" t="s">
        <v>20</v>
      </c>
      <c r="D80" s="28"/>
      <c r="E80" s="28"/>
      <c r="F80" s="28"/>
      <c r="G80" s="28"/>
      <c r="H80" s="28"/>
      <c r="I80" s="28"/>
      <c r="J80" s="28"/>
      <c r="K80" s="28"/>
      <c r="L80" s="64">
        <f>IF(K8="","",K8)</f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22</v>
      </c>
      <c r="AJ80" s="28"/>
      <c r="AK80" s="28"/>
      <c r="AL80" s="28"/>
      <c r="AM80" s="65">
        <f>IF(AN8="","",AN8)</f>
      </c>
      <c r="AN80" s="28"/>
      <c r="AO80" s="28"/>
      <c r="AP80" s="28"/>
      <c r="AQ80" s="29"/>
    </row>
    <row r="81" spans="2:43" s="1" customFormat="1" ht="6.7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2:56" s="1" customFormat="1" ht="15">
      <c r="B82" s="27"/>
      <c r="C82" s="24" t="s">
        <v>25</v>
      </c>
      <c r="D82" s="28"/>
      <c r="E82" s="28"/>
      <c r="F82" s="28"/>
      <c r="G82" s="28"/>
      <c r="H82" s="28"/>
      <c r="I82" s="28"/>
      <c r="J82" s="28"/>
      <c r="K82" s="28"/>
      <c r="L82" s="58">
        <f>IF(E11="","",E11)</f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30</v>
      </c>
      <c r="AJ82" s="28"/>
      <c r="AK82" s="28"/>
      <c r="AL82" s="28"/>
      <c r="AM82" s="171" t="str">
        <f>IF(E17="","",E17)</f>
        <v> </v>
      </c>
      <c r="AN82" s="170"/>
      <c r="AO82" s="170"/>
      <c r="AP82" s="170"/>
      <c r="AQ82" s="29"/>
      <c r="AS82" s="189" t="s">
        <v>56</v>
      </c>
      <c r="AT82" s="190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1" customFormat="1" ht="15">
      <c r="B83" s="27"/>
      <c r="C83" s="24" t="s">
        <v>29</v>
      </c>
      <c r="D83" s="28"/>
      <c r="E83" s="28"/>
      <c r="F83" s="28"/>
      <c r="G83" s="28"/>
      <c r="H83" s="28"/>
      <c r="I83" s="28"/>
      <c r="J83" s="28"/>
      <c r="K83" s="28"/>
      <c r="L83" s="58">
        <f>IF(E14="","",E14)</f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33</v>
      </c>
      <c r="AJ83" s="28"/>
      <c r="AK83" s="28"/>
      <c r="AL83" s="28"/>
      <c r="AM83" s="171">
        <f>IF(E20="","",E20)</f>
      </c>
      <c r="AN83" s="170"/>
      <c r="AO83" s="170"/>
      <c r="AP83" s="170"/>
      <c r="AQ83" s="29"/>
      <c r="AS83" s="191"/>
      <c r="AT83" s="170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2:56" s="1" customFormat="1" ht="10.5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91"/>
      <c r="AT84" s="170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2:56" s="1" customFormat="1" ht="29.25" customHeight="1">
      <c r="B85" s="27"/>
      <c r="C85" s="172" t="s">
        <v>57</v>
      </c>
      <c r="D85" s="173"/>
      <c r="E85" s="173"/>
      <c r="F85" s="173"/>
      <c r="G85" s="173"/>
      <c r="H85" s="67"/>
      <c r="I85" s="174" t="s">
        <v>58</v>
      </c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4" t="s">
        <v>59</v>
      </c>
      <c r="AH85" s="173"/>
      <c r="AI85" s="173"/>
      <c r="AJ85" s="173"/>
      <c r="AK85" s="173"/>
      <c r="AL85" s="173"/>
      <c r="AM85" s="173"/>
      <c r="AN85" s="174" t="s">
        <v>60</v>
      </c>
      <c r="AO85" s="173"/>
      <c r="AP85" s="175"/>
      <c r="AQ85" s="29"/>
      <c r="AS85" s="68" t="s">
        <v>61</v>
      </c>
      <c r="AT85" s="69" t="s">
        <v>62</v>
      </c>
      <c r="AU85" s="69" t="s">
        <v>63</v>
      </c>
      <c r="AV85" s="69" t="s">
        <v>64</v>
      </c>
      <c r="AW85" s="69" t="s">
        <v>65</v>
      </c>
      <c r="AX85" s="69" t="s">
        <v>66</v>
      </c>
      <c r="AY85" s="69" t="s">
        <v>67</v>
      </c>
      <c r="AZ85" s="69" t="s">
        <v>68</v>
      </c>
      <c r="BA85" s="69" t="s">
        <v>69</v>
      </c>
      <c r="BB85" s="69" t="s">
        <v>70</v>
      </c>
      <c r="BC85" s="69" t="s">
        <v>71</v>
      </c>
      <c r="BD85" s="70" t="s">
        <v>72</v>
      </c>
    </row>
    <row r="86" spans="2:56" s="1" customFormat="1" ht="10.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4" customFormat="1" ht="32.25" customHeight="1">
      <c r="B87" s="60"/>
      <c r="C87" s="72" t="s">
        <v>73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83">
        <f>ROUND(SUM(AG88:AG92),2)</f>
        <v>0</v>
      </c>
      <c r="AH87" s="183"/>
      <c r="AI87" s="183"/>
      <c r="AJ87" s="183"/>
      <c r="AK87" s="183"/>
      <c r="AL87" s="183"/>
      <c r="AM87" s="183"/>
      <c r="AN87" s="184">
        <f aca="true" t="shared" si="0" ref="AN87:AN92">SUM(AG87,AT87)</f>
        <v>0</v>
      </c>
      <c r="AO87" s="184"/>
      <c r="AP87" s="184"/>
      <c r="AQ87" s="63"/>
      <c r="AS87" s="74">
        <f>ROUND(SUM(AS88:AS92),2)</f>
        <v>0</v>
      </c>
      <c r="AT87" s="75">
        <f aca="true" t="shared" si="1" ref="AT87:AT92">ROUND(SUM(AV87:AW87),2)</f>
        <v>0</v>
      </c>
      <c r="AU87" s="76">
        <f>ROUND(SUM(AU88:AU92),5)</f>
        <v>3785.63987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ROUND(SUM(AZ88:AZ92),2)</f>
        <v>0</v>
      </c>
      <c r="BA87" s="75">
        <f>ROUND(SUM(BA88:BA92),2)</f>
        <v>0</v>
      </c>
      <c r="BB87" s="75">
        <f>ROUND(SUM(BB88:BB92),2)</f>
        <v>0</v>
      </c>
      <c r="BC87" s="75">
        <f>ROUND(SUM(BC88:BC92),2)</f>
        <v>0</v>
      </c>
      <c r="BD87" s="77">
        <f>ROUND(SUM(BD88:BD92),2)</f>
        <v>0</v>
      </c>
      <c r="BS87" s="78" t="s">
        <v>74</v>
      </c>
      <c r="BT87" s="78" t="s">
        <v>75</v>
      </c>
      <c r="BU87" s="79" t="s">
        <v>76</v>
      </c>
      <c r="BV87" s="78" t="s">
        <v>77</v>
      </c>
      <c r="BW87" s="78" t="s">
        <v>78</v>
      </c>
      <c r="BX87" s="78" t="s">
        <v>79</v>
      </c>
    </row>
    <row r="88" spans="1:76" s="5" customFormat="1" ht="27" customHeight="1">
      <c r="A88" s="148" t="s">
        <v>512</v>
      </c>
      <c r="B88" s="80"/>
      <c r="C88" s="81"/>
      <c r="D88" s="180" t="s">
        <v>80</v>
      </c>
      <c r="E88" s="181"/>
      <c r="F88" s="181"/>
      <c r="G88" s="181"/>
      <c r="H88" s="181"/>
      <c r="I88" s="82"/>
      <c r="J88" s="180" t="s">
        <v>81</v>
      </c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2">
        <f>'00 - Vedlejší rozpočtové ...'!M30</f>
        <v>0</v>
      </c>
      <c r="AH88" s="181"/>
      <c r="AI88" s="181"/>
      <c r="AJ88" s="181"/>
      <c r="AK88" s="181"/>
      <c r="AL88" s="181"/>
      <c r="AM88" s="181"/>
      <c r="AN88" s="182">
        <f t="shared" si="0"/>
        <v>0</v>
      </c>
      <c r="AO88" s="181"/>
      <c r="AP88" s="181"/>
      <c r="AQ88" s="83"/>
      <c r="AS88" s="84">
        <f>'00 - Vedlejší rozpočtové ...'!M28</f>
        <v>0</v>
      </c>
      <c r="AT88" s="85">
        <f t="shared" si="1"/>
        <v>0</v>
      </c>
      <c r="AU88" s="86">
        <f>'00 - Vedlejší rozpočtové ...'!W112</f>
        <v>0</v>
      </c>
      <c r="AV88" s="85">
        <f>'00 - Vedlejší rozpočtové ...'!M32</f>
        <v>0</v>
      </c>
      <c r="AW88" s="85">
        <f>'00 - Vedlejší rozpočtové ...'!M33</f>
        <v>0</v>
      </c>
      <c r="AX88" s="85">
        <f>'00 - Vedlejší rozpočtové ...'!M34</f>
        <v>0</v>
      </c>
      <c r="AY88" s="85">
        <f>'00 - Vedlejší rozpočtové ...'!M35</f>
        <v>0</v>
      </c>
      <c r="AZ88" s="85">
        <f>'00 - Vedlejší rozpočtové ...'!H32</f>
        <v>0</v>
      </c>
      <c r="BA88" s="85">
        <f>'00 - Vedlejší rozpočtové ...'!H33</f>
        <v>0</v>
      </c>
      <c r="BB88" s="85">
        <f>'00 - Vedlejší rozpočtové ...'!H34</f>
        <v>0</v>
      </c>
      <c r="BC88" s="85">
        <f>'00 - Vedlejší rozpočtové ...'!H35</f>
        <v>0</v>
      </c>
      <c r="BD88" s="87">
        <f>'00 - Vedlejší rozpočtové ...'!H36</f>
        <v>0</v>
      </c>
      <c r="BT88" s="88" t="s">
        <v>19</v>
      </c>
      <c r="BV88" s="88" t="s">
        <v>77</v>
      </c>
      <c r="BW88" s="88" t="s">
        <v>82</v>
      </c>
      <c r="BX88" s="88" t="s">
        <v>78</v>
      </c>
    </row>
    <row r="89" spans="1:76" s="5" customFormat="1" ht="27" customHeight="1">
      <c r="A89" s="148" t="s">
        <v>512</v>
      </c>
      <c r="B89" s="80"/>
      <c r="C89" s="81"/>
      <c r="D89" s="180" t="s">
        <v>83</v>
      </c>
      <c r="E89" s="181"/>
      <c r="F89" s="181"/>
      <c r="G89" s="181"/>
      <c r="H89" s="181"/>
      <c r="I89" s="82"/>
      <c r="J89" s="180" t="s">
        <v>84</v>
      </c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2">
        <f>'01 - Bourací práce'!M30</f>
        <v>0</v>
      </c>
      <c r="AH89" s="181"/>
      <c r="AI89" s="181"/>
      <c r="AJ89" s="181"/>
      <c r="AK89" s="181"/>
      <c r="AL89" s="181"/>
      <c r="AM89" s="181"/>
      <c r="AN89" s="182">
        <f t="shared" si="0"/>
        <v>0</v>
      </c>
      <c r="AO89" s="181"/>
      <c r="AP89" s="181"/>
      <c r="AQ89" s="83"/>
      <c r="AS89" s="84">
        <f>'01 - Bourací práce'!M28</f>
        <v>0</v>
      </c>
      <c r="AT89" s="85">
        <f t="shared" si="1"/>
        <v>0</v>
      </c>
      <c r="AU89" s="86">
        <f>'01 - Bourací práce'!W123</f>
        <v>678.509133</v>
      </c>
      <c r="AV89" s="85">
        <f>'01 - Bourací práce'!M32</f>
        <v>0</v>
      </c>
      <c r="AW89" s="85">
        <f>'01 - Bourací práce'!M33</f>
        <v>0</v>
      </c>
      <c r="AX89" s="85">
        <f>'01 - Bourací práce'!M34</f>
        <v>0</v>
      </c>
      <c r="AY89" s="85">
        <f>'01 - Bourací práce'!M35</f>
        <v>0</v>
      </c>
      <c r="AZ89" s="85">
        <f>'01 - Bourací práce'!H32</f>
        <v>0</v>
      </c>
      <c r="BA89" s="85">
        <f>'01 - Bourací práce'!H33</f>
        <v>0</v>
      </c>
      <c r="BB89" s="85">
        <f>'01 - Bourací práce'!H34</f>
        <v>0</v>
      </c>
      <c r="BC89" s="85">
        <f>'01 - Bourací práce'!H35</f>
        <v>0</v>
      </c>
      <c r="BD89" s="87">
        <f>'01 - Bourací práce'!H36</f>
        <v>0</v>
      </c>
      <c r="BT89" s="88" t="s">
        <v>19</v>
      </c>
      <c r="BV89" s="88" t="s">
        <v>77</v>
      </c>
      <c r="BW89" s="88" t="s">
        <v>85</v>
      </c>
      <c r="BX89" s="88" t="s">
        <v>78</v>
      </c>
    </row>
    <row r="90" spans="1:76" s="5" customFormat="1" ht="27" customHeight="1">
      <c r="A90" s="148" t="s">
        <v>512</v>
      </c>
      <c r="B90" s="80"/>
      <c r="C90" s="81"/>
      <c r="D90" s="180" t="s">
        <v>86</v>
      </c>
      <c r="E90" s="181"/>
      <c r="F90" s="181"/>
      <c r="G90" s="181"/>
      <c r="H90" s="181"/>
      <c r="I90" s="82"/>
      <c r="J90" s="180" t="s">
        <v>87</v>
      </c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2">
        <f>'02 - Rekonstrukce'!M30</f>
        <v>0</v>
      </c>
      <c r="AH90" s="181"/>
      <c r="AI90" s="181"/>
      <c r="AJ90" s="181"/>
      <c r="AK90" s="181"/>
      <c r="AL90" s="181"/>
      <c r="AM90" s="181"/>
      <c r="AN90" s="182">
        <f t="shared" si="0"/>
        <v>0</v>
      </c>
      <c r="AO90" s="181"/>
      <c r="AP90" s="181"/>
      <c r="AQ90" s="83"/>
      <c r="AS90" s="84">
        <f>'02 - Rekonstrukce'!M28</f>
        <v>0</v>
      </c>
      <c r="AT90" s="85">
        <f t="shared" si="1"/>
        <v>0</v>
      </c>
      <c r="AU90" s="86">
        <f>'02 - Rekonstrukce'!W123</f>
        <v>2668.553781</v>
      </c>
      <c r="AV90" s="85">
        <f>'02 - Rekonstrukce'!M32</f>
        <v>0</v>
      </c>
      <c r="AW90" s="85">
        <f>'02 - Rekonstrukce'!M33</f>
        <v>0</v>
      </c>
      <c r="AX90" s="85">
        <f>'02 - Rekonstrukce'!M34</f>
        <v>0</v>
      </c>
      <c r="AY90" s="85">
        <f>'02 - Rekonstrukce'!M35</f>
        <v>0</v>
      </c>
      <c r="AZ90" s="85">
        <f>'02 - Rekonstrukce'!H32</f>
        <v>0</v>
      </c>
      <c r="BA90" s="85">
        <f>'02 - Rekonstrukce'!H33</f>
        <v>0</v>
      </c>
      <c r="BB90" s="85">
        <f>'02 - Rekonstrukce'!H34</f>
        <v>0</v>
      </c>
      <c r="BC90" s="85">
        <f>'02 - Rekonstrukce'!H35</f>
        <v>0</v>
      </c>
      <c r="BD90" s="87">
        <f>'02 - Rekonstrukce'!H36</f>
        <v>0</v>
      </c>
      <c r="BT90" s="88" t="s">
        <v>19</v>
      </c>
      <c r="BV90" s="88" t="s">
        <v>77</v>
      </c>
      <c r="BW90" s="88" t="s">
        <v>88</v>
      </c>
      <c r="BX90" s="88" t="s">
        <v>78</v>
      </c>
    </row>
    <row r="91" spans="1:76" s="5" customFormat="1" ht="27" customHeight="1">
      <c r="A91" s="148" t="s">
        <v>512</v>
      </c>
      <c r="B91" s="80"/>
      <c r="C91" s="81"/>
      <c r="D91" s="180" t="s">
        <v>89</v>
      </c>
      <c r="E91" s="181"/>
      <c r="F91" s="181"/>
      <c r="G91" s="181"/>
      <c r="H91" s="181"/>
      <c r="I91" s="82"/>
      <c r="J91" s="180" t="s">
        <v>90</v>
      </c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2">
        <f>'03 - Vzduchotechnika'!M30</f>
        <v>0</v>
      </c>
      <c r="AH91" s="181"/>
      <c r="AI91" s="181"/>
      <c r="AJ91" s="181"/>
      <c r="AK91" s="181"/>
      <c r="AL91" s="181"/>
      <c r="AM91" s="181"/>
      <c r="AN91" s="182">
        <f t="shared" si="0"/>
        <v>0</v>
      </c>
      <c r="AO91" s="181"/>
      <c r="AP91" s="181"/>
      <c r="AQ91" s="83"/>
      <c r="AS91" s="84">
        <f>'03 - Vzduchotechnika'!M28</f>
        <v>0</v>
      </c>
      <c r="AT91" s="85">
        <f t="shared" si="1"/>
        <v>0</v>
      </c>
      <c r="AU91" s="86">
        <f>'03 - Vzduchotechnika'!W112</f>
        <v>0</v>
      </c>
      <c r="AV91" s="85">
        <f>'03 - Vzduchotechnika'!M32</f>
        <v>0</v>
      </c>
      <c r="AW91" s="85">
        <f>'03 - Vzduchotechnika'!M33</f>
        <v>0</v>
      </c>
      <c r="AX91" s="85">
        <f>'03 - Vzduchotechnika'!M34</f>
        <v>0</v>
      </c>
      <c r="AY91" s="85">
        <f>'03 - Vzduchotechnika'!M35</f>
        <v>0</v>
      </c>
      <c r="AZ91" s="85">
        <f>'03 - Vzduchotechnika'!H32</f>
        <v>0</v>
      </c>
      <c r="BA91" s="85">
        <f>'03 - Vzduchotechnika'!H33</f>
        <v>0</v>
      </c>
      <c r="BB91" s="85">
        <f>'03 - Vzduchotechnika'!H34</f>
        <v>0</v>
      </c>
      <c r="BC91" s="85">
        <f>'03 - Vzduchotechnika'!H35</f>
        <v>0</v>
      </c>
      <c r="BD91" s="87">
        <f>'03 - Vzduchotechnika'!H36</f>
        <v>0</v>
      </c>
      <c r="BT91" s="88" t="s">
        <v>19</v>
      </c>
      <c r="BV91" s="88" t="s">
        <v>77</v>
      </c>
      <c r="BW91" s="88" t="s">
        <v>91</v>
      </c>
      <c r="BX91" s="88" t="s">
        <v>78</v>
      </c>
    </row>
    <row r="92" spans="1:76" s="5" customFormat="1" ht="27" customHeight="1">
      <c r="A92" s="148" t="s">
        <v>512</v>
      </c>
      <c r="B92" s="80"/>
      <c r="C92" s="81"/>
      <c r="D92" s="180" t="s">
        <v>92</v>
      </c>
      <c r="E92" s="181"/>
      <c r="F92" s="181"/>
      <c r="G92" s="181"/>
      <c r="H92" s="181"/>
      <c r="I92" s="82"/>
      <c r="J92" s="180" t="s">
        <v>93</v>
      </c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2">
        <f>'04 - ZTI'!M30</f>
        <v>0</v>
      </c>
      <c r="AH92" s="181"/>
      <c r="AI92" s="181"/>
      <c r="AJ92" s="181"/>
      <c r="AK92" s="181"/>
      <c r="AL92" s="181"/>
      <c r="AM92" s="181"/>
      <c r="AN92" s="182">
        <f t="shared" si="0"/>
        <v>0</v>
      </c>
      <c r="AO92" s="181"/>
      <c r="AP92" s="181"/>
      <c r="AQ92" s="83"/>
      <c r="AS92" s="89">
        <f>'04 - ZTI'!M28</f>
        <v>0</v>
      </c>
      <c r="AT92" s="90">
        <f t="shared" si="1"/>
        <v>0</v>
      </c>
      <c r="AU92" s="91">
        <f>'04 - ZTI'!W112</f>
        <v>438.576957</v>
      </c>
      <c r="AV92" s="90">
        <f>'04 - ZTI'!M32</f>
        <v>0</v>
      </c>
      <c r="AW92" s="90">
        <f>'04 - ZTI'!M33</f>
        <v>0</v>
      </c>
      <c r="AX92" s="90">
        <f>'04 - ZTI'!M34</f>
        <v>0</v>
      </c>
      <c r="AY92" s="90">
        <f>'04 - ZTI'!M35</f>
        <v>0</v>
      </c>
      <c r="AZ92" s="90">
        <f>'04 - ZTI'!H32</f>
        <v>0</v>
      </c>
      <c r="BA92" s="90">
        <f>'04 - ZTI'!H33</f>
        <v>0</v>
      </c>
      <c r="BB92" s="90">
        <f>'04 - ZTI'!H34</f>
        <v>0</v>
      </c>
      <c r="BC92" s="90">
        <f>'04 - ZTI'!H35</f>
        <v>0</v>
      </c>
      <c r="BD92" s="92">
        <f>'04 - ZTI'!H36</f>
        <v>0</v>
      </c>
      <c r="BT92" s="88" t="s">
        <v>19</v>
      </c>
      <c r="BV92" s="88" t="s">
        <v>77</v>
      </c>
      <c r="BW92" s="88" t="s">
        <v>94</v>
      </c>
      <c r="BX92" s="88" t="s">
        <v>78</v>
      </c>
    </row>
    <row r="93" spans="2:43" ht="13.5"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9"/>
    </row>
    <row r="94" spans="2:48" s="1" customFormat="1" ht="30" customHeight="1">
      <c r="B94" s="27"/>
      <c r="C94" s="72" t="s">
        <v>95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184">
        <v>0</v>
      </c>
      <c r="AH94" s="170"/>
      <c r="AI94" s="170"/>
      <c r="AJ94" s="170"/>
      <c r="AK94" s="170"/>
      <c r="AL94" s="170"/>
      <c r="AM94" s="170"/>
      <c r="AN94" s="184">
        <v>0</v>
      </c>
      <c r="AO94" s="170"/>
      <c r="AP94" s="170"/>
      <c r="AQ94" s="29"/>
      <c r="AS94" s="68" t="s">
        <v>96</v>
      </c>
      <c r="AT94" s="69" t="s">
        <v>97</v>
      </c>
      <c r="AU94" s="69" t="s">
        <v>39</v>
      </c>
      <c r="AV94" s="70" t="s">
        <v>62</v>
      </c>
    </row>
    <row r="95" spans="2:48" s="1" customFormat="1" ht="10.5" customHeight="1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9"/>
      <c r="AS95" s="93"/>
      <c r="AT95" s="48"/>
      <c r="AU95" s="48"/>
      <c r="AV95" s="50"/>
    </row>
    <row r="96" spans="2:43" s="1" customFormat="1" ht="30" customHeight="1">
      <c r="B96" s="27"/>
      <c r="C96" s="94" t="s">
        <v>98</v>
      </c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185">
        <f>ROUND(AG87+AG94,2)</f>
        <v>0</v>
      </c>
      <c r="AH96" s="185"/>
      <c r="AI96" s="185"/>
      <c r="AJ96" s="185"/>
      <c r="AK96" s="185"/>
      <c r="AL96" s="185"/>
      <c r="AM96" s="185"/>
      <c r="AN96" s="185">
        <f>AN87+AN94</f>
        <v>0</v>
      </c>
      <c r="AO96" s="185"/>
      <c r="AP96" s="185"/>
      <c r="AQ96" s="29"/>
    </row>
    <row r="97" spans="2:43" s="1" customFormat="1" ht="6.75" customHeight="1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3"/>
    </row>
  </sheetData>
  <sheetProtection/>
  <mergeCells count="61">
    <mergeCell ref="AG94:AM94"/>
    <mergeCell ref="AN94:AP94"/>
    <mergeCell ref="AG96:AM96"/>
    <mergeCell ref="AN96:AP96"/>
    <mergeCell ref="AR2:BE2"/>
    <mergeCell ref="AN92:AP92"/>
    <mergeCell ref="AG92:AM92"/>
    <mergeCell ref="L78:AO78"/>
    <mergeCell ref="AM82:AP82"/>
    <mergeCell ref="AS82:AT84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0 - Vedlejší rozpočtové ...'!C2" tooltip="00 - Vedlejší rozpočtové ..." display="/"/>
    <hyperlink ref="A89" location="'01 - Bourací práce'!C2" tooltip="01 - Bourací práce" display="/"/>
    <hyperlink ref="A90" location="'02 - Rekonstrukce'!C2" tooltip="02 - Rekonstrukce" display="/"/>
    <hyperlink ref="A91" location="'03 - Vzduchotechnika'!C2" tooltip="03 - Vzduchotechnika" display="/"/>
    <hyperlink ref="A92" location="'04 - ZTI'!C2" tooltip="04 - ZTI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0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AE116" sqref="AE1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53"/>
      <c r="B1" s="150"/>
      <c r="C1" s="150"/>
      <c r="D1" s="151" t="s">
        <v>1</v>
      </c>
      <c r="E1" s="150"/>
      <c r="F1" s="152" t="s">
        <v>513</v>
      </c>
      <c r="G1" s="152"/>
      <c r="H1" s="213" t="s">
        <v>514</v>
      </c>
      <c r="I1" s="213"/>
      <c r="J1" s="213"/>
      <c r="K1" s="213"/>
      <c r="L1" s="152" t="s">
        <v>515</v>
      </c>
      <c r="M1" s="150"/>
      <c r="N1" s="150"/>
      <c r="O1" s="151" t="s">
        <v>99</v>
      </c>
      <c r="P1" s="150"/>
      <c r="Q1" s="150"/>
      <c r="R1" s="150"/>
      <c r="S1" s="152" t="s">
        <v>516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57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6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82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100</v>
      </c>
    </row>
    <row r="4" spans="2:46" ht="36.75" customHeight="1">
      <c r="B4" s="17"/>
      <c r="C4" s="159" t="s">
        <v>101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4" t="s">
        <v>15</v>
      </c>
      <c r="E6" s="18"/>
      <c r="F6" s="192" t="str">
        <f>'Rekapitulace stavby'!K6</f>
        <v>Pavilon 7 - Pavilon 7 SOUE - I+II+III  Etapa stupačky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8"/>
      <c r="R6" s="19"/>
    </row>
    <row r="7" spans="2:18" s="1" customFormat="1" ht="32.25" customHeight="1">
      <c r="B7" s="27"/>
      <c r="C7" s="28"/>
      <c r="D7" s="23" t="s">
        <v>102</v>
      </c>
      <c r="E7" s="28"/>
      <c r="F7" s="162" t="s">
        <v>103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28"/>
      <c r="R7" s="29"/>
    </row>
    <row r="8" spans="2:18" s="1" customFormat="1" ht="14.25" customHeight="1">
      <c r="B8" s="27"/>
      <c r="C8" s="28"/>
      <c r="D8" s="24" t="s">
        <v>17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18</v>
      </c>
      <c r="N8" s="28"/>
      <c r="O8" s="22" t="s">
        <v>3</v>
      </c>
      <c r="P8" s="28"/>
      <c r="Q8" s="28"/>
      <c r="R8" s="29"/>
    </row>
    <row r="9" spans="2:18" s="1" customFormat="1" ht="14.25" customHeight="1">
      <c r="B9" s="27"/>
      <c r="C9" s="28"/>
      <c r="D9" s="24" t="s">
        <v>20</v>
      </c>
      <c r="E9" s="28"/>
      <c r="F9" s="22" t="s">
        <v>21</v>
      </c>
      <c r="G9" s="28"/>
      <c r="H9" s="28"/>
      <c r="I9" s="28"/>
      <c r="J9" s="28"/>
      <c r="K9" s="28"/>
      <c r="L9" s="28"/>
      <c r="M9" s="24" t="s">
        <v>22</v>
      </c>
      <c r="N9" s="28"/>
      <c r="O9" s="193"/>
      <c r="P9" s="170"/>
      <c r="Q9" s="28"/>
      <c r="R9" s="29"/>
    </row>
    <row r="10" spans="2:18" s="1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s="1" customFormat="1" ht="14.25" customHeight="1">
      <c r="B11" s="27"/>
      <c r="C11" s="28"/>
      <c r="D11" s="24" t="s">
        <v>25</v>
      </c>
      <c r="E11" s="28"/>
      <c r="F11" s="28"/>
      <c r="G11" s="28"/>
      <c r="H11" s="28"/>
      <c r="I11" s="28"/>
      <c r="J11" s="28"/>
      <c r="K11" s="28"/>
      <c r="L11" s="28"/>
      <c r="M11" s="24" t="s">
        <v>26</v>
      </c>
      <c r="N11" s="28"/>
      <c r="O11" s="161" t="s">
        <v>3</v>
      </c>
      <c r="P11" s="170"/>
      <c r="Q11" s="28"/>
      <c r="R11" s="29"/>
    </row>
    <row r="12" spans="2:18" s="1" customFormat="1" ht="18" customHeight="1">
      <c r="B12" s="27"/>
      <c r="C12" s="28"/>
      <c r="D12" s="28"/>
      <c r="E12" s="22" t="s">
        <v>27</v>
      </c>
      <c r="F12" s="28"/>
      <c r="G12" s="28"/>
      <c r="H12" s="28"/>
      <c r="I12" s="28"/>
      <c r="J12" s="28"/>
      <c r="K12" s="28"/>
      <c r="L12" s="28"/>
      <c r="M12" s="24" t="s">
        <v>28</v>
      </c>
      <c r="N12" s="28"/>
      <c r="O12" s="161" t="s">
        <v>3</v>
      </c>
      <c r="P12" s="170"/>
      <c r="Q12" s="28"/>
      <c r="R12" s="29"/>
    </row>
    <row r="13" spans="2:18" s="1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s="1" customFormat="1" ht="14.25" customHeight="1">
      <c r="B14" s="27"/>
      <c r="C14" s="28"/>
      <c r="D14" s="24" t="s">
        <v>29</v>
      </c>
      <c r="E14" s="28"/>
      <c r="F14" s="28"/>
      <c r="G14" s="28"/>
      <c r="H14" s="28"/>
      <c r="I14" s="28"/>
      <c r="J14" s="28"/>
      <c r="K14" s="28"/>
      <c r="L14" s="28"/>
      <c r="M14" s="24" t="s">
        <v>26</v>
      </c>
      <c r="N14" s="28"/>
      <c r="O14" s="161" t="s">
        <v>3</v>
      </c>
      <c r="P14" s="170"/>
      <c r="Q14" s="28"/>
      <c r="R14" s="29"/>
    </row>
    <row r="15" spans="2:18" s="1" customFormat="1" ht="18" customHeight="1">
      <c r="B15" s="27"/>
      <c r="C15" s="28"/>
      <c r="D15" s="28"/>
      <c r="E15" s="22"/>
      <c r="F15" s="28"/>
      <c r="G15" s="28"/>
      <c r="H15" s="28"/>
      <c r="I15" s="28"/>
      <c r="J15" s="28"/>
      <c r="K15" s="28"/>
      <c r="L15" s="28"/>
      <c r="M15" s="24" t="s">
        <v>28</v>
      </c>
      <c r="N15" s="28"/>
      <c r="O15" s="161" t="s">
        <v>3</v>
      </c>
      <c r="P15" s="170"/>
      <c r="Q15" s="28"/>
      <c r="R15" s="29"/>
    </row>
    <row r="16" spans="2:18" s="1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25" customHeight="1">
      <c r="B17" s="27"/>
      <c r="C17" s="28"/>
      <c r="D17" s="24" t="s">
        <v>30</v>
      </c>
      <c r="E17" s="28"/>
      <c r="F17" s="28"/>
      <c r="G17" s="28"/>
      <c r="H17" s="28"/>
      <c r="I17" s="28"/>
      <c r="J17" s="28"/>
      <c r="K17" s="28"/>
      <c r="L17" s="28"/>
      <c r="M17" s="24" t="s">
        <v>26</v>
      </c>
      <c r="N17" s="28"/>
      <c r="O17" s="161">
        <f>IF('Rekapitulace stavby'!AN16="","",'Rekapitulace stavby'!AN16)</f>
      </c>
      <c r="P17" s="170"/>
      <c r="Q17" s="28"/>
      <c r="R17" s="29"/>
    </row>
    <row r="18" spans="2:18" s="1" customFormat="1" ht="18" customHeight="1">
      <c r="B18" s="27"/>
      <c r="C18" s="28"/>
      <c r="D18" s="28"/>
      <c r="E18" s="22" t="str">
        <f>IF('Rekapitulace stavby'!E17="","",'Rekapitulace stavby'!E17)</f>
        <v> </v>
      </c>
      <c r="F18" s="28"/>
      <c r="G18" s="28"/>
      <c r="H18" s="28"/>
      <c r="I18" s="28"/>
      <c r="J18" s="28"/>
      <c r="K18" s="28"/>
      <c r="L18" s="28"/>
      <c r="M18" s="24" t="s">
        <v>28</v>
      </c>
      <c r="N18" s="28"/>
      <c r="O18" s="161">
        <f>IF('Rekapitulace stavby'!AN17="","",'Rekapitulace stavby'!AN17)</f>
      </c>
      <c r="P18" s="170"/>
      <c r="Q18" s="28"/>
      <c r="R18" s="29"/>
    </row>
    <row r="19" spans="2:18" s="1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25" customHeight="1">
      <c r="B20" s="27"/>
      <c r="C20" s="28"/>
      <c r="D20" s="24" t="s">
        <v>33</v>
      </c>
      <c r="E20" s="28"/>
      <c r="F20" s="28"/>
      <c r="G20" s="28"/>
      <c r="H20" s="28"/>
      <c r="I20" s="28"/>
      <c r="J20" s="28"/>
      <c r="K20" s="28"/>
      <c r="L20" s="28"/>
      <c r="M20" s="24" t="s">
        <v>26</v>
      </c>
      <c r="N20" s="28"/>
      <c r="O20" s="161" t="s">
        <v>3</v>
      </c>
      <c r="P20" s="170"/>
      <c r="Q20" s="28"/>
      <c r="R20" s="29"/>
    </row>
    <row r="21" spans="2:18" s="1" customFormat="1" ht="18" customHeight="1">
      <c r="B21" s="27"/>
      <c r="C21" s="28"/>
      <c r="D21" s="28"/>
      <c r="E21" s="22"/>
      <c r="F21" s="28"/>
      <c r="G21" s="28"/>
      <c r="H21" s="28"/>
      <c r="I21" s="28"/>
      <c r="J21" s="28"/>
      <c r="K21" s="28"/>
      <c r="L21" s="28"/>
      <c r="M21" s="24" t="s">
        <v>28</v>
      </c>
      <c r="N21" s="28"/>
      <c r="O21" s="161" t="s">
        <v>3</v>
      </c>
      <c r="P21" s="170"/>
      <c r="Q21" s="28"/>
      <c r="R21" s="29"/>
    </row>
    <row r="22" spans="2:18" s="1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25" customHeight="1">
      <c r="B23" s="27"/>
      <c r="C23" s="28"/>
      <c r="D23" s="24" t="s">
        <v>34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77.25" customHeight="1">
      <c r="B24" s="27"/>
      <c r="C24" s="28"/>
      <c r="D24" s="28"/>
      <c r="E24" s="163" t="s">
        <v>35</v>
      </c>
      <c r="F24" s="170"/>
      <c r="G24" s="170"/>
      <c r="H24" s="170"/>
      <c r="I24" s="170"/>
      <c r="J24" s="170"/>
      <c r="K24" s="170"/>
      <c r="L24" s="170"/>
      <c r="M24" s="28"/>
      <c r="N24" s="28"/>
      <c r="O24" s="28"/>
      <c r="P24" s="28"/>
      <c r="Q24" s="28"/>
      <c r="R24" s="29"/>
    </row>
    <row r="25" spans="2:18" s="1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7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25" customHeight="1">
      <c r="B27" s="27"/>
      <c r="C27" s="28"/>
      <c r="D27" s="96" t="s">
        <v>104</v>
      </c>
      <c r="E27" s="28"/>
      <c r="F27" s="28"/>
      <c r="G27" s="28"/>
      <c r="H27" s="28"/>
      <c r="I27" s="28"/>
      <c r="J27" s="28"/>
      <c r="K27" s="28"/>
      <c r="L27" s="28"/>
      <c r="M27" s="164">
        <f>N88</f>
        <v>0</v>
      </c>
      <c r="N27" s="170"/>
      <c r="O27" s="170"/>
      <c r="P27" s="170"/>
      <c r="Q27" s="28"/>
      <c r="R27" s="29"/>
    </row>
    <row r="28" spans="2:18" s="1" customFormat="1" ht="14.25" customHeight="1">
      <c r="B28" s="27"/>
      <c r="C28" s="28"/>
      <c r="D28" s="26" t="s">
        <v>105</v>
      </c>
      <c r="E28" s="28"/>
      <c r="F28" s="28"/>
      <c r="G28" s="28"/>
      <c r="H28" s="28"/>
      <c r="I28" s="28"/>
      <c r="J28" s="28"/>
      <c r="K28" s="28"/>
      <c r="L28" s="28"/>
      <c r="M28" s="164">
        <f>N93</f>
        <v>0</v>
      </c>
      <c r="N28" s="170"/>
      <c r="O28" s="170"/>
      <c r="P28" s="170"/>
      <c r="Q28" s="28"/>
      <c r="R28" s="29"/>
    </row>
    <row r="29" spans="2:18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4.75" customHeight="1">
      <c r="B30" s="27"/>
      <c r="C30" s="28"/>
      <c r="D30" s="97" t="s">
        <v>38</v>
      </c>
      <c r="E30" s="28"/>
      <c r="F30" s="28"/>
      <c r="G30" s="28"/>
      <c r="H30" s="28"/>
      <c r="I30" s="28"/>
      <c r="J30" s="28"/>
      <c r="K30" s="28"/>
      <c r="L30" s="28"/>
      <c r="M30" s="194">
        <f>ROUND(M27+M28,2)</f>
        <v>0</v>
      </c>
      <c r="N30" s="170"/>
      <c r="O30" s="170"/>
      <c r="P30" s="170"/>
      <c r="Q30" s="28"/>
      <c r="R30" s="29"/>
    </row>
    <row r="31" spans="2:18" s="1" customFormat="1" ht="6.7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25" customHeight="1">
      <c r="B32" s="27"/>
      <c r="C32" s="28"/>
      <c r="D32" s="34" t="s">
        <v>39</v>
      </c>
      <c r="E32" s="34" t="s">
        <v>40</v>
      </c>
      <c r="F32" s="35">
        <v>0.21</v>
      </c>
      <c r="G32" s="98" t="s">
        <v>41</v>
      </c>
      <c r="H32" s="195">
        <f>ROUND((SUM(BE93:BE94)+SUM(BE112:BE119)),2)</f>
        <v>0</v>
      </c>
      <c r="I32" s="170"/>
      <c r="J32" s="170"/>
      <c r="K32" s="28"/>
      <c r="L32" s="28"/>
      <c r="M32" s="195">
        <f>ROUND(ROUND((SUM(BE93:BE94)+SUM(BE112:BE119)),2)*F32,2)</f>
        <v>0</v>
      </c>
      <c r="N32" s="170"/>
      <c r="O32" s="170"/>
      <c r="P32" s="170"/>
      <c r="Q32" s="28"/>
      <c r="R32" s="29"/>
    </row>
    <row r="33" spans="2:18" s="1" customFormat="1" ht="14.25" customHeight="1">
      <c r="B33" s="27"/>
      <c r="C33" s="28"/>
      <c r="D33" s="28"/>
      <c r="E33" s="34" t="s">
        <v>42</v>
      </c>
      <c r="F33" s="35">
        <v>0.15</v>
      </c>
      <c r="G33" s="98" t="s">
        <v>41</v>
      </c>
      <c r="H33" s="195">
        <f>ROUND((SUM(BF93:BF94)+SUM(BF112:BF119)),2)</f>
        <v>0</v>
      </c>
      <c r="I33" s="170"/>
      <c r="J33" s="170"/>
      <c r="K33" s="28"/>
      <c r="L33" s="28"/>
      <c r="M33" s="195">
        <f>ROUND(ROUND((SUM(BF93:BF94)+SUM(BF112:BF119)),2)*F33,2)</f>
        <v>0</v>
      </c>
      <c r="N33" s="170"/>
      <c r="O33" s="170"/>
      <c r="P33" s="170"/>
      <c r="Q33" s="28"/>
      <c r="R33" s="29"/>
    </row>
    <row r="34" spans="2:18" s="1" customFormat="1" ht="14.25" customHeight="1" hidden="1">
      <c r="B34" s="27"/>
      <c r="C34" s="28"/>
      <c r="D34" s="28"/>
      <c r="E34" s="34" t="s">
        <v>43</v>
      </c>
      <c r="F34" s="35">
        <v>0.21</v>
      </c>
      <c r="G34" s="98" t="s">
        <v>41</v>
      </c>
      <c r="H34" s="195">
        <f>ROUND((SUM(BG93:BG94)+SUM(BG112:BG119)),2)</f>
        <v>0</v>
      </c>
      <c r="I34" s="170"/>
      <c r="J34" s="170"/>
      <c r="K34" s="28"/>
      <c r="L34" s="28"/>
      <c r="M34" s="195">
        <v>0</v>
      </c>
      <c r="N34" s="170"/>
      <c r="O34" s="170"/>
      <c r="P34" s="170"/>
      <c r="Q34" s="28"/>
      <c r="R34" s="29"/>
    </row>
    <row r="35" spans="2:18" s="1" customFormat="1" ht="14.25" customHeight="1" hidden="1">
      <c r="B35" s="27"/>
      <c r="C35" s="28"/>
      <c r="D35" s="28"/>
      <c r="E35" s="34" t="s">
        <v>44</v>
      </c>
      <c r="F35" s="35">
        <v>0.15</v>
      </c>
      <c r="G35" s="98" t="s">
        <v>41</v>
      </c>
      <c r="H35" s="195">
        <f>ROUND((SUM(BH93:BH94)+SUM(BH112:BH119)),2)</f>
        <v>0</v>
      </c>
      <c r="I35" s="170"/>
      <c r="J35" s="170"/>
      <c r="K35" s="28"/>
      <c r="L35" s="28"/>
      <c r="M35" s="195">
        <v>0</v>
      </c>
      <c r="N35" s="170"/>
      <c r="O35" s="170"/>
      <c r="P35" s="170"/>
      <c r="Q35" s="28"/>
      <c r="R35" s="29"/>
    </row>
    <row r="36" spans="2:18" s="1" customFormat="1" ht="14.25" customHeight="1" hidden="1">
      <c r="B36" s="27"/>
      <c r="C36" s="28"/>
      <c r="D36" s="28"/>
      <c r="E36" s="34" t="s">
        <v>45</v>
      </c>
      <c r="F36" s="35">
        <v>0</v>
      </c>
      <c r="G36" s="98" t="s">
        <v>41</v>
      </c>
      <c r="H36" s="195">
        <f>ROUND((SUM(BI93:BI94)+SUM(BI112:BI119)),2)</f>
        <v>0</v>
      </c>
      <c r="I36" s="170"/>
      <c r="J36" s="170"/>
      <c r="K36" s="28"/>
      <c r="L36" s="28"/>
      <c r="M36" s="195">
        <v>0</v>
      </c>
      <c r="N36" s="170"/>
      <c r="O36" s="170"/>
      <c r="P36" s="170"/>
      <c r="Q36" s="28"/>
      <c r="R36" s="29"/>
    </row>
    <row r="37" spans="2:18" s="1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4.75" customHeight="1">
      <c r="B38" s="27"/>
      <c r="C38" s="95"/>
      <c r="D38" s="99" t="s">
        <v>46</v>
      </c>
      <c r="E38" s="67"/>
      <c r="F38" s="67"/>
      <c r="G38" s="100" t="s">
        <v>47</v>
      </c>
      <c r="H38" s="101" t="s">
        <v>48</v>
      </c>
      <c r="I38" s="67"/>
      <c r="J38" s="67"/>
      <c r="K38" s="67"/>
      <c r="L38" s="196">
        <f>SUM(M30:M36)</f>
        <v>0</v>
      </c>
      <c r="M38" s="173"/>
      <c r="N38" s="173"/>
      <c r="O38" s="173"/>
      <c r="P38" s="175"/>
      <c r="Q38" s="95"/>
      <c r="R38" s="29"/>
    </row>
    <row r="39" spans="2:18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2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 t="s">
        <v>49</v>
      </c>
      <c r="E50" s="43"/>
      <c r="F50" s="43"/>
      <c r="G50" s="43"/>
      <c r="H50" s="44"/>
      <c r="I50" s="28"/>
      <c r="J50" s="42" t="s">
        <v>50</v>
      </c>
      <c r="K50" s="43"/>
      <c r="L50" s="43"/>
      <c r="M50" s="43"/>
      <c r="N50" s="43"/>
      <c r="O50" s="43"/>
      <c r="P50" s="44"/>
      <c r="Q50" s="28"/>
      <c r="R50" s="29"/>
    </row>
    <row r="51" spans="2:18" ht="13.5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 t="s">
        <v>51</v>
      </c>
      <c r="E59" s="48"/>
      <c r="F59" s="48"/>
      <c r="G59" s="49" t="s">
        <v>52</v>
      </c>
      <c r="H59" s="50"/>
      <c r="I59" s="28"/>
      <c r="J59" s="47" t="s">
        <v>51</v>
      </c>
      <c r="K59" s="48"/>
      <c r="L59" s="48"/>
      <c r="M59" s="48"/>
      <c r="N59" s="49" t="s">
        <v>52</v>
      </c>
      <c r="O59" s="48"/>
      <c r="P59" s="50"/>
      <c r="Q59" s="28"/>
      <c r="R59" s="29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53</v>
      </c>
      <c r="E61" s="43"/>
      <c r="F61" s="43"/>
      <c r="G61" s="43"/>
      <c r="H61" s="44"/>
      <c r="I61" s="28"/>
      <c r="J61" s="42" t="s">
        <v>54</v>
      </c>
      <c r="K61" s="43"/>
      <c r="L61" s="43"/>
      <c r="M61" s="43"/>
      <c r="N61" s="43"/>
      <c r="O61" s="43"/>
      <c r="P61" s="44"/>
      <c r="Q61" s="28"/>
      <c r="R61" s="29"/>
    </row>
    <row r="62" spans="2:18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51</v>
      </c>
      <c r="E70" s="48"/>
      <c r="F70" s="48"/>
      <c r="G70" s="49" t="s">
        <v>52</v>
      </c>
      <c r="H70" s="50"/>
      <c r="I70" s="28"/>
      <c r="J70" s="47" t="s">
        <v>51</v>
      </c>
      <c r="K70" s="48"/>
      <c r="L70" s="48"/>
      <c r="M70" s="48"/>
      <c r="N70" s="49" t="s">
        <v>52</v>
      </c>
      <c r="O70" s="48"/>
      <c r="P70" s="50"/>
      <c r="Q70" s="28"/>
      <c r="R70" s="29"/>
    </row>
    <row r="71" spans="2:18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75" customHeight="1">
      <c r="B76" s="27"/>
      <c r="C76" s="159" t="s">
        <v>106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29"/>
    </row>
    <row r="77" spans="2:18" s="1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>
      <c r="B78" s="27"/>
      <c r="C78" s="24" t="s">
        <v>15</v>
      </c>
      <c r="D78" s="28"/>
      <c r="E78" s="28"/>
      <c r="F78" s="192" t="str">
        <f>F6</f>
        <v>Pavilon 7 - Pavilon 7 SOUE - I+II+III  Etapa stupačky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28"/>
      <c r="R78" s="29"/>
    </row>
    <row r="79" spans="2:18" s="1" customFormat="1" ht="36.75" customHeight="1">
      <c r="B79" s="27"/>
      <c r="C79" s="61" t="s">
        <v>102</v>
      </c>
      <c r="D79" s="28"/>
      <c r="E79" s="28"/>
      <c r="F79" s="187" t="str">
        <f>F7</f>
        <v>00 - Vedlejší rozpočtové náklady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28"/>
      <c r="R79" s="29"/>
    </row>
    <row r="80" spans="2:18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18" s="1" customFormat="1" ht="18" customHeight="1">
      <c r="B81" s="27"/>
      <c r="C81" s="24" t="s">
        <v>20</v>
      </c>
      <c r="D81" s="28"/>
      <c r="E81" s="28"/>
      <c r="F81" s="22" t="str">
        <f>F9</f>
        <v>Plzeň</v>
      </c>
      <c r="G81" s="28"/>
      <c r="H81" s="28"/>
      <c r="I81" s="28"/>
      <c r="J81" s="28"/>
      <c r="K81" s="24" t="s">
        <v>22</v>
      </c>
      <c r="L81" s="28"/>
      <c r="M81" s="193"/>
      <c r="N81" s="170"/>
      <c r="O81" s="170"/>
      <c r="P81" s="170"/>
      <c r="Q81" s="28"/>
      <c r="R81" s="29"/>
    </row>
    <row r="82" spans="2:18" s="1" customFormat="1" ht="6.7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18" s="1" customFormat="1" ht="15">
      <c r="B83" s="27"/>
      <c r="C83" s="24" t="s">
        <v>25</v>
      </c>
      <c r="D83" s="28"/>
      <c r="E83" s="28"/>
      <c r="F83" s="22" t="str">
        <f>E12</f>
        <v>SOUE Plzeň</v>
      </c>
      <c r="G83" s="28"/>
      <c r="H83" s="28"/>
      <c r="I83" s="28"/>
      <c r="J83" s="28"/>
      <c r="K83" s="24" t="s">
        <v>30</v>
      </c>
      <c r="L83" s="28"/>
      <c r="M83" s="161" t="str">
        <f>E18</f>
        <v> </v>
      </c>
      <c r="N83" s="170"/>
      <c r="O83" s="170"/>
      <c r="P83" s="170"/>
      <c r="Q83" s="170"/>
      <c r="R83" s="29"/>
    </row>
    <row r="84" spans="2:18" s="1" customFormat="1" ht="14.25" customHeight="1">
      <c r="B84" s="27"/>
      <c r="C84" s="24" t="s">
        <v>29</v>
      </c>
      <c r="D84" s="28"/>
      <c r="E84" s="28"/>
      <c r="F84" s="22"/>
      <c r="G84" s="28"/>
      <c r="H84" s="28"/>
      <c r="I84" s="28"/>
      <c r="J84" s="28"/>
      <c r="K84" s="24" t="s">
        <v>33</v>
      </c>
      <c r="L84" s="28"/>
      <c r="M84" s="161"/>
      <c r="N84" s="170"/>
      <c r="O84" s="170"/>
      <c r="P84" s="170"/>
      <c r="Q84" s="170"/>
      <c r="R84" s="29"/>
    </row>
    <row r="85" spans="2:18" s="1" customFormat="1" ht="9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18" s="1" customFormat="1" ht="29.25" customHeight="1">
      <c r="B86" s="27"/>
      <c r="C86" s="197" t="s">
        <v>107</v>
      </c>
      <c r="D86" s="198"/>
      <c r="E86" s="198"/>
      <c r="F86" s="198"/>
      <c r="G86" s="198"/>
      <c r="H86" s="95"/>
      <c r="I86" s="95"/>
      <c r="J86" s="95"/>
      <c r="K86" s="95"/>
      <c r="L86" s="95"/>
      <c r="M86" s="95"/>
      <c r="N86" s="197" t="s">
        <v>108</v>
      </c>
      <c r="O86" s="170"/>
      <c r="P86" s="170"/>
      <c r="Q86" s="170"/>
      <c r="R86" s="29"/>
    </row>
    <row r="87" spans="2:18" s="1" customFormat="1" ht="9.7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>
      <c r="B88" s="27"/>
      <c r="C88" s="102" t="s">
        <v>109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84">
        <f>N112</f>
        <v>0</v>
      </c>
      <c r="O88" s="170"/>
      <c r="P88" s="170"/>
      <c r="Q88" s="170"/>
      <c r="R88" s="29"/>
      <c r="AU88" s="13" t="s">
        <v>110</v>
      </c>
    </row>
    <row r="89" spans="2:18" s="6" customFormat="1" ht="24.75" customHeight="1">
      <c r="B89" s="103"/>
      <c r="C89" s="104"/>
      <c r="D89" s="105" t="s">
        <v>111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9">
        <f>N113</f>
        <v>0</v>
      </c>
      <c r="O89" s="200"/>
      <c r="P89" s="200"/>
      <c r="Q89" s="200"/>
      <c r="R89" s="106"/>
    </row>
    <row r="90" spans="2:18" s="7" customFormat="1" ht="19.5" customHeight="1">
      <c r="B90" s="107"/>
      <c r="C90" s="108"/>
      <c r="D90" s="109" t="s">
        <v>112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01">
        <f>N114</f>
        <v>0</v>
      </c>
      <c r="O90" s="202"/>
      <c r="P90" s="202"/>
      <c r="Q90" s="202"/>
      <c r="R90" s="110"/>
    </row>
    <row r="91" spans="2:18" s="7" customFormat="1" ht="19.5" customHeight="1">
      <c r="B91" s="107"/>
      <c r="C91" s="108"/>
      <c r="D91" s="109" t="s">
        <v>113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01">
        <f>N116</f>
        <v>0</v>
      </c>
      <c r="O91" s="202"/>
      <c r="P91" s="202"/>
      <c r="Q91" s="202"/>
      <c r="R91" s="110"/>
    </row>
    <row r="92" spans="2:18" s="1" customFormat="1" ht="21.75" customHeight="1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9"/>
    </row>
    <row r="93" spans="2:21" s="1" customFormat="1" ht="29.25" customHeight="1">
      <c r="B93" s="27"/>
      <c r="C93" s="102" t="s">
        <v>114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03">
        <v>0</v>
      </c>
      <c r="O93" s="170"/>
      <c r="P93" s="170"/>
      <c r="Q93" s="170"/>
      <c r="R93" s="29"/>
      <c r="T93" s="111"/>
      <c r="U93" s="112" t="s">
        <v>39</v>
      </c>
    </row>
    <row r="94" spans="2:18" s="1" customFormat="1" ht="18" customHeight="1">
      <c r="B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</row>
    <row r="95" spans="2:18" s="1" customFormat="1" ht="29.25" customHeight="1">
      <c r="B95" s="27"/>
      <c r="C95" s="94" t="s">
        <v>98</v>
      </c>
      <c r="D95" s="95"/>
      <c r="E95" s="95"/>
      <c r="F95" s="95"/>
      <c r="G95" s="95"/>
      <c r="H95" s="95"/>
      <c r="I95" s="95"/>
      <c r="J95" s="95"/>
      <c r="K95" s="95"/>
      <c r="L95" s="185">
        <f>ROUND(SUM(N88+N93),2)</f>
        <v>0</v>
      </c>
      <c r="M95" s="198"/>
      <c r="N95" s="198"/>
      <c r="O95" s="198"/>
      <c r="P95" s="198"/>
      <c r="Q95" s="198"/>
      <c r="R95" s="29"/>
    </row>
    <row r="96" spans="2:18" s="1" customFormat="1" ht="6.75" customHeight="1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3"/>
    </row>
    <row r="100" spans="2:18" s="1" customFormat="1" ht="6.75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6"/>
    </row>
    <row r="101" spans="2:18" s="1" customFormat="1" ht="36.75" customHeight="1">
      <c r="B101" s="27"/>
      <c r="C101" s="159" t="s">
        <v>115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29"/>
    </row>
    <row r="102" spans="2:18" s="1" customFormat="1" ht="6.75" customHeight="1"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9"/>
    </row>
    <row r="103" spans="2:18" s="1" customFormat="1" ht="30" customHeight="1">
      <c r="B103" s="27"/>
      <c r="C103" s="24" t="s">
        <v>15</v>
      </c>
      <c r="D103" s="28"/>
      <c r="E103" s="28"/>
      <c r="F103" s="192" t="str">
        <f>F6</f>
        <v>Pavilon 7 - Pavilon 7 SOUE - I+II+III  Etapa stupačky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28"/>
      <c r="R103" s="29"/>
    </row>
    <row r="104" spans="2:18" s="1" customFormat="1" ht="36.75" customHeight="1">
      <c r="B104" s="27"/>
      <c r="C104" s="61" t="s">
        <v>102</v>
      </c>
      <c r="D104" s="28"/>
      <c r="E104" s="28"/>
      <c r="F104" s="187" t="str">
        <f>F7</f>
        <v>00 - Vedlejší rozpočtové náklady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28"/>
      <c r="R104" s="29"/>
    </row>
    <row r="105" spans="2:18" s="1" customFormat="1" ht="6.7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18" s="1" customFormat="1" ht="18" customHeight="1">
      <c r="B106" s="27"/>
      <c r="C106" s="24" t="s">
        <v>20</v>
      </c>
      <c r="D106" s="28"/>
      <c r="E106" s="28"/>
      <c r="F106" s="22"/>
      <c r="G106" s="28"/>
      <c r="H106" s="28"/>
      <c r="I106" s="28"/>
      <c r="J106" s="28"/>
      <c r="K106" s="24" t="s">
        <v>22</v>
      </c>
      <c r="L106" s="28"/>
      <c r="M106" s="193"/>
      <c r="N106" s="170"/>
      <c r="O106" s="170"/>
      <c r="P106" s="170"/>
      <c r="Q106" s="28"/>
      <c r="R106" s="29"/>
    </row>
    <row r="107" spans="2:18" s="1" customFormat="1" ht="6.75" customHeight="1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</row>
    <row r="108" spans="2:18" s="1" customFormat="1" ht="15">
      <c r="B108" s="27"/>
      <c r="C108" s="24" t="s">
        <v>25</v>
      </c>
      <c r="D108" s="28"/>
      <c r="E108" s="28"/>
      <c r="F108" s="22"/>
      <c r="G108" s="28"/>
      <c r="H108" s="28"/>
      <c r="I108" s="28"/>
      <c r="J108" s="28"/>
      <c r="K108" s="24" t="s">
        <v>30</v>
      </c>
      <c r="L108" s="28"/>
      <c r="M108" s="161" t="str">
        <f>E18</f>
        <v> </v>
      </c>
      <c r="N108" s="170"/>
      <c r="O108" s="170"/>
      <c r="P108" s="170"/>
      <c r="Q108" s="170"/>
      <c r="R108" s="29"/>
    </row>
    <row r="109" spans="2:18" s="1" customFormat="1" ht="14.25" customHeight="1">
      <c r="B109" s="27"/>
      <c r="C109" s="24" t="s">
        <v>29</v>
      </c>
      <c r="D109" s="28"/>
      <c r="E109" s="28"/>
      <c r="F109" s="22"/>
      <c r="G109" s="28"/>
      <c r="H109" s="28"/>
      <c r="I109" s="28"/>
      <c r="J109" s="28"/>
      <c r="K109" s="24" t="s">
        <v>33</v>
      </c>
      <c r="L109" s="28"/>
      <c r="M109" s="161"/>
      <c r="N109" s="170"/>
      <c r="O109" s="170"/>
      <c r="P109" s="170"/>
      <c r="Q109" s="170"/>
      <c r="R109" s="29"/>
    </row>
    <row r="110" spans="2:18" s="1" customFormat="1" ht="9.75" customHeight="1"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</row>
    <row r="111" spans="2:27" s="8" customFormat="1" ht="29.25" customHeight="1">
      <c r="B111" s="113"/>
      <c r="C111" s="114" t="s">
        <v>116</v>
      </c>
      <c r="D111" s="115" t="s">
        <v>117</v>
      </c>
      <c r="E111" s="115" t="s">
        <v>57</v>
      </c>
      <c r="F111" s="204" t="s">
        <v>118</v>
      </c>
      <c r="G111" s="205"/>
      <c r="H111" s="205"/>
      <c r="I111" s="205"/>
      <c r="J111" s="115" t="s">
        <v>119</v>
      </c>
      <c r="K111" s="115" t="s">
        <v>120</v>
      </c>
      <c r="L111" s="206" t="s">
        <v>121</v>
      </c>
      <c r="M111" s="205"/>
      <c r="N111" s="204" t="s">
        <v>108</v>
      </c>
      <c r="O111" s="205"/>
      <c r="P111" s="205"/>
      <c r="Q111" s="207"/>
      <c r="R111" s="116"/>
      <c r="T111" s="68" t="s">
        <v>122</v>
      </c>
      <c r="U111" s="69" t="s">
        <v>39</v>
      </c>
      <c r="V111" s="69" t="s">
        <v>123</v>
      </c>
      <c r="W111" s="69" t="s">
        <v>124</v>
      </c>
      <c r="X111" s="69" t="s">
        <v>125</v>
      </c>
      <c r="Y111" s="69" t="s">
        <v>126</v>
      </c>
      <c r="Z111" s="69" t="s">
        <v>127</v>
      </c>
      <c r="AA111" s="70" t="s">
        <v>128</v>
      </c>
    </row>
    <row r="112" spans="2:63" s="1" customFormat="1" ht="29.25" customHeight="1">
      <c r="B112" s="27"/>
      <c r="C112" s="72" t="s">
        <v>104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14">
        <f>N113</f>
        <v>0</v>
      </c>
      <c r="O112" s="215"/>
      <c r="P112" s="215"/>
      <c r="Q112" s="215"/>
      <c r="R112" s="29"/>
      <c r="T112" s="71"/>
      <c r="U112" s="43"/>
      <c r="V112" s="43"/>
      <c r="W112" s="117">
        <f>W113</f>
        <v>0</v>
      </c>
      <c r="X112" s="43"/>
      <c r="Y112" s="117">
        <f>Y113</f>
        <v>0</v>
      </c>
      <c r="Z112" s="43"/>
      <c r="AA112" s="118">
        <f>AA113</f>
        <v>0</v>
      </c>
      <c r="AT112" s="13" t="s">
        <v>74</v>
      </c>
      <c r="AU112" s="13" t="s">
        <v>110</v>
      </c>
      <c r="BK112" s="119">
        <f>BK113</f>
        <v>0</v>
      </c>
    </row>
    <row r="113" spans="2:63" s="9" customFormat="1" ht="36.75" customHeight="1">
      <c r="B113" s="120"/>
      <c r="C113" s="121"/>
      <c r="D113" s="122" t="s">
        <v>111</v>
      </c>
      <c r="E113" s="122"/>
      <c r="F113" s="122"/>
      <c r="G113" s="122"/>
      <c r="H113" s="122"/>
      <c r="I113" s="122"/>
      <c r="J113" s="122"/>
      <c r="K113" s="122"/>
      <c r="L113" s="122"/>
      <c r="M113" s="122"/>
      <c r="N113" s="216">
        <f>N114+N116</f>
        <v>0</v>
      </c>
      <c r="O113" s="199"/>
      <c r="P113" s="199"/>
      <c r="Q113" s="199"/>
      <c r="R113" s="123"/>
      <c r="T113" s="124"/>
      <c r="U113" s="121"/>
      <c r="V113" s="121"/>
      <c r="W113" s="125">
        <f>W114+W116</f>
        <v>0</v>
      </c>
      <c r="X113" s="121"/>
      <c r="Y113" s="125">
        <f>Y114+Y116</f>
        <v>0</v>
      </c>
      <c r="Z113" s="121"/>
      <c r="AA113" s="126">
        <f>AA114+AA116</f>
        <v>0</v>
      </c>
      <c r="AR113" s="127" t="s">
        <v>129</v>
      </c>
      <c r="AT113" s="128" t="s">
        <v>74</v>
      </c>
      <c r="AU113" s="128" t="s">
        <v>75</v>
      </c>
      <c r="AY113" s="127" t="s">
        <v>130</v>
      </c>
      <c r="BK113" s="129">
        <f>BK114+BK116</f>
        <v>0</v>
      </c>
    </row>
    <row r="114" spans="2:63" s="9" customFormat="1" ht="19.5" customHeight="1">
      <c r="B114" s="120"/>
      <c r="C114" s="121"/>
      <c r="D114" s="130" t="s">
        <v>112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217">
        <f>N115</f>
        <v>0</v>
      </c>
      <c r="O114" s="218"/>
      <c r="P114" s="218"/>
      <c r="Q114" s="218"/>
      <c r="R114" s="123"/>
      <c r="T114" s="124"/>
      <c r="U114" s="121"/>
      <c r="V114" s="121"/>
      <c r="W114" s="125">
        <f>W115</f>
        <v>0</v>
      </c>
      <c r="X114" s="121"/>
      <c r="Y114" s="125">
        <f>Y115</f>
        <v>0</v>
      </c>
      <c r="Z114" s="121"/>
      <c r="AA114" s="126">
        <f>AA115</f>
        <v>0</v>
      </c>
      <c r="AR114" s="127" t="s">
        <v>129</v>
      </c>
      <c r="AT114" s="128" t="s">
        <v>74</v>
      </c>
      <c r="AU114" s="128" t="s">
        <v>19</v>
      </c>
      <c r="AY114" s="127" t="s">
        <v>130</v>
      </c>
      <c r="BK114" s="129">
        <f>BK115</f>
        <v>0</v>
      </c>
    </row>
    <row r="115" spans="2:65" s="1" customFormat="1" ht="22.5" customHeight="1">
      <c r="B115" s="131"/>
      <c r="C115" s="132" t="s">
        <v>19</v>
      </c>
      <c r="D115" s="132" t="s">
        <v>131</v>
      </c>
      <c r="E115" s="133" t="s">
        <v>132</v>
      </c>
      <c r="F115" s="208" t="s">
        <v>133</v>
      </c>
      <c r="G115" s="209"/>
      <c r="H115" s="209"/>
      <c r="I115" s="209"/>
      <c r="J115" s="134" t="s">
        <v>134</v>
      </c>
      <c r="K115" s="156"/>
      <c r="L115" s="210">
        <f>'02 - Rekonstrukce'!N88</f>
        <v>0</v>
      </c>
      <c r="M115" s="209"/>
      <c r="N115" s="210">
        <f>K115/100*L115</f>
        <v>0</v>
      </c>
      <c r="O115" s="209"/>
      <c r="P115" s="209"/>
      <c r="Q115" s="209"/>
      <c r="R115" s="136"/>
      <c r="T115" s="137" t="s">
        <v>3</v>
      </c>
      <c r="U115" s="36" t="s">
        <v>40</v>
      </c>
      <c r="V115" s="138">
        <v>0</v>
      </c>
      <c r="W115" s="138">
        <f>V115*K115</f>
        <v>0</v>
      </c>
      <c r="X115" s="138">
        <v>0</v>
      </c>
      <c r="Y115" s="138">
        <f>X115*K115</f>
        <v>0</v>
      </c>
      <c r="Z115" s="138">
        <v>0</v>
      </c>
      <c r="AA115" s="139">
        <f>Z115*K115</f>
        <v>0</v>
      </c>
      <c r="AR115" s="13" t="s">
        <v>135</v>
      </c>
      <c r="AT115" s="13" t="s">
        <v>131</v>
      </c>
      <c r="AU115" s="13" t="s">
        <v>100</v>
      </c>
      <c r="AY115" s="13" t="s">
        <v>130</v>
      </c>
      <c r="BE115" s="140">
        <f>IF(U115="základní",N115,0)</f>
        <v>0</v>
      </c>
      <c r="BF115" s="140">
        <f>IF(U115="snížená",N115,0)</f>
        <v>0</v>
      </c>
      <c r="BG115" s="140">
        <f>IF(U115="zákl. přenesená",N115,0)</f>
        <v>0</v>
      </c>
      <c r="BH115" s="140">
        <f>IF(U115="sníž. přenesená",N115,0)</f>
        <v>0</v>
      </c>
      <c r="BI115" s="140">
        <f>IF(U115="nulová",N115,0)</f>
        <v>0</v>
      </c>
      <c r="BJ115" s="13" t="s">
        <v>19</v>
      </c>
      <c r="BK115" s="140">
        <f>ROUND(L115*K115,2)</f>
        <v>0</v>
      </c>
      <c r="BL115" s="13" t="s">
        <v>135</v>
      </c>
      <c r="BM115" s="13" t="s">
        <v>136</v>
      </c>
    </row>
    <row r="116" spans="2:63" s="9" customFormat="1" ht="29.25" customHeight="1">
      <c r="B116" s="120"/>
      <c r="C116" s="121"/>
      <c r="D116" s="130" t="s">
        <v>113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219">
        <f>N117+N118+N119</f>
        <v>0</v>
      </c>
      <c r="O116" s="220"/>
      <c r="P116" s="220"/>
      <c r="Q116" s="220"/>
      <c r="R116" s="123"/>
      <c r="T116" s="124"/>
      <c r="U116" s="121"/>
      <c r="V116" s="121"/>
      <c r="W116" s="125">
        <f>SUM(W117:W119)</f>
        <v>0</v>
      </c>
      <c r="X116" s="121"/>
      <c r="Y116" s="125">
        <f>SUM(Y117:Y119)</f>
        <v>0</v>
      </c>
      <c r="Z116" s="121"/>
      <c r="AA116" s="126">
        <f>SUM(AA117:AA119)</f>
        <v>0</v>
      </c>
      <c r="AR116" s="127" t="s">
        <v>129</v>
      </c>
      <c r="AT116" s="128" t="s">
        <v>74</v>
      </c>
      <c r="AU116" s="128" t="s">
        <v>19</v>
      </c>
      <c r="AY116" s="127" t="s">
        <v>130</v>
      </c>
      <c r="BK116" s="129">
        <f>SUM(BK117:BK119)</f>
        <v>0</v>
      </c>
    </row>
    <row r="117" spans="2:65" s="1" customFormat="1" ht="22.5" customHeight="1">
      <c r="B117" s="131"/>
      <c r="C117" s="132" t="s">
        <v>100</v>
      </c>
      <c r="D117" s="132" t="s">
        <v>131</v>
      </c>
      <c r="E117" s="133" t="s">
        <v>137</v>
      </c>
      <c r="F117" s="208" t="s">
        <v>138</v>
      </c>
      <c r="G117" s="209"/>
      <c r="H117" s="209"/>
      <c r="I117" s="209"/>
      <c r="J117" s="134" t="s">
        <v>139</v>
      </c>
      <c r="K117" s="135">
        <v>1</v>
      </c>
      <c r="L117" s="211"/>
      <c r="M117" s="212"/>
      <c r="N117" s="210">
        <f>K117*L117</f>
        <v>0</v>
      </c>
      <c r="O117" s="209"/>
      <c r="P117" s="209"/>
      <c r="Q117" s="209"/>
      <c r="R117" s="136"/>
      <c r="T117" s="137" t="s">
        <v>3</v>
      </c>
      <c r="U117" s="36" t="s">
        <v>40</v>
      </c>
      <c r="V117" s="138">
        <v>0</v>
      </c>
      <c r="W117" s="138">
        <f>V117*K117</f>
        <v>0</v>
      </c>
      <c r="X117" s="138">
        <v>0</v>
      </c>
      <c r="Y117" s="138">
        <f>X117*K117</f>
        <v>0</v>
      </c>
      <c r="Z117" s="138">
        <v>0</v>
      </c>
      <c r="AA117" s="139">
        <f>Z117*K117</f>
        <v>0</v>
      </c>
      <c r="AR117" s="13" t="s">
        <v>135</v>
      </c>
      <c r="AT117" s="13" t="s">
        <v>131</v>
      </c>
      <c r="AU117" s="13" t="s">
        <v>100</v>
      </c>
      <c r="AY117" s="13" t="s">
        <v>130</v>
      </c>
      <c r="BE117" s="140">
        <f>IF(U117="základní",N117,0)</f>
        <v>0</v>
      </c>
      <c r="BF117" s="140">
        <f>IF(U117="snížená",N117,0)</f>
        <v>0</v>
      </c>
      <c r="BG117" s="140">
        <f>IF(U117="zákl. přenesená",N117,0)</f>
        <v>0</v>
      </c>
      <c r="BH117" s="140">
        <f>IF(U117="sníž. přenesená",N117,0)</f>
        <v>0</v>
      </c>
      <c r="BI117" s="140">
        <f>IF(U117="nulová",N117,0)</f>
        <v>0</v>
      </c>
      <c r="BJ117" s="13" t="s">
        <v>19</v>
      </c>
      <c r="BK117" s="140">
        <f>ROUND(L117*K117,2)</f>
        <v>0</v>
      </c>
      <c r="BL117" s="13" t="s">
        <v>135</v>
      </c>
      <c r="BM117" s="13" t="s">
        <v>140</v>
      </c>
    </row>
    <row r="118" spans="2:65" s="1" customFormat="1" ht="22.5" customHeight="1">
      <c r="B118" s="131"/>
      <c r="C118" s="132" t="s">
        <v>141</v>
      </c>
      <c r="D118" s="132" t="s">
        <v>131</v>
      </c>
      <c r="E118" s="133" t="s">
        <v>142</v>
      </c>
      <c r="F118" s="208" t="s">
        <v>143</v>
      </c>
      <c r="G118" s="209"/>
      <c r="H118" s="209"/>
      <c r="I118" s="209"/>
      <c r="J118" s="134" t="s">
        <v>144</v>
      </c>
      <c r="K118" s="135">
        <f>120*3</f>
        <v>360</v>
      </c>
      <c r="L118" s="211"/>
      <c r="M118" s="212"/>
      <c r="N118" s="210">
        <f>K118*L118</f>
        <v>0</v>
      </c>
      <c r="O118" s="209"/>
      <c r="P118" s="209"/>
      <c r="Q118" s="209"/>
      <c r="R118" s="136"/>
      <c r="T118" s="137" t="s">
        <v>3</v>
      </c>
      <c r="U118" s="36" t="s">
        <v>40</v>
      </c>
      <c r="V118" s="138">
        <v>0</v>
      </c>
      <c r="W118" s="138">
        <f>V118*K118</f>
        <v>0</v>
      </c>
      <c r="X118" s="138">
        <v>0</v>
      </c>
      <c r="Y118" s="138">
        <f>X118*K118</f>
        <v>0</v>
      </c>
      <c r="Z118" s="138">
        <v>0</v>
      </c>
      <c r="AA118" s="139">
        <f>Z118*K118</f>
        <v>0</v>
      </c>
      <c r="AR118" s="13" t="s">
        <v>135</v>
      </c>
      <c r="AT118" s="13" t="s">
        <v>131</v>
      </c>
      <c r="AU118" s="13" t="s">
        <v>100</v>
      </c>
      <c r="AY118" s="13" t="s">
        <v>130</v>
      </c>
      <c r="BE118" s="140">
        <f>IF(U118="základní",N118,0)</f>
        <v>0</v>
      </c>
      <c r="BF118" s="140">
        <f>IF(U118="snížená",N118,0)</f>
        <v>0</v>
      </c>
      <c r="BG118" s="140">
        <f>IF(U118="zákl. přenesená",N118,0)</f>
        <v>0</v>
      </c>
      <c r="BH118" s="140">
        <f>IF(U118="sníž. přenesená",N118,0)</f>
        <v>0</v>
      </c>
      <c r="BI118" s="140">
        <f>IF(U118="nulová",N118,0)</f>
        <v>0</v>
      </c>
      <c r="BJ118" s="13" t="s">
        <v>19</v>
      </c>
      <c r="BK118" s="140">
        <f>ROUND(L118*K118,2)</f>
        <v>0</v>
      </c>
      <c r="BL118" s="13" t="s">
        <v>135</v>
      </c>
      <c r="BM118" s="13" t="s">
        <v>145</v>
      </c>
    </row>
    <row r="119" spans="2:65" s="1" customFormat="1" ht="22.5" customHeight="1">
      <c r="B119" s="131"/>
      <c r="C119" s="132" t="s">
        <v>146</v>
      </c>
      <c r="D119" s="132" t="s">
        <v>131</v>
      </c>
      <c r="E119" s="133" t="s">
        <v>147</v>
      </c>
      <c r="F119" s="208" t="s">
        <v>148</v>
      </c>
      <c r="G119" s="209"/>
      <c r="H119" s="209"/>
      <c r="I119" s="209"/>
      <c r="J119" s="134" t="s">
        <v>134</v>
      </c>
      <c r="K119" s="156"/>
      <c r="L119" s="210">
        <f>'02 - Rekonstrukce'!N88</f>
        <v>0</v>
      </c>
      <c r="M119" s="209"/>
      <c r="N119" s="210">
        <f>K119/100*L119</f>
        <v>0</v>
      </c>
      <c r="O119" s="209"/>
      <c r="P119" s="209"/>
      <c r="Q119" s="209"/>
      <c r="R119" s="136"/>
      <c r="T119" s="137" t="s">
        <v>3</v>
      </c>
      <c r="U119" s="36" t="s">
        <v>40</v>
      </c>
      <c r="V119" s="138">
        <v>0</v>
      </c>
      <c r="W119" s="138">
        <f>V119*K119</f>
        <v>0</v>
      </c>
      <c r="X119" s="138">
        <v>0</v>
      </c>
      <c r="Y119" s="138">
        <f>X119*K119</f>
        <v>0</v>
      </c>
      <c r="Z119" s="138">
        <v>0</v>
      </c>
      <c r="AA119" s="139">
        <f>Z119*K119</f>
        <v>0</v>
      </c>
      <c r="AR119" s="13" t="s">
        <v>135</v>
      </c>
      <c r="AT119" s="13" t="s">
        <v>131</v>
      </c>
      <c r="AU119" s="13" t="s">
        <v>100</v>
      </c>
      <c r="AY119" s="13" t="s">
        <v>130</v>
      </c>
      <c r="BE119" s="140">
        <f>IF(U119="základní",N119,0)</f>
        <v>0</v>
      </c>
      <c r="BF119" s="140">
        <f>IF(U119="snížená",N119,0)</f>
        <v>0</v>
      </c>
      <c r="BG119" s="140">
        <f>IF(U119="zákl. přenesená",N119,0)</f>
        <v>0</v>
      </c>
      <c r="BH119" s="140">
        <f>IF(U119="sníž. přenesená",N119,0)</f>
        <v>0</v>
      </c>
      <c r="BI119" s="140">
        <f>IF(U119="nulová",N119,0)</f>
        <v>0</v>
      </c>
      <c r="BJ119" s="13" t="s">
        <v>19</v>
      </c>
      <c r="BK119" s="140">
        <f>ROUND(L119*K119,2)</f>
        <v>0</v>
      </c>
      <c r="BL119" s="13" t="s">
        <v>135</v>
      </c>
      <c r="BM119" s="13" t="s">
        <v>149</v>
      </c>
    </row>
    <row r="120" spans="2:18" s="1" customFormat="1" ht="6.75" customHeight="1"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3"/>
    </row>
  </sheetData>
  <sheetProtection/>
  <mergeCells count="69">
    <mergeCell ref="L118:M118"/>
    <mergeCell ref="N118:Q118"/>
    <mergeCell ref="F103:P103"/>
    <mergeCell ref="H1:K1"/>
    <mergeCell ref="S2:AC2"/>
    <mergeCell ref="N112:Q112"/>
    <mergeCell ref="N113:Q113"/>
    <mergeCell ref="N114:Q114"/>
    <mergeCell ref="N116:Q116"/>
    <mergeCell ref="F119:I119"/>
    <mergeCell ref="L119:M119"/>
    <mergeCell ref="N119:Q119"/>
    <mergeCell ref="F115:I115"/>
    <mergeCell ref="L115:M115"/>
    <mergeCell ref="N115:Q115"/>
    <mergeCell ref="F117:I117"/>
    <mergeCell ref="L117:M117"/>
    <mergeCell ref="N117:Q117"/>
    <mergeCell ref="F118:I118"/>
    <mergeCell ref="F104:P104"/>
    <mergeCell ref="M106:P106"/>
    <mergeCell ref="M108:Q108"/>
    <mergeCell ref="M109:Q109"/>
    <mergeCell ref="F111:I111"/>
    <mergeCell ref="L111:M111"/>
    <mergeCell ref="N111:Q111"/>
    <mergeCell ref="N89:Q89"/>
    <mergeCell ref="N90:Q90"/>
    <mergeCell ref="N91:Q91"/>
    <mergeCell ref="N93:Q93"/>
    <mergeCell ref="L95:Q95"/>
    <mergeCell ref="C101:Q101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5"/>
  <sheetViews>
    <sheetView showGridLines="0" zoomScalePageLayoutView="0" workbookViewId="0" topLeftCell="A1">
      <pane ySplit="1" topLeftCell="A163" activePane="bottomLeft" state="frozen"/>
      <selection pane="topLeft" activeCell="A1" sqref="A1"/>
      <selection pane="bottomLeft" activeCell="L127" sqref="L127:M16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53"/>
      <c r="B1" s="150"/>
      <c r="C1" s="150"/>
      <c r="D1" s="151" t="s">
        <v>1</v>
      </c>
      <c r="E1" s="150"/>
      <c r="F1" s="152" t="s">
        <v>513</v>
      </c>
      <c r="G1" s="152"/>
      <c r="H1" s="213" t="s">
        <v>514</v>
      </c>
      <c r="I1" s="213"/>
      <c r="J1" s="213"/>
      <c r="K1" s="213"/>
      <c r="L1" s="152" t="s">
        <v>515</v>
      </c>
      <c r="M1" s="150"/>
      <c r="N1" s="150"/>
      <c r="O1" s="151" t="s">
        <v>99</v>
      </c>
      <c r="P1" s="150"/>
      <c r="Q1" s="150"/>
      <c r="R1" s="150"/>
      <c r="S1" s="152" t="s">
        <v>516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57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6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85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100</v>
      </c>
    </row>
    <row r="4" spans="2:46" ht="36.75" customHeight="1">
      <c r="B4" s="17"/>
      <c r="C4" s="159" t="s">
        <v>101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4" t="s">
        <v>15</v>
      </c>
      <c r="E6" s="18"/>
      <c r="F6" s="192" t="str">
        <f>'Rekapitulace stavby'!K6</f>
        <v>Pavilon 7 - Pavilon 7 SOUE - I+II+III  Etapa stupačky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8"/>
      <c r="R6" s="19"/>
    </row>
    <row r="7" spans="2:18" s="1" customFormat="1" ht="32.25" customHeight="1">
      <c r="B7" s="27"/>
      <c r="C7" s="28"/>
      <c r="D7" s="23" t="s">
        <v>102</v>
      </c>
      <c r="E7" s="28"/>
      <c r="F7" s="162" t="s">
        <v>150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28"/>
      <c r="R7" s="29"/>
    </row>
    <row r="8" spans="2:18" s="1" customFormat="1" ht="14.25" customHeight="1">
      <c r="B8" s="27"/>
      <c r="C8" s="28"/>
      <c r="D8" s="24" t="s">
        <v>17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18</v>
      </c>
      <c r="N8" s="28"/>
      <c r="O8" s="22" t="s">
        <v>3</v>
      </c>
      <c r="P8" s="28"/>
      <c r="Q8" s="28"/>
      <c r="R8" s="29"/>
    </row>
    <row r="9" spans="2:18" s="1" customFormat="1" ht="14.25" customHeight="1">
      <c r="B9" s="27"/>
      <c r="C9" s="28"/>
      <c r="D9" s="24" t="s">
        <v>20</v>
      </c>
      <c r="E9" s="28"/>
      <c r="F9" s="22" t="s">
        <v>21</v>
      </c>
      <c r="G9" s="28"/>
      <c r="H9" s="28"/>
      <c r="I9" s="28"/>
      <c r="J9" s="28"/>
      <c r="K9" s="28"/>
      <c r="L9" s="28"/>
      <c r="M9" s="24" t="s">
        <v>22</v>
      </c>
      <c r="N9" s="28"/>
      <c r="O9" s="193"/>
      <c r="P9" s="170"/>
      <c r="Q9" s="28"/>
      <c r="R9" s="29"/>
    </row>
    <row r="10" spans="2:18" s="1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s="1" customFormat="1" ht="14.25" customHeight="1">
      <c r="B11" s="27"/>
      <c r="C11" s="28"/>
      <c r="D11" s="24" t="s">
        <v>25</v>
      </c>
      <c r="E11" s="28"/>
      <c r="F11" s="28"/>
      <c r="G11" s="28"/>
      <c r="H11" s="28"/>
      <c r="I11" s="28"/>
      <c r="J11" s="28"/>
      <c r="K11" s="28"/>
      <c r="L11" s="28"/>
      <c r="M11" s="24" t="s">
        <v>26</v>
      </c>
      <c r="N11" s="28"/>
      <c r="O11" s="161" t="s">
        <v>3</v>
      </c>
      <c r="P11" s="170"/>
      <c r="Q11" s="28"/>
      <c r="R11" s="29"/>
    </row>
    <row r="12" spans="2:18" s="1" customFormat="1" ht="18" customHeight="1">
      <c r="B12" s="27"/>
      <c r="C12" s="28"/>
      <c r="D12" s="28"/>
      <c r="E12" s="22" t="s">
        <v>27</v>
      </c>
      <c r="F12" s="28"/>
      <c r="G12" s="28"/>
      <c r="H12" s="28"/>
      <c r="I12" s="28"/>
      <c r="J12" s="28"/>
      <c r="K12" s="28"/>
      <c r="L12" s="28"/>
      <c r="M12" s="24" t="s">
        <v>28</v>
      </c>
      <c r="N12" s="28"/>
      <c r="O12" s="161" t="s">
        <v>3</v>
      </c>
      <c r="P12" s="170"/>
      <c r="Q12" s="28"/>
      <c r="R12" s="29"/>
    </row>
    <row r="13" spans="2:18" s="1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s="1" customFormat="1" ht="14.25" customHeight="1">
      <c r="B14" s="27"/>
      <c r="C14" s="28"/>
      <c r="D14" s="24" t="s">
        <v>29</v>
      </c>
      <c r="E14" s="28"/>
      <c r="F14" s="28"/>
      <c r="G14" s="28"/>
      <c r="H14" s="28"/>
      <c r="I14" s="28"/>
      <c r="J14" s="28"/>
      <c r="K14" s="28"/>
      <c r="L14" s="28"/>
      <c r="M14" s="24" t="s">
        <v>26</v>
      </c>
      <c r="N14" s="28"/>
      <c r="O14" s="161" t="s">
        <v>3</v>
      </c>
      <c r="P14" s="170"/>
      <c r="Q14" s="28"/>
      <c r="R14" s="29"/>
    </row>
    <row r="15" spans="2:18" s="1" customFormat="1" ht="18" customHeight="1">
      <c r="B15" s="27"/>
      <c r="C15" s="28"/>
      <c r="D15" s="28"/>
      <c r="E15" s="22"/>
      <c r="F15" s="28"/>
      <c r="G15" s="28"/>
      <c r="H15" s="28"/>
      <c r="I15" s="28"/>
      <c r="J15" s="28"/>
      <c r="K15" s="28"/>
      <c r="L15" s="28"/>
      <c r="M15" s="24" t="s">
        <v>28</v>
      </c>
      <c r="N15" s="28"/>
      <c r="O15" s="161" t="s">
        <v>3</v>
      </c>
      <c r="P15" s="170"/>
      <c r="Q15" s="28"/>
      <c r="R15" s="29"/>
    </row>
    <row r="16" spans="2:18" s="1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25" customHeight="1">
      <c r="B17" s="27"/>
      <c r="C17" s="28"/>
      <c r="D17" s="24" t="s">
        <v>30</v>
      </c>
      <c r="E17" s="28"/>
      <c r="F17" s="28"/>
      <c r="G17" s="28"/>
      <c r="H17" s="28"/>
      <c r="I17" s="28"/>
      <c r="J17" s="28"/>
      <c r="K17" s="28"/>
      <c r="L17" s="28"/>
      <c r="M17" s="24" t="s">
        <v>26</v>
      </c>
      <c r="N17" s="28"/>
      <c r="O17" s="161">
        <f>IF('Rekapitulace stavby'!AN16="","",'Rekapitulace stavby'!AN16)</f>
      </c>
      <c r="P17" s="170"/>
      <c r="Q17" s="28"/>
      <c r="R17" s="29"/>
    </row>
    <row r="18" spans="2:18" s="1" customFormat="1" ht="18" customHeight="1">
      <c r="B18" s="27"/>
      <c r="C18" s="28"/>
      <c r="D18" s="28"/>
      <c r="E18" s="22" t="str">
        <f>IF('Rekapitulace stavby'!E17="","",'Rekapitulace stavby'!E17)</f>
        <v> </v>
      </c>
      <c r="F18" s="28"/>
      <c r="G18" s="28"/>
      <c r="H18" s="28"/>
      <c r="I18" s="28"/>
      <c r="J18" s="28"/>
      <c r="K18" s="28"/>
      <c r="L18" s="28"/>
      <c r="M18" s="24" t="s">
        <v>28</v>
      </c>
      <c r="N18" s="28"/>
      <c r="O18" s="161">
        <f>IF('Rekapitulace stavby'!AN17="","",'Rekapitulace stavby'!AN17)</f>
      </c>
      <c r="P18" s="170"/>
      <c r="Q18" s="28"/>
      <c r="R18" s="29"/>
    </row>
    <row r="19" spans="2:18" s="1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25" customHeight="1">
      <c r="B20" s="27"/>
      <c r="C20" s="28"/>
      <c r="D20" s="24" t="s">
        <v>33</v>
      </c>
      <c r="E20" s="28"/>
      <c r="F20" s="28"/>
      <c r="G20" s="28"/>
      <c r="H20" s="28"/>
      <c r="I20" s="28"/>
      <c r="J20" s="28"/>
      <c r="K20" s="28"/>
      <c r="L20" s="28"/>
      <c r="M20" s="24" t="s">
        <v>26</v>
      </c>
      <c r="N20" s="28"/>
      <c r="O20" s="161" t="s">
        <v>3</v>
      </c>
      <c r="P20" s="170"/>
      <c r="Q20" s="28"/>
      <c r="R20" s="29"/>
    </row>
    <row r="21" spans="2:18" s="1" customFormat="1" ht="18" customHeight="1">
      <c r="B21" s="27"/>
      <c r="C21" s="28"/>
      <c r="D21" s="28"/>
      <c r="E21" s="22"/>
      <c r="F21" s="28"/>
      <c r="G21" s="28"/>
      <c r="H21" s="28"/>
      <c r="I21" s="28"/>
      <c r="J21" s="28"/>
      <c r="K21" s="28"/>
      <c r="L21" s="28"/>
      <c r="M21" s="24" t="s">
        <v>28</v>
      </c>
      <c r="N21" s="28"/>
      <c r="O21" s="161" t="s">
        <v>3</v>
      </c>
      <c r="P21" s="170"/>
      <c r="Q21" s="28"/>
      <c r="R21" s="29"/>
    </row>
    <row r="22" spans="2:18" s="1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25" customHeight="1">
      <c r="B23" s="27"/>
      <c r="C23" s="28"/>
      <c r="D23" s="24" t="s">
        <v>34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77.25" customHeight="1">
      <c r="B24" s="27"/>
      <c r="C24" s="28"/>
      <c r="D24" s="28"/>
      <c r="E24" s="163" t="s">
        <v>35</v>
      </c>
      <c r="F24" s="170"/>
      <c r="G24" s="170"/>
      <c r="H24" s="170"/>
      <c r="I24" s="170"/>
      <c r="J24" s="170"/>
      <c r="K24" s="170"/>
      <c r="L24" s="170"/>
      <c r="M24" s="28"/>
      <c r="N24" s="28"/>
      <c r="O24" s="28"/>
      <c r="P24" s="28"/>
      <c r="Q24" s="28"/>
      <c r="R24" s="29"/>
    </row>
    <row r="25" spans="2:18" s="1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7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25" customHeight="1">
      <c r="B27" s="27"/>
      <c r="C27" s="28"/>
      <c r="D27" s="96" t="s">
        <v>104</v>
      </c>
      <c r="E27" s="28"/>
      <c r="F27" s="28"/>
      <c r="G27" s="28"/>
      <c r="H27" s="28"/>
      <c r="I27" s="28"/>
      <c r="J27" s="28"/>
      <c r="K27" s="28"/>
      <c r="L27" s="28"/>
      <c r="M27" s="164">
        <f>N88</f>
        <v>0</v>
      </c>
      <c r="N27" s="170"/>
      <c r="O27" s="170"/>
      <c r="P27" s="170"/>
      <c r="Q27" s="28"/>
      <c r="R27" s="29"/>
    </row>
    <row r="28" spans="2:18" s="1" customFormat="1" ht="14.25" customHeight="1">
      <c r="B28" s="27"/>
      <c r="C28" s="28"/>
      <c r="D28" s="26" t="s">
        <v>105</v>
      </c>
      <c r="E28" s="28"/>
      <c r="F28" s="28"/>
      <c r="G28" s="28"/>
      <c r="H28" s="28"/>
      <c r="I28" s="28"/>
      <c r="J28" s="28"/>
      <c r="K28" s="28"/>
      <c r="L28" s="28"/>
      <c r="M28" s="164">
        <f>N104</f>
        <v>0</v>
      </c>
      <c r="N28" s="170"/>
      <c r="O28" s="170"/>
      <c r="P28" s="170"/>
      <c r="Q28" s="28"/>
      <c r="R28" s="29"/>
    </row>
    <row r="29" spans="2:18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4.75" customHeight="1">
      <c r="B30" s="27"/>
      <c r="C30" s="28"/>
      <c r="D30" s="97" t="s">
        <v>38</v>
      </c>
      <c r="E30" s="28"/>
      <c r="F30" s="28"/>
      <c r="G30" s="28"/>
      <c r="H30" s="28"/>
      <c r="I30" s="28"/>
      <c r="J30" s="28"/>
      <c r="K30" s="28"/>
      <c r="L30" s="28"/>
      <c r="M30" s="194">
        <f>ROUND(M27+M28,2)</f>
        <v>0</v>
      </c>
      <c r="N30" s="170"/>
      <c r="O30" s="170"/>
      <c r="P30" s="170"/>
      <c r="Q30" s="28"/>
      <c r="R30" s="29"/>
    </row>
    <row r="31" spans="2:18" s="1" customFormat="1" ht="6.7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25" customHeight="1">
      <c r="B32" s="27"/>
      <c r="C32" s="28"/>
      <c r="D32" s="34" t="s">
        <v>39</v>
      </c>
      <c r="E32" s="34" t="s">
        <v>40</v>
      </c>
      <c r="F32" s="35">
        <v>0.21</v>
      </c>
      <c r="G32" s="98" t="s">
        <v>41</v>
      </c>
      <c r="H32" s="195">
        <f>ROUND((SUM(BE104:BE105)+SUM(BE123:BE164)),2)</f>
        <v>0</v>
      </c>
      <c r="I32" s="170"/>
      <c r="J32" s="170"/>
      <c r="K32" s="28"/>
      <c r="L32" s="28"/>
      <c r="M32" s="195">
        <f>ROUND(ROUND((SUM(BE104:BE105)+SUM(BE123:BE164)),2)*F32,2)</f>
        <v>0</v>
      </c>
      <c r="N32" s="170"/>
      <c r="O32" s="170"/>
      <c r="P32" s="170"/>
      <c r="Q32" s="28"/>
      <c r="R32" s="29"/>
    </row>
    <row r="33" spans="2:18" s="1" customFormat="1" ht="14.25" customHeight="1">
      <c r="B33" s="27"/>
      <c r="C33" s="28"/>
      <c r="D33" s="28"/>
      <c r="E33" s="34" t="s">
        <v>42</v>
      </c>
      <c r="F33" s="35">
        <v>0.15</v>
      </c>
      <c r="G33" s="98" t="s">
        <v>41</v>
      </c>
      <c r="H33" s="195">
        <f>ROUND((SUM(BF104:BF105)+SUM(BF123:BF164)),2)</f>
        <v>0</v>
      </c>
      <c r="I33" s="170"/>
      <c r="J33" s="170"/>
      <c r="K33" s="28"/>
      <c r="L33" s="28"/>
      <c r="M33" s="195">
        <f>ROUND(ROUND((SUM(BF104:BF105)+SUM(BF123:BF164)),2)*F33,2)</f>
        <v>0</v>
      </c>
      <c r="N33" s="170"/>
      <c r="O33" s="170"/>
      <c r="P33" s="170"/>
      <c r="Q33" s="28"/>
      <c r="R33" s="29"/>
    </row>
    <row r="34" spans="2:18" s="1" customFormat="1" ht="14.25" customHeight="1" hidden="1">
      <c r="B34" s="27"/>
      <c r="C34" s="28"/>
      <c r="D34" s="28"/>
      <c r="E34" s="34" t="s">
        <v>43</v>
      </c>
      <c r="F34" s="35">
        <v>0.21</v>
      </c>
      <c r="G34" s="98" t="s">
        <v>41</v>
      </c>
      <c r="H34" s="195">
        <f>ROUND((SUM(BG104:BG105)+SUM(BG123:BG164)),2)</f>
        <v>0</v>
      </c>
      <c r="I34" s="170"/>
      <c r="J34" s="170"/>
      <c r="K34" s="28"/>
      <c r="L34" s="28"/>
      <c r="M34" s="195">
        <v>0</v>
      </c>
      <c r="N34" s="170"/>
      <c r="O34" s="170"/>
      <c r="P34" s="170"/>
      <c r="Q34" s="28"/>
      <c r="R34" s="29"/>
    </row>
    <row r="35" spans="2:18" s="1" customFormat="1" ht="14.25" customHeight="1" hidden="1">
      <c r="B35" s="27"/>
      <c r="C35" s="28"/>
      <c r="D35" s="28"/>
      <c r="E35" s="34" t="s">
        <v>44</v>
      </c>
      <c r="F35" s="35">
        <v>0.15</v>
      </c>
      <c r="G35" s="98" t="s">
        <v>41</v>
      </c>
      <c r="H35" s="195">
        <f>ROUND((SUM(BH104:BH105)+SUM(BH123:BH164)),2)</f>
        <v>0</v>
      </c>
      <c r="I35" s="170"/>
      <c r="J35" s="170"/>
      <c r="K35" s="28"/>
      <c r="L35" s="28"/>
      <c r="M35" s="195">
        <v>0</v>
      </c>
      <c r="N35" s="170"/>
      <c r="O35" s="170"/>
      <c r="P35" s="170"/>
      <c r="Q35" s="28"/>
      <c r="R35" s="29"/>
    </row>
    <row r="36" spans="2:18" s="1" customFormat="1" ht="14.25" customHeight="1" hidden="1">
      <c r="B36" s="27"/>
      <c r="C36" s="28"/>
      <c r="D36" s="28"/>
      <c r="E36" s="34" t="s">
        <v>45</v>
      </c>
      <c r="F36" s="35">
        <v>0</v>
      </c>
      <c r="G36" s="98" t="s">
        <v>41</v>
      </c>
      <c r="H36" s="195">
        <f>ROUND((SUM(BI104:BI105)+SUM(BI123:BI164)),2)</f>
        <v>0</v>
      </c>
      <c r="I36" s="170"/>
      <c r="J36" s="170"/>
      <c r="K36" s="28"/>
      <c r="L36" s="28"/>
      <c r="M36" s="195">
        <v>0</v>
      </c>
      <c r="N36" s="170"/>
      <c r="O36" s="170"/>
      <c r="P36" s="170"/>
      <c r="Q36" s="28"/>
      <c r="R36" s="29"/>
    </row>
    <row r="37" spans="2:18" s="1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4.75" customHeight="1">
      <c r="B38" s="27"/>
      <c r="C38" s="95"/>
      <c r="D38" s="99" t="s">
        <v>46</v>
      </c>
      <c r="E38" s="67"/>
      <c r="F38" s="67"/>
      <c r="G38" s="100" t="s">
        <v>47</v>
      </c>
      <c r="H38" s="101" t="s">
        <v>48</v>
      </c>
      <c r="I38" s="67"/>
      <c r="J38" s="67"/>
      <c r="K38" s="67"/>
      <c r="L38" s="196">
        <f>SUM(M30:M36)</f>
        <v>0</v>
      </c>
      <c r="M38" s="173"/>
      <c r="N38" s="173"/>
      <c r="O38" s="173"/>
      <c r="P38" s="175"/>
      <c r="Q38" s="95"/>
      <c r="R38" s="29"/>
    </row>
    <row r="39" spans="2:18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2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 t="s">
        <v>49</v>
      </c>
      <c r="E50" s="43"/>
      <c r="F50" s="43"/>
      <c r="G50" s="43"/>
      <c r="H50" s="44"/>
      <c r="I50" s="28"/>
      <c r="J50" s="42" t="s">
        <v>50</v>
      </c>
      <c r="K50" s="43"/>
      <c r="L50" s="43"/>
      <c r="M50" s="43"/>
      <c r="N50" s="43"/>
      <c r="O50" s="43"/>
      <c r="P50" s="44"/>
      <c r="Q50" s="28"/>
      <c r="R50" s="29"/>
    </row>
    <row r="51" spans="2:18" ht="13.5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 t="s">
        <v>51</v>
      </c>
      <c r="E59" s="48"/>
      <c r="F59" s="48"/>
      <c r="G59" s="49" t="s">
        <v>52</v>
      </c>
      <c r="H59" s="50"/>
      <c r="I59" s="28"/>
      <c r="J59" s="47" t="s">
        <v>51</v>
      </c>
      <c r="K59" s="48"/>
      <c r="L59" s="48"/>
      <c r="M59" s="48"/>
      <c r="N59" s="49" t="s">
        <v>52</v>
      </c>
      <c r="O59" s="48"/>
      <c r="P59" s="50"/>
      <c r="Q59" s="28"/>
      <c r="R59" s="29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53</v>
      </c>
      <c r="E61" s="43"/>
      <c r="F61" s="43"/>
      <c r="G61" s="43"/>
      <c r="H61" s="44"/>
      <c r="I61" s="28"/>
      <c r="J61" s="42" t="s">
        <v>54</v>
      </c>
      <c r="K61" s="43"/>
      <c r="L61" s="43"/>
      <c r="M61" s="43"/>
      <c r="N61" s="43"/>
      <c r="O61" s="43"/>
      <c r="P61" s="44"/>
      <c r="Q61" s="28"/>
      <c r="R61" s="29"/>
    </row>
    <row r="62" spans="2:18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51</v>
      </c>
      <c r="E70" s="48"/>
      <c r="F70" s="48"/>
      <c r="G70" s="49" t="s">
        <v>52</v>
      </c>
      <c r="H70" s="50"/>
      <c r="I70" s="28"/>
      <c r="J70" s="47" t="s">
        <v>51</v>
      </c>
      <c r="K70" s="48"/>
      <c r="L70" s="48"/>
      <c r="M70" s="48"/>
      <c r="N70" s="49" t="s">
        <v>52</v>
      </c>
      <c r="O70" s="48"/>
      <c r="P70" s="50"/>
      <c r="Q70" s="28"/>
      <c r="R70" s="29"/>
    </row>
    <row r="71" spans="2:18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75" customHeight="1">
      <c r="B76" s="27"/>
      <c r="C76" s="159" t="s">
        <v>106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29"/>
    </row>
    <row r="77" spans="2:18" s="1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>
      <c r="B78" s="27"/>
      <c r="C78" s="24" t="s">
        <v>15</v>
      </c>
      <c r="D78" s="28"/>
      <c r="E78" s="28"/>
      <c r="F78" s="192" t="str">
        <f>F6</f>
        <v>Pavilon 7 - Pavilon 7 SOUE - I+II+III  Etapa stupačky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28"/>
      <c r="R78" s="29"/>
    </row>
    <row r="79" spans="2:18" s="1" customFormat="1" ht="36.75" customHeight="1">
      <c r="B79" s="27"/>
      <c r="C79" s="61" t="s">
        <v>102</v>
      </c>
      <c r="D79" s="28"/>
      <c r="E79" s="28"/>
      <c r="F79" s="187" t="str">
        <f>F7</f>
        <v>01 - Bourací práce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28"/>
      <c r="R79" s="29"/>
    </row>
    <row r="80" spans="2:18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18" s="1" customFormat="1" ht="18" customHeight="1">
      <c r="B81" s="27"/>
      <c r="C81" s="24" t="s">
        <v>20</v>
      </c>
      <c r="D81" s="28"/>
      <c r="E81" s="28"/>
      <c r="F81" s="22" t="str">
        <f>F9</f>
        <v>Plzeň</v>
      </c>
      <c r="G81" s="28"/>
      <c r="H81" s="28"/>
      <c r="I81" s="28"/>
      <c r="J81" s="28"/>
      <c r="K81" s="24" t="s">
        <v>22</v>
      </c>
      <c r="L81" s="28"/>
      <c r="M81" s="193">
        <f>IF(O9="","",O9)</f>
      </c>
      <c r="N81" s="170"/>
      <c r="O81" s="170"/>
      <c r="P81" s="170"/>
      <c r="Q81" s="28"/>
      <c r="R81" s="29"/>
    </row>
    <row r="82" spans="2:18" s="1" customFormat="1" ht="6.7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18" s="1" customFormat="1" ht="15">
      <c r="B83" s="27"/>
      <c r="C83" s="24" t="s">
        <v>25</v>
      </c>
      <c r="D83" s="28"/>
      <c r="E83" s="28"/>
      <c r="F83" s="22" t="str">
        <f>E12</f>
        <v>SOUE Plzeň</v>
      </c>
      <c r="G83" s="28"/>
      <c r="H83" s="28"/>
      <c r="I83" s="28"/>
      <c r="J83" s="28"/>
      <c r="K83" s="24" t="s">
        <v>30</v>
      </c>
      <c r="L83" s="28"/>
      <c r="M83" s="161" t="str">
        <f>E18</f>
        <v> </v>
      </c>
      <c r="N83" s="170"/>
      <c r="O83" s="170"/>
      <c r="P83" s="170"/>
      <c r="Q83" s="170"/>
      <c r="R83" s="29"/>
    </row>
    <row r="84" spans="2:18" s="1" customFormat="1" ht="14.25" customHeight="1">
      <c r="B84" s="27"/>
      <c r="C84" s="24" t="s">
        <v>29</v>
      </c>
      <c r="D84" s="28"/>
      <c r="E84" s="28"/>
      <c r="F84" s="22">
        <f>IF(E15="","",E15)</f>
      </c>
      <c r="G84" s="28"/>
      <c r="H84" s="28"/>
      <c r="I84" s="28"/>
      <c r="J84" s="28"/>
      <c r="K84" s="24" t="s">
        <v>33</v>
      </c>
      <c r="L84" s="28"/>
      <c r="M84" s="161"/>
      <c r="N84" s="170"/>
      <c r="O84" s="170"/>
      <c r="P84" s="170"/>
      <c r="Q84" s="170"/>
      <c r="R84" s="29"/>
    </row>
    <row r="85" spans="2:18" s="1" customFormat="1" ht="9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18" s="1" customFormat="1" ht="29.25" customHeight="1">
      <c r="B86" s="27"/>
      <c r="C86" s="197" t="s">
        <v>107</v>
      </c>
      <c r="D86" s="198"/>
      <c r="E86" s="198"/>
      <c r="F86" s="198"/>
      <c r="G86" s="198"/>
      <c r="H86" s="95"/>
      <c r="I86" s="95"/>
      <c r="J86" s="95"/>
      <c r="K86" s="95"/>
      <c r="L86" s="95"/>
      <c r="M86" s="95"/>
      <c r="N86" s="197" t="s">
        <v>108</v>
      </c>
      <c r="O86" s="170"/>
      <c r="P86" s="170"/>
      <c r="Q86" s="170"/>
      <c r="R86" s="29"/>
    </row>
    <row r="87" spans="2:18" s="1" customFormat="1" ht="9.7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>
      <c r="B88" s="27"/>
      <c r="C88" s="102" t="s">
        <v>109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84">
        <f>N123</f>
        <v>0</v>
      </c>
      <c r="O88" s="170"/>
      <c r="P88" s="170"/>
      <c r="Q88" s="170"/>
      <c r="R88" s="29"/>
      <c r="AU88" s="13" t="s">
        <v>110</v>
      </c>
    </row>
    <row r="89" spans="2:18" s="6" customFormat="1" ht="24.75" customHeight="1">
      <c r="B89" s="103"/>
      <c r="C89" s="104"/>
      <c r="D89" s="105" t="s">
        <v>151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9">
        <f>N124</f>
        <v>0</v>
      </c>
      <c r="O89" s="200"/>
      <c r="P89" s="200"/>
      <c r="Q89" s="200"/>
      <c r="R89" s="106"/>
    </row>
    <row r="90" spans="2:18" s="7" customFormat="1" ht="19.5" customHeight="1">
      <c r="B90" s="107"/>
      <c r="C90" s="108"/>
      <c r="D90" s="109" t="s">
        <v>152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01">
        <f>N125</f>
        <v>0</v>
      </c>
      <c r="O90" s="202"/>
      <c r="P90" s="202"/>
      <c r="Q90" s="202"/>
      <c r="R90" s="110"/>
    </row>
    <row r="91" spans="2:18" s="7" customFormat="1" ht="14.25" customHeight="1">
      <c r="B91" s="107"/>
      <c r="C91" s="108"/>
      <c r="D91" s="109" t="s">
        <v>153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01">
        <f>N126</f>
        <v>0</v>
      </c>
      <c r="O91" s="202"/>
      <c r="P91" s="202"/>
      <c r="Q91" s="202"/>
      <c r="R91" s="110"/>
    </row>
    <row r="92" spans="2:18" s="7" customFormat="1" ht="14.25" customHeight="1">
      <c r="B92" s="107"/>
      <c r="C92" s="108"/>
      <c r="D92" s="109" t="s">
        <v>154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01">
        <f>N129</f>
        <v>0</v>
      </c>
      <c r="O92" s="202"/>
      <c r="P92" s="202"/>
      <c r="Q92" s="202"/>
      <c r="R92" s="110"/>
    </row>
    <row r="93" spans="2:18" s="7" customFormat="1" ht="14.25" customHeight="1">
      <c r="B93" s="107"/>
      <c r="C93" s="108"/>
      <c r="D93" s="109" t="s">
        <v>155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01">
        <f>N131</f>
        <v>0</v>
      </c>
      <c r="O93" s="202"/>
      <c r="P93" s="202"/>
      <c r="Q93" s="202"/>
      <c r="R93" s="110"/>
    </row>
    <row r="94" spans="2:18" s="7" customFormat="1" ht="14.25" customHeight="1">
      <c r="B94" s="107"/>
      <c r="C94" s="108"/>
      <c r="D94" s="109" t="s">
        <v>156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01">
        <f>N134</f>
        <v>0</v>
      </c>
      <c r="O94" s="202"/>
      <c r="P94" s="202"/>
      <c r="Q94" s="202"/>
      <c r="R94" s="110"/>
    </row>
    <row r="95" spans="2:18" s="7" customFormat="1" ht="19.5" customHeight="1">
      <c r="B95" s="107"/>
      <c r="C95" s="108"/>
      <c r="D95" s="109" t="s">
        <v>157</v>
      </c>
      <c r="E95" s="108"/>
      <c r="F95" s="108"/>
      <c r="G95" s="108"/>
      <c r="H95" s="108"/>
      <c r="I95" s="108"/>
      <c r="J95" s="108"/>
      <c r="K95" s="108"/>
      <c r="L95" s="108"/>
      <c r="M95" s="108"/>
      <c r="N95" s="201">
        <f>N139</f>
        <v>0</v>
      </c>
      <c r="O95" s="202"/>
      <c r="P95" s="202"/>
      <c r="Q95" s="202"/>
      <c r="R95" s="110"/>
    </row>
    <row r="96" spans="2:18" s="6" customFormat="1" ht="24.75" customHeight="1">
      <c r="B96" s="103"/>
      <c r="C96" s="104"/>
      <c r="D96" s="105" t="s">
        <v>158</v>
      </c>
      <c r="E96" s="104"/>
      <c r="F96" s="104"/>
      <c r="G96" s="104"/>
      <c r="H96" s="104"/>
      <c r="I96" s="104"/>
      <c r="J96" s="104"/>
      <c r="K96" s="104"/>
      <c r="L96" s="104"/>
      <c r="M96" s="104"/>
      <c r="N96" s="199">
        <f>N145</f>
        <v>0</v>
      </c>
      <c r="O96" s="200"/>
      <c r="P96" s="200"/>
      <c r="Q96" s="200"/>
      <c r="R96" s="106"/>
    </row>
    <row r="97" spans="2:18" s="7" customFormat="1" ht="19.5" customHeight="1">
      <c r="B97" s="107"/>
      <c r="C97" s="108"/>
      <c r="D97" s="109" t="s">
        <v>159</v>
      </c>
      <c r="E97" s="108"/>
      <c r="F97" s="108"/>
      <c r="G97" s="108"/>
      <c r="H97" s="108"/>
      <c r="I97" s="108"/>
      <c r="J97" s="108"/>
      <c r="K97" s="108"/>
      <c r="L97" s="108"/>
      <c r="M97" s="108"/>
      <c r="N97" s="201">
        <f>N146</f>
        <v>0</v>
      </c>
      <c r="O97" s="202"/>
      <c r="P97" s="202"/>
      <c r="Q97" s="202"/>
      <c r="R97" s="110"/>
    </row>
    <row r="98" spans="2:18" s="7" customFormat="1" ht="19.5" customHeight="1">
      <c r="B98" s="107"/>
      <c r="C98" s="108"/>
      <c r="D98" s="109" t="s">
        <v>160</v>
      </c>
      <c r="E98" s="108"/>
      <c r="F98" s="108"/>
      <c r="G98" s="108"/>
      <c r="H98" s="108"/>
      <c r="I98" s="108"/>
      <c r="J98" s="108"/>
      <c r="K98" s="108"/>
      <c r="L98" s="108"/>
      <c r="M98" s="108"/>
      <c r="N98" s="201">
        <f>N149</f>
        <v>0</v>
      </c>
      <c r="O98" s="202"/>
      <c r="P98" s="202"/>
      <c r="Q98" s="202"/>
      <c r="R98" s="110"/>
    </row>
    <row r="99" spans="2:18" s="7" customFormat="1" ht="19.5" customHeight="1">
      <c r="B99" s="107"/>
      <c r="C99" s="108"/>
      <c r="D99" s="109" t="s">
        <v>161</v>
      </c>
      <c r="E99" s="108"/>
      <c r="F99" s="108"/>
      <c r="G99" s="108"/>
      <c r="H99" s="108"/>
      <c r="I99" s="108"/>
      <c r="J99" s="108"/>
      <c r="K99" s="108"/>
      <c r="L99" s="108"/>
      <c r="M99" s="108"/>
      <c r="N99" s="201">
        <f>N156</f>
        <v>0</v>
      </c>
      <c r="O99" s="202"/>
      <c r="P99" s="202"/>
      <c r="Q99" s="202"/>
      <c r="R99" s="110"/>
    </row>
    <row r="100" spans="2:18" s="7" customFormat="1" ht="19.5" customHeight="1">
      <c r="B100" s="107"/>
      <c r="C100" s="108"/>
      <c r="D100" s="109" t="s">
        <v>162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201">
        <f>N158</f>
        <v>0</v>
      </c>
      <c r="O100" s="202"/>
      <c r="P100" s="202"/>
      <c r="Q100" s="202"/>
      <c r="R100" s="110"/>
    </row>
    <row r="101" spans="2:18" s="7" customFormat="1" ht="19.5" customHeight="1">
      <c r="B101" s="107"/>
      <c r="C101" s="108"/>
      <c r="D101" s="109" t="s">
        <v>163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201">
        <f>N160</f>
        <v>0</v>
      </c>
      <c r="O101" s="202"/>
      <c r="P101" s="202"/>
      <c r="Q101" s="202"/>
      <c r="R101" s="110"/>
    </row>
    <row r="102" spans="2:18" s="6" customFormat="1" ht="24.75" customHeight="1">
      <c r="B102" s="103"/>
      <c r="C102" s="104"/>
      <c r="D102" s="105" t="s">
        <v>164</v>
      </c>
      <c r="E102" s="104"/>
      <c r="F102" s="104"/>
      <c r="G102" s="104"/>
      <c r="H102" s="104"/>
      <c r="I102" s="104"/>
      <c r="J102" s="104"/>
      <c r="K102" s="104"/>
      <c r="L102" s="104"/>
      <c r="M102" s="104"/>
      <c r="N102" s="199">
        <f>N163</f>
        <v>0</v>
      </c>
      <c r="O102" s="200"/>
      <c r="P102" s="200"/>
      <c r="Q102" s="200"/>
      <c r="R102" s="106"/>
    </row>
    <row r="103" spans="2:18" s="1" customFormat="1" ht="21.75" customHeight="1"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9"/>
    </row>
    <row r="104" spans="2:21" s="1" customFormat="1" ht="29.25" customHeight="1">
      <c r="B104" s="27"/>
      <c r="C104" s="102" t="s">
        <v>114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03">
        <v>0</v>
      </c>
      <c r="O104" s="170"/>
      <c r="P104" s="170"/>
      <c r="Q104" s="170"/>
      <c r="R104" s="29"/>
      <c r="T104" s="111"/>
      <c r="U104" s="112" t="s">
        <v>39</v>
      </c>
    </row>
    <row r="105" spans="2:18" s="1" customFormat="1" ht="18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18" s="1" customFormat="1" ht="29.25" customHeight="1">
      <c r="B106" s="27"/>
      <c r="C106" s="94" t="s">
        <v>98</v>
      </c>
      <c r="D106" s="95"/>
      <c r="E106" s="95"/>
      <c r="F106" s="95"/>
      <c r="G106" s="95"/>
      <c r="H106" s="95"/>
      <c r="I106" s="95"/>
      <c r="J106" s="95"/>
      <c r="K106" s="95"/>
      <c r="L106" s="185">
        <f>ROUND(SUM(N88+N104),2)</f>
        <v>0</v>
      </c>
      <c r="M106" s="198"/>
      <c r="N106" s="198"/>
      <c r="O106" s="198"/>
      <c r="P106" s="198"/>
      <c r="Q106" s="198"/>
      <c r="R106" s="29"/>
    </row>
    <row r="107" spans="2:18" s="1" customFormat="1" ht="6.75" customHeight="1"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3"/>
    </row>
    <row r="111" spans="2:18" s="1" customFormat="1" ht="6.75" customHeight="1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6"/>
    </row>
    <row r="112" spans="2:18" s="1" customFormat="1" ht="36.75" customHeight="1">
      <c r="B112" s="27"/>
      <c r="C112" s="159" t="s">
        <v>115</v>
      </c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29"/>
    </row>
    <row r="113" spans="2:18" s="1" customFormat="1" ht="6.75" customHeight="1"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</row>
    <row r="114" spans="2:18" s="1" customFormat="1" ht="30" customHeight="1">
      <c r="B114" s="27"/>
      <c r="C114" s="24" t="s">
        <v>15</v>
      </c>
      <c r="D114" s="28"/>
      <c r="E114" s="28"/>
      <c r="F114" s="192" t="str">
        <f>F6</f>
        <v>Pavilon 7 - Pavilon 7 SOUE - I+II+III  Etapa stupačky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28"/>
      <c r="R114" s="29"/>
    </row>
    <row r="115" spans="2:18" s="1" customFormat="1" ht="36.75" customHeight="1">
      <c r="B115" s="27"/>
      <c r="C115" s="61" t="s">
        <v>102</v>
      </c>
      <c r="D115" s="28"/>
      <c r="E115" s="28"/>
      <c r="F115" s="187" t="str">
        <f>F7</f>
        <v>01 - Bourací práce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28"/>
      <c r="R115" s="29"/>
    </row>
    <row r="116" spans="2:18" s="1" customFormat="1" ht="6.75" customHeight="1">
      <c r="B116" s="27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9"/>
    </row>
    <row r="117" spans="2:18" s="1" customFormat="1" ht="18" customHeight="1">
      <c r="B117" s="27"/>
      <c r="C117" s="24" t="s">
        <v>20</v>
      </c>
      <c r="D117" s="28"/>
      <c r="E117" s="28"/>
      <c r="F117" s="22" t="str">
        <f>F9</f>
        <v>Plzeň</v>
      </c>
      <c r="G117" s="28"/>
      <c r="H117" s="28"/>
      <c r="I117" s="28"/>
      <c r="J117" s="28"/>
      <c r="K117" s="24" t="s">
        <v>22</v>
      </c>
      <c r="L117" s="28"/>
      <c r="M117" s="193">
        <f>IF(O9="","",O9)</f>
      </c>
      <c r="N117" s="170"/>
      <c r="O117" s="170"/>
      <c r="P117" s="170"/>
      <c r="Q117" s="28"/>
      <c r="R117" s="29"/>
    </row>
    <row r="118" spans="2:18" s="1" customFormat="1" ht="6.75" customHeight="1">
      <c r="B118" s="2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9"/>
    </row>
    <row r="119" spans="2:18" s="1" customFormat="1" ht="15">
      <c r="B119" s="27"/>
      <c r="C119" s="24" t="s">
        <v>25</v>
      </c>
      <c r="D119" s="28"/>
      <c r="E119" s="28"/>
      <c r="F119" s="22" t="str">
        <f>E12</f>
        <v>SOUE Plzeň</v>
      </c>
      <c r="G119" s="28"/>
      <c r="H119" s="28"/>
      <c r="I119" s="28"/>
      <c r="J119" s="28"/>
      <c r="K119" s="24" t="s">
        <v>30</v>
      </c>
      <c r="L119" s="28"/>
      <c r="M119" s="161" t="str">
        <f>E18</f>
        <v> </v>
      </c>
      <c r="N119" s="170"/>
      <c r="O119" s="170"/>
      <c r="P119" s="170"/>
      <c r="Q119" s="170"/>
      <c r="R119" s="29"/>
    </row>
    <row r="120" spans="2:18" s="1" customFormat="1" ht="14.25" customHeight="1">
      <c r="B120" s="27"/>
      <c r="C120" s="24" t="s">
        <v>29</v>
      </c>
      <c r="D120" s="28"/>
      <c r="E120" s="28"/>
      <c r="F120" s="22">
        <f>IF(E15="","",E15)</f>
      </c>
      <c r="G120" s="28"/>
      <c r="H120" s="28"/>
      <c r="I120" s="28"/>
      <c r="J120" s="28"/>
      <c r="K120" s="24" t="s">
        <v>33</v>
      </c>
      <c r="L120" s="28"/>
      <c r="M120" s="161"/>
      <c r="N120" s="170"/>
      <c r="O120" s="170"/>
      <c r="P120" s="170"/>
      <c r="Q120" s="170"/>
      <c r="R120" s="29"/>
    </row>
    <row r="121" spans="2:18" s="1" customFormat="1" ht="9.75" customHeight="1">
      <c r="B121" s="2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9"/>
    </row>
    <row r="122" spans="2:27" s="8" customFormat="1" ht="29.25" customHeight="1">
      <c r="B122" s="113"/>
      <c r="C122" s="114" t="s">
        <v>116</v>
      </c>
      <c r="D122" s="115" t="s">
        <v>117</v>
      </c>
      <c r="E122" s="115" t="s">
        <v>57</v>
      </c>
      <c r="F122" s="204" t="s">
        <v>118</v>
      </c>
      <c r="G122" s="205"/>
      <c r="H122" s="205"/>
      <c r="I122" s="205"/>
      <c r="J122" s="115" t="s">
        <v>119</v>
      </c>
      <c r="K122" s="115" t="s">
        <v>120</v>
      </c>
      <c r="L122" s="206" t="s">
        <v>121</v>
      </c>
      <c r="M122" s="205"/>
      <c r="N122" s="204" t="s">
        <v>108</v>
      </c>
      <c r="O122" s="205"/>
      <c r="P122" s="205"/>
      <c r="Q122" s="207"/>
      <c r="R122" s="116"/>
      <c r="T122" s="68" t="s">
        <v>122</v>
      </c>
      <c r="U122" s="69" t="s">
        <v>39</v>
      </c>
      <c r="V122" s="69" t="s">
        <v>123</v>
      </c>
      <c r="W122" s="69" t="s">
        <v>124</v>
      </c>
      <c r="X122" s="69" t="s">
        <v>125</v>
      </c>
      <c r="Y122" s="69" t="s">
        <v>126</v>
      </c>
      <c r="Z122" s="69" t="s">
        <v>127</v>
      </c>
      <c r="AA122" s="70" t="s">
        <v>128</v>
      </c>
    </row>
    <row r="123" spans="2:63" s="1" customFormat="1" ht="29.25" customHeight="1">
      <c r="B123" s="27"/>
      <c r="C123" s="72" t="s">
        <v>104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14">
        <f>BK123</f>
        <v>0</v>
      </c>
      <c r="O123" s="215"/>
      <c r="P123" s="215"/>
      <c r="Q123" s="215"/>
      <c r="R123" s="29"/>
      <c r="T123" s="71"/>
      <c r="U123" s="43"/>
      <c r="V123" s="43"/>
      <c r="W123" s="117">
        <f>W124+W145+W163</f>
        <v>678.509133</v>
      </c>
      <c r="X123" s="43"/>
      <c r="Y123" s="117">
        <f>Y124+Y145+Y163</f>
        <v>0.62931312</v>
      </c>
      <c r="Z123" s="43"/>
      <c r="AA123" s="118">
        <f>AA124+AA145+AA163</f>
        <v>41.36890674</v>
      </c>
      <c r="AT123" s="13" t="s">
        <v>74</v>
      </c>
      <c r="AU123" s="13" t="s">
        <v>110</v>
      </c>
      <c r="BK123" s="119">
        <f>BK124+BK145+BK163</f>
        <v>0</v>
      </c>
    </row>
    <row r="124" spans="2:63" s="9" customFormat="1" ht="36.75" customHeight="1">
      <c r="B124" s="120"/>
      <c r="C124" s="121"/>
      <c r="D124" s="122" t="s">
        <v>151</v>
      </c>
      <c r="E124" s="122"/>
      <c r="F124" s="122"/>
      <c r="G124" s="122"/>
      <c r="H124" s="122"/>
      <c r="I124" s="122"/>
      <c r="J124" s="122"/>
      <c r="K124" s="122"/>
      <c r="L124" s="122"/>
      <c r="M124" s="122"/>
      <c r="N124" s="216">
        <f>BK124</f>
        <v>0</v>
      </c>
      <c r="O124" s="199"/>
      <c r="P124" s="199"/>
      <c r="Q124" s="199"/>
      <c r="R124" s="123"/>
      <c r="T124" s="124"/>
      <c r="U124" s="121"/>
      <c r="V124" s="121"/>
      <c r="W124" s="125">
        <f>W125+W139</f>
        <v>514.862625</v>
      </c>
      <c r="X124" s="121"/>
      <c r="Y124" s="125">
        <f>Y125+Y139</f>
        <v>0</v>
      </c>
      <c r="Z124" s="121"/>
      <c r="AA124" s="126">
        <f>AA125+AA139</f>
        <v>37.369935</v>
      </c>
      <c r="AR124" s="127" t="s">
        <v>19</v>
      </c>
      <c r="AT124" s="128" t="s">
        <v>74</v>
      </c>
      <c r="AU124" s="128" t="s">
        <v>75</v>
      </c>
      <c r="AY124" s="127" t="s">
        <v>130</v>
      </c>
      <c r="BK124" s="129">
        <f>BK125+BK139</f>
        <v>0</v>
      </c>
    </row>
    <row r="125" spans="2:63" s="9" customFormat="1" ht="19.5" customHeight="1">
      <c r="B125" s="120"/>
      <c r="C125" s="121"/>
      <c r="D125" s="130" t="s">
        <v>152</v>
      </c>
      <c r="E125" s="130"/>
      <c r="F125" s="130"/>
      <c r="G125" s="130"/>
      <c r="H125" s="130"/>
      <c r="I125" s="130"/>
      <c r="J125" s="130"/>
      <c r="K125" s="130"/>
      <c r="L125" s="130"/>
      <c r="M125" s="130"/>
      <c r="N125" s="221">
        <f>N126+N129+N131+N134+N139</f>
        <v>0</v>
      </c>
      <c r="O125" s="201"/>
      <c r="P125" s="201"/>
      <c r="Q125" s="201"/>
      <c r="R125" s="123"/>
      <c r="T125" s="124"/>
      <c r="U125" s="121"/>
      <c r="V125" s="121"/>
      <c r="W125" s="125">
        <f>W126+W129+W131+W134</f>
        <v>275.702655</v>
      </c>
      <c r="X125" s="121"/>
      <c r="Y125" s="125">
        <f>Y126+Y129+Y131+Y134</f>
        <v>0</v>
      </c>
      <c r="Z125" s="121"/>
      <c r="AA125" s="126">
        <f>AA126+AA129+AA131+AA134</f>
        <v>37.369935</v>
      </c>
      <c r="AR125" s="127" t="s">
        <v>19</v>
      </c>
      <c r="AT125" s="128" t="s">
        <v>74</v>
      </c>
      <c r="AU125" s="128" t="s">
        <v>19</v>
      </c>
      <c r="AY125" s="127" t="s">
        <v>130</v>
      </c>
      <c r="BK125" s="129">
        <f>BK126+BK129+BK131+BK134</f>
        <v>0</v>
      </c>
    </row>
    <row r="126" spans="2:63" s="9" customFormat="1" ht="14.25" customHeight="1">
      <c r="B126" s="120"/>
      <c r="C126" s="121"/>
      <c r="D126" s="130" t="s">
        <v>153</v>
      </c>
      <c r="E126" s="130"/>
      <c r="F126" s="130"/>
      <c r="G126" s="130"/>
      <c r="H126" s="130"/>
      <c r="I126" s="130"/>
      <c r="J126" s="130"/>
      <c r="K126" s="130"/>
      <c r="L126" s="130"/>
      <c r="M126" s="130"/>
      <c r="N126" s="217">
        <f>BK126</f>
        <v>0</v>
      </c>
      <c r="O126" s="218"/>
      <c r="P126" s="218"/>
      <c r="Q126" s="218"/>
      <c r="R126" s="123"/>
      <c r="T126" s="124"/>
      <c r="U126" s="121"/>
      <c r="V126" s="121"/>
      <c r="W126" s="125">
        <f>SUM(W127:W128)</f>
        <v>17.856</v>
      </c>
      <c r="X126" s="121"/>
      <c r="Y126" s="125">
        <f>SUM(Y127:Y128)</f>
        <v>0</v>
      </c>
      <c r="Z126" s="121"/>
      <c r="AA126" s="126">
        <f>SUM(AA127:AA128)</f>
        <v>0</v>
      </c>
      <c r="AR126" s="127" t="s">
        <v>19</v>
      </c>
      <c r="AT126" s="128" t="s">
        <v>74</v>
      </c>
      <c r="AU126" s="128" t="s">
        <v>100</v>
      </c>
      <c r="AY126" s="127" t="s">
        <v>130</v>
      </c>
      <c r="BK126" s="129">
        <f>SUM(BK127:BK128)</f>
        <v>0</v>
      </c>
    </row>
    <row r="127" spans="2:65" s="1" customFormat="1" ht="31.5" customHeight="1">
      <c r="B127" s="131"/>
      <c r="C127" s="132" t="s">
        <v>19</v>
      </c>
      <c r="D127" s="132" t="s">
        <v>131</v>
      </c>
      <c r="E127" s="133" t="s">
        <v>165</v>
      </c>
      <c r="F127" s="208" t="s">
        <v>166</v>
      </c>
      <c r="G127" s="209"/>
      <c r="H127" s="209"/>
      <c r="I127" s="209"/>
      <c r="J127" s="134" t="s">
        <v>167</v>
      </c>
      <c r="K127" s="135">
        <v>12</v>
      </c>
      <c r="L127" s="210"/>
      <c r="M127" s="209"/>
      <c r="N127" s="210">
        <f>K127*L127</f>
        <v>0</v>
      </c>
      <c r="O127" s="209"/>
      <c r="P127" s="209"/>
      <c r="Q127" s="209"/>
      <c r="R127" s="136"/>
      <c r="T127" s="137" t="s">
        <v>3</v>
      </c>
      <c r="U127" s="36" t="s">
        <v>40</v>
      </c>
      <c r="V127" s="138">
        <v>0.9</v>
      </c>
      <c r="W127" s="138">
        <f>V127*K127</f>
        <v>10.8</v>
      </c>
      <c r="X127" s="138">
        <v>0</v>
      </c>
      <c r="Y127" s="138">
        <f>X127*K127</f>
        <v>0</v>
      </c>
      <c r="Z127" s="138">
        <v>0</v>
      </c>
      <c r="AA127" s="139">
        <f>Z127*K127</f>
        <v>0</v>
      </c>
      <c r="AR127" s="13" t="s">
        <v>146</v>
      </c>
      <c r="AT127" s="13" t="s">
        <v>131</v>
      </c>
      <c r="AU127" s="13" t="s">
        <v>141</v>
      </c>
      <c r="AY127" s="13" t="s">
        <v>130</v>
      </c>
      <c r="BE127" s="140">
        <f>IF(U127="základní",N127,0)</f>
        <v>0</v>
      </c>
      <c r="BF127" s="140">
        <f>IF(U127="snížená",N127,0)</f>
        <v>0</v>
      </c>
      <c r="BG127" s="140">
        <f>IF(U127="zákl. přenesená",N127,0)</f>
        <v>0</v>
      </c>
      <c r="BH127" s="140">
        <f>IF(U127="sníž. přenesená",N127,0)</f>
        <v>0</v>
      </c>
      <c r="BI127" s="140">
        <f>IF(U127="nulová",N127,0)</f>
        <v>0</v>
      </c>
      <c r="BJ127" s="13" t="s">
        <v>19</v>
      </c>
      <c r="BK127" s="140">
        <f>ROUND(L127*K127,2)</f>
        <v>0</v>
      </c>
      <c r="BL127" s="13" t="s">
        <v>146</v>
      </c>
      <c r="BM127" s="13" t="s">
        <v>168</v>
      </c>
    </row>
    <row r="128" spans="2:65" s="1" customFormat="1" ht="31.5" customHeight="1">
      <c r="B128" s="131"/>
      <c r="C128" s="132" t="s">
        <v>100</v>
      </c>
      <c r="D128" s="132" t="s">
        <v>131</v>
      </c>
      <c r="E128" s="133" t="s">
        <v>169</v>
      </c>
      <c r="F128" s="208" t="s">
        <v>170</v>
      </c>
      <c r="G128" s="209"/>
      <c r="H128" s="209"/>
      <c r="I128" s="209"/>
      <c r="J128" s="134" t="s">
        <v>167</v>
      </c>
      <c r="K128" s="135">
        <v>12</v>
      </c>
      <c r="L128" s="210"/>
      <c r="M128" s="209"/>
      <c r="N128" s="210">
        <f>K128*L128</f>
        <v>0</v>
      </c>
      <c r="O128" s="209"/>
      <c r="P128" s="209"/>
      <c r="Q128" s="209"/>
      <c r="R128" s="136"/>
      <c r="T128" s="137" t="s">
        <v>3</v>
      </c>
      <c r="U128" s="36" t="s">
        <v>40</v>
      </c>
      <c r="V128" s="138">
        <v>0.588</v>
      </c>
      <c r="W128" s="138">
        <f>V128*K128</f>
        <v>7.055999999999999</v>
      </c>
      <c r="X128" s="138">
        <v>0</v>
      </c>
      <c r="Y128" s="138">
        <f>X128*K128</f>
        <v>0</v>
      </c>
      <c r="Z128" s="138">
        <v>0</v>
      </c>
      <c r="AA128" s="139">
        <f>Z128*K128</f>
        <v>0</v>
      </c>
      <c r="AR128" s="13" t="s">
        <v>146</v>
      </c>
      <c r="AT128" s="13" t="s">
        <v>131</v>
      </c>
      <c r="AU128" s="13" t="s">
        <v>141</v>
      </c>
      <c r="AY128" s="13" t="s">
        <v>130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13" t="s">
        <v>19</v>
      </c>
      <c r="BK128" s="140">
        <f>ROUND(L128*K128,2)</f>
        <v>0</v>
      </c>
      <c r="BL128" s="13" t="s">
        <v>146</v>
      </c>
      <c r="BM128" s="13" t="s">
        <v>171</v>
      </c>
    </row>
    <row r="129" spans="2:63" s="9" customFormat="1" ht="21.75" customHeight="1">
      <c r="B129" s="120"/>
      <c r="C129" s="121"/>
      <c r="D129" s="130" t="s">
        <v>154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219">
        <f>BK129</f>
        <v>0</v>
      </c>
      <c r="O129" s="220"/>
      <c r="P129" s="220"/>
      <c r="Q129" s="220"/>
      <c r="R129" s="123"/>
      <c r="T129" s="124"/>
      <c r="U129" s="121"/>
      <c r="V129" s="121"/>
      <c r="W129" s="125">
        <f>SUM(W130:W130)</f>
        <v>3.0594</v>
      </c>
      <c r="X129" s="121"/>
      <c r="Y129" s="125">
        <f>SUM(Y130:Y130)</f>
        <v>0</v>
      </c>
      <c r="Z129" s="121"/>
      <c r="AA129" s="126">
        <f>SUM(AA130:AA130)</f>
        <v>0</v>
      </c>
      <c r="AR129" s="127" t="s">
        <v>19</v>
      </c>
      <c r="AT129" s="128" t="s">
        <v>74</v>
      </c>
      <c r="AU129" s="128" t="s">
        <v>100</v>
      </c>
      <c r="AY129" s="127" t="s">
        <v>130</v>
      </c>
      <c r="BK129" s="129">
        <f>SUM(BK130:BK130)</f>
        <v>0</v>
      </c>
    </row>
    <row r="130" spans="2:65" s="1" customFormat="1" ht="22.5" customHeight="1">
      <c r="B130" s="131"/>
      <c r="C130" s="132" t="s">
        <v>141</v>
      </c>
      <c r="D130" s="132" t="s">
        <v>131</v>
      </c>
      <c r="E130" s="133" t="s">
        <v>172</v>
      </c>
      <c r="F130" s="208" t="s">
        <v>173</v>
      </c>
      <c r="G130" s="209"/>
      <c r="H130" s="209"/>
      <c r="I130" s="209"/>
      <c r="J130" s="134" t="s">
        <v>174</v>
      </c>
      <c r="K130" s="135">
        <f>101.98*3</f>
        <v>305.94</v>
      </c>
      <c r="L130" s="210"/>
      <c r="M130" s="209"/>
      <c r="N130" s="210">
        <f>K130*L130</f>
        <v>0</v>
      </c>
      <c r="O130" s="209"/>
      <c r="P130" s="209"/>
      <c r="Q130" s="209"/>
      <c r="R130" s="136"/>
      <c r="T130" s="137" t="s">
        <v>3</v>
      </c>
      <c r="U130" s="36" t="s">
        <v>40</v>
      </c>
      <c r="V130" s="138">
        <v>0.01</v>
      </c>
      <c r="W130" s="138">
        <f>V130*K130</f>
        <v>3.0594</v>
      </c>
      <c r="X130" s="138">
        <v>0</v>
      </c>
      <c r="Y130" s="138">
        <f>X130*K130</f>
        <v>0</v>
      </c>
      <c r="Z130" s="138">
        <v>0</v>
      </c>
      <c r="AA130" s="139">
        <f>Z130*K130</f>
        <v>0</v>
      </c>
      <c r="AR130" s="13" t="s">
        <v>146</v>
      </c>
      <c r="AT130" s="13" t="s">
        <v>131</v>
      </c>
      <c r="AU130" s="13" t="s">
        <v>141</v>
      </c>
      <c r="AY130" s="13" t="s">
        <v>130</v>
      </c>
      <c r="BE130" s="140">
        <f>IF(U130="základní",N130,0)</f>
        <v>0</v>
      </c>
      <c r="BF130" s="140">
        <f>IF(U130="snížená",N130,0)</f>
        <v>0</v>
      </c>
      <c r="BG130" s="140">
        <f>IF(U130="zákl. přenesená",N130,0)</f>
        <v>0</v>
      </c>
      <c r="BH130" s="140">
        <f>IF(U130="sníž. přenesená",N130,0)</f>
        <v>0</v>
      </c>
      <c r="BI130" s="140">
        <f>IF(U130="nulová",N130,0)</f>
        <v>0</v>
      </c>
      <c r="BJ130" s="13" t="s">
        <v>19</v>
      </c>
      <c r="BK130" s="140">
        <f>ROUND(L130*K130,2)</f>
        <v>0</v>
      </c>
      <c r="BL130" s="13" t="s">
        <v>146</v>
      </c>
      <c r="BM130" s="13" t="s">
        <v>175</v>
      </c>
    </row>
    <row r="131" spans="2:63" s="9" customFormat="1" ht="21.75" customHeight="1">
      <c r="B131" s="120"/>
      <c r="C131" s="121"/>
      <c r="D131" s="130" t="s">
        <v>155</v>
      </c>
      <c r="E131" s="130"/>
      <c r="F131" s="130"/>
      <c r="G131" s="130"/>
      <c r="H131" s="130"/>
      <c r="I131" s="130"/>
      <c r="J131" s="130"/>
      <c r="K131" s="130"/>
      <c r="L131" s="130"/>
      <c r="M131" s="130"/>
      <c r="N131" s="217">
        <f>BK131</f>
        <v>0</v>
      </c>
      <c r="O131" s="218"/>
      <c r="P131" s="218"/>
      <c r="Q131" s="218"/>
      <c r="R131" s="123"/>
      <c r="T131" s="124"/>
      <c r="U131" s="121"/>
      <c r="V131" s="121"/>
      <c r="W131" s="125">
        <f>SUM(W132:W133)</f>
        <v>18.372555000000002</v>
      </c>
      <c r="X131" s="121"/>
      <c r="Y131" s="125">
        <f>SUM(Y132:Y133)</f>
        <v>0</v>
      </c>
      <c r="Z131" s="121"/>
      <c r="AA131" s="126">
        <f>SUM(AA132:AA133)</f>
        <v>9.084014999999999</v>
      </c>
      <c r="AR131" s="127" t="s">
        <v>19</v>
      </c>
      <c r="AT131" s="128" t="s">
        <v>74</v>
      </c>
      <c r="AU131" s="128" t="s">
        <v>100</v>
      </c>
      <c r="AY131" s="127" t="s">
        <v>130</v>
      </c>
      <c r="BK131" s="129">
        <f>SUM(BK132:BK133)</f>
        <v>0</v>
      </c>
    </row>
    <row r="132" spans="2:65" s="1" customFormat="1" ht="31.5" customHeight="1">
      <c r="B132" s="131"/>
      <c r="C132" s="132" t="s">
        <v>146</v>
      </c>
      <c r="D132" s="132" t="s">
        <v>131</v>
      </c>
      <c r="E132" s="133" t="s">
        <v>176</v>
      </c>
      <c r="F132" s="208" t="s">
        <v>177</v>
      </c>
      <c r="G132" s="209"/>
      <c r="H132" s="209"/>
      <c r="I132" s="209"/>
      <c r="J132" s="134" t="s">
        <v>174</v>
      </c>
      <c r="K132" s="135">
        <f>23.49*3</f>
        <v>70.47</v>
      </c>
      <c r="L132" s="210"/>
      <c r="M132" s="209"/>
      <c r="N132" s="210">
        <f>K132*L132</f>
        <v>0</v>
      </c>
      <c r="O132" s="209"/>
      <c r="P132" s="209"/>
      <c r="Q132" s="209"/>
      <c r="R132" s="136"/>
      <c r="T132" s="137" t="s">
        <v>3</v>
      </c>
      <c r="U132" s="36" t="s">
        <v>40</v>
      </c>
      <c r="V132" s="138">
        <v>0.229</v>
      </c>
      <c r="W132" s="138">
        <f>V132*K132</f>
        <v>16.13763</v>
      </c>
      <c r="X132" s="138">
        <v>0</v>
      </c>
      <c r="Y132" s="138">
        <f>X132*K132</f>
        <v>0</v>
      </c>
      <c r="Z132" s="138">
        <v>0.117</v>
      </c>
      <c r="AA132" s="139">
        <f>Z132*K132</f>
        <v>8.24499</v>
      </c>
      <c r="AR132" s="13" t="s">
        <v>146</v>
      </c>
      <c r="AT132" s="13" t="s">
        <v>131</v>
      </c>
      <c r="AU132" s="13" t="s">
        <v>141</v>
      </c>
      <c r="AY132" s="13" t="s">
        <v>130</v>
      </c>
      <c r="BE132" s="140">
        <f>IF(U132="základní",N132,0)</f>
        <v>0</v>
      </c>
      <c r="BF132" s="140">
        <f>IF(U132="snížená",N132,0)</f>
        <v>0</v>
      </c>
      <c r="BG132" s="140">
        <f>IF(U132="zákl. přenesená",N132,0)</f>
        <v>0</v>
      </c>
      <c r="BH132" s="140">
        <f>IF(U132="sníž. přenesená",N132,0)</f>
        <v>0</v>
      </c>
      <c r="BI132" s="140">
        <f>IF(U132="nulová",N132,0)</f>
        <v>0</v>
      </c>
      <c r="BJ132" s="13" t="s">
        <v>19</v>
      </c>
      <c r="BK132" s="140">
        <f>ROUND(L132*K132,2)</f>
        <v>0</v>
      </c>
      <c r="BL132" s="13" t="s">
        <v>146</v>
      </c>
      <c r="BM132" s="13" t="s">
        <v>178</v>
      </c>
    </row>
    <row r="133" spans="2:65" s="1" customFormat="1" ht="22.5" customHeight="1">
      <c r="B133" s="131"/>
      <c r="C133" s="132" t="s">
        <v>129</v>
      </c>
      <c r="D133" s="132" t="s">
        <v>131</v>
      </c>
      <c r="E133" s="133" t="s">
        <v>179</v>
      </c>
      <c r="F133" s="208" t="s">
        <v>180</v>
      </c>
      <c r="G133" s="209"/>
      <c r="H133" s="209"/>
      <c r="I133" s="209"/>
      <c r="J133" s="134" t="s">
        <v>174</v>
      </c>
      <c r="K133" s="135">
        <f>2.475*3</f>
        <v>7.425000000000001</v>
      </c>
      <c r="L133" s="210"/>
      <c r="M133" s="209"/>
      <c r="N133" s="210">
        <f>K133*L133</f>
        <v>0</v>
      </c>
      <c r="O133" s="209"/>
      <c r="P133" s="209"/>
      <c r="Q133" s="209"/>
      <c r="R133" s="136"/>
      <c r="T133" s="137" t="s">
        <v>3</v>
      </c>
      <c r="U133" s="36" t="s">
        <v>40</v>
      </c>
      <c r="V133" s="138">
        <v>0.301</v>
      </c>
      <c r="W133" s="138">
        <f>V133*K133</f>
        <v>2.234925</v>
      </c>
      <c r="X133" s="138">
        <v>0</v>
      </c>
      <c r="Y133" s="138">
        <f>X133*K133</f>
        <v>0</v>
      </c>
      <c r="Z133" s="138">
        <v>0.113</v>
      </c>
      <c r="AA133" s="139">
        <f>Z133*K133</f>
        <v>0.8390250000000001</v>
      </c>
      <c r="AR133" s="13" t="s">
        <v>146</v>
      </c>
      <c r="AT133" s="13" t="s">
        <v>131</v>
      </c>
      <c r="AU133" s="13" t="s">
        <v>141</v>
      </c>
      <c r="AY133" s="13" t="s">
        <v>130</v>
      </c>
      <c r="BE133" s="140">
        <f>IF(U133="základní",N133,0)</f>
        <v>0</v>
      </c>
      <c r="BF133" s="140">
        <f>IF(U133="snížená",N133,0)</f>
        <v>0</v>
      </c>
      <c r="BG133" s="140">
        <f>IF(U133="zákl. přenesená",N133,0)</f>
        <v>0</v>
      </c>
      <c r="BH133" s="140">
        <f>IF(U133="sníž. přenesená",N133,0)</f>
        <v>0</v>
      </c>
      <c r="BI133" s="140">
        <f>IF(U133="nulová",N133,0)</f>
        <v>0</v>
      </c>
      <c r="BJ133" s="13" t="s">
        <v>19</v>
      </c>
      <c r="BK133" s="140">
        <f>ROUND(L133*K133,2)</f>
        <v>0</v>
      </c>
      <c r="BL133" s="13" t="s">
        <v>146</v>
      </c>
      <c r="BM133" s="13" t="s">
        <v>181</v>
      </c>
    </row>
    <row r="134" spans="2:63" s="9" customFormat="1" ht="21.75" customHeight="1">
      <c r="B134" s="120"/>
      <c r="C134" s="121"/>
      <c r="D134" s="130" t="s">
        <v>156</v>
      </c>
      <c r="E134" s="130"/>
      <c r="F134" s="130"/>
      <c r="G134" s="130"/>
      <c r="H134" s="130"/>
      <c r="I134" s="130"/>
      <c r="J134" s="130"/>
      <c r="K134" s="130"/>
      <c r="L134" s="130"/>
      <c r="M134" s="130"/>
      <c r="N134" s="217">
        <f>N135+N136+N137+N138</f>
        <v>0</v>
      </c>
      <c r="O134" s="218"/>
      <c r="P134" s="218"/>
      <c r="Q134" s="218"/>
      <c r="R134" s="123"/>
      <c r="T134" s="124"/>
      <c r="U134" s="121"/>
      <c r="V134" s="121"/>
      <c r="W134" s="125">
        <f>SUM(W135:W138)</f>
        <v>236.4147</v>
      </c>
      <c r="X134" s="121"/>
      <c r="Y134" s="125">
        <f>SUM(Y135:Y138)</f>
        <v>0</v>
      </c>
      <c r="Z134" s="121"/>
      <c r="AA134" s="126">
        <f>SUM(AA135:AA138)</f>
        <v>28.28592</v>
      </c>
      <c r="AR134" s="127" t="s">
        <v>19</v>
      </c>
      <c r="AT134" s="128" t="s">
        <v>74</v>
      </c>
      <c r="AU134" s="128" t="s">
        <v>100</v>
      </c>
      <c r="AY134" s="127" t="s">
        <v>130</v>
      </c>
      <c r="BK134" s="129">
        <f>SUM(BK135:BK138)</f>
        <v>0</v>
      </c>
    </row>
    <row r="135" spans="2:65" s="1" customFormat="1" ht="31.5" customHeight="1">
      <c r="B135" s="131"/>
      <c r="C135" s="132" t="s">
        <v>182</v>
      </c>
      <c r="D135" s="132" t="s">
        <v>131</v>
      </c>
      <c r="E135" s="133" t="s">
        <v>183</v>
      </c>
      <c r="F135" s="208" t="s">
        <v>184</v>
      </c>
      <c r="G135" s="209"/>
      <c r="H135" s="209"/>
      <c r="I135" s="209"/>
      <c r="J135" s="134" t="s">
        <v>174</v>
      </c>
      <c r="K135" s="135">
        <f>10.78*3</f>
        <v>32.339999999999996</v>
      </c>
      <c r="L135" s="210"/>
      <c r="M135" s="209"/>
      <c r="N135" s="210">
        <f>K135*L135</f>
        <v>0</v>
      </c>
      <c r="O135" s="209"/>
      <c r="P135" s="209"/>
      <c r="Q135" s="209"/>
      <c r="R135" s="136"/>
      <c r="T135" s="137" t="s">
        <v>3</v>
      </c>
      <c r="U135" s="36" t="s">
        <v>40</v>
      </c>
      <c r="V135" s="138">
        <v>0.6</v>
      </c>
      <c r="W135" s="138">
        <f>V135*K135</f>
        <v>19.403999999999996</v>
      </c>
      <c r="X135" s="138">
        <v>0</v>
      </c>
      <c r="Y135" s="138">
        <f>X135*K135</f>
        <v>0</v>
      </c>
      <c r="Z135" s="138">
        <v>0.117</v>
      </c>
      <c r="AA135" s="139">
        <f>Z135*K135</f>
        <v>3.7837799999999997</v>
      </c>
      <c r="AR135" s="13" t="s">
        <v>146</v>
      </c>
      <c r="AT135" s="13" t="s">
        <v>131</v>
      </c>
      <c r="AU135" s="13" t="s">
        <v>141</v>
      </c>
      <c r="AY135" s="13" t="s">
        <v>130</v>
      </c>
      <c r="BE135" s="140">
        <f>IF(U135="základní",N135,0)</f>
        <v>0</v>
      </c>
      <c r="BF135" s="140">
        <f>IF(U135="snížená",N135,0)</f>
        <v>0</v>
      </c>
      <c r="BG135" s="140">
        <f>IF(U135="zákl. přenesená",N135,0)</f>
        <v>0</v>
      </c>
      <c r="BH135" s="140">
        <f>IF(U135="sníž. přenesená",N135,0)</f>
        <v>0</v>
      </c>
      <c r="BI135" s="140">
        <f>IF(U135="nulová",N135,0)</f>
        <v>0</v>
      </c>
      <c r="BJ135" s="13" t="s">
        <v>19</v>
      </c>
      <c r="BK135" s="140">
        <f>ROUND(L135*K135,2)</f>
        <v>0</v>
      </c>
      <c r="BL135" s="13" t="s">
        <v>146</v>
      </c>
      <c r="BM135" s="13" t="s">
        <v>185</v>
      </c>
    </row>
    <row r="136" spans="2:65" s="1" customFormat="1" ht="44.25" customHeight="1">
      <c r="B136" s="131"/>
      <c r="C136" s="132" t="s">
        <v>186</v>
      </c>
      <c r="D136" s="132" t="s">
        <v>131</v>
      </c>
      <c r="E136" s="133" t="s">
        <v>187</v>
      </c>
      <c r="F136" s="208" t="s">
        <v>188</v>
      </c>
      <c r="G136" s="209"/>
      <c r="H136" s="209"/>
      <c r="I136" s="209"/>
      <c r="J136" s="134" t="s">
        <v>189</v>
      </c>
      <c r="K136" s="135">
        <f>58.3*3</f>
        <v>174.89999999999998</v>
      </c>
      <c r="L136" s="210"/>
      <c r="M136" s="209"/>
      <c r="N136" s="210">
        <f>K136*L136</f>
        <v>0</v>
      </c>
      <c r="O136" s="209"/>
      <c r="P136" s="209"/>
      <c r="Q136" s="209"/>
      <c r="R136" s="136"/>
      <c r="T136" s="137" t="s">
        <v>3</v>
      </c>
      <c r="U136" s="36" t="s">
        <v>40</v>
      </c>
      <c r="V136" s="138">
        <v>0.243</v>
      </c>
      <c r="W136" s="138">
        <f>V136*K136</f>
        <v>42.500699999999995</v>
      </c>
      <c r="X136" s="138">
        <v>0</v>
      </c>
      <c r="Y136" s="138">
        <f>X136*K136</f>
        <v>0</v>
      </c>
      <c r="Z136" s="138">
        <v>0.005</v>
      </c>
      <c r="AA136" s="139">
        <f>Z136*K136</f>
        <v>0.8744999999999999</v>
      </c>
      <c r="AR136" s="13" t="s">
        <v>146</v>
      </c>
      <c r="AT136" s="13" t="s">
        <v>131</v>
      </c>
      <c r="AU136" s="13" t="s">
        <v>141</v>
      </c>
      <c r="AY136" s="13" t="s">
        <v>130</v>
      </c>
      <c r="BE136" s="140">
        <f>IF(U136="základní",N136,0)</f>
        <v>0</v>
      </c>
      <c r="BF136" s="140">
        <f>IF(U136="snížená",N136,0)</f>
        <v>0</v>
      </c>
      <c r="BG136" s="140">
        <f>IF(U136="zákl. přenesená",N136,0)</f>
        <v>0</v>
      </c>
      <c r="BH136" s="140">
        <f>IF(U136="sníž. přenesená",N136,0)</f>
        <v>0</v>
      </c>
      <c r="BI136" s="140">
        <f>IF(U136="nulová",N136,0)</f>
        <v>0</v>
      </c>
      <c r="BJ136" s="13" t="s">
        <v>19</v>
      </c>
      <c r="BK136" s="140">
        <f>ROUND(L136*K136,2)</f>
        <v>0</v>
      </c>
      <c r="BL136" s="13" t="s">
        <v>146</v>
      </c>
      <c r="BM136" s="13" t="s">
        <v>190</v>
      </c>
    </row>
    <row r="137" spans="2:65" s="1" customFormat="1" ht="31.5" customHeight="1">
      <c r="B137" s="131"/>
      <c r="C137" s="132" t="s">
        <v>191</v>
      </c>
      <c r="D137" s="132" t="s">
        <v>131</v>
      </c>
      <c r="E137" s="133" t="s">
        <v>192</v>
      </c>
      <c r="F137" s="208" t="s">
        <v>193</v>
      </c>
      <c r="G137" s="209"/>
      <c r="H137" s="209"/>
      <c r="I137" s="209"/>
      <c r="J137" s="134" t="s">
        <v>189</v>
      </c>
      <c r="K137" s="135">
        <f>13.2*3</f>
        <v>39.599999999999994</v>
      </c>
      <c r="L137" s="210"/>
      <c r="M137" s="209"/>
      <c r="N137" s="210">
        <f>K137*L137</f>
        <v>0</v>
      </c>
      <c r="O137" s="209"/>
      <c r="P137" s="209"/>
      <c r="Q137" s="209"/>
      <c r="R137" s="136"/>
      <c r="T137" s="137" t="s">
        <v>3</v>
      </c>
      <c r="U137" s="36" t="s">
        <v>40</v>
      </c>
      <c r="V137" s="138">
        <v>0.301</v>
      </c>
      <c r="W137" s="138">
        <f>V137*K137</f>
        <v>11.919599999999997</v>
      </c>
      <c r="X137" s="138">
        <v>0</v>
      </c>
      <c r="Y137" s="138">
        <f>X137*K137</f>
        <v>0</v>
      </c>
      <c r="Z137" s="138">
        <v>0.015</v>
      </c>
      <c r="AA137" s="139">
        <f>Z137*K137</f>
        <v>0.5939999999999999</v>
      </c>
      <c r="AR137" s="13" t="s">
        <v>146</v>
      </c>
      <c r="AT137" s="13" t="s">
        <v>131</v>
      </c>
      <c r="AU137" s="13" t="s">
        <v>141</v>
      </c>
      <c r="AY137" s="13" t="s">
        <v>130</v>
      </c>
      <c r="BE137" s="140">
        <f>IF(U137="základní",N137,0)</f>
        <v>0</v>
      </c>
      <c r="BF137" s="140">
        <f>IF(U137="snížená",N137,0)</f>
        <v>0</v>
      </c>
      <c r="BG137" s="140">
        <f>IF(U137="zákl. přenesená",N137,0)</f>
        <v>0</v>
      </c>
      <c r="BH137" s="140">
        <f>IF(U137="sníž. přenesená",N137,0)</f>
        <v>0</v>
      </c>
      <c r="BI137" s="140">
        <f>IF(U137="nulová",N137,0)</f>
        <v>0</v>
      </c>
      <c r="BJ137" s="13" t="s">
        <v>19</v>
      </c>
      <c r="BK137" s="140">
        <f>ROUND(L137*K137,2)</f>
        <v>0</v>
      </c>
      <c r="BL137" s="13" t="s">
        <v>146</v>
      </c>
      <c r="BM137" s="13" t="s">
        <v>194</v>
      </c>
    </row>
    <row r="138" spans="2:65" s="1" customFormat="1" ht="31.5" customHeight="1">
      <c r="B138" s="131"/>
      <c r="C138" s="132" t="s">
        <v>195</v>
      </c>
      <c r="D138" s="132" t="s">
        <v>131</v>
      </c>
      <c r="E138" s="133" t="s">
        <v>196</v>
      </c>
      <c r="F138" s="208" t="s">
        <v>197</v>
      </c>
      <c r="G138" s="209"/>
      <c r="H138" s="209"/>
      <c r="I138" s="209"/>
      <c r="J138" s="134" t="s">
        <v>174</v>
      </c>
      <c r="K138" s="135">
        <f>112.91*3</f>
        <v>338.73</v>
      </c>
      <c r="L138" s="210"/>
      <c r="M138" s="209"/>
      <c r="N138" s="210">
        <f>K138*L138</f>
        <v>0</v>
      </c>
      <c r="O138" s="209"/>
      <c r="P138" s="209"/>
      <c r="Q138" s="209"/>
      <c r="R138" s="136"/>
      <c r="T138" s="137" t="s">
        <v>3</v>
      </c>
      <c r="U138" s="36" t="s">
        <v>40</v>
      </c>
      <c r="V138" s="138">
        <v>0.48</v>
      </c>
      <c r="W138" s="138">
        <f>V138*K138</f>
        <v>162.59040000000002</v>
      </c>
      <c r="X138" s="138">
        <v>0</v>
      </c>
      <c r="Y138" s="138">
        <f>X138*K138</f>
        <v>0</v>
      </c>
      <c r="Z138" s="138">
        <v>0.068</v>
      </c>
      <c r="AA138" s="139">
        <f>Z138*K138</f>
        <v>23.033640000000002</v>
      </c>
      <c r="AR138" s="13" t="s">
        <v>146</v>
      </c>
      <c r="AT138" s="13" t="s">
        <v>131</v>
      </c>
      <c r="AU138" s="13" t="s">
        <v>141</v>
      </c>
      <c r="AY138" s="13" t="s">
        <v>130</v>
      </c>
      <c r="BE138" s="140">
        <f>IF(U138="základní",N138,0)</f>
        <v>0</v>
      </c>
      <c r="BF138" s="140">
        <f>IF(U138="snížená",N138,0)</f>
        <v>0</v>
      </c>
      <c r="BG138" s="140">
        <f>IF(U138="zákl. přenesená",N138,0)</f>
        <v>0</v>
      </c>
      <c r="BH138" s="140">
        <f>IF(U138="sníž. přenesená",N138,0)</f>
        <v>0</v>
      </c>
      <c r="BI138" s="140">
        <f>IF(U138="nulová",N138,0)</f>
        <v>0</v>
      </c>
      <c r="BJ138" s="13" t="s">
        <v>19</v>
      </c>
      <c r="BK138" s="140">
        <f>ROUND(L138*K138,2)</f>
        <v>0</v>
      </c>
      <c r="BL138" s="13" t="s">
        <v>146</v>
      </c>
      <c r="BM138" s="13" t="s">
        <v>198</v>
      </c>
    </row>
    <row r="139" spans="2:63" s="9" customFormat="1" ht="29.25" customHeight="1">
      <c r="B139" s="120"/>
      <c r="C139" s="121"/>
      <c r="D139" s="130" t="s">
        <v>157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217">
        <f>N140+N141+N142+N143+N144</f>
        <v>0</v>
      </c>
      <c r="O139" s="218"/>
      <c r="P139" s="218"/>
      <c r="Q139" s="218"/>
      <c r="R139" s="123"/>
      <c r="T139" s="124"/>
      <c r="U139" s="121"/>
      <c r="V139" s="121"/>
      <c r="W139" s="125">
        <f>SUM(W140:W144)</f>
        <v>239.15996999999996</v>
      </c>
      <c r="X139" s="121"/>
      <c r="Y139" s="125">
        <f>SUM(Y140:Y144)</f>
        <v>0</v>
      </c>
      <c r="Z139" s="121"/>
      <c r="AA139" s="126">
        <f>SUM(AA140:AA144)</f>
        <v>0</v>
      </c>
      <c r="AR139" s="127" t="s">
        <v>19</v>
      </c>
      <c r="AT139" s="128" t="s">
        <v>74</v>
      </c>
      <c r="AU139" s="128" t="s">
        <v>19</v>
      </c>
      <c r="AY139" s="127" t="s">
        <v>130</v>
      </c>
      <c r="BK139" s="129">
        <f>SUM(BK140:BK144)</f>
        <v>0</v>
      </c>
    </row>
    <row r="140" spans="2:65" s="1" customFormat="1" ht="22.5" customHeight="1">
      <c r="B140" s="131"/>
      <c r="C140" s="132" t="s">
        <v>23</v>
      </c>
      <c r="D140" s="132" t="s">
        <v>131</v>
      </c>
      <c r="E140" s="133" t="s">
        <v>199</v>
      </c>
      <c r="F140" s="208" t="s">
        <v>200</v>
      </c>
      <c r="G140" s="209"/>
      <c r="H140" s="209"/>
      <c r="I140" s="209"/>
      <c r="J140" s="134" t="s">
        <v>201</v>
      </c>
      <c r="K140" s="135">
        <f>13.79*3</f>
        <v>41.37</v>
      </c>
      <c r="L140" s="210"/>
      <c r="M140" s="209"/>
      <c r="N140" s="210">
        <f>K140*L140</f>
        <v>0</v>
      </c>
      <c r="O140" s="209"/>
      <c r="P140" s="209"/>
      <c r="Q140" s="209"/>
      <c r="R140" s="136"/>
      <c r="T140" s="137" t="s">
        <v>3</v>
      </c>
      <c r="U140" s="36" t="s">
        <v>40</v>
      </c>
      <c r="V140" s="138">
        <v>0.136</v>
      </c>
      <c r="W140" s="138">
        <f>V140*K140</f>
        <v>5.62632</v>
      </c>
      <c r="X140" s="138">
        <v>0</v>
      </c>
      <c r="Y140" s="138">
        <f>X140*K140</f>
        <v>0</v>
      </c>
      <c r="Z140" s="138">
        <v>0</v>
      </c>
      <c r="AA140" s="139">
        <f>Z140*K140</f>
        <v>0</v>
      </c>
      <c r="AR140" s="13" t="s">
        <v>146</v>
      </c>
      <c r="AT140" s="13" t="s">
        <v>131</v>
      </c>
      <c r="AU140" s="13" t="s">
        <v>100</v>
      </c>
      <c r="AY140" s="13" t="s">
        <v>130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13" t="s">
        <v>19</v>
      </c>
      <c r="BK140" s="140">
        <f>ROUND(L140*K140,2)</f>
        <v>0</v>
      </c>
      <c r="BL140" s="13" t="s">
        <v>146</v>
      </c>
      <c r="BM140" s="13" t="s">
        <v>202</v>
      </c>
    </row>
    <row r="141" spans="2:65" s="1" customFormat="1" ht="31.5" customHeight="1">
      <c r="B141" s="131"/>
      <c r="C141" s="132" t="s">
        <v>203</v>
      </c>
      <c r="D141" s="132" t="s">
        <v>131</v>
      </c>
      <c r="E141" s="133" t="s">
        <v>204</v>
      </c>
      <c r="F141" s="208" t="s">
        <v>205</v>
      </c>
      <c r="G141" s="209"/>
      <c r="H141" s="209"/>
      <c r="I141" s="209"/>
      <c r="J141" s="134" t="s">
        <v>201</v>
      </c>
      <c r="K141" s="135">
        <f>K140</f>
        <v>41.37</v>
      </c>
      <c r="L141" s="210"/>
      <c r="M141" s="209"/>
      <c r="N141" s="210">
        <f>K141*L141</f>
        <v>0</v>
      </c>
      <c r="O141" s="209"/>
      <c r="P141" s="209"/>
      <c r="Q141" s="209"/>
      <c r="R141" s="136"/>
      <c r="T141" s="137" t="s">
        <v>3</v>
      </c>
      <c r="U141" s="36" t="s">
        <v>40</v>
      </c>
      <c r="V141" s="138">
        <v>5.46</v>
      </c>
      <c r="W141" s="138">
        <f>V141*K141</f>
        <v>225.88019999999997</v>
      </c>
      <c r="X141" s="138">
        <v>0</v>
      </c>
      <c r="Y141" s="138">
        <f>X141*K141</f>
        <v>0</v>
      </c>
      <c r="Z141" s="138">
        <v>0</v>
      </c>
      <c r="AA141" s="139">
        <f>Z141*K141</f>
        <v>0</v>
      </c>
      <c r="AR141" s="13" t="s">
        <v>146</v>
      </c>
      <c r="AT141" s="13" t="s">
        <v>131</v>
      </c>
      <c r="AU141" s="13" t="s">
        <v>100</v>
      </c>
      <c r="AY141" s="13" t="s">
        <v>130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13" t="s">
        <v>19</v>
      </c>
      <c r="BK141" s="140">
        <f>ROUND(L141*K141,2)</f>
        <v>0</v>
      </c>
      <c r="BL141" s="13" t="s">
        <v>146</v>
      </c>
      <c r="BM141" s="13" t="s">
        <v>206</v>
      </c>
    </row>
    <row r="142" spans="2:65" s="1" customFormat="1" ht="31.5" customHeight="1">
      <c r="B142" s="131"/>
      <c r="C142" s="132" t="s">
        <v>207</v>
      </c>
      <c r="D142" s="132" t="s">
        <v>131</v>
      </c>
      <c r="E142" s="133" t="s">
        <v>208</v>
      </c>
      <c r="F142" s="208" t="s">
        <v>209</v>
      </c>
      <c r="G142" s="209"/>
      <c r="H142" s="209"/>
      <c r="I142" s="209"/>
      <c r="J142" s="134" t="s">
        <v>201</v>
      </c>
      <c r="K142" s="135">
        <f>K141</f>
        <v>41.37</v>
      </c>
      <c r="L142" s="210"/>
      <c r="M142" s="209"/>
      <c r="N142" s="210">
        <f>K142*L142</f>
        <v>0</v>
      </c>
      <c r="O142" s="209"/>
      <c r="P142" s="209"/>
      <c r="Q142" s="209"/>
      <c r="R142" s="136"/>
      <c r="T142" s="137" t="s">
        <v>3</v>
      </c>
      <c r="U142" s="36" t="s">
        <v>40</v>
      </c>
      <c r="V142" s="138">
        <v>0.125</v>
      </c>
      <c r="W142" s="138">
        <f>V142*K142</f>
        <v>5.17125</v>
      </c>
      <c r="X142" s="138">
        <v>0</v>
      </c>
      <c r="Y142" s="138">
        <f>X142*K142</f>
        <v>0</v>
      </c>
      <c r="Z142" s="138">
        <v>0</v>
      </c>
      <c r="AA142" s="139">
        <f>Z142*K142</f>
        <v>0</v>
      </c>
      <c r="AR142" s="13" t="s">
        <v>146</v>
      </c>
      <c r="AT142" s="13" t="s">
        <v>131</v>
      </c>
      <c r="AU142" s="13" t="s">
        <v>100</v>
      </c>
      <c r="AY142" s="13" t="s">
        <v>130</v>
      </c>
      <c r="BE142" s="140">
        <f>IF(U142="základní",N142,0)</f>
        <v>0</v>
      </c>
      <c r="BF142" s="140">
        <f>IF(U142="snížená",N142,0)</f>
        <v>0</v>
      </c>
      <c r="BG142" s="140">
        <f>IF(U142="zákl. přenesená",N142,0)</f>
        <v>0</v>
      </c>
      <c r="BH142" s="140">
        <f>IF(U142="sníž. přenesená",N142,0)</f>
        <v>0</v>
      </c>
      <c r="BI142" s="140">
        <f>IF(U142="nulová",N142,0)</f>
        <v>0</v>
      </c>
      <c r="BJ142" s="13" t="s">
        <v>19</v>
      </c>
      <c r="BK142" s="140">
        <f>ROUND(L142*K142,2)</f>
        <v>0</v>
      </c>
      <c r="BL142" s="13" t="s">
        <v>146</v>
      </c>
      <c r="BM142" s="13" t="s">
        <v>210</v>
      </c>
    </row>
    <row r="143" spans="2:65" s="1" customFormat="1" ht="31.5" customHeight="1">
      <c r="B143" s="131"/>
      <c r="C143" s="132" t="s">
        <v>211</v>
      </c>
      <c r="D143" s="132" t="s">
        <v>131</v>
      </c>
      <c r="E143" s="133" t="s">
        <v>212</v>
      </c>
      <c r="F143" s="208" t="s">
        <v>213</v>
      </c>
      <c r="G143" s="209"/>
      <c r="H143" s="209"/>
      <c r="I143" s="209"/>
      <c r="J143" s="134" t="s">
        <v>201</v>
      </c>
      <c r="K143" s="135">
        <f>137.9*3</f>
        <v>413.70000000000005</v>
      </c>
      <c r="L143" s="210"/>
      <c r="M143" s="209"/>
      <c r="N143" s="210">
        <f>K143*L143</f>
        <v>0</v>
      </c>
      <c r="O143" s="209"/>
      <c r="P143" s="209"/>
      <c r="Q143" s="209"/>
      <c r="R143" s="136"/>
      <c r="T143" s="137" t="s">
        <v>3</v>
      </c>
      <c r="U143" s="36" t="s">
        <v>40</v>
      </c>
      <c r="V143" s="138">
        <v>0.006</v>
      </c>
      <c r="W143" s="138">
        <f>V143*K143</f>
        <v>2.4822</v>
      </c>
      <c r="X143" s="138">
        <v>0</v>
      </c>
      <c r="Y143" s="138">
        <f>X143*K143</f>
        <v>0</v>
      </c>
      <c r="Z143" s="138">
        <v>0</v>
      </c>
      <c r="AA143" s="139">
        <f>Z143*K143</f>
        <v>0</v>
      </c>
      <c r="AR143" s="13" t="s">
        <v>146</v>
      </c>
      <c r="AT143" s="13" t="s">
        <v>131</v>
      </c>
      <c r="AU143" s="13" t="s">
        <v>100</v>
      </c>
      <c r="AY143" s="13" t="s">
        <v>130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13" t="s">
        <v>19</v>
      </c>
      <c r="BK143" s="140">
        <f>ROUND(L143*K143,2)</f>
        <v>0</v>
      </c>
      <c r="BL143" s="13" t="s">
        <v>146</v>
      </c>
      <c r="BM143" s="13" t="s">
        <v>214</v>
      </c>
    </row>
    <row r="144" spans="2:65" s="1" customFormat="1" ht="31.5" customHeight="1">
      <c r="B144" s="131"/>
      <c r="C144" s="132" t="s">
        <v>215</v>
      </c>
      <c r="D144" s="132" t="s">
        <v>131</v>
      </c>
      <c r="E144" s="133" t="s">
        <v>216</v>
      </c>
      <c r="F144" s="208" t="s">
        <v>217</v>
      </c>
      <c r="G144" s="209"/>
      <c r="H144" s="209"/>
      <c r="I144" s="209"/>
      <c r="J144" s="134" t="s">
        <v>201</v>
      </c>
      <c r="K144" s="135">
        <f>K142</f>
        <v>41.37</v>
      </c>
      <c r="L144" s="210"/>
      <c r="M144" s="209"/>
      <c r="N144" s="210">
        <f>K144*L144</f>
        <v>0</v>
      </c>
      <c r="O144" s="209"/>
      <c r="P144" s="209"/>
      <c r="Q144" s="209"/>
      <c r="R144" s="136"/>
      <c r="T144" s="137" t="s">
        <v>3</v>
      </c>
      <c r="U144" s="36" t="s">
        <v>40</v>
      </c>
      <c r="V144" s="138">
        <v>0</v>
      </c>
      <c r="W144" s="138">
        <f>V144*K144</f>
        <v>0</v>
      </c>
      <c r="X144" s="138">
        <v>0</v>
      </c>
      <c r="Y144" s="138">
        <f>X144*K144</f>
        <v>0</v>
      </c>
      <c r="Z144" s="138">
        <v>0</v>
      </c>
      <c r="AA144" s="139">
        <f>Z144*K144</f>
        <v>0</v>
      </c>
      <c r="AR144" s="13" t="s">
        <v>146</v>
      </c>
      <c r="AT144" s="13" t="s">
        <v>131</v>
      </c>
      <c r="AU144" s="13" t="s">
        <v>100</v>
      </c>
      <c r="AY144" s="13" t="s">
        <v>130</v>
      </c>
      <c r="BE144" s="140">
        <f>IF(U144="základní",N144,0)</f>
        <v>0</v>
      </c>
      <c r="BF144" s="140">
        <f>IF(U144="snížená",N144,0)</f>
        <v>0</v>
      </c>
      <c r="BG144" s="140">
        <f>IF(U144="zákl. přenesená",N144,0)</f>
        <v>0</v>
      </c>
      <c r="BH144" s="140">
        <f>IF(U144="sníž. přenesená",N144,0)</f>
        <v>0</v>
      </c>
      <c r="BI144" s="140">
        <f>IF(U144="nulová",N144,0)</f>
        <v>0</v>
      </c>
      <c r="BJ144" s="13" t="s">
        <v>19</v>
      </c>
      <c r="BK144" s="140">
        <f>ROUND(L144*K144,2)</f>
        <v>0</v>
      </c>
      <c r="BL144" s="13" t="s">
        <v>146</v>
      </c>
      <c r="BM144" s="13" t="s">
        <v>218</v>
      </c>
    </row>
    <row r="145" spans="2:63" s="9" customFormat="1" ht="36.75" customHeight="1">
      <c r="B145" s="120"/>
      <c r="C145" s="121"/>
      <c r="D145" s="122" t="s">
        <v>158</v>
      </c>
      <c r="E145" s="122"/>
      <c r="F145" s="122"/>
      <c r="G145" s="122"/>
      <c r="H145" s="122"/>
      <c r="I145" s="122"/>
      <c r="J145" s="122"/>
      <c r="K145" s="122"/>
      <c r="L145" s="122"/>
      <c r="M145" s="122"/>
      <c r="N145" s="224">
        <f>N146+N149+N156+N158+N160+N163</f>
        <v>0</v>
      </c>
      <c r="O145" s="225"/>
      <c r="P145" s="225"/>
      <c r="Q145" s="225"/>
      <c r="R145" s="123"/>
      <c r="T145" s="124"/>
      <c r="U145" s="121"/>
      <c r="V145" s="121"/>
      <c r="W145" s="125">
        <f>W146+W149+W156+W158+W160</f>
        <v>163.64650799999998</v>
      </c>
      <c r="X145" s="121"/>
      <c r="Y145" s="125">
        <f>Y146+Y149+Y156+Y158+Y160</f>
        <v>0.62931312</v>
      </c>
      <c r="Z145" s="121"/>
      <c r="AA145" s="126">
        <f>AA146+AA149+AA156+AA158+AA160</f>
        <v>3.99897174</v>
      </c>
      <c r="AR145" s="127" t="s">
        <v>100</v>
      </c>
      <c r="AT145" s="128" t="s">
        <v>74</v>
      </c>
      <c r="AU145" s="128" t="s">
        <v>75</v>
      </c>
      <c r="AY145" s="127" t="s">
        <v>130</v>
      </c>
      <c r="BK145" s="129">
        <f>BK146+BK149+BK156+BK158+BK160</f>
        <v>0</v>
      </c>
    </row>
    <row r="146" spans="2:63" s="9" customFormat="1" ht="19.5" customHeight="1">
      <c r="B146" s="120"/>
      <c r="C146" s="121"/>
      <c r="D146" s="130" t="s">
        <v>159</v>
      </c>
      <c r="E146" s="130"/>
      <c r="F146" s="130"/>
      <c r="G146" s="130"/>
      <c r="H146" s="130"/>
      <c r="I146" s="130"/>
      <c r="J146" s="130"/>
      <c r="K146" s="130"/>
      <c r="L146" s="130"/>
      <c r="M146" s="130"/>
      <c r="N146" s="217">
        <f>BK146</f>
        <v>0</v>
      </c>
      <c r="O146" s="218"/>
      <c r="P146" s="218"/>
      <c r="Q146" s="218"/>
      <c r="R146" s="123"/>
      <c r="T146" s="124"/>
      <c r="U146" s="121"/>
      <c r="V146" s="121"/>
      <c r="W146" s="125">
        <f>SUM(W147:W148)</f>
        <v>30.514770000000002</v>
      </c>
      <c r="X146" s="121"/>
      <c r="Y146" s="125">
        <f>SUM(Y147:Y148)</f>
        <v>0</v>
      </c>
      <c r="Z146" s="121"/>
      <c r="AA146" s="126">
        <f>SUM(AA147:AA148)</f>
        <v>0.65487</v>
      </c>
      <c r="AR146" s="127" t="s">
        <v>100</v>
      </c>
      <c r="AT146" s="128" t="s">
        <v>74</v>
      </c>
      <c r="AU146" s="128" t="s">
        <v>19</v>
      </c>
      <c r="AY146" s="127" t="s">
        <v>130</v>
      </c>
      <c r="BK146" s="129">
        <f>SUM(BK147:BK148)</f>
        <v>0</v>
      </c>
    </row>
    <row r="147" spans="2:65" s="1" customFormat="1" ht="22.5" customHeight="1">
      <c r="B147" s="131"/>
      <c r="C147" s="132" t="s">
        <v>9</v>
      </c>
      <c r="D147" s="132" t="s">
        <v>131</v>
      </c>
      <c r="E147" s="133" t="s">
        <v>219</v>
      </c>
      <c r="F147" s="208" t="s">
        <v>220</v>
      </c>
      <c r="G147" s="209"/>
      <c r="H147" s="209"/>
      <c r="I147" s="209"/>
      <c r="J147" s="134" t="s">
        <v>189</v>
      </c>
      <c r="K147" s="135">
        <f>83*3</f>
        <v>249</v>
      </c>
      <c r="L147" s="210"/>
      <c r="M147" s="209"/>
      <c r="N147" s="210">
        <f>K147*L147</f>
        <v>0</v>
      </c>
      <c r="O147" s="209"/>
      <c r="P147" s="209"/>
      <c r="Q147" s="209"/>
      <c r="R147" s="136"/>
      <c r="T147" s="137" t="s">
        <v>3</v>
      </c>
      <c r="U147" s="36" t="s">
        <v>40</v>
      </c>
      <c r="V147" s="138">
        <v>0.114</v>
      </c>
      <c r="W147" s="138">
        <f>V147*K147</f>
        <v>28.386000000000003</v>
      </c>
      <c r="X147" s="138">
        <v>0</v>
      </c>
      <c r="Y147" s="138">
        <f>X147*K147</f>
        <v>0</v>
      </c>
      <c r="Z147" s="138">
        <v>0.00263</v>
      </c>
      <c r="AA147" s="139">
        <f>Z147*K147</f>
        <v>0.65487</v>
      </c>
      <c r="AR147" s="13" t="s">
        <v>221</v>
      </c>
      <c r="AT147" s="13" t="s">
        <v>131</v>
      </c>
      <c r="AU147" s="13" t="s">
        <v>100</v>
      </c>
      <c r="AY147" s="13" t="s">
        <v>130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13" t="s">
        <v>19</v>
      </c>
      <c r="BK147" s="140">
        <f>ROUND(L147*K147,2)</f>
        <v>0</v>
      </c>
      <c r="BL147" s="13" t="s">
        <v>221</v>
      </c>
      <c r="BM147" s="13" t="s">
        <v>222</v>
      </c>
    </row>
    <row r="148" spans="2:65" s="1" customFormat="1" ht="44.25" customHeight="1">
      <c r="B148" s="131"/>
      <c r="C148" s="132" t="s">
        <v>221</v>
      </c>
      <c r="D148" s="132" t="s">
        <v>131</v>
      </c>
      <c r="E148" s="133" t="s">
        <v>223</v>
      </c>
      <c r="F148" s="208" t="s">
        <v>224</v>
      </c>
      <c r="G148" s="209"/>
      <c r="H148" s="209"/>
      <c r="I148" s="209"/>
      <c r="J148" s="134" t="s">
        <v>201</v>
      </c>
      <c r="K148" s="135">
        <f>0.21*3</f>
        <v>0.63</v>
      </c>
      <c r="L148" s="210"/>
      <c r="M148" s="209"/>
      <c r="N148" s="210">
        <f>K148*L148</f>
        <v>0</v>
      </c>
      <c r="O148" s="209"/>
      <c r="P148" s="209"/>
      <c r="Q148" s="209"/>
      <c r="R148" s="136"/>
      <c r="T148" s="137" t="s">
        <v>3</v>
      </c>
      <c r="U148" s="36" t="s">
        <v>40</v>
      </c>
      <c r="V148" s="138">
        <v>3.379</v>
      </c>
      <c r="W148" s="138">
        <f>V148*K148</f>
        <v>2.12877</v>
      </c>
      <c r="X148" s="138">
        <v>0</v>
      </c>
      <c r="Y148" s="138">
        <f>X148*K148</f>
        <v>0</v>
      </c>
      <c r="Z148" s="138">
        <v>0</v>
      </c>
      <c r="AA148" s="139">
        <f>Z148*K148</f>
        <v>0</v>
      </c>
      <c r="AR148" s="13" t="s">
        <v>221</v>
      </c>
      <c r="AT148" s="13" t="s">
        <v>131</v>
      </c>
      <c r="AU148" s="13" t="s">
        <v>100</v>
      </c>
      <c r="AY148" s="13" t="s">
        <v>130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13" t="s">
        <v>19</v>
      </c>
      <c r="BK148" s="140">
        <f>ROUND(L148*K148,2)</f>
        <v>0</v>
      </c>
      <c r="BL148" s="13" t="s">
        <v>221</v>
      </c>
      <c r="BM148" s="13" t="s">
        <v>225</v>
      </c>
    </row>
    <row r="149" spans="2:63" s="9" customFormat="1" ht="29.25" customHeight="1">
      <c r="B149" s="120"/>
      <c r="C149" s="121"/>
      <c r="D149" s="130" t="s">
        <v>160</v>
      </c>
      <c r="E149" s="130"/>
      <c r="F149" s="130"/>
      <c r="G149" s="130"/>
      <c r="H149" s="130"/>
      <c r="I149" s="130"/>
      <c r="J149" s="130"/>
      <c r="K149" s="130"/>
      <c r="L149" s="130"/>
      <c r="M149" s="130"/>
      <c r="N149" s="219">
        <f>BK149</f>
        <v>0</v>
      </c>
      <c r="O149" s="220"/>
      <c r="P149" s="220"/>
      <c r="Q149" s="220"/>
      <c r="R149" s="123"/>
      <c r="T149" s="124"/>
      <c r="U149" s="121"/>
      <c r="V149" s="121"/>
      <c r="W149" s="125">
        <f>SUM(W150:W155)</f>
        <v>49.93236</v>
      </c>
      <c r="X149" s="121"/>
      <c r="Y149" s="125">
        <f>SUM(Y150:Y155)</f>
        <v>0</v>
      </c>
      <c r="Z149" s="121"/>
      <c r="AA149" s="126">
        <f>SUM(AA150:AA155)</f>
        <v>1.5661800000000001</v>
      </c>
      <c r="AR149" s="127" t="s">
        <v>100</v>
      </c>
      <c r="AT149" s="128" t="s">
        <v>74</v>
      </c>
      <c r="AU149" s="128" t="s">
        <v>19</v>
      </c>
      <c r="AY149" s="127" t="s">
        <v>130</v>
      </c>
      <c r="BK149" s="129">
        <f>SUM(BK150:BK155)</f>
        <v>0</v>
      </c>
    </row>
    <row r="150" spans="2:65" s="1" customFormat="1" ht="22.5" customHeight="1">
      <c r="B150" s="131"/>
      <c r="C150" s="132" t="s">
        <v>226</v>
      </c>
      <c r="D150" s="132" t="s">
        <v>131</v>
      </c>
      <c r="E150" s="133" t="s">
        <v>227</v>
      </c>
      <c r="F150" s="208" t="s">
        <v>228</v>
      </c>
      <c r="G150" s="209"/>
      <c r="H150" s="209"/>
      <c r="I150" s="209"/>
      <c r="J150" s="134" t="s">
        <v>229</v>
      </c>
      <c r="K150" s="135">
        <f>11*3</f>
        <v>33</v>
      </c>
      <c r="L150" s="210"/>
      <c r="M150" s="209"/>
      <c r="N150" s="210">
        <f aca="true" t="shared" si="0" ref="N150:N155">K150*L150</f>
        <v>0</v>
      </c>
      <c r="O150" s="209"/>
      <c r="P150" s="209"/>
      <c r="Q150" s="209"/>
      <c r="R150" s="136"/>
      <c r="T150" s="137" t="s">
        <v>3</v>
      </c>
      <c r="U150" s="36" t="s">
        <v>40</v>
      </c>
      <c r="V150" s="138">
        <v>0.548</v>
      </c>
      <c r="W150" s="138">
        <f aca="true" t="shared" si="1" ref="W150:W155">V150*K150</f>
        <v>18.084000000000003</v>
      </c>
      <c r="X150" s="138">
        <v>0</v>
      </c>
      <c r="Y150" s="138">
        <f aca="true" t="shared" si="2" ref="Y150:Y155">X150*K150</f>
        <v>0</v>
      </c>
      <c r="Z150" s="138">
        <v>0.01933</v>
      </c>
      <c r="AA150" s="139">
        <f aca="true" t="shared" si="3" ref="AA150:AA155">Z150*K150</f>
        <v>0.63789</v>
      </c>
      <c r="AR150" s="13" t="s">
        <v>221</v>
      </c>
      <c r="AT150" s="13" t="s">
        <v>131</v>
      </c>
      <c r="AU150" s="13" t="s">
        <v>100</v>
      </c>
      <c r="AY150" s="13" t="s">
        <v>130</v>
      </c>
      <c r="BE150" s="140">
        <f aca="true" t="shared" si="4" ref="BE150:BE155">IF(U150="základní",N150,0)</f>
        <v>0</v>
      </c>
      <c r="BF150" s="140">
        <f aca="true" t="shared" si="5" ref="BF150:BF155">IF(U150="snížená",N150,0)</f>
        <v>0</v>
      </c>
      <c r="BG150" s="140">
        <f aca="true" t="shared" si="6" ref="BG150:BG155">IF(U150="zákl. přenesená",N150,0)</f>
        <v>0</v>
      </c>
      <c r="BH150" s="140">
        <f aca="true" t="shared" si="7" ref="BH150:BH155">IF(U150="sníž. přenesená",N150,0)</f>
        <v>0</v>
      </c>
      <c r="BI150" s="140">
        <f aca="true" t="shared" si="8" ref="BI150:BI155">IF(U150="nulová",N150,0)</f>
        <v>0</v>
      </c>
      <c r="BJ150" s="13" t="s">
        <v>19</v>
      </c>
      <c r="BK150" s="140">
        <f aca="true" t="shared" si="9" ref="BK150:BK155">ROUND(L150*K150,2)</f>
        <v>0</v>
      </c>
      <c r="BL150" s="13" t="s">
        <v>221</v>
      </c>
      <c r="BM150" s="13" t="s">
        <v>230</v>
      </c>
    </row>
    <row r="151" spans="2:65" s="1" customFormat="1" ht="31.5" customHeight="1">
      <c r="B151" s="131"/>
      <c r="C151" s="132" t="s">
        <v>231</v>
      </c>
      <c r="D151" s="132" t="s">
        <v>131</v>
      </c>
      <c r="E151" s="133" t="s">
        <v>232</v>
      </c>
      <c r="F151" s="208" t="s">
        <v>233</v>
      </c>
      <c r="G151" s="209"/>
      <c r="H151" s="209"/>
      <c r="I151" s="209"/>
      <c r="J151" s="134" t="s">
        <v>229</v>
      </c>
      <c r="K151" s="135">
        <f>11*3</f>
        <v>33</v>
      </c>
      <c r="L151" s="210"/>
      <c r="M151" s="209"/>
      <c r="N151" s="210">
        <f t="shared" si="0"/>
        <v>0</v>
      </c>
      <c r="O151" s="209"/>
      <c r="P151" s="209"/>
      <c r="Q151" s="209"/>
      <c r="R151" s="136"/>
      <c r="T151" s="137" t="s">
        <v>3</v>
      </c>
      <c r="U151" s="36" t="s">
        <v>40</v>
      </c>
      <c r="V151" s="138">
        <v>0.383</v>
      </c>
      <c r="W151" s="138">
        <f t="shared" si="1"/>
        <v>12.639</v>
      </c>
      <c r="X151" s="138">
        <v>0</v>
      </c>
      <c r="Y151" s="138">
        <f t="shared" si="2"/>
        <v>0</v>
      </c>
      <c r="Z151" s="138">
        <v>0.0245</v>
      </c>
      <c r="AA151" s="139">
        <f t="shared" si="3"/>
        <v>0.8085</v>
      </c>
      <c r="AR151" s="13" t="s">
        <v>221</v>
      </c>
      <c r="AT151" s="13" t="s">
        <v>131</v>
      </c>
      <c r="AU151" s="13" t="s">
        <v>100</v>
      </c>
      <c r="AY151" s="13" t="s">
        <v>130</v>
      </c>
      <c r="BE151" s="140">
        <f t="shared" si="4"/>
        <v>0</v>
      </c>
      <c r="BF151" s="140">
        <f t="shared" si="5"/>
        <v>0</v>
      </c>
      <c r="BG151" s="140">
        <f t="shared" si="6"/>
        <v>0</v>
      </c>
      <c r="BH151" s="140">
        <f t="shared" si="7"/>
        <v>0</v>
      </c>
      <c r="BI151" s="140">
        <f t="shared" si="8"/>
        <v>0</v>
      </c>
      <c r="BJ151" s="13" t="s">
        <v>19</v>
      </c>
      <c r="BK151" s="140">
        <f t="shared" si="9"/>
        <v>0</v>
      </c>
      <c r="BL151" s="13" t="s">
        <v>221</v>
      </c>
      <c r="BM151" s="13" t="s">
        <v>234</v>
      </c>
    </row>
    <row r="152" spans="2:65" s="1" customFormat="1" ht="31.5" customHeight="1">
      <c r="B152" s="131"/>
      <c r="C152" s="132" t="s">
        <v>235</v>
      </c>
      <c r="D152" s="132" t="s">
        <v>131</v>
      </c>
      <c r="E152" s="133" t="s">
        <v>236</v>
      </c>
      <c r="F152" s="208" t="s">
        <v>237</v>
      </c>
      <c r="G152" s="209"/>
      <c r="H152" s="209"/>
      <c r="I152" s="209"/>
      <c r="J152" s="134" t="s">
        <v>238</v>
      </c>
      <c r="K152" s="135">
        <f>11*3</f>
        <v>33</v>
      </c>
      <c r="L152" s="210"/>
      <c r="M152" s="209"/>
      <c r="N152" s="210">
        <f t="shared" si="0"/>
        <v>0</v>
      </c>
      <c r="O152" s="209"/>
      <c r="P152" s="209"/>
      <c r="Q152" s="209"/>
      <c r="R152" s="136"/>
      <c r="T152" s="137" t="s">
        <v>3</v>
      </c>
      <c r="U152" s="36" t="s">
        <v>40</v>
      </c>
      <c r="V152" s="138">
        <v>0.407</v>
      </c>
      <c r="W152" s="138">
        <f t="shared" si="1"/>
        <v>13.431</v>
      </c>
      <c r="X152" s="138">
        <v>0</v>
      </c>
      <c r="Y152" s="138">
        <f t="shared" si="2"/>
        <v>0</v>
      </c>
      <c r="Z152" s="138">
        <v>0.00225</v>
      </c>
      <c r="AA152" s="139">
        <f t="shared" si="3"/>
        <v>0.07425</v>
      </c>
      <c r="AR152" s="13" t="s">
        <v>221</v>
      </c>
      <c r="AT152" s="13" t="s">
        <v>131</v>
      </c>
      <c r="AU152" s="13" t="s">
        <v>100</v>
      </c>
      <c r="AY152" s="13" t="s">
        <v>130</v>
      </c>
      <c r="BE152" s="140">
        <f t="shared" si="4"/>
        <v>0</v>
      </c>
      <c r="BF152" s="140">
        <f t="shared" si="5"/>
        <v>0</v>
      </c>
      <c r="BG152" s="140">
        <f t="shared" si="6"/>
        <v>0</v>
      </c>
      <c r="BH152" s="140">
        <f t="shared" si="7"/>
        <v>0</v>
      </c>
      <c r="BI152" s="140">
        <f t="shared" si="8"/>
        <v>0</v>
      </c>
      <c r="BJ152" s="13" t="s">
        <v>19</v>
      </c>
      <c r="BK152" s="140">
        <f t="shared" si="9"/>
        <v>0</v>
      </c>
      <c r="BL152" s="13" t="s">
        <v>221</v>
      </c>
      <c r="BM152" s="13" t="s">
        <v>239</v>
      </c>
    </row>
    <row r="153" spans="2:65" s="1" customFormat="1" ht="31.5" customHeight="1">
      <c r="B153" s="131"/>
      <c r="C153" s="132" t="s">
        <v>240</v>
      </c>
      <c r="D153" s="132" t="s">
        <v>131</v>
      </c>
      <c r="E153" s="133" t="s">
        <v>241</v>
      </c>
      <c r="F153" s="208" t="s">
        <v>242</v>
      </c>
      <c r="G153" s="209"/>
      <c r="H153" s="209"/>
      <c r="I153" s="209"/>
      <c r="J153" s="134" t="s">
        <v>238</v>
      </c>
      <c r="K153" s="135">
        <f>11*3</f>
        <v>33</v>
      </c>
      <c r="L153" s="210"/>
      <c r="M153" s="209"/>
      <c r="N153" s="210">
        <f t="shared" si="0"/>
        <v>0</v>
      </c>
      <c r="O153" s="209"/>
      <c r="P153" s="209"/>
      <c r="Q153" s="209"/>
      <c r="R153" s="136"/>
      <c r="T153" s="137" t="s">
        <v>3</v>
      </c>
      <c r="U153" s="36" t="s">
        <v>40</v>
      </c>
      <c r="V153" s="138">
        <v>0.021</v>
      </c>
      <c r="W153" s="138">
        <f t="shared" si="1"/>
        <v>0.6930000000000001</v>
      </c>
      <c r="X153" s="138">
        <v>0</v>
      </c>
      <c r="Y153" s="138">
        <f t="shared" si="2"/>
        <v>0</v>
      </c>
      <c r="Z153" s="138">
        <v>0.00052</v>
      </c>
      <c r="AA153" s="139">
        <f t="shared" si="3"/>
        <v>0.017159999999999998</v>
      </c>
      <c r="AR153" s="13" t="s">
        <v>221</v>
      </c>
      <c r="AT153" s="13" t="s">
        <v>131</v>
      </c>
      <c r="AU153" s="13" t="s">
        <v>100</v>
      </c>
      <c r="AY153" s="13" t="s">
        <v>130</v>
      </c>
      <c r="BE153" s="140">
        <f t="shared" si="4"/>
        <v>0</v>
      </c>
      <c r="BF153" s="140">
        <f t="shared" si="5"/>
        <v>0</v>
      </c>
      <c r="BG153" s="140">
        <f t="shared" si="6"/>
        <v>0</v>
      </c>
      <c r="BH153" s="140">
        <f t="shared" si="7"/>
        <v>0</v>
      </c>
      <c r="BI153" s="140">
        <f t="shared" si="8"/>
        <v>0</v>
      </c>
      <c r="BJ153" s="13" t="s">
        <v>19</v>
      </c>
      <c r="BK153" s="140">
        <f t="shared" si="9"/>
        <v>0</v>
      </c>
      <c r="BL153" s="13" t="s">
        <v>221</v>
      </c>
      <c r="BM153" s="13" t="s">
        <v>243</v>
      </c>
    </row>
    <row r="154" spans="2:65" s="1" customFormat="1" ht="22.5" customHeight="1">
      <c r="B154" s="131"/>
      <c r="C154" s="132" t="s">
        <v>8</v>
      </c>
      <c r="D154" s="132" t="s">
        <v>131</v>
      </c>
      <c r="E154" s="133" t="s">
        <v>244</v>
      </c>
      <c r="F154" s="208" t="s">
        <v>245</v>
      </c>
      <c r="G154" s="209"/>
      <c r="H154" s="209"/>
      <c r="I154" s="209"/>
      <c r="J154" s="134" t="s">
        <v>238</v>
      </c>
      <c r="K154" s="135">
        <v>33</v>
      </c>
      <c r="L154" s="210"/>
      <c r="M154" s="209"/>
      <c r="N154" s="210">
        <f t="shared" si="0"/>
        <v>0</v>
      </c>
      <c r="O154" s="209"/>
      <c r="P154" s="209"/>
      <c r="Q154" s="209"/>
      <c r="R154" s="136"/>
      <c r="T154" s="137" t="s">
        <v>3</v>
      </c>
      <c r="U154" s="36" t="s">
        <v>40</v>
      </c>
      <c r="V154" s="138">
        <v>0.063</v>
      </c>
      <c r="W154" s="138">
        <f t="shared" si="1"/>
        <v>2.079</v>
      </c>
      <c r="X154" s="138">
        <v>0</v>
      </c>
      <c r="Y154" s="138">
        <f t="shared" si="2"/>
        <v>0</v>
      </c>
      <c r="Z154" s="138">
        <v>0.00086</v>
      </c>
      <c r="AA154" s="139">
        <f t="shared" si="3"/>
        <v>0.02838</v>
      </c>
      <c r="AR154" s="13" t="s">
        <v>221</v>
      </c>
      <c r="AT154" s="13" t="s">
        <v>131</v>
      </c>
      <c r="AU154" s="13" t="s">
        <v>100</v>
      </c>
      <c r="AY154" s="13" t="s">
        <v>130</v>
      </c>
      <c r="BE154" s="140">
        <f t="shared" si="4"/>
        <v>0</v>
      </c>
      <c r="BF154" s="140">
        <f t="shared" si="5"/>
        <v>0</v>
      </c>
      <c r="BG154" s="140">
        <f t="shared" si="6"/>
        <v>0</v>
      </c>
      <c r="BH154" s="140">
        <f t="shared" si="7"/>
        <v>0</v>
      </c>
      <c r="BI154" s="140">
        <f t="shared" si="8"/>
        <v>0</v>
      </c>
      <c r="BJ154" s="13" t="s">
        <v>19</v>
      </c>
      <c r="BK154" s="140">
        <f t="shared" si="9"/>
        <v>0</v>
      </c>
      <c r="BL154" s="13" t="s">
        <v>221</v>
      </c>
      <c r="BM154" s="13" t="s">
        <v>246</v>
      </c>
    </row>
    <row r="155" spans="2:65" s="1" customFormat="1" ht="31.5" customHeight="1">
      <c r="B155" s="131"/>
      <c r="C155" s="132" t="s">
        <v>247</v>
      </c>
      <c r="D155" s="132" t="s">
        <v>131</v>
      </c>
      <c r="E155" s="133" t="s">
        <v>248</v>
      </c>
      <c r="F155" s="208" t="s">
        <v>249</v>
      </c>
      <c r="G155" s="209"/>
      <c r="H155" s="209"/>
      <c r="I155" s="209"/>
      <c r="J155" s="134" t="s">
        <v>201</v>
      </c>
      <c r="K155" s="135">
        <f>0.21*3</f>
        <v>0.63</v>
      </c>
      <c r="L155" s="210"/>
      <c r="M155" s="209"/>
      <c r="N155" s="210">
        <f t="shared" si="0"/>
        <v>0</v>
      </c>
      <c r="O155" s="209"/>
      <c r="P155" s="209"/>
      <c r="Q155" s="209"/>
      <c r="R155" s="136"/>
      <c r="T155" s="137" t="s">
        <v>3</v>
      </c>
      <c r="U155" s="36" t="s">
        <v>40</v>
      </c>
      <c r="V155" s="138">
        <v>4.772</v>
      </c>
      <c r="W155" s="138">
        <f t="shared" si="1"/>
        <v>3.0063600000000004</v>
      </c>
      <c r="X155" s="138">
        <v>0</v>
      </c>
      <c r="Y155" s="138">
        <f t="shared" si="2"/>
        <v>0</v>
      </c>
      <c r="Z155" s="138">
        <v>0</v>
      </c>
      <c r="AA155" s="139">
        <f t="shared" si="3"/>
        <v>0</v>
      </c>
      <c r="AR155" s="13" t="s">
        <v>221</v>
      </c>
      <c r="AT155" s="13" t="s">
        <v>131</v>
      </c>
      <c r="AU155" s="13" t="s">
        <v>100</v>
      </c>
      <c r="AY155" s="13" t="s">
        <v>130</v>
      </c>
      <c r="BE155" s="140">
        <f t="shared" si="4"/>
        <v>0</v>
      </c>
      <c r="BF155" s="140">
        <f t="shared" si="5"/>
        <v>0</v>
      </c>
      <c r="BG155" s="140">
        <f t="shared" si="6"/>
        <v>0</v>
      </c>
      <c r="BH155" s="140">
        <f t="shared" si="7"/>
        <v>0</v>
      </c>
      <c r="BI155" s="140">
        <f t="shared" si="8"/>
        <v>0</v>
      </c>
      <c r="BJ155" s="13" t="s">
        <v>19</v>
      </c>
      <c r="BK155" s="140">
        <f t="shared" si="9"/>
        <v>0</v>
      </c>
      <c r="BL155" s="13" t="s">
        <v>221</v>
      </c>
      <c r="BM155" s="13" t="s">
        <v>250</v>
      </c>
    </row>
    <row r="156" spans="2:63" s="9" customFormat="1" ht="29.25" customHeight="1">
      <c r="B156" s="120"/>
      <c r="C156" s="121"/>
      <c r="D156" s="130" t="s">
        <v>161</v>
      </c>
      <c r="E156" s="130"/>
      <c r="F156" s="130"/>
      <c r="G156" s="130"/>
      <c r="H156" s="130"/>
      <c r="I156" s="130"/>
      <c r="J156" s="130"/>
      <c r="K156" s="130"/>
      <c r="L156" s="130"/>
      <c r="M156" s="130"/>
      <c r="N156" s="219">
        <f>BK156</f>
        <v>0</v>
      </c>
      <c r="O156" s="220"/>
      <c r="P156" s="220"/>
      <c r="Q156" s="220"/>
      <c r="R156" s="123"/>
      <c r="T156" s="124"/>
      <c r="U156" s="121"/>
      <c r="V156" s="121"/>
      <c r="W156" s="125">
        <f>SUM(W157:W157)</f>
        <v>3.3000000000000003</v>
      </c>
      <c r="X156" s="121"/>
      <c r="Y156" s="125">
        <f>SUM(Y157:Y157)</f>
        <v>0</v>
      </c>
      <c r="Z156" s="121"/>
      <c r="AA156" s="126">
        <f>SUM(AA157:AA157)</f>
        <v>1.584</v>
      </c>
      <c r="AR156" s="127" t="s">
        <v>100</v>
      </c>
      <c r="AT156" s="128" t="s">
        <v>74</v>
      </c>
      <c r="AU156" s="128" t="s">
        <v>19</v>
      </c>
      <c r="AY156" s="127" t="s">
        <v>130</v>
      </c>
      <c r="BK156" s="129">
        <f>SUM(BK157:BK157)</f>
        <v>0</v>
      </c>
    </row>
    <row r="157" spans="2:65" s="1" customFormat="1" ht="31.5" customHeight="1">
      <c r="B157" s="131"/>
      <c r="C157" s="132" t="s">
        <v>251</v>
      </c>
      <c r="D157" s="132" t="s">
        <v>131</v>
      </c>
      <c r="E157" s="133" t="s">
        <v>252</v>
      </c>
      <c r="F157" s="208" t="s">
        <v>253</v>
      </c>
      <c r="G157" s="209"/>
      <c r="H157" s="209"/>
      <c r="I157" s="209"/>
      <c r="J157" s="134" t="s">
        <v>238</v>
      </c>
      <c r="K157" s="135">
        <f>22*3</f>
        <v>66</v>
      </c>
      <c r="L157" s="210"/>
      <c r="M157" s="209"/>
      <c r="N157" s="210">
        <f>K157*L157</f>
        <v>0</v>
      </c>
      <c r="O157" s="209"/>
      <c r="P157" s="209"/>
      <c r="Q157" s="209"/>
      <c r="R157" s="136"/>
      <c r="T157" s="137" t="s">
        <v>3</v>
      </c>
      <c r="U157" s="36" t="s">
        <v>40</v>
      </c>
      <c r="V157" s="138">
        <v>0.05</v>
      </c>
      <c r="W157" s="138">
        <f>V157*K157</f>
        <v>3.3000000000000003</v>
      </c>
      <c r="X157" s="138">
        <v>0</v>
      </c>
      <c r="Y157" s="138">
        <f>X157*K157</f>
        <v>0</v>
      </c>
      <c r="Z157" s="138">
        <v>0.024</v>
      </c>
      <c r="AA157" s="139">
        <f>Z157*K157</f>
        <v>1.584</v>
      </c>
      <c r="AR157" s="13" t="s">
        <v>221</v>
      </c>
      <c r="AT157" s="13" t="s">
        <v>131</v>
      </c>
      <c r="AU157" s="13" t="s">
        <v>100</v>
      </c>
      <c r="AY157" s="13" t="s">
        <v>130</v>
      </c>
      <c r="BE157" s="140">
        <f>IF(U157="základní",N157,0)</f>
        <v>0</v>
      </c>
      <c r="BF157" s="140">
        <f>IF(U157="snížená",N157,0)</f>
        <v>0</v>
      </c>
      <c r="BG157" s="140">
        <f>IF(U157="zákl. přenesená",N157,0)</f>
        <v>0</v>
      </c>
      <c r="BH157" s="140">
        <f>IF(U157="sníž. přenesená",N157,0)</f>
        <v>0</v>
      </c>
      <c r="BI157" s="140">
        <f>IF(U157="nulová",N157,0)</f>
        <v>0</v>
      </c>
      <c r="BJ157" s="13" t="s">
        <v>19</v>
      </c>
      <c r="BK157" s="140">
        <f>ROUND(L157*K157,2)</f>
        <v>0</v>
      </c>
      <c r="BL157" s="13" t="s">
        <v>221</v>
      </c>
      <c r="BM157" s="13" t="s">
        <v>254</v>
      </c>
    </row>
    <row r="158" spans="2:63" s="9" customFormat="1" ht="29.25" customHeight="1">
      <c r="B158" s="120"/>
      <c r="C158" s="121"/>
      <c r="D158" s="130" t="s">
        <v>162</v>
      </c>
      <c r="E158" s="130"/>
      <c r="F158" s="130"/>
      <c r="G158" s="130"/>
      <c r="H158" s="130"/>
      <c r="I158" s="130"/>
      <c r="J158" s="130"/>
      <c r="K158" s="130"/>
      <c r="L158" s="130"/>
      <c r="M158" s="130"/>
      <c r="N158" s="217">
        <f>BK158</f>
        <v>0</v>
      </c>
      <c r="O158" s="218"/>
      <c r="P158" s="218"/>
      <c r="Q158" s="218"/>
      <c r="R158" s="123"/>
      <c r="T158" s="124"/>
      <c r="U158" s="121"/>
      <c r="V158" s="121"/>
      <c r="W158" s="125">
        <f>SUM(W159:W159)</f>
        <v>10.462884</v>
      </c>
      <c r="X158" s="121"/>
      <c r="Y158" s="125">
        <f>SUM(Y159:Y159)</f>
        <v>0.0037591200000000003</v>
      </c>
      <c r="Z158" s="121"/>
      <c r="AA158" s="126">
        <f>SUM(AA159:AA159)</f>
        <v>0</v>
      </c>
      <c r="AR158" s="127" t="s">
        <v>100</v>
      </c>
      <c r="AT158" s="128" t="s">
        <v>74</v>
      </c>
      <c r="AU158" s="128" t="s">
        <v>19</v>
      </c>
      <c r="AY158" s="127" t="s">
        <v>130</v>
      </c>
      <c r="BK158" s="129">
        <f>SUM(BK159:BK159)</f>
        <v>0</v>
      </c>
    </row>
    <row r="159" spans="2:65" s="1" customFormat="1" ht="31.5" customHeight="1">
      <c r="B159" s="131"/>
      <c r="C159" s="132" t="s">
        <v>255</v>
      </c>
      <c r="D159" s="132" t="s">
        <v>131</v>
      </c>
      <c r="E159" s="133" t="s">
        <v>256</v>
      </c>
      <c r="F159" s="208" t="s">
        <v>257</v>
      </c>
      <c r="G159" s="209"/>
      <c r="H159" s="209"/>
      <c r="I159" s="209"/>
      <c r="J159" s="134" t="s">
        <v>174</v>
      </c>
      <c r="K159" s="135">
        <f>20.884*3</f>
        <v>62.652</v>
      </c>
      <c r="L159" s="210"/>
      <c r="M159" s="209"/>
      <c r="N159" s="210">
        <f>K159*L159</f>
        <v>0</v>
      </c>
      <c r="O159" s="209"/>
      <c r="P159" s="209"/>
      <c r="Q159" s="209"/>
      <c r="R159" s="136"/>
      <c r="T159" s="137" t="s">
        <v>3</v>
      </c>
      <c r="U159" s="36" t="s">
        <v>40</v>
      </c>
      <c r="V159" s="138">
        <v>0.167</v>
      </c>
      <c r="W159" s="138">
        <f>V159*K159</f>
        <v>10.462884</v>
      </c>
      <c r="X159" s="138">
        <v>6E-05</v>
      </c>
      <c r="Y159" s="138">
        <f>X159*K159</f>
        <v>0.0037591200000000003</v>
      </c>
      <c r="Z159" s="138">
        <v>0</v>
      </c>
      <c r="AA159" s="139">
        <f>Z159*K159</f>
        <v>0</v>
      </c>
      <c r="AR159" s="13" t="s">
        <v>221</v>
      </c>
      <c r="AT159" s="13" t="s">
        <v>131</v>
      </c>
      <c r="AU159" s="13" t="s">
        <v>100</v>
      </c>
      <c r="AY159" s="13" t="s">
        <v>130</v>
      </c>
      <c r="BE159" s="140">
        <f>IF(U159="základní",N159,0)</f>
        <v>0</v>
      </c>
      <c r="BF159" s="140">
        <f>IF(U159="snížená",N159,0)</f>
        <v>0</v>
      </c>
      <c r="BG159" s="140">
        <f>IF(U159="zákl. přenesená",N159,0)</f>
        <v>0</v>
      </c>
      <c r="BH159" s="140">
        <f>IF(U159="sníž. přenesená",N159,0)</f>
        <v>0</v>
      </c>
      <c r="BI159" s="140">
        <f>IF(U159="nulová",N159,0)</f>
        <v>0</v>
      </c>
      <c r="BJ159" s="13" t="s">
        <v>19</v>
      </c>
      <c r="BK159" s="140">
        <f>ROUND(L159*K159,2)</f>
        <v>0</v>
      </c>
      <c r="BL159" s="13" t="s">
        <v>221</v>
      </c>
      <c r="BM159" s="13" t="s">
        <v>258</v>
      </c>
    </row>
    <row r="160" spans="2:63" s="9" customFormat="1" ht="29.25" customHeight="1">
      <c r="B160" s="120"/>
      <c r="C160" s="121"/>
      <c r="D160" s="130" t="s">
        <v>163</v>
      </c>
      <c r="E160" s="130"/>
      <c r="F160" s="130"/>
      <c r="G160" s="130"/>
      <c r="H160" s="130"/>
      <c r="I160" s="130"/>
      <c r="J160" s="130"/>
      <c r="K160" s="130"/>
      <c r="L160" s="130"/>
      <c r="M160" s="130"/>
      <c r="N160" s="217">
        <f>BK160</f>
        <v>0</v>
      </c>
      <c r="O160" s="218"/>
      <c r="P160" s="218"/>
      <c r="Q160" s="218"/>
      <c r="R160" s="123"/>
      <c r="T160" s="124"/>
      <c r="U160" s="121"/>
      <c r="V160" s="121"/>
      <c r="W160" s="125">
        <f>SUM(W161:W162)</f>
        <v>69.43649399999998</v>
      </c>
      <c r="X160" s="121"/>
      <c r="Y160" s="125">
        <f>SUM(Y161:Y162)</f>
        <v>0.6255539999999999</v>
      </c>
      <c r="Z160" s="121"/>
      <c r="AA160" s="126">
        <f>SUM(AA161:AA162)</f>
        <v>0.19392173999999998</v>
      </c>
      <c r="AR160" s="127" t="s">
        <v>100</v>
      </c>
      <c r="AT160" s="128" t="s">
        <v>74</v>
      </c>
      <c r="AU160" s="128" t="s">
        <v>19</v>
      </c>
      <c r="AY160" s="127" t="s">
        <v>130</v>
      </c>
      <c r="BK160" s="129">
        <f>SUM(BK161:BK162)</f>
        <v>0</v>
      </c>
    </row>
    <row r="161" spans="2:65" s="1" customFormat="1" ht="22.5" customHeight="1">
      <c r="B161" s="131"/>
      <c r="C161" s="132" t="s">
        <v>259</v>
      </c>
      <c r="D161" s="132" t="s">
        <v>131</v>
      </c>
      <c r="E161" s="133" t="s">
        <v>260</v>
      </c>
      <c r="F161" s="208" t="s">
        <v>261</v>
      </c>
      <c r="G161" s="209"/>
      <c r="H161" s="209"/>
      <c r="I161" s="209"/>
      <c r="J161" s="134" t="s">
        <v>174</v>
      </c>
      <c r="K161" s="135">
        <f>208.518*3</f>
        <v>625.554</v>
      </c>
      <c r="L161" s="210"/>
      <c r="M161" s="209"/>
      <c r="N161" s="210">
        <f>K161*L161</f>
        <v>0</v>
      </c>
      <c r="O161" s="209"/>
      <c r="P161" s="209"/>
      <c r="Q161" s="209"/>
      <c r="R161" s="136"/>
      <c r="T161" s="137" t="s">
        <v>3</v>
      </c>
      <c r="U161" s="36" t="s">
        <v>40</v>
      </c>
      <c r="V161" s="138">
        <v>0.074</v>
      </c>
      <c r="W161" s="138">
        <f>V161*K161</f>
        <v>46.29099599999999</v>
      </c>
      <c r="X161" s="138">
        <v>0.001</v>
      </c>
      <c r="Y161" s="138">
        <f>X161*K161</f>
        <v>0.6255539999999999</v>
      </c>
      <c r="Z161" s="138">
        <v>0.00031</v>
      </c>
      <c r="AA161" s="139">
        <f>Z161*K161</f>
        <v>0.19392173999999998</v>
      </c>
      <c r="AR161" s="13" t="s">
        <v>221</v>
      </c>
      <c r="AT161" s="13" t="s">
        <v>131</v>
      </c>
      <c r="AU161" s="13" t="s">
        <v>100</v>
      </c>
      <c r="AY161" s="13" t="s">
        <v>130</v>
      </c>
      <c r="BE161" s="140">
        <f>IF(U161="základní",N161,0)</f>
        <v>0</v>
      </c>
      <c r="BF161" s="140">
        <f>IF(U161="snížená",N161,0)</f>
        <v>0</v>
      </c>
      <c r="BG161" s="140">
        <f>IF(U161="zákl. přenesená",N161,0)</f>
        <v>0</v>
      </c>
      <c r="BH161" s="140">
        <f>IF(U161="sníž. přenesená",N161,0)</f>
        <v>0</v>
      </c>
      <c r="BI161" s="140">
        <f>IF(U161="nulová",N161,0)</f>
        <v>0</v>
      </c>
      <c r="BJ161" s="13" t="s">
        <v>19</v>
      </c>
      <c r="BK161" s="140">
        <f>ROUND(L161*K161,2)</f>
        <v>0</v>
      </c>
      <c r="BL161" s="13" t="s">
        <v>221</v>
      </c>
      <c r="BM161" s="13" t="s">
        <v>262</v>
      </c>
    </row>
    <row r="162" spans="2:65" s="1" customFormat="1" ht="31.5" customHeight="1">
      <c r="B162" s="131"/>
      <c r="C162" s="132" t="s">
        <v>263</v>
      </c>
      <c r="D162" s="132" t="s">
        <v>131</v>
      </c>
      <c r="E162" s="133" t="s">
        <v>264</v>
      </c>
      <c r="F162" s="208" t="s">
        <v>265</v>
      </c>
      <c r="G162" s="209"/>
      <c r="H162" s="209"/>
      <c r="I162" s="209"/>
      <c r="J162" s="134" t="s">
        <v>174</v>
      </c>
      <c r="K162" s="135">
        <f>K161</f>
        <v>625.554</v>
      </c>
      <c r="L162" s="210"/>
      <c r="M162" s="209"/>
      <c r="N162" s="210">
        <f>K162*L162</f>
        <v>0</v>
      </c>
      <c r="O162" s="209"/>
      <c r="P162" s="209"/>
      <c r="Q162" s="209"/>
      <c r="R162" s="136"/>
      <c r="T162" s="137" t="s">
        <v>3</v>
      </c>
      <c r="U162" s="36" t="s">
        <v>40</v>
      </c>
      <c r="V162" s="138">
        <v>0.037</v>
      </c>
      <c r="W162" s="138">
        <f>V162*K162</f>
        <v>23.145497999999996</v>
      </c>
      <c r="X162" s="138">
        <v>0</v>
      </c>
      <c r="Y162" s="138">
        <f>X162*K162</f>
        <v>0</v>
      </c>
      <c r="Z162" s="138">
        <v>0</v>
      </c>
      <c r="AA162" s="139">
        <f>Z162*K162</f>
        <v>0</v>
      </c>
      <c r="AR162" s="13" t="s">
        <v>221</v>
      </c>
      <c r="AT162" s="13" t="s">
        <v>131</v>
      </c>
      <c r="AU162" s="13" t="s">
        <v>100</v>
      </c>
      <c r="AY162" s="13" t="s">
        <v>130</v>
      </c>
      <c r="BE162" s="140">
        <f>IF(U162="základní",N162,0)</f>
        <v>0</v>
      </c>
      <c r="BF162" s="140">
        <f>IF(U162="snížená",N162,0)</f>
        <v>0</v>
      </c>
      <c r="BG162" s="140">
        <f>IF(U162="zákl. přenesená",N162,0)</f>
        <v>0</v>
      </c>
      <c r="BH162" s="140">
        <f>IF(U162="sníž. přenesená",N162,0)</f>
        <v>0</v>
      </c>
      <c r="BI162" s="140">
        <f>IF(U162="nulová",N162,0)</f>
        <v>0</v>
      </c>
      <c r="BJ162" s="13" t="s">
        <v>19</v>
      </c>
      <c r="BK162" s="140">
        <f>ROUND(L162*K162,2)</f>
        <v>0</v>
      </c>
      <c r="BL162" s="13" t="s">
        <v>221</v>
      </c>
      <c r="BM162" s="13" t="s">
        <v>266</v>
      </c>
    </row>
    <row r="163" spans="2:63" s="9" customFormat="1" ht="36.75" customHeight="1">
      <c r="B163" s="120"/>
      <c r="C163" s="121"/>
      <c r="D163" s="122" t="s">
        <v>164</v>
      </c>
      <c r="E163" s="122"/>
      <c r="F163" s="122"/>
      <c r="G163" s="122"/>
      <c r="H163" s="122"/>
      <c r="I163" s="122"/>
      <c r="J163" s="122"/>
      <c r="K163" s="122"/>
      <c r="L163" s="122"/>
      <c r="M163" s="122"/>
      <c r="N163" s="222">
        <f>BK163</f>
        <v>0</v>
      </c>
      <c r="O163" s="223"/>
      <c r="P163" s="223"/>
      <c r="Q163" s="223"/>
      <c r="R163" s="123"/>
      <c r="T163" s="124"/>
      <c r="U163" s="121"/>
      <c r="V163" s="121"/>
      <c r="W163" s="125">
        <f>W164</f>
        <v>0</v>
      </c>
      <c r="X163" s="121"/>
      <c r="Y163" s="125">
        <f>Y164</f>
        <v>0</v>
      </c>
      <c r="Z163" s="121"/>
      <c r="AA163" s="126">
        <f>AA164</f>
        <v>0</v>
      </c>
      <c r="AR163" s="127" t="s">
        <v>146</v>
      </c>
      <c r="AT163" s="128" t="s">
        <v>74</v>
      </c>
      <c r="AU163" s="128" t="s">
        <v>75</v>
      </c>
      <c r="AY163" s="127" t="s">
        <v>130</v>
      </c>
      <c r="BK163" s="129">
        <f>BK164</f>
        <v>0</v>
      </c>
    </row>
    <row r="164" spans="2:65" s="1" customFormat="1" ht="31.5" customHeight="1">
      <c r="B164" s="131"/>
      <c r="C164" s="132" t="s">
        <v>267</v>
      </c>
      <c r="D164" s="132" t="s">
        <v>131</v>
      </c>
      <c r="E164" s="133" t="s">
        <v>268</v>
      </c>
      <c r="F164" s="208" t="s">
        <v>269</v>
      </c>
      <c r="G164" s="209"/>
      <c r="H164" s="209"/>
      <c r="I164" s="209"/>
      <c r="J164" s="134" t="s">
        <v>144</v>
      </c>
      <c r="K164" s="135">
        <f>12*3</f>
        <v>36</v>
      </c>
      <c r="L164" s="210"/>
      <c r="M164" s="209"/>
      <c r="N164" s="210">
        <f>K164*L164</f>
        <v>0</v>
      </c>
      <c r="O164" s="209"/>
      <c r="P164" s="209"/>
      <c r="Q164" s="209"/>
      <c r="R164" s="136"/>
      <c r="T164" s="137" t="s">
        <v>3</v>
      </c>
      <c r="U164" s="141" t="s">
        <v>40</v>
      </c>
      <c r="V164" s="142">
        <v>0</v>
      </c>
      <c r="W164" s="142">
        <f>V164*K164</f>
        <v>0</v>
      </c>
      <c r="X164" s="142">
        <v>0</v>
      </c>
      <c r="Y164" s="142">
        <f>X164*K164</f>
        <v>0</v>
      </c>
      <c r="Z164" s="142">
        <v>0</v>
      </c>
      <c r="AA164" s="143">
        <f>Z164*K164</f>
        <v>0</v>
      </c>
      <c r="AR164" s="13" t="s">
        <v>270</v>
      </c>
      <c r="AT164" s="13" t="s">
        <v>131</v>
      </c>
      <c r="AU164" s="13" t="s">
        <v>19</v>
      </c>
      <c r="AY164" s="13" t="s">
        <v>130</v>
      </c>
      <c r="BE164" s="140">
        <f>IF(U164="základní",N164,0)</f>
        <v>0</v>
      </c>
      <c r="BF164" s="140">
        <f>IF(U164="snížená",N164,0)</f>
        <v>0</v>
      </c>
      <c r="BG164" s="140">
        <f>IF(U164="zákl. přenesená",N164,0)</f>
        <v>0</v>
      </c>
      <c r="BH164" s="140">
        <f>IF(U164="sníž. přenesená",N164,0)</f>
        <v>0</v>
      </c>
      <c r="BI164" s="140">
        <f>IF(U164="nulová",N164,0)</f>
        <v>0</v>
      </c>
      <c r="BJ164" s="13" t="s">
        <v>19</v>
      </c>
      <c r="BK164" s="140">
        <f>ROUND(L164*K164,2)</f>
        <v>0</v>
      </c>
      <c r="BL164" s="13" t="s">
        <v>270</v>
      </c>
      <c r="BM164" s="13" t="s">
        <v>271</v>
      </c>
    </row>
    <row r="165" spans="2:18" s="1" customFormat="1" ht="6.75" customHeight="1">
      <c r="B165" s="51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3"/>
    </row>
  </sheetData>
  <sheetProtection/>
  <mergeCells count="160">
    <mergeCell ref="N160:Q160"/>
    <mergeCell ref="N163:Q163"/>
    <mergeCell ref="H1:K1"/>
    <mergeCell ref="S2:AC2"/>
    <mergeCell ref="N139:Q139"/>
    <mergeCell ref="N145:Q145"/>
    <mergeCell ref="N146:Q146"/>
    <mergeCell ref="N149:Q149"/>
    <mergeCell ref="N156:Q156"/>
    <mergeCell ref="N158:Q158"/>
    <mergeCell ref="F164:I164"/>
    <mergeCell ref="L164:M164"/>
    <mergeCell ref="N164:Q164"/>
    <mergeCell ref="N123:Q123"/>
    <mergeCell ref="N124:Q124"/>
    <mergeCell ref="N125:Q125"/>
    <mergeCell ref="N126:Q126"/>
    <mergeCell ref="N129:Q129"/>
    <mergeCell ref="N131:Q131"/>
    <mergeCell ref="N134:Q134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N137:Q137"/>
    <mergeCell ref="F133:I133"/>
    <mergeCell ref="L133:M133"/>
    <mergeCell ref="N133:Q133"/>
    <mergeCell ref="F135:I135"/>
    <mergeCell ref="L135:M135"/>
    <mergeCell ref="N135:Q135"/>
    <mergeCell ref="F130:I130"/>
    <mergeCell ref="L130:M130"/>
    <mergeCell ref="N130:Q130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15:P115"/>
    <mergeCell ref="M117:P117"/>
    <mergeCell ref="M119:Q119"/>
    <mergeCell ref="M120:Q120"/>
    <mergeCell ref="F122:I122"/>
    <mergeCell ref="L122:M122"/>
    <mergeCell ref="N122:Q122"/>
    <mergeCell ref="N101:Q101"/>
    <mergeCell ref="N102:Q102"/>
    <mergeCell ref="N104:Q104"/>
    <mergeCell ref="L106:Q106"/>
    <mergeCell ref="C112:Q112"/>
    <mergeCell ref="F114:P114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1"/>
  <sheetViews>
    <sheetView showGridLines="0" zoomScalePageLayoutView="0" workbookViewId="0" topLeftCell="A1">
      <pane ySplit="1" topLeftCell="A175" activePane="bottomLeft" state="frozen"/>
      <selection pane="topLeft" activeCell="A1" sqref="A1"/>
      <selection pane="bottomLeft" activeCell="L128" sqref="L128:M12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53"/>
      <c r="B1" s="150"/>
      <c r="C1" s="150"/>
      <c r="D1" s="151" t="s">
        <v>1</v>
      </c>
      <c r="E1" s="150"/>
      <c r="F1" s="152" t="s">
        <v>513</v>
      </c>
      <c r="G1" s="152"/>
      <c r="H1" s="213" t="s">
        <v>514</v>
      </c>
      <c r="I1" s="213"/>
      <c r="J1" s="213"/>
      <c r="K1" s="213"/>
      <c r="L1" s="152" t="s">
        <v>515</v>
      </c>
      <c r="M1" s="150"/>
      <c r="N1" s="150"/>
      <c r="O1" s="151" t="s">
        <v>99</v>
      </c>
      <c r="P1" s="150"/>
      <c r="Q1" s="150"/>
      <c r="R1" s="150"/>
      <c r="S1" s="152" t="s">
        <v>516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57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6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88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100</v>
      </c>
    </row>
    <row r="4" spans="2:46" ht="36.75" customHeight="1">
      <c r="B4" s="17"/>
      <c r="C4" s="159" t="s">
        <v>101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4" t="s">
        <v>15</v>
      </c>
      <c r="E6" s="18"/>
      <c r="F6" s="192" t="str">
        <f>'Rekapitulace stavby'!K6</f>
        <v>Pavilon 7 - Pavilon 7 SOUE - I+II+III  Etapa stupačky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8"/>
      <c r="R6" s="19"/>
    </row>
    <row r="7" spans="2:18" s="1" customFormat="1" ht="32.25" customHeight="1">
      <c r="B7" s="27"/>
      <c r="C7" s="28"/>
      <c r="D7" s="23" t="s">
        <v>102</v>
      </c>
      <c r="E7" s="28"/>
      <c r="F7" s="162" t="s">
        <v>272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28"/>
      <c r="R7" s="29"/>
    </row>
    <row r="8" spans="2:18" s="1" customFormat="1" ht="14.25" customHeight="1">
      <c r="B8" s="27"/>
      <c r="C8" s="28"/>
      <c r="D8" s="24" t="s">
        <v>17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18</v>
      </c>
      <c r="N8" s="28"/>
      <c r="O8" s="22" t="s">
        <v>3</v>
      </c>
      <c r="P8" s="28"/>
      <c r="Q8" s="28"/>
      <c r="R8" s="29"/>
    </row>
    <row r="9" spans="2:18" s="1" customFormat="1" ht="14.25" customHeight="1">
      <c r="B9" s="27"/>
      <c r="C9" s="28"/>
      <c r="D9" s="24" t="s">
        <v>20</v>
      </c>
      <c r="E9" s="28"/>
      <c r="F9" s="22" t="s">
        <v>21</v>
      </c>
      <c r="G9" s="28"/>
      <c r="H9" s="28"/>
      <c r="I9" s="28"/>
      <c r="J9" s="28"/>
      <c r="K9" s="28"/>
      <c r="L9" s="28"/>
      <c r="M9" s="24" t="s">
        <v>22</v>
      </c>
      <c r="N9" s="28"/>
      <c r="O9" s="193"/>
      <c r="P9" s="170"/>
      <c r="Q9" s="28"/>
      <c r="R9" s="29"/>
    </row>
    <row r="10" spans="2:18" s="1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s="1" customFormat="1" ht="14.25" customHeight="1">
      <c r="B11" s="27"/>
      <c r="C11" s="28"/>
      <c r="D11" s="24" t="s">
        <v>25</v>
      </c>
      <c r="E11" s="28"/>
      <c r="F11" s="28"/>
      <c r="G11" s="28"/>
      <c r="H11" s="28"/>
      <c r="I11" s="28"/>
      <c r="J11" s="28"/>
      <c r="K11" s="28"/>
      <c r="L11" s="28"/>
      <c r="M11" s="24" t="s">
        <v>26</v>
      </c>
      <c r="N11" s="28"/>
      <c r="O11" s="161" t="s">
        <v>3</v>
      </c>
      <c r="P11" s="170"/>
      <c r="Q11" s="28"/>
      <c r="R11" s="29"/>
    </row>
    <row r="12" spans="2:18" s="1" customFormat="1" ht="18" customHeight="1">
      <c r="B12" s="27"/>
      <c r="C12" s="28"/>
      <c r="D12" s="28"/>
      <c r="E12" s="22"/>
      <c r="F12" s="28"/>
      <c r="G12" s="28"/>
      <c r="H12" s="28"/>
      <c r="I12" s="28"/>
      <c r="J12" s="28"/>
      <c r="K12" s="28"/>
      <c r="L12" s="28"/>
      <c r="M12" s="24" t="s">
        <v>28</v>
      </c>
      <c r="N12" s="28"/>
      <c r="O12" s="161" t="s">
        <v>3</v>
      </c>
      <c r="P12" s="170"/>
      <c r="Q12" s="28"/>
      <c r="R12" s="29"/>
    </row>
    <row r="13" spans="2:18" s="1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s="1" customFormat="1" ht="14.25" customHeight="1">
      <c r="B14" s="27"/>
      <c r="C14" s="28"/>
      <c r="D14" s="24" t="s">
        <v>29</v>
      </c>
      <c r="E14" s="28"/>
      <c r="F14" s="28"/>
      <c r="G14" s="28"/>
      <c r="H14" s="28"/>
      <c r="I14" s="28"/>
      <c r="J14" s="28"/>
      <c r="K14" s="28"/>
      <c r="L14" s="28"/>
      <c r="M14" s="24" t="s">
        <v>26</v>
      </c>
      <c r="N14" s="28"/>
      <c r="O14" s="161" t="s">
        <v>3</v>
      </c>
      <c r="P14" s="170"/>
      <c r="Q14" s="28"/>
      <c r="R14" s="29"/>
    </row>
    <row r="15" spans="2:18" s="1" customFormat="1" ht="18" customHeight="1">
      <c r="B15" s="27"/>
      <c r="C15" s="28"/>
      <c r="D15" s="28"/>
      <c r="E15" s="22"/>
      <c r="F15" s="28"/>
      <c r="G15" s="28"/>
      <c r="H15" s="28"/>
      <c r="I15" s="28"/>
      <c r="J15" s="28"/>
      <c r="K15" s="28"/>
      <c r="L15" s="28"/>
      <c r="M15" s="24" t="s">
        <v>28</v>
      </c>
      <c r="N15" s="28"/>
      <c r="O15" s="161" t="s">
        <v>3</v>
      </c>
      <c r="P15" s="170"/>
      <c r="Q15" s="28"/>
      <c r="R15" s="29"/>
    </row>
    <row r="16" spans="2:18" s="1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25" customHeight="1">
      <c r="B17" s="27"/>
      <c r="C17" s="28"/>
      <c r="D17" s="24" t="s">
        <v>30</v>
      </c>
      <c r="E17" s="28"/>
      <c r="F17" s="28"/>
      <c r="G17" s="28"/>
      <c r="H17" s="28"/>
      <c r="I17" s="28"/>
      <c r="J17" s="28"/>
      <c r="K17" s="28"/>
      <c r="L17" s="28"/>
      <c r="M17" s="24" t="s">
        <v>26</v>
      </c>
      <c r="N17" s="28"/>
      <c r="O17" s="161">
        <f>IF('Rekapitulace stavby'!AN16="","",'Rekapitulace stavby'!AN16)</f>
      </c>
      <c r="P17" s="170"/>
      <c r="Q17" s="28"/>
      <c r="R17" s="29"/>
    </row>
    <row r="18" spans="2:18" s="1" customFormat="1" ht="18" customHeight="1">
      <c r="B18" s="27"/>
      <c r="C18" s="28"/>
      <c r="D18" s="28"/>
      <c r="E18" s="22" t="str">
        <f>IF('Rekapitulace stavby'!E17="","",'Rekapitulace stavby'!E17)</f>
        <v> </v>
      </c>
      <c r="F18" s="28"/>
      <c r="G18" s="28"/>
      <c r="H18" s="28"/>
      <c r="I18" s="28"/>
      <c r="J18" s="28"/>
      <c r="K18" s="28"/>
      <c r="L18" s="28"/>
      <c r="M18" s="24" t="s">
        <v>28</v>
      </c>
      <c r="N18" s="28"/>
      <c r="O18" s="161">
        <f>IF('Rekapitulace stavby'!AN17="","",'Rekapitulace stavby'!AN17)</f>
      </c>
      <c r="P18" s="170"/>
      <c r="Q18" s="28"/>
      <c r="R18" s="29"/>
    </row>
    <row r="19" spans="2:18" s="1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25" customHeight="1">
      <c r="B20" s="27"/>
      <c r="C20" s="28"/>
      <c r="D20" s="24" t="s">
        <v>33</v>
      </c>
      <c r="E20" s="28"/>
      <c r="F20" s="28"/>
      <c r="G20" s="28"/>
      <c r="H20" s="28"/>
      <c r="I20" s="28"/>
      <c r="J20" s="28"/>
      <c r="K20" s="28"/>
      <c r="L20" s="28"/>
      <c r="M20" s="24" t="s">
        <v>26</v>
      </c>
      <c r="N20" s="28"/>
      <c r="O20" s="161" t="s">
        <v>3</v>
      </c>
      <c r="P20" s="170"/>
      <c r="Q20" s="28"/>
      <c r="R20" s="29"/>
    </row>
    <row r="21" spans="2:18" s="1" customFormat="1" ht="18" customHeight="1">
      <c r="B21" s="27"/>
      <c r="C21" s="28"/>
      <c r="D21" s="28"/>
      <c r="E21" s="22"/>
      <c r="F21" s="28"/>
      <c r="G21" s="28"/>
      <c r="H21" s="28"/>
      <c r="I21" s="28"/>
      <c r="J21" s="28"/>
      <c r="K21" s="28"/>
      <c r="L21" s="28"/>
      <c r="M21" s="24" t="s">
        <v>28</v>
      </c>
      <c r="N21" s="28"/>
      <c r="O21" s="161" t="s">
        <v>3</v>
      </c>
      <c r="P21" s="170"/>
      <c r="Q21" s="28"/>
      <c r="R21" s="29"/>
    </row>
    <row r="22" spans="2:18" s="1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25" customHeight="1">
      <c r="B23" s="27"/>
      <c r="C23" s="28"/>
      <c r="D23" s="24" t="s">
        <v>34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77.25" customHeight="1">
      <c r="B24" s="27"/>
      <c r="C24" s="28"/>
      <c r="D24" s="28"/>
      <c r="E24" s="163" t="s">
        <v>35</v>
      </c>
      <c r="F24" s="170"/>
      <c r="G24" s="170"/>
      <c r="H24" s="170"/>
      <c r="I24" s="170"/>
      <c r="J24" s="170"/>
      <c r="K24" s="170"/>
      <c r="L24" s="170"/>
      <c r="M24" s="28"/>
      <c r="N24" s="28"/>
      <c r="O24" s="28"/>
      <c r="P24" s="28"/>
      <c r="Q24" s="28"/>
      <c r="R24" s="29"/>
    </row>
    <row r="25" spans="2:18" s="1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7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25" customHeight="1">
      <c r="B27" s="27"/>
      <c r="C27" s="28"/>
      <c r="D27" s="96" t="s">
        <v>104</v>
      </c>
      <c r="E27" s="28"/>
      <c r="F27" s="28"/>
      <c r="G27" s="28"/>
      <c r="H27" s="28"/>
      <c r="I27" s="28"/>
      <c r="J27" s="28"/>
      <c r="K27" s="28"/>
      <c r="L27" s="28"/>
      <c r="M27" s="164">
        <f>N88</f>
        <v>0</v>
      </c>
      <c r="N27" s="170"/>
      <c r="O27" s="170"/>
      <c r="P27" s="170"/>
      <c r="Q27" s="28"/>
      <c r="R27" s="29"/>
    </row>
    <row r="28" spans="2:18" s="1" customFormat="1" ht="14.25" customHeight="1">
      <c r="B28" s="27"/>
      <c r="C28" s="28"/>
      <c r="D28" s="26" t="s">
        <v>105</v>
      </c>
      <c r="E28" s="28"/>
      <c r="F28" s="28"/>
      <c r="G28" s="28"/>
      <c r="H28" s="28"/>
      <c r="I28" s="28"/>
      <c r="J28" s="28"/>
      <c r="K28" s="28"/>
      <c r="L28" s="28"/>
      <c r="M28" s="164">
        <f>N104</f>
        <v>0</v>
      </c>
      <c r="N28" s="170"/>
      <c r="O28" s="170"/>
      <c r="P28" s="170"/>
      <c r="Q28" s="28"/>
      <c r="R28" s="29"/>
    </row>
    <row r="29" spans="2:18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4.75" customHeight="1">
      <c r="B30" s="27"/>
      <c r="C30" s="28"/>
      <c r="D30" s="97" t="s">
        <v>38</v>
      </c>
      <c r="E30" s="28"/>
      <c r="F30" s="28"/>
      <c r="G30" s="28"/>
      <c r="H30" s="28"/>
      <c r="I30" s="28"/>
      <c r="J30" s="28"/>
      <c r="K30" s="28"/>
      <c r="L30" s="28"/>
      <c r="M30" s="194">
        <f>ROUND(M27+M28,2)</f>
        <v>0</v>
      </c>
      <c r="N30" s="170"/>
      <c r="O30" s="170"/>
      <c r="P30" s="170"/>
      <c r="Q30" s="28"/>
      <c r="R30" s="29"/>
    </row>
    <row r="31" spans="2:18" s="1" customFormat="1" ht="6.7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25" customHeight="1">
      <c r="B32" s="27"/>
      <c r="C32" s="28"/>
      <c r="D32" s="34" t="s">
        <v>39</v>
      </c>
      <c r="E32" s="34" t="s">
        <v>40</v>
      </c>
      <c r="F32" s="35">
        <v>0.21</v>
      </c>
      <c r="G32" s="98" t="s">
        <v>41</v>
      </c>
      <c r="H32" s="195">
        <f>ROUND((SUM(BE104:BE105)+SUM(BE123:BE180)),2)</f>
        <v>0</v>
      </c>
      <c r="I32" s="170"/>
      <c r="J32" s="170"/>
      <c r="K32" s="28"/>
      <c r="L32" s="28"/>
      <c r="M32" s="195">
        <f>ROUND(ROUND((SUM(BE104:BE105)+SUM(BE123:BE180)),2)*F32,2)</f>
        <v>0</v>
      </c>
      <c r="N32" s="170"/>
      <c r="O32" s="170"/>
      <c r="P32" s="170"/>
      <c r="Q32" s="28"/>
      <c r="R32" s="29"/>
    </row>
    <row r="33" spans="2:18" s="1" customFormat="1" ht="14.25" customHeight="1">
      <c r="B33" s="27"/>
      <c r="C33" s="28"/>
      <c r="D33" s="28"/>
      <c r="E33" s="34" t="s">
        <v>42</v>
      </c>
      <c r="F33" s="35">
        <v>0.15</v>
      </c>
      <c r="G33" s="98" t="s">
        <v>41</v>
      </c>
      <c r="H33" s="195">
        <f>ROUND((SUM(BF104:BF105)+SUM(BF123:BF180)),2)</f>
        <v>0</v>
      </c>
      <c r="I33" s="170"/>
      <c r="J33" s="170"/>
      <c r="K33" s="28"/>
      <c r="L33" s="28"/>
      <c r="M33" s="195">
        <f>ROUND(ROUND((SUM(BF104:BF105)+SUM(BF123:BF180)),2)*F33,2)</f>
        <v>0</v>
      </c>
      <c r="N33" s="170"/>
      <c r="O33" s="170"/>
      <c r="P33" s="170"/>
      <c r="Q33" s="28"/>
      <c r="R33" s="29"/>
    </row>
    <row r="34" spans="2:18" s="1" customFormat="1" ht="14.25" customHeight="1" hidden="1">
      <c r="B34" s="27"/>
      <c r="C34" s="28"/>
      <c r="D34" s="28"/>
      <c r="E34" s="34" t="s">
        <v>43</v>
      </c>
      <c r="F34" s="35">
        <v>0.21</v>
      </c>
      <c r="G34" s="98" t="s">
        <v>41</v>
      </c>
      <c r="H34" s="195">
        <f>ROUND((SUM(BG104:BG105)+SUM(BG123:BG180)),2)</f>
        <v>0</v>
      </c>
      <c r="I34" s="170"/>
      <c r="J34" s="170"/>
      <c r="K34" s="28"/>
      <c r="L34" s="28"/>
      <c r="M34" s="195">
        <v>0</v>
      </c>
      <c r="N34" s="170"/>
      <c r="O34" s="170"/>
      <c r="P34" s="170"/>
      <c r="Q34" s="28"/>
      <c r="R34" s="29"/>
    </row>
    <row r="35" spans="2:18" s="1" customFormat="1" ht="14.25" customHeight="1" hidden="1">
      <c r="B35" s="27"/>
      <c r="C35" s="28"/>
      <c r="D35" s="28"/>
      <c r="E35" s="34" t="s">
        <v>44</v>
      </c>
      <c r="F35" s="35">
        <v>0.15</v>
      </c>
      <c r="G35" s="98" t="s">
        <v>41</v>
      </c>
      <c r="H35" s="195">
        <f>ROUND((SUM(BH104:BH105)+SUM(BH123:BH180)),2)</f>
        <v>0</v>
      </c>
      <c r="I35" s="170"/>
      <c r="J35" s="170"/>
      <c r="K35" s="28"/>
      <c r="L35" s="28"/>
      <c r="M35" s="195">
        <v>0</v>
      </c>
      <c r="N35" s="170"/>
      <c r="O35" s="170"/>
      <c r="P35" s="170"/>
      <c r="Q35" s="28"/>
      <c r="R35" s="29"/>
    </row>
    <row r="36" spans="2:18" s="1" customFormat="1" ht="14.25" customHeight="1" hidden="1">
      <c r="B36" s="27"/>
      <c r="C36" s="28"/>
      <c r="D36" s="28"/>
      <c r="E36" s="34" t="s">
        <v>45</v>
      </c>
      <c r="F36" s="35">
        <v>0</v>
      </c>
      <c r="G36" s="98" t="s">
        <v>41</v>
      </c>
      <c r="H36" s="195">
        <f>ROUND((SUM(BI104:BI105)+SUM(BI123:BI180)),2)</f>
        <v>0</v>
      </c>
      <c r="I36" s="170"/>
      <c r="J36" s="170"/>
      <c r="K36" s="28"/>
      <c r="L36" s="28"/>
      <c r="M36" s="195">
        <v>0</v>
      </c>
      <c r="N36" s="170"/>
      <c r="O36" s="170"/>
      <c r="P36" s="170"/>
      <c r="Q36" s="28"/>
      <c r="R36" s="29"/>
    </row>
    <row r="37" spans="2:18" s="1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4.75" customHeight="1">
      <c r="B38" s="27"/>
      <c r="C38" s="95"/>
      <c r="D38" s="99" t="s">
        <v>46</v>
      </c>
      <c r="E38" s="67"/>
      <c r="F38" s="67"/>
      <c r="G38" s="100" t="s">
        <v>47</v>
      </c>
      <c r="H38" s="101" t="s">
        <v>48</v>
      </c>
      <c r="I38" s="67"/>
      <c r="J38" s="67"/>
      <c r="K38" s="67"/>
      <c r="L38" s="196">
        <f>SUM(M30:M36)</f>
        <v>0</v>
      </c>
      <c r="M38" s="173"/>
      <c r="N38" s="173"/>
      <c r="O38" s="173"/>
      <c r="P38" s="175"/>
      <c r="Q38" s="95"/>
      <c r="R38" s="29"/>
    </row>
    <row r="39" spans="2:18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2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 t="s">
        <v>49</v>
      </c>
      <c r="E50" s="43"/>
      <c r="F50" s="43"/>
      <c r="G50" s="43"/>
      <c r="H50" s="44"/>
      <c r="I50" s="28"/>
      <c r="J50" s="42" t="s">
        <v>50</v>
      </c>
      <c r="K50" s="43"/>
      <c r="L50" s="43"/>
      <c r="M50" s="43"/>
      <c r="N50" s="43"/>
      <c r="O50" s="43"/>
      <c r="P50" s="44"/>
      <c r="Q50" s="28"/>
      <c r="R50" s="29"/>
    </row>
    <row r="51" spans="2:18" ht="13.5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 t="s">
        <v>51</v>
      </c>
      <c r="E59" s="48"/>
      <c r="F59" s="48"/>
      <c r="G59" s="49" t="s">
        <v>52</v>
      </c>
      <c r="H59" s="50"/>
      <c r="I59" s="28"/>
      <c r="J59" s="47" t="s">
        <v>51</v>
      </c>
      <c r="K59" s="48"/>
      <c r="L59" s="48"/>
      <c r="M59" s="48"/>
      <c r="N59" s="49" t="s">
        <v>52</v>
      </c>
      <c r="O59" s="48"/>
      <c r="P59" s="50"/>
      <c r="Q59" s="28"/>
      <c r="R59" s="29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53</v>
      </c>
      <c r="E61" s="43"/>
      <c r="F61" s="43"/>
      <c r="G61" s="43"/>
      <c r="H61" s="44"/>
      <c r="I61" s="28"/>
      <c r="J61" s="42" t="s">
        <v>54</v>
      </c>
      <c r="K61" s="43"/>
      <c r="L61" s="43"/>
      <c r="M61" s="43"/>
      <c r="N61" s="43"/>
      <c r="O61" s="43"/>
      <c r="P61" s="44"/>
      <c r="Q61" s="28"/>
      <c r="R61" s="29"/>
    </row>
    <row r="62" spans="2:18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51</v>
      </c>
      <c r="E70" s="48"/>
      <c r="F70" s="48"/>
      <c r="G70" s="49" t="s">
        <v>52</v>
      </c>
      <c r="H70" s="50"/>
      <c r="I70" s="28"/>
      <c r="J70" s="47" t="s">
        <v>51</v>
      </c>
      <c r="K70" s="48"/>
      <c r="L70" s="48"/>
      <c r="M70" s="48"/>
      <c r="N70" s="49" t="s">
        <v>52</v>
      </c>
      <c r="O70" s="48"/>
      <c r="P70" s="50"/>
      <c r="Q70" s="28"/>
      <c r="R70" s="29"/>
    </row>
    <row r="71" spans="2:18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75" customHeight="1">
      <c r="B76" s="27"/>
      <c r="C76" s="159" t="s">
        <v>106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29"/>
    </row>
    <row r="77" spans="2:18" s="1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>
      <c r="B78" s="27"/>
      <c r="C78" s="24" t="s">
        <v>15</v>
      </c>
      <c r="D78" s="28"/>
      <c r="E78" s="28"/>
      <c r="F78" s="192" t="str">
        <f>F6</f>
        <v>Pavilon 7 - Pavilon 7 SOUE - I+II+III  Etapa stupačky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28"/>
      <c r="R78" s="29"/>
    </row>
    <row r="79" spans="2:18" s="1" customFormat="1" ht="36.75" customHeight="1">
      <c r="B79" s="27"/>
      <c r="C79" s="61" t="s">
        <v>102</v>
      </c>
      <c r="D79" s="28"/>
      <c r="E79" s="28"/>
      <c r="F79" s="187" t="str">
        <f>F7</f>
        <v>02 - Rekonstrukce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28"/>
      <c r="R79" s="29"/>
    </row>
    <row r="80" spans="2:18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18" s="1" customFormat="1" ht="18" customHeight="1">
      <c r="B81" s="27"/>
      <c r="C81" s="24" t="s">
        <v>20</v>
      </c>
      <c r="D81" s="28"/>
      <c r="E81" s="28"/>
      <c r="F81" s="22"/>
      <c r="G81" s="28"/>
      <c r="H81" s="28"/>
      <c r="I81" s="28"/>
      <c r="J81" s="28"/>
      <c r="K81" s="24" t="s">
        <v>22</v>
      </c>
      <c r="L81" s="28"/>
      <c r="M81" s="193"/>
      <c r="N81" s="170"/>
      <c r="O81" s="170"/>
      <c r="P81" s="170"/>
      <c r="Q81" s="28"/>
      <c r="R81" s="29"/>
    </row>
    <row r="82" spans="2:18" s="1" customFormat="1" ht="6.7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18" s="1" customFormat="1" ht="15">
      <c r="B83" s="27"/>
      <c r="C83" s="24" t="s">
        <v>25</v>
      </c>
      <c r="D83" s="28"/>
      <c r="E83" s="28"/>
      <c r="F83" s="22"/>
      <c r="G83" s="28"/>
      <c r="H83" s="28"/>
      <c r="I83" s="28"/>
      <c r="J83" s="28"/>
      <c r="K83" s="24" t="s">
        <v>30</v>
      </c>
      <c r="L83" s="28"/>
      <c r="M83" s="161" t="str">
        <f>E18</f>
        <v> </v>
      </c>
      <c r="N83" s="170"/>
      <c r="O83" s="170"/>
      <c r="P83" s="170"/>
      <c r="Q83" s="170"/>
      <c r="R83" s="29"/>
    </row>
    <row r="84" spans="2:18" s="1" customFormat="1" ht="14.25" customHeight="1">
      <c r="B84" s="27"/>
      <c r="C84" s="24" t="s">
        <v>29</v>
      </c>
      <c r="D84" s="28"/>
      <c r="E84" s="28"/>
      <c r="F84" s="22"/>
      <c r="G84" s="28"/>
      <c r="H84" s="28"/>
      <c r="I84" s="28"/>
      <c r="J84" s="28"/>
      <c r="K84" s="24" t="s">
        <v>33</v>
      </c>
      <c r="L84" s="28"/>
      <c r="M84" s="161"/>
      <c r="N84" s="170"/>
      <c r="O84" s="170"/>
      <c r="P84" s="170"/>
      <c r="Q84" s="170"/>
      <c r="R84" s="29"/>
    </row>
    <row r="85" spans="2:18" s="1" customFormat="1" ht="9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18" s="1" customFormat="1" ht="29.25" customHeight="1">
      <c r="B86" s="27"/>
      <c r="C86" s="197" t="s">
        <v>107</v>
      </c>
      <c r="D86" s="198"/>
      <c r="E86" s="198"/>
      <c r="F86" s="198"/>
      <c r="G86" s="198"/>
      <c r="H86" s="95"/>
      <c r="I86" s="95"/>
      <c r="J86" s="95"/>
      <c r="K86" s="95"/>
      <c r="L86" s="95"/>
      <c r="M86" s="95"/>
      <c r="N86" s="197" t="s">
        <v>108</v>
      </c>
      <c r="O86" s="170"/>
      <c r="P86" s="170"/>
      <c r="Q86" s="170"/>
      <c r="R86" s="29"/>
    </row>
    <row r="87" spans="2:18" s="1" customFormat="1" ht="9.7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>
      <c r="B88" s="27"/>
      <c r="C88" s="102" t="s">
        <v>109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84">
        <f>N123</f>
        <v>0</v>
      </c>
      <c r="O88" s="170"/>
      <c r="P88" s="170"/>
      <c r="Q88" s="170"/>
      <c r="R88" s="29"/>
      <c r="AU88" s="13" t="s">
        <v>110</v>
      </c>
    </row>
    <row r="89" spans="2:18" s="6" customFormat="1" ht="24.75" customHeight="1">
      <c r="B89" s="103"/>
      <c r="C89" s="104"/>
      <c r="D89" s="105" t="s">
        <v>151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9">
        <f>N124</f>
        <v>0</v>
      </c>
      <c r="O89" s="200"/>
      <c r="P89" s="200"/>
      <c r="Q89" s="200"/>
      <c r="R89" s="106"/>
    </row>
    <row r="90" spans="2:18" s="7" customFormat="1" ht="19.5" customHeight="1">
      <c r="B90" s="107"/>
      <c r="C90" s="108"/>
      <c r="D90" s="109" t="s">
        <v>273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01">
        <f>N125</f>
        <v>0</v>
      </c>
      <c r="O90" s="202"/>
      <c r="P90" s="202"/>
      <c r="Q90" s="202"/>
      <c r="R90" s="110"/>
    </row>
    <row r="91" spans="2:18" s="7" customFormat="1" ht="19.5" customHeight="1">
      <c r="B91" s="107"/>
      <c r="C91" s="108"/>
      <c r="D91" s="109" t="s">
        <v>274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01">
        <f>N127</f>
        <v>0</v>
      </c>
      <c r="O91" s="202"/>
      <c r="P91" s="202"/>
      <c r="Q91" s="202"/>
      <c r="R91" s="110"/>
    </row>
    <row r="92" spans="2:18" s="7" customFormat="1" ht="19.5" customHeight="1">
      <c r="B92" s="107"/>
      <c r="C92" s="108"/>
      <c r="D92" s="109" t="s">
        <v>275</v>
      </c>
      <c r="E92" s="108"/>
      <c r="F92" s="108"/>
      <c r="G92" s="108"/>
      <c r="H92" s="108"/>
      <c r="I92" s="108"/>
      <c r="J92" s="108"/>
      <c r="K92" s="108"/>
      <c r="L92" s="108"/>
      <c r="M92" s="108"/>
      <c r="N92" s="201">
        <f>N129</f>
        <v>0</v>
      </c>
      <c r="O92" s="202"/>
      <c r="P92" s="202"/>
      <c r="Q92" s="202"/>
      <c r="R92" s="110"/>
    </row>
    <row r="93" spans="2:18" s="7" customFormat="1" ht="14.25" customHeight="1">
      <c r="B93" s="107"/>
      <c r="C93" s="108"/>
      <c r="D93" s="109" t="s">
        <v>276</v>
      </c>
      <c r="E93" s="108"/>
      <c r="F93" s="108"/>
      <c r="G93" s="108"/>
      <c r="H93" s="108"/>
      <c r="I93" s="108"/>
      <c r="J93" s="108"/>
      <c r="K93" s="108"/>
      <c r="L93" s="108"/>
      <c r="M93" s="108"/>
      <c r="N93" s="201">
        <f>N130</f>
        <v>0</v>
      </c>
      <c r="O93" s="202"/>
      <c r="P93" s="202"/>
      <c r="Q93" s="202"/>
      <c r="R93" s="110"/>
    </row>
    <row r="94" spans="2:18" s="7" customFormat="1" ht="14.25" customHeight="1">
      <c r="B94" s="107"/>
      <c r="C94" s="108"/>
      <c r="D94" s="109" t="s">
        <v>277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01">
        <f>N139</f>
        <v>0</v>
      </c>
      <c r="O94" s="202"/>
      <c r="P94" s="202"/>
      <c r="Q94" s="202"/>
      <c r="R94" s="110"/>
    </row>
    <row r="95" spans="2:18" s="7" customFormat="1" ht="19.5" customHeight="1">
      <c r="B95" s="107"/>
      <c r="C95" s="108"/>
      <c r="D95" s="109" t="s">
        <v>152</v>
      </c>
      <c r="E95" s="108"/>
      <c r="F95" s="108"/>
      <c r="G95" s="108"/>
      <c r="H95" s="108"/>
      <c r="I95" s="108"/>
      <c r="J95" s="108"/>
      <c r="K95" s="108"/>
      <c r="L95" s="108"/>
      <c r="M95" s="108"/>
      <c r="N95" s="201">
        <f>N142</f>
        <v>0</v>
      </c>
      <c r="O95" s="202"/>
      <c r="P95" s="202"/>
      <c r="Q95" s="202"/>
      <c r="R95" s="110"/>
    </row>
    <row r="96" spans="2:18" s="7" customFormat="1" ht="19.5" customHeight="1">
      <c r="B96" s="107"/>
      <c r="C96" s="108"/>
      <c r="D96" s="109" t="s">
        <v>278</v>
      </c>
      <c r="E96" s="108"/>
      <c r="F96" s="108"/>
      <c r="G96" s="108"/>
      <c r="H96" s="108"/>
      <c r="I96" s="108"/>
      <c r="J96" s="108"/>
      <c r="K96" s="108"/>
      <c r="L96" s="108"/>
      <c r="M96" s="108"/>
      <c r="N96" s="201">
        <f>N144</f>
        <v>0</v>
      </c>
      <c r="O96" s="202"/>
      <c r="P96" s="202"/>
      <c r="Q96" s="202"/>
      <c r="R96" s="110"/>
    </row>
    <row r="97" spans="2:18" s="6" customFormat="1" ht="24.75" customHeight="1">
      <c r="B97" s="103"/>
      <c r="C97" s="104"/>
      <c r="D97" s="105" t="s">
        <v>158</v>
      </c>
      <c r="E97" s="104"/>
      <c r="F97" s="104"/>
      <c r="G97" s="104"/>
      <c r="H97" s="104"/>
      <c r="I97" s="104"/>
      <c r="J97" s="104"/>
      <c r="K97" s="104"/>
      <c r="L97" s="104"/>
      <c r="M97" s="104"/>
      <c r="N97" s="199">
        <f>N146</f>
        <v>0</v>
      </c>
      <c r="O97" s="200"/>
      <c r="P97" s="200"/>
      <c r="Q97" s="200"/>
      <c r="R97" s="106"/>
    </row>
    <row r="98" spans="2:18" s="7" customFormat="1" ht="19.5" customHeight="1">
      <c r="B98" s="107"/>
      <c r="C98" s="108"/>
      <c r="D98" s="109" t="s">
        <v>279</v>
      </c>
      <c r="E98" s="108"/>
      <c r="F98" s="108"/>
      <c r="G98" s="108"/>
      <c r="H98" s="108"/>
      <c r="I98" s="108"/>
      <c r="J98" s="108"/>
      <c r="K98" s="108"/>
      <c r="L98" s="108"/>
      <c r="M98" s="108"/>
      <c r="N98" s="201">
        <f>N147</f>
        <v>0</v>
      </c>
      <c r="O98" s="202"/>
      <c r="P98" s="202"/>
      <c r="Q98" s="202"/>
      <c r="R98" s="110"/>
    </row>
    <row r="99" spans="2:18" s="7" customFormat="1" ht="19.5" customHeight="1">
      <c r="B99" s="107"/>
      <c r="C99" s="108"/>
      <c r="D99" s="109" t="s">
        <v>161</v>
      </c>
      <c r="E99" s="108"/>
      <c r="F99" s="108"/>
      <c r="G99" s="108"/>
      <c r="H99" s="108"/>
      <c r="I99" s="108"/>
      <c r="J99" s="108"/>
      <c r="K99" s="108"/>
      <c r="L99" s="108"/>
      <c r="M99" s="108"/>
      <c r="N99" s="201">
        <f>N157</f>
        <v>0</v>
      </c>
      <c r="O99" s="202"/>
      <c r="P99" s="202"/>
      <c r="Q99" s="202"/>
      <c r="R99" s="110"/>
    </row>
    <row r="100" spans="2:18" s="7" customFormat="1" ht="19.5" customHeight="1">
      <c r="B100" s="107"/>
      <c r="C100" s="108"/>
      <c r="D100" s="109" t="s">
        <v>280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201">
        <f>N159</f>
        <v>0</v>
      </c>
      <c r="O100" s="202"/>
      <c r="P100" s="202"/>
      <c r="Q100" s="202"/>
      <c r="R100" s="110"/>
    </row>
    <row r="101" spans="2:18" s="7" customFormat="1" ht="19.5" customHeight="1">
      <c r="B101" s="107"/>
      <c r="C101" s="108"/>
      <c r="D101" s="109" t="s">
        <v>162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201">
        <f>N173</f>
        <v>0</v>
      </c>
      <c r="O101" s="202"/>
      <c r="P101" s="202"/>
      <c r="Q101" s="202"/>
      <c r="R101" s="110"/>
    </row>
    <row r="102" spans="2:18" s="7" customFormat="1" ht="19.5" customHeight="1">
      <c r="B102" s="107"/>
      <c r="C102" s="108"/>
      <c r="D102" s="109" t="s">
        <v>163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201">
        <f>N178</f>
        <v>0</v>
      </c>
      <c r="O102" s="202"/>
      <c r="P102" s="202"/>
      <c r="Q102" s="202"/>
      <c r="R102" s="110"/>
    </row>
    <row r="103" spans="2:18" s="1" customFormat="1" ht="21.75" customHeight="1"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9"/>
    </row>
    <row r="104" spans="2:21" s="1" customFormat="1" ht="29.25" customHeight="1">
      <c r="B104" s="27"/>
      <c r="C104" s="102" t="s">
        <v>114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03">
        <v>0</v>
      </c>
      <c r="O104" s="170"/>
      <c r="P104" s="170"/>
      <c r="Q104" s="170"/>
      <c r="R104" s="29"/>
      <c r="T104" s="111"/>
      <c r="U104" s="112" t="s">
        <v>39</v>
      </c>
    </row>
    <row r="105" spans="2:18" s="1" customFormat="1" ht="18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18" s="1" customFormat="1" ht="29.25" customHeight="1">
      <c r="B106" s="27"/>
      <c r="C106" s="94" t="s">
        <v>98</v>
      </c>
      <c r="D106" s="95"/>
      <c r="E106" s="95"/>
      <c r="F106" s="95"/>
      <c r="G106" s="95"/>
      <c r="H106" s="95"/>
      <c r="I106" s="95"/>
      <c r="J106" s="95"/>
      <c r="K106" s="95"/>
      <c r="L106" s="185">
        <f>ROUND(SUM(N88+N104),2)</f>
        <v>0</v>
      </c>
      <c r="M106" s="198"/>
      <c r="N106" s="198"/>
      <c r="O106" s="198"/>
      <c r="P106" s="198"/>
      <c r="Q106" s="198"/>
      <c r="R106" s="29"/>
    </row>
    <row r="107" spans="2:18" s="1" customFormat="1" ht="6.75" customHeight="1"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3"/>
    </row>
    <row r="111" spans="2:18" s="1" customFormat="1" ht="6.75" customHeight="1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6"/>
    </row>
    <row r="112" spans="2:18" s="1" customFormat="1" ht="36.75" customHeight="1">
      <c r="B112" s="27"/>
      <c r="C112" s="159" t="s">
        <v>115</v>
      </c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29"/>
    </row>
    <row r="113" spans="2:18" s="1" customFormat="1" ht="6.75" customHeight="1"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</row>
    <row r="114" spans="2:18" s="1" customFormat="1" ht="30" customHeight="1">
      <c r="B114" s="27"/>
      <c r="C114" s="24" t="s">
        <v>15</v>
      </c>
      <c r="D114" s="28"/>
      <c r="E114" s="28"/>
      <c r="F114" s="192" t="str">
        <f>F6</f>
        <v>Pavilon 7 - Pavilon 7 SOUE - I+II+III  Etapa stupačky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28"/>
      <c r="R114" s="29"/>
    </row>
    <row r="115" spans="2:18" s="1" customFormat="1" ht="36.75" customHeight="1">
      <c r="B115" s="27"/>
      <c r="C115" s="61" t="s">
        <v>102</v>
      </c>
      <c r="D115" s="28"/>
      <c r="E115" s="28"/>
      <c r="F115" s="187" t="str">
        <f>F7</f>
        <v>02 - Rekonstrukce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28"/>
      <c r="R115" s="29"/>
    </row>
    <row r="116" spans="2:18" s="1" customFormat="1" ht="6.75" customHeight="1">
      <c r="B116" s="27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9"/>
    </row>
    <row r="117" spans="2:18" s="1" customFormat="1" ht="18" customHeight="1">
      <c r="B117" s="27"/>
      <c r="C117" s="24" t="s">
        <v>20</v>
      </c>
      <c r="D117" s="28"/>
      <c r="E117" s="28"/>
      <c r="F117" s="22" t="str">
        <f>F9</f>
        <v>Plzeň</v>
      </c>
      <c r="G117" s="28"/>
      <c r="H117" s="28"/>
      <c r="I117" s="28"/>
      <c r="J117" s="28"/>
      <c r="K117" s="24" t="s">
        <v>22</v>
      </c>
      <c r="L117" s="28"/>
      <c r="M117" s="193">
        <f>IF(O9="","",O9)</f>
      </c>
      <c r="N117" s="170"/>
      <c r="O117" s="170"/>
      <c r="P117" s="170"/>
      <c r="Q117" s="28"/>
      <c r="R117" s="29"/>
    </row>
    <row r="118" spans="2:18" s="1" customFormat="1" ht="6.75" customHeight="1">
      <c r="B118" s="2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9"/>
    </row>
    <row r="119" spans="2:18" s="1" customFormat="1" ht="15">
      <c r="B119" s="27"/>
      <c r="C119" s="24" t="s">
        <v>25</v>
      </c>
      <c r="D119" s="28"/>
      <c r="E119" s="28"/>
      <c r="F119" s="22">
        <f>E12</f>
        <v>0</v>
      </c>
      <c r="G119" s="28"/>
      <c r="H119" s="28"/>
      <c r="I119" s="28"/>
      <c r="J119" s="28"/>
      <c r="K119" s="24" t="s">
        <v>30</v>
      </c>
      <c r="L119" s="28"/>
      <c r="M119" s="161" t="str">
        <f>E18</f>
        <v> </v>
      </c>
      <c r="N119" s="170"/>
      <c r="O119" s="170"/>
      <c r="P119" s="170"/>
      <c r="Q119" s="170"/>
      <c r="R119" s="29"/>
    </row>
    <row r="120" spans="2:18" s="1" customFormat="1" ht="14.25" customHeight="1">
      <c r="B120" s="27"/>
      <c r="C120" s="24" t="s">
        <v>29</v>
      </c>
      <c r="D120" s="28"/>
      <c r="E120" s="28"/>
      <c r="F120" s="22">
        <f>IF(E15="","",E15)</f>
      </c>
      <c r="G120" s="28"/>
      <c r="H120" s="28"/>
      <c r="I120" s="28"/>
      <c r="J120" s="28"/>
      <c r="K120" s="24" t="s">
        <v>33</v>
      </c>
      <c r="L120" s="28"/>
      <c r="M120" s="161">
        <f>E21</f>
        <v>0</v>
      </c>
      <c r="N120" s="170"/>
      <c r="O120" s="170"/>
      <c r="P120" s="170"/>
      <c r="Q120" s="170"/>
      <c r="R120" s="29"/>
    </row>
    <row r="121" spans="2:18" s="1" customFormat="1" ht="9.75" customHeight="1">
      <c r="B121" s="2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9"/>
    </row>
    <row r="122" spans="2:27" s="8" customFormat="1" ht="29.25" customHeight="1">
      <c r="B122" s="113"/>
      <c r="C122" s="114" t="s">
        <v>116</v>
      </c>
      <c r="D122" s="115" t="s">
        <v>117</v>
      </c>
      <c r="E122" s="115" t="s">
        <v>57</v>
      </c>
      <c r="F122" s="204" t="s">
        <v>118</v>
      </c>
      <c r="G122" s="205"/>
      <c r="H122" s="205"/>
      <c r="I122" s="205"/>
      <c r="J122" s="115" t="s">
        <v>119</v>
      </c>
      <c r="K122" s="115" t="s">
        <v>120</v>
      </c>
      <c r="L122" s="206" t="s">
        <v>121</v>
      </c>
      <c r="M122" s="205"/>
      <c r="N122" s="204" t="s">
        <v>108</v>
      </c>
      <c r="O122" s="205"/>
      <c r="P122" s="205"/>
      <c r="Q122" s="207"/>
      <c r="R122" s="116"/>
      <c r="T122" s="68" t="s">
        <v>122</v>
      </c>
      <c r="U122" s="69" t="s">
        <v>39</v>
      </c>
      <c r="V122" s="69" t="s">
        <v>123</v>
      </c>
      <c r="W122" s="69" t="s">
        <v>124</v>
      </c>
      <c r="X122" s="69" t="s">
        <v>125</v>
      </c>
      <c r="Y122" s="69" t="s">
        <v>126</v>
      </c>
      <c r="Z122" s="69" t="s">
        <v>127</v>
      </c>
      <c r="AA122" s="70" t="s">
        <v>128</v>
      </c>
    </row>
    <row r="123" spans="2:63" s="1" customFormat="1" ht="29.25" customHeight="1">
      <c r="B123" s="27"/>
      <c r="C123" s="72" t="s">
        <v>104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14">
        <f>N124+N146</f>
        <v>0</v>
      </c>
      <c r="O123" s="215"/>
      <c r="P123" s="215"/>
      <c r="Q123" s="215"/>
      <c r="R123" s="29"/>
      <c r="T123" s="71"/>
      <c r="U123" s="43"/>
      <c r="V123" s="43"/>
      <c r="W123" s="117">
        <f>W124+W146</f>
        <v>2668.553781</v>
      </c>
      <c r="X123" s="43"/>
      <c r="Y123" s="117">
        <f>Y124+Y146</f>
        <v>51.70109749999999</v>
      </c>
      <c r="Z123" s="43"/>
      <c r="AA123" s="118">
        <f>AA124+AA146</f>
        <v>1.584</v>
      </c>
      <c r="AT123" s="13" t="s">
        <v>74</v>
      </c>
      <c r="AU123" s="13" t="s">
        <v>110</v>
      </c>
      <c r="BK123" s="119">
        <f>BK124+BK146</f>
        <v>0</v>
      </c>
    </row>
    <row r="124" spans="2:63" s="9" customFormat="1" ht="36.75" customHeight="1">
      <c r="B124" s="120"/>
      <c r="C124" s="121"/>
      <c r="D124" s="122" t="s">
        <v>151</v>
      </c>
      <c r="E124" s="122"/>
      <c r="F124" s="122"/>
      <c r="G124" s="122"/>
      <c r="H124" s="122"/>
      <c r="I124" s="122"/>
      <c r="J124" s="122"/>
      <c r="K124" s="122"/>
      <c r="L124" s="122"/>
      <c r="M124" s="122"/>
      <c r="N124" s="216">
        <f>N125+N127+N129+N142+N144</f>
        <v>0</v>
      </c>
      <c r="O124" s="199"/>
      <c r="P124" s="199"/>
      <c r="Q124" s="199"/>
      <c r="R124" s="123"/>
      <c r="T124" s="124"/>
      <c r="U124" s="121"/>
      <c r="V124" s="121"/>
      <c r="W124" s="125">
        <f>W125+W127+W129+W142+W144</f>
        <v>973.198311</v>
      </c>
      <c r="X124" s="121"/>
      <c r="Y124" s="125">
        <f>Y125+Y127+Y129+Y142+Y144</f>
        <v>33.30047681999999</v>
      </c>
      <c r="Z124" s="121"/>
      <c r="AA124" s="126">
        <f>AA125+AA127+AA129+AA142+AA144</f>
        <v>0</v>
      </c>
      <c r="AR124" s="127" t="s">
        <v>19</v>
      </c>
      <c r="AT124" s="128" t="s">
        <v>74</v>
      </c>
      <c r="AU124" s="128" t="s">
        <v>75</v>
      </c>
      <c r="AY124" s="127" t="s">
        <v>130</v>
      </c>
      <c r="BK124" s="129">
        <f>BK125+BK127+BK129+BK142+BK144</f>
        <v>0</v>
      </c>
    </row>
    <row r="125" spans="2:63" s="9" customFormat="1" ht="19.5" customHeight="1">
      <c r="B125" s="120"/>
      <c r="C125" s="121"/>
      <c r="D125" s="130" t="s">
        <v>273</v>
      </c>
      <c r="E125" s="130"/>
      <c r="F125" s="130"/>
      <c r="G125" s="130"/>
      <c r="H125" s="130"/>
      <c r="I125" s="130"/>
      <c r="J125" s="130"/>
      <c r="K125" s="130"/>
      <c r="L125" s="130"/>
      <c r="M125" s="130"/>
      <c r="N125" s="217">
        <f>BK125</f>
        <v>0</v>
      </c>
      <c r="O125" s="218"/>
      <c r="P125" s="218"/>
      <c r="Q125" s="218"/>
      <c r="R125" s="123"/>
      <c r="T125" s="124"/>
      <c r="U125" s="121"/>
      <c r="V125" s="121"/>
      <c r="W125" s="125">
        <f>SUM(W126:W126)</f>
        <v>71.8998</v>
      </c>
      <c r="X125" s="121"/>
      <c r="Y125" s="125">
        <f>SUM(Y126:Y126)</f>
        <v>7.2343886999999985</v>
      </c>
      <c r="Z125" s="121"/>
      <c r="AA125" s="126">
        <f>SUM(AA126:AA126)</f>
        <v>0</v>
      </c>
      <c r="AR125" s="127" t="s">
        <v>19</v>
      </c>
      <c r="AT125" s="128" t="s">
        <v>74</v>
      </c>
      <c r="AU125" s="128" t="s">
        <v>19</v>
      </c>
      <c r="AY125" s="127" t="s">
        <v>130</v>
      </c>
      <c r="BK125" s="129">
        <f>SUM(BK126:BK126)</f>
        <v>0</v>
      </c>
    </row>
    <row r="126" spans="2:65" s="1" customFormat="1" ht="31.5" customHeight="1">
      <c r="B126" s="131"/>
      <c r="C126" s="132" t="s">
        <v>19</v>
      </c>
      <c r="D126" s="132" t="s">
        <v>131</v>
      </c>
      <c r="E126" s="133" t="s">
        <v>281</v>
      </c>
      <c r="F126" s="226" t="s">
        <v>539</v>
      </c>
      <c r="G126" s="209"/>
      <c r="H126" s="209"/>
      <c r="I126" s="209"/>
      <c r="J126" s="134" t="s">
        <v>174</v>
      </c>
      <c r="K126" s="135">
        <f>35.245*3</f>
        <v>105.73499999999999</v>
      </c>
      <c r="L126" s="210"/>
      <c r="M126" s="209"/>
      <c r="N126" s="210">
        <f>K126*L126</f>
        <v>0</v>
      </c>
      <c r="O126" s="209"/>
      <c r="P126" s="209"/>
      <c r="Q126" s="209"/>
      <c r="R126" s="136"/>
      <c r="T126" s="137" t="s">
        <v>3</v>
      </c>
      <c r="U126" s="36" t="s">
        <v>40</v>
      </c>
      <c r="V126" s="138">
        <v>0.68</v>
      </c>
      <c r="W126" s="138">
        <f>V126*K126</f>
        <v>71.8998</v>
      </c>
      <c r="X126" s="138">
        <v>0.06842</v>
      </c>
      <c r="Y126" s="138">
        <f>X126*K126</f>
        <v>7.2343886999999985</v>
      </c>
      <c r="Z126" s="138">
        <v>0</v>
      </c>
      <c r="AA126" s="139">
        <f>Z126*K126</f>
        <v>0</v>
      </c>
      <c r="AR126" s="13" t="s">
        <v>146</v>
      </c>
      <c r="AT126" s="13" t="s">
        <v>131</v>
      </c>
      <c r="AU126" s="13" t="s">
        <v>100</v>
      </c>
      <c r="AY126" s="13" t="s">
        <v>130</v>
      </c>
      <c r="BE126" s="140">
        <f>IF(U126="základní",N126,0)</f>
        <v>0</v>
      </c>
      <c r="BF126" s="140">
        <f>IF(U126="snížená",N126,0)</f>
        <v>0</v>
      </c>
      <c r="BG126" s="140">
        <f>IF(U126="zákl. přenesená",N126,0)</f>
        <v>0</v>
      </c>
      <c r="BH126" s="140">
        <f>IF(U126="sníž. přenesená",N126,0)</f>
        <v>0</v>
      </c>
      <c r="BI126" s="140">
        <f>IF(U126="nulová",N126,0)</f>
        <v>0</v>
      </c>
      <c r="BJ126" s="13" t="s">
        <v>19</v>
      </c>
      <c r="BK126" s="140">
        <f>ROUND(L126*K126,2)</f>
        <v>0</v>
      </c>
      <c r="BL126" s="13" t="s">
        <v>146</v>
      </c>
      <c r="BM126" s="13" t="s">
        <v>282</v>
      </c>
    </row>
    <row r="127" spans="2:63" s="9" customFormat="1" ht="29.25" customHeight="1">
      <c r="B127" s="120"/>
      <c r="C127" s="121"/>
      <c r="D127" s="130" t="s">
        <v>274</v>
      </c>
      <c r="E127" s="130"/>
      <c r="F127" s="130"/>
      <c r="G127" s="130"/>
      <c r="H127" s="130"/>
      <c r="I127" s="130"/>
      <c r="J127" s="130"/>
      <c r="K127" s="130"/>
      <c r="L127" s="130"/>
      <c r="M127" s="130"/>
      <c r="N127" s="217">
        <f>BK127</f>
        <v>0</v>
      </c>
      <c r="O127" s="218"/>
      <c r="P127" s="218"/>
      <c r="Q127" s="218"/>
      <c r="R127" s="123"/>
      <c r="T127" s="124"/>
      <c r="U127" s="121"/>
      <c r="V127" s="121"/>
      <c r="W127" s="125">
        <f>SUM(W128:W128)</f>
        <v>88.902</v>
      </c>
      <c r="X127" s="121"/>
      <c r="Y127" s="125">
        <f>SUM(Y128:Y128)</f>
        <v>3.51648</v>
      </c>
      <c r="Z127" s="121"/>
      <c r="AA127" s="126">
        <f>SUM(AA128:AA128)</f>
        <v>0</v>
      </c>
      <c r="AR127" s="127" t="s">
        <v>19</v>
      </c>
      <c r="AT127" s="128" t="s">
        <v>74</v>
      </c>
      <c r="AU127" s="128" t="s">
        <v>19</v>
      </c>
      <c r="AY127" s="127" t="s">
        <v>130</v>
      </c>
      <c r="BK127" s="129">
        <f>SUM(BK128:BK128)</f>
        <v>0</v>
      </c>
    </row>
    <row r="128" spans="2:65" s="1" customFormat="1" ht="31.5" customHeight="1">
      <c r="B128" s="131"/>
      <c r="C128" s="132" t="s">
        <v>100</v>
      </c>
      <c r="D128" s="132" t="s">
        <v>131</v>
      </c>
      <c r="E128" s="133" t="s">
        <v>283</v>
      </c>
      <c r="F128" s="208" t="s">
        <v>284</v>
      </c>
      <c r="G128" s="209"/>
      <c r="H128" s="209"/>
      <c r="I128" s="209"/>
      <c r="J128" s="134" t="s">
        <v>238</v>
      </c>
      <c r="K128" s="135">
        <v>66</v>
      </c>
      <c r="L128" s="210"/>
      <c r="M128" s="209"/>
      <c r="N128" s="210">
        <f>K128*L128</f>
        <v>0</v>
      </c>
      <c r="O128" s="209"/>
      <c r="P128" s="209"/>
      <c r="Q128" s="209"/>
      <c r="R128" s="136"/>
      <c r="T128" s="137" t="s">
        <v>3</v>
      </c>
      <c r="U128" s="36" t="s">
        <v>40</v>
      </c>
      <c r="V128" s="138">
        <v>1.347</v>
      </c>
      <c r="W128" s="138">
        <f>V128*K128</f>
        <v>88.902</v>
      </c>
      <c r="X128" s="138">
        <v>0.05328</v>
      </c>
      <c r="Y128" s="138">
        <f>X128*K128</f>
        <v>3.51648</v>
      </c>
      <c r="Z128" s="138">
        <v>0</v>
      </c>
      <c r="AA128" s="139">
        <f>Z128*K128</f>
        <v>0</v>
      </c>
      <c r="AR128" s="13" t="s">
        <v>146</v>
      </c>
      <c r="AT128" s="13" t="s">
        <v>131</v>
      </c>
      <c r="AU128" s="13" t="s">
        <v>100</v>
      </c>
      <c r="AY128" s="13" t="s">
        <v>130</v>
      </c>
      <c r="BE128" s="140">
        <f>IF(U128="základní",N128,0)</f>
        <v>0</v>
      </c>
      <c r="BF128" s="140">
        <f>IF(U128="snížená",N128,0)</f>
        <v>0</v>
      </c>
      <c r="BG128" s="140">
        <f>IF(U128="zákl. přenesená",N128,0)</f>
        <v>0</v>
      </c>
      <c r="BH128" s="140">
        <f>IF(U128="sníž. přenesená",N128,0)</f>
        <v>0</v>
      </c>
      <c r="BI128" s="140">
        <f>IF(U128="nulová",N128,0)</f>
        <v>0</v>
      </c>
      <c r="BJ128" s="13" t="s">
        <v>19</v>
      </c>
      <c r="BK128" s="140">
        <f>ROUND(L128*K128,2)</f>
        <v>0</v>
      </c>
      <c r="BL128" s="13" t="s">
        <v>146</v>
      </c>
      <c r="BM128" s="13" t="s">
        <v>285</v>
      </c>
    </row>
    <row r="129" spans="2:63" s="9" customFormat="1" ht="29.25" customHeight="1">
      <c r="B129" s="120"/>
      <c r="C129" s="121"/>
      <c r="D129" s="130" t="s">
        <v>275</v>
      </c>
      <c r="E129" s="130"/>
      <c r="F129" s="130"/>
      <c r="G129" s="130"/>
      <c r="H129" s="130"/>
      <c r="I129" s="130"/>
      <c r="J129" s="130"/>
      <c r="K129" s="130"/>
      <c r="L129" s="130"/>
      <c r="M129" s="130"/>
      <c r="N129" s="221">
        <f>BK129</f>
        <v>0</v>
      </c>
      <c r="O129" s="201"/>
      <c r="P129" s="201"/>
      <c r="Q129" s="201"/>
      <c r="R129" s="123"/>
      <c r="T129" s="124"/>
      <c r="U129" s="121"/>
      <c r="V129" s="121"/>
      <c r="W129" s="125">
        <f>W130+W139</f>
        <v>409.283031</v>
      </c>
      <c r="X129" s="121"/>
      <c r="Y129" s="125">
        <f>Y130+Y139</f>
        <v>22.515770519999997</v>
      </c>
      <c r="Z129" s="121"/>
      <c r="AA129" s="126">
        <f>AA130+AA139</f>
        <v>0</v>
      </c>
      <c r="AR129" s="127" t="s">
        <v>19</v>
      </c>
      <c r="AT129" s="128" t="s">
        <v>74</v>
      </c>
      <c r="AU129" s="128" t="s">
        <v>19</v>
      </c>
      <c r="AY129" s="127" t="s">
        <v>130</v>
      </c>
      <c r="BK129" s="129">
        <f>BK130+BK139</f>
        <v>0</v>
      </c>
    </row>
    <row r="130" spans="2:63" s="9" customFormat="1" ht="14.25" customHeight="1">
      <c r="B130" s="120"/>
      <c r="C130" s="121"/>
      <c r="D130" s="130" t="s">
        <v>276</v>
      </c>
      <c r="E130" s="130"/>
      <c r="F130" s="130"/>
      <c r="G130" s="130"/>
      <c r="H130" s="130"/>
      <c r="I130" s="130"/>
      <c r="J130" s="130"/>
      <c r="K130" s="130"/>
      <c r="L130" s="130"/>
      <c r="M130" s="130"/>
      <c r="N130" s="217">
        <f>BK130</f>
        <v>0</v>
      </c>
      <c r="O130" s="218"/>
      <c r="P130" s="218"/>
      <c r="Q130" s="218"/>
      <c r="R130" s="123"/>
      <c r="T130" s="124"/>
      <c r="U130" s="121"/>
      <c r="V130" s="121"/>
      <c r="W130" s="125">
        <f>SUM(W131:W137)</f>
        <v>398.327226</v>
      </c>
      <c r="X130" s="121"/>
      <c r="Y130" s="125">
        <f>SUM(Y131:Y137)</f>
        <v>17.8383777</v>
      </c>
      <c r="Z130" s="121"/>
      <c r="AA130" s="126">
        <f>SUM(AA131:AA137)</f>
        <v>0</v>
      </c>
      <c r="AR130" s="127" t="s">
        <v>19</v>
      </c>
      <c r="AT130" s="128" t="s">
        <v>74</v>
      </c>
      <c r="AU130" s="128" t="s">
        <v>100</v>
      </c>
      <c r="AY130" s="127" t="s">
        <v>130</v>
      </c>
      <c r="BK130" s="129">
        <f>SUM(BK131:BK137)</f>
        <v>0</v>
      </c>
    </row>
    <row r="131" spans="2:65" s="1" customFormat="1" ht="31.5" customHeight="1">
      <c r="B131" s="131"/>
      <c r="C131" s="132" t="s">
        <v>141</v>
      </c>
      <c r="D131" s="132" t="s">
        <v>131</v>
      </c>
      <c r="E131" s="133" t="s">
        <v>286</v>
      </c>
      <c r="F131" s="226" t="s">
        <v>517</v>
      </c>
      <c r="G131" s="209"/>
      <c r="H131" s="209"/>
      <c r="I131" s="209"/>
      <c r="J131" s="134" t="s">
        <v>174</v>
      </c>
      <c r="K131" s="135">
        <f>43.468*3</f>
        <v>130.404</v>
      </c>
      <c r="L131" s="210"/>
      <c r="M131" s="209"/>
      <c r="N131" s="210">
        <f aca="true" t="shared" si="0" ref="N131:N138">K131*L131</f>
        <v>0</v>
      </c>
      <c r="O131" s="209"/>
      <c r="P131" s="209"/>
      <c r="Q131" s="209"/>
      <c r="R131" s="136"/>
      <c r="T131" s="137" t="s">
        <v>3</v>
      </c>
      <c r="U131" s="36" t="s">
        <v>40</v>
      </c>
      <c r="V131" s="138">
        <v>0.38</v>
      </c>
      <c r="W131" s="138">
        <f aca="true" t="shared" si="1" ref="W131:W138">V131*K131</f>
        <v>49.55352</v>
      </c>
      <c r="X131" s="138">
        <v>0.0169</v>
      </c>
      <c r="Y131" s="138">
        <f aca="true" t="shared" si="2" ref="Y131:Y138">X131*K131</f>
        <v>2.2038276</v>
      </c>
      <c r="Z131" s="138">
        <v>0</v>
      </c>
      <c r="AA131" s="139">
        <f aca="true" t="shared" si="3" ref="AA131:AA138">Z131*K131</f>
        <v>0</v>
      </c>
      <c r="AR131" s="13" t="s">
        <v>146</v>
      </c>
      <c r="AT131" s="13" t="s">
        <v>131</v>
      </c>
      <c r="AU131" s="13" t="s">
        <v>141</v>
      </c>
      <c r="AY131" s="13" t="s">
        <v>130</v>
      </c>
      <c r="BE131" s="140">
        <f aca="true" t="shared" si="4" ref="BE131:BE138">IF(U131="základní",N131,0)</f>
        <v>0</v>
      </c>
      <c r="BF131" s="140">
        <f aca="true" t="shared" si="5" ref="BF131:BF138">IF(U131="snížená",N131,0)</f>
        <v>0</v>
      </c>
      <c r="BG131" s="140">
        <f aca="true" t="shared" si="6" ref="BG131:BG138">IF(U131="zákl. přenesená",N131,0)</f>
        <v>0</v>
      </c>
      <c r="BH131" s="140">
        <f aca="true" t="shared" si="7" ref="BH131:BH138">IF(U131="sníž. přenesená",N131,0)</f>
        <v>0</v>
      </c>
      <c r="BI131" s="140">
        <f aca="true" t="shared" si="8" ref="BI131:BI138">IF(U131="nulová",N131,0)</f>
        <v>0</v>
      </c>
      <c r="BJ131" s="13" t="s">
        <v>19</v>
      </c>
      <c r="BK131" s="140">
        <f aca="true" t="shared" si="9" ref="BK131:BK138">ROUND(L131*K131,2)</f>
        <v>0</v>
      </c>
      <c r="BL131" s="13" t="s">
        <v>146</v>
      </c>
      <c r="BM131" s="13" t="s">
        <v>287</v>
      </c>
    </row>
    <row r="132" spans="2:65" s="1" customFormat="1" ht="31.5" customHeight="1">
      <c r="B132" s="131"/>
      <c r="C132" s="132" t="s">
        <v>146</v>
      </c>
      <c r="D132" s="132" t="s">
        <v>131</v>
      </c>
      <c r="E132" s="133" t="s">
        <v>288</v>
      </c>
      <c r="F132" s="226" t="s">
        <v>518</v>
      </c>
      <c r="G132" s="209"/>
      <c r="H132" s="209"/>
      <c r="I132" s="209"/>
      <c r="J132" s="134" t="s">
        <v>174</v>
      </c>
      <c r="K132" s="135">
        <f>106.656*3</f>
        <v>319.968</v>
      </c>
      <c r="L132" s="210"/>
      <c r="M132" s="209"/>
      <c r="N132" s="210">
        <f t="shared" si="0"/>
        <v>0</v>
      </c>
      <c r="O132" s="209"/>
      <c r="P132" s="209"/>
      <c r="Q132" s="209"/>
      <c r="R132" s="136"/>
      <c r="T132" s="137" t="s">
        <v>3</v>
      </c>
      <c r="U132" s="36" t="s">
        <v>40</v>
      </c>
      <c r="V132" s="138">
        <v>0.297</v>
      </c>
      <c r="W132" s="138">
        <f t="shared" si="1"/>
        <v>95.030496</v>
      </c>
      <c r="X132" s="138">
        <v>0.0156</v>
      </c>
      <c r="Y132" s="138">
        <f t="shared" si="2"/>
        <v>4.9915008</v>
      </c>
      <c r="Z132" s="138">
        <v>0</v>
      </c>
      <c r="AA132" s="139">
        <f t="shared" si="3"/>
        <v>0</v>
      </c>
      <c r="AR132" s="13" t="s">
        <v>146</v>
      </c>
      <c r="AT132" s="13" t="s">
        <v>131</v>
      </c>
      <c r="AU132" s="13" t="s">
        <v>141</v>
      </c>
      <c r="AY132" s="13" t="s">
        <v>130</v>
      </c>
      <c r="BE132" s="140">
        <f t="shared" si="4"/>
        <v>0</v>
      </c>
      <c r="BF132" s="140">
        <f t="shared" si="5"/>
        <v>0</v>
      </c>
      <c r="BG132" s="140">
        <f t="shared" si="6"/>
        <v>0</v>
      </c>
      <c r="BH132" s="140">
        <f t="shared" si="7"/>
        <v>0</v>
      </c>
      <c r="BI132" s="140">
        <f t="shared" si="8"/>
        <v>0</v>
      </c>
      <c r="BJ132" s="13" t="s">
        <v>19</v>
      </c>
      <c r="BK132" s="140">
        <f t="shared" si="9"/>
        <v>0</v>
      </c>
      <c r="BL132" s="13" t="s">
        <v>146</v>
      </c>
      <c r="BM132" s="13" t="s">
        <v>289</v>
      </c>
    </row>
    <row r="133" spans="2:65" s="1" customFormat="1" ht="31.5" customHeight="1">
      <c r="B133" s="131"/>
      <c r="C133" s="132" t="s">
        <v>129</v>
      </c>
      <c r="D133" s="132" t="s">
        <v>131</v>
      </c>
      <c r="E133" s="133" t="s">
        <v>290</v>
      </c>
      <c r="F133" s="208" t="s">
        <v>291</v>
      </c>
      <c r="G133" s="209"/>
      <c r="H133" s="209"/>
      <c r="I133" s="209"/>
      <c r="J133" s="134" t="s">
        <v>174</v>
      </c>
      <c r="K133" s="135">
        <f>65.89*3</f>
        <v>197.67000000000002</v>
      </c>
      <c r="L133" s="210"/>
      <c r="M133" s="209"/>
      <c r="N133" s="210">
        <f t="shared" si="0"/>
        <v>0</v>
      </c>
      <c r="O133" s="209"/>
      <c r="P133" s="209"/>
      <c r="Q133" s="209"/>
      <c r="R133" s="136"/>
      <c r="T133" s="137" t="s">
        <v>3</v>
      </c>
      <c r="U133" s="36" t="s">
        <v>40</v>
      </c>
      <c r="V133" s="138">
        <v>0.36</v>
      </c>
      <c r="W133" s="138">
        <f t="shared" si="1"/>
        <v>71.16120000000001</v>
      </c>
      <c r="X133" s="138">
        <v>0.00489</v>
      </c>
      <c r="Y133" s="138">
        <f t="shared" si="2"/>
        <v>0.9666063000000001</v>
      </c>
      <c r="Z133" s="138">
        <v>0</v>
      </c>
      <c r="AA133" s="139">
        <f t="shared" si="3"/>
        <v>0</v>
      </c>
      <c r="AR133" s="13" t="s">
        <v>146</v>
      </c>
      <c r="AT133" s="13" t="s">
        <v>131</v>
      </c>
      <c r="AU133" s="13" t="s">
        <v>141</v>
      </c>
      <c r="AY133" s="13" t="s">
        <v>130</v>
      </c>
      <c r="BE133" s="140">
        <f t="shared" si="4"/>
        <v>0</v>
      </c>
      <c r="BF133" s="140">
        <f t="shared" si="5"/>
        <v>0</v>
      </c>
      <c r="BG133" s="140">
        <f t="shared" si="6"/>
        <v>0</v>
      </c>
      <c r="BH133" s="140">
        <f t="shared" si="7"/>
        <v>0</v>
      </c>
      <c r="BI133" s="140">
        <f t="shared" si="8"/>
        <v>0</v>
      </c>
      <c r="BJ133" s="13" t="s">
        <v>19</v>
      </c>
      <c r="BK133" s="140">
        <f t="shared" si="9"/>
        <v>0</v>
      </c>
      <c r="BL133" s="13" t="s">
        <v>146</v>
      </c>
      <c r="BM133" s="13" t="s">
        <v>292</v>
      </c>
    </row>
    <row r="134" spans="2:65" s="1" customFormat="1" ht="31.5" customHeight="1">
      <c r="B134" s="131"/>
      <c r="C134" s="132" t="s">
        <v>182</v>
      </c>
      <c r="D134" s="132" t="s">
        <v>131</v>
      </c>
      <c r="E134" s="133" t="s">
        <v>293</v>
      </c>
      <c r="F134" s="208" t="s">
        <v>294</v>
      </c>
      <c r="G134" s="209"/>
      <c r="H134" s="209"/>
      <c r="I134" s="209"/>
      <c r="J134" s="134" t="s">
        <v>174</v>
      </c>
      <c r="K134" s="135">
        <f>65.89*3</f>
        <v>197.67000000000002</v>
      </c>
      <c r="L134" s="210"/>
      <c r="M134" s="209"/>
      <c r="N134" s="210">
        <f t="shared" si="0"/>
        <v>0</v>
      </c>
      <c r="O134" s="209"/>
      <c r="P134" s="209"/>
      <c r="Q134" s="209"/>
      <c r="R134" s="136"/>
      <c r="T134" s="137" t="s">
        <v>3</v>
      </c>
      <c r="U134" s="36" t="s">
        <v>40</v>
      </c>
      <c r="V134" s="138">
        <v>0.27</v>
      </c>
      <c r="W134" s="138">
        <f t="shared" si="1"/>
        <v>53.370900000000006</v>
      </c>
      <c r="X134" s="138">
        <v>0.0147</v>
      </c>
      <c r="Y134" s="138">
        <f t="shared" si="2"/>
        <v>2.905749</v>
      </c>
      <c r="Z134" s="138">
        <v>0</v>
      </c>
      <c r="AA134" s="139">
        <f t="shared" si="3"/>
        <v>0</v>
      </c>
      <c r="AR134" s="13" t="s">
        <v>146</v>
      </c>
      <c r="AT134" s="13" t="s">
        <v>131</v>
      </c>
      <c r="AU134" s="13" t="s">
        <v>141</v>
      </c>
      <c r="AY134" s="13" t="s">
        <v>130</v>
      </c>
      <c r="BE134" s="140">
        <f t="shared" si="4"/>
        <v>0</v>
      </c>
      <c r="BF134" s="140">
        <f t="shared" si="5"/>
        <v>0</v>
      </c>
      <c r="BG134" s="140">
        <f t="shared" si="6"/>
        <v>0</v>
      </c>
      <c r="BH134" s="140">
        <f t="shared" si="7"/>
        <v>0</v>
      </c>
      <c r="BI134" s="140">
        <f t="shared" si="8"/>
        <v>0</v>
      </c>
      <c r="BJ134" s="13" t="s">
        <v>19</v>
      </c>
      <c r="BK134" s="140">
        <f t="shared" si="9"/>
        <v>0</v>
      </c>
      <c r="BL134" s="13" t="s">
        <v>146</v>
      </c>
      <c r="BM134" s="13" t="s">
        <v>295</v>
      </c>
    </row>
    <row r="135" spans="2:65" s="1" customFormat="1" ht="31.5" customHeight="1">
      <c r="B135" s="131"/>
      <c r="C135" s="132" t="s">
        <v>186</v>
      </c>
      <c r="D135" s="132" t="s">
        <v>131</v>
      </c>
      <c r="E135" s="133" t="s">
        <v>296</v>
      </c>
      <c r="F135" s="208" t="s">
        <v>297</v>
      </c>
      <c r="G135" s="209"/>
      <c r="H135" s="209"/>
      <c r="I135" s="209"/>
      <c r="J135" s="134" t="s">
        <v>174</v>
      </c>
      <c r="K135" s="135">
        <f>97.07*3</f>
        <v>291.21</v>
      </c>
      <c r="L135" s="210"/>
      <c r="M135" s="209"/>
      <c r="N135" s="210">
        <f t="shared" si="0"/>
        <v>0</v>
      </c>
      <c r="O135" s="209"/>
      <c r="P135" s="209"/>
      <c r="Q135" s="209"/>
      <c r="R135" s="136"/>
      <c r="T135" s="137" t="s">
        <v>3</v>
      </c>
      <c r="U135" s="36" t="s">
        <v>40</v>
      </c>
      <c r="V135" s="138">
        <v>0.111</v>
      </c>
      <c r="W135" s="138">
        <f t="shared" si="1"/>
        <v>32.32431</v>
      </c>
      <c r="X135" s="138">
        <v>0.0014</v>
      </c>
      <c r="Y135" s="138">
        <f t="shared" si="2"/>
        <v>0.40769399999999995</v>
      </c>
      <c r="Z135" s="138">
        <v>0</v>
      </c>
      <c r="AA135" s="139">
        <f t="shared" si="3"/>
        <v>0</v>
      </c>
      <c r="AR135" s="13" t="s">
        <v>146</v>
      </c>
      <c r="AT135" s="13" t="s">
        <v>131</v>
      </c>
      <c r="AU135" s="13" t="s">
        <v>141</v>
      </c>
      <c r="AY135" s="13" t="s">
        <v>130</v>
      </c>
      <c r="BE135" s="140">
        <f t="shared" si="4"/>
        <v>0</v>
      </c>
      <c r="BF135" s="140">
        <f t="shared" si="5"/>
        <v>0</v>
      </c>
      <c r="BG135" s="140">
        <f t="shared" si="6"/>
        <v>0</v>
      </c>
      <c r="BH135" s="140">
        <f t="shared" si="7"/>
        <v>0</v>
      </c>
      <c r="BI135" s="140">
        <f t="shared" si="8"/>
        <v>0</v>
      </c>
      <c r="BJ135" s="13" t="s">
        <v>19</v>
      </c>
      <c r="BK135" s="140">
        <f t="shared" si="9"/>
        <v>0</v>
      </c>
      <c r="BL135" s="13" t="s">
        <v>146</v>
      </c>
      <c r="BM135" s="13" t="s">
        <v>298</v>
      </c>
    </row>
    <row r="136" spans="2:65" s="1" customFormat="1" ht="31.5" customHeight="1">
      <c r="B136" s="131"/>
      <c r="C136" s="132" t="s">
        <v>191</v>
      </c>
      <c r="D136" s="132" t="s">
        <v>131</v>
      </c>
      <c r="E136" s="133" t="s">
        <v>299</v>
      </c>
      <c r="F136" s="208" t="s">
        <v>300</v>
      </c>
      <c r="G136" s="209"/>
      <c r="H136" s="209"/>
      <c r="I136" s="209"/>
      <c r="J136" s="134" t="s">
        <v>238</v>
      </c>
      <c r="K136" s="135">
        <f>50*3</f>
        <v>150</v>
      </c>
      <c r="L136" s="210"/>
      <c r="M136" s="209"/>
      <c r="N136" s="210">
        <f t="shared" si="0"/>
        <v>0</v>
      </c>
      <c r="O136" s="209"/>
      <c r="P136" s="209"/>
      <c r="Q136" s="209"/>
      <c r="R136" s="136"/>
      <c r="T136" s="137" t="s">
        <v>3</v>
      </c>
      <c r="U136" s="36" t="s">
        <v>40</v>
      </c>
      <c r="V136" s="138">
        <v>0.591</v>
      </c>
      <c r="W136" s="138">
        <f t="shared" si="1"/>
        <v>88.64999999999999</v>
      </c>
      <c r="X136" s="138">
        <v>0.0389</v>
      </c>
      <c r="Y136" s="138">
        <f t="shared" si="2"/>
        <v>5.835</v>
      </c>
      <c r="Z136" s="138">
        <v>0</v>
      </c>
      <c r="AA136" s="139">
        <f t="shared" si="3"/>
        <v>0</v>
      </c>
      <c r="AR136" s="13" t="s">
        <v>146</v>
      </c>
      <c r="AT136" s="13" t="s">
        <v>131</v>
      </c>
      <c r="AU136" s="13" t="s">
        <v>141</v>
      </c>
      <c r="AY136" s="13" t="s">
        <v>130</v>
      </c>
      <c r="BE136" s="140">
        <f t="shared" si="4"/>
        <v>0</v>
      </c>
      <c r="BF136" s="140">
        <f t="shared" si="5"/>
        <v>0</v>
      </c>
      <c r="BG136" s="140">
        <f t="shared" si="6"/>
        <v>0</v>
      </c>
      <c r="BH136" s="140">
        <f t="shared" si="7"/>
        <v>0</v>
      </c>
      <c r="BI136" s="140">
        <f t="shared" si="8"/>
        <v>0</v>
      </c>
      <c r="BJ136" s="13" t="s">
        <v>19</v>
      </c>
      <c r="BK136" s="140">
        <f t="shared" si="9"/>
        <v>0</v>
      </c>
      <c r="BL136" s="13" t="s">
        <v>146</v>
      </c>
      <c r="BM136" s="13" t="s">
        <v>301</v>
      </c>
    </row>
    <row r="137" spans="2:65" s="1" customFormat="1" ht="31.5" customHeight="1">
      <c r="B137" s="131"/>
      <c r="C137" s="132" t="s">
        <v>195</v>
      </c>
      <c r="D137" s="132" t="s">
        <v>131</v>
      </c>
      <c r="E137" s="133" t="s">
        <v>302</v>
      </c>
      <c r="F137" s="208" t="s">
        <v>303</v>
      </c>
      <c r="G137" s="209"/>
      <c r="H137" s="209"/>
      <c r="I137" s="209"/>
      <c r="J137" s="134" t="s">
        <v>174</v>
      </c>
      <c r="K137" s="135">
        <f>4.4*3</f>
        <v>13.200000000000001</v>
      </c>
      <c r="L137" s="210"/>
      <c r="M137" s="209"/>
      <c r="N137" s="210">
        <f t="shared" si="0"/>
        <v>0</v>
      </c>
      <c r="O137" s="209"/>
      <c r="P137" s="209"/>
      <c r="Q137" s="209"/>
      <c r="R137" s="136"/>
      <c r="T137" s="137" t="s">
        <v>3</v>
      </c>
      <c r="U137" s="36" t="s">
        <v>40</v>
      </c>
      <c r="V137" s="138">
        <v>0.624</v>
      </c>
      <c r="W137" s="138">
        <f t="shared" si="1"/>
        <v>8.2368</v>
      </c>
      <c r="X137" s="138">
        <v>0.04</v>
      </c>
      <c r="Y137" s="138">
        <f t="shared" si="2"/>
        <v>0.528</v>
      </c>
      <c r="Z137" s="138">
        <v>0</v>
      </c>
      <c r="AA137" s="139">
        <f t="shared" si="3"/>
        <v>0</v>
      </c>
      <c r="AR137" s="13" t="s">
        <v>146</v>
      </c>
      <c r="AT137" s="13" t="s">
        <v>131</v>
      </c>
      <c r="AU137" s="13" t="s">
        <v>141</v>
      </c>
      <c r="AY137" s="13" t="s">
        <v>130</v>
      </c>
      <c r="BE137" s="140">
        <f t="shared" si="4"/>
        <v>0</v>
      </c>
      <c r="BF137" s="140">
        <f t="shared" si="5"/>
        <v>0</v>
      </c>
      <c r="BG137" s="140">
        <f t="shared" si="6"/>
        <v>0</v>
      </c>
      <c r="BH137" s="140">
        <f t="shared" si="7"/>
        <v>0</v>
      </c>
      <c r="BI137" s="140">
        <f t="shared" si="8"/>
        <v>0</v>
      </c>
      <c r="BJ137" s="13" t="s">
        <v>19</v>
      </c>
      <c r="BK137" s="140">
        <f t="shared" si="9"/>
        <v>0</v>
      </c>
      <c r="BL137" s="13" t="s">
        <v>146</v>
      </c>
      <c r="BM137" s="13" t="s">
        <v>304</v>
      </c>
    </row>
    <row r="138" spans="2:65" s="1" customFormat="1" ht="31.5" customHeight="1">
      <c r="B138" s="131"/>
      <c r="C138" s="132">
        <v>10</v>
      </c>
      <c r="D138" s="132" t="s">
        <v>131</v>
      </c>
      <c r="E138" s="154" t="s">
        <v>290</v>
      </c>
      <c r="F138" s="226" t="s">
        <v>519</v>
      </c>
      <c r="G138" s="209"/>
      <c r="H138" s="209"/>
      <c r="I138" s="209"/>
      <c r="J138" s="134" t="s">
        <v>174</v>
      </c>
      <c r="K138" s="135">
        <f>65.89*3</f>
        <v>197.67000000000002</v>
      </c>
      <c r="L138" s="210"/>
      <c r="M138" s="209"/>
      <c r="N138" s="210">
        <f t="shared" si="0"/>
        <v>0</v>
      </c>
      <c r="O138" s="209"/>
      <c r="P138" s="209"/>
      <c r="Q138" s="209"/>
      <c r="R138" s="136"/>
      <c r="T138" s="137" t="s">
        <v>3</v>
      </c>
      <c r="U138" s="36" t="s">
        <v>40</v>
      </c>
      <c r="V138" s="138">
        <v>0.624</v>
      </c>
      <c r="W138" s="138">
        <f t="shared" si="1"/>
        <v>123.34608000000001</v>
      </c>
      <c r="X138" s="138">
        <v>0.04</v>
      </c>
      <c r="Y138" s="138">
        <f t="shared" si="2"/>
        <v>7.9068000000000005</v>
      </c>
      <c r="Z138" s="138">
        <v>0</v>
      </c>
      <c r="AA138" s="139">
        <f t="shared" si="3"/>
        <v>0</v>
      </c>
      <c r="AR138" s="13" t="s">
        <v>146</v>
      </c>
      <c r="AT138" s="13" t="s">
        <v>131</v>
      </c>
      <c r="AU138" s="13" t="s">
        <v>141</v>
      </c>
      <c r="AY138" s="13" t="s">
        <v>130</v>
      </c>
      <c r="BE138" s="140">
        <f t="shared" si="4"/>
        <v>0</v>
      </c>
      <c r="BF138" s="140">
        <f t="shared" si="5"/>
        <v>0</v>
      </c>
      <c r="BG138" s="140">
        <f t="shared" si="6"/>
        <v>0</v>
      </c>
      <c r="BH138" s="140">
        <f t="shared" si="7"/>
        <v>0</v>
      </c>
      <c r="BI138" s="140">
        <f t="shared" si="8"/>
        <v>0</v>
      </c>
      <c r="BJ138" s="13" t="s">
        <v>19</v>
      </c>
      <c r="BK138" s="140">
        <f t="shared" si="9"/>
        <v>0</v>
      </c>
      <c r="BL138" s="13" t="s">
        <v>146</v>
      </c>
      <c r="BM138" s="13" t="s">
        <v>304</v>
      </c>
    </row>
    <row r="139" spans="2:63" s="9" customFormat="1" ht="21.75" customHeight="1">
      <c r="B139" s="120"/>
      <c r="C139" s="121"/>
      <c r="D139" s="130" t="s">
        <v>277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217">
        <f>BK139</f>
        <v>0</v>
      </c>
      <c r="O139" s="218"/>
      <c r="P139" s="218"/>
      <c r="Q139" s="218"/>
      <c r="R139" s="123"/>
      <c r="T139" s="124"/>
      <c r="U139" s="121"/>
      <c r="V139" s="121"/>
      <c r="W139" s="125">
        <f>SUM(W140:W141)</f>
        <v>10.955805</v>
      </c>
      <c r="X139" s="121"/>
      <c r="Y139" s="125">
        <f>SUM(Y140:Y141)</f>
        <v>4.67739282</v>
      </c>
      <c r="Z139" s="121"/>
      <c r="AA139" s="126">
        <f>SUM(AA140:AA141)</f>
        <v>0</v>
      </c>
      <c r="AR139" s="127" t="s">
        <v>19</v>
      </c>
      <c r="AT139" s="128" t="s">
        <v>74</v>
      </c>
      <c r="AU139" s="128" t="s">
        <v>100</v>
      </c>
      <c r="AY139" s="127" t="s">
        <v>130</v>
      </c>
      <c r="BK139" s="129">
        <f>SUM(BK140:BK141)</f>
        <v>0</v>
      </c>
    </row>
    <row r="140" spans="2:65" s="1" customFormat="1" ht="31.5" customHeight="1">
      <c r="B140" s="131"/>
      <c r="C140" s="132">
        <v>11</v>
      </c>
      <c r="D140" s="132" t="s">
        <v>131</v>
      </c>
      <c r="E140" s="133" t="s">
        <v>305</v>
      </c>
      <c r="F140" s="208" t="s">
        <v>306</v>
      </c>
      <c r="G140" s="209"/>
      <c r="H140" s="209"/>
      <c r="I140" s="209"/>
      <c r="J140" s="134" t="s">
        <v>307</v>
      </c>
      <c r="K140" s="135">
        <f>0.691*3</f>
        <v>2.073</v>
      </c>
      <c r="L140" s="210"/>
      <c r="M140" s="209"/>
      <c r="N140" s="210">
        <f>K140*L140</f>
        <v>0</v>
      </c>
      <c r="O140" s="209"/>
      <c r="P140" s="209"/>
      <c r="Q140" s="209"/>
      <c r="R140" s="136"/>
      <c r="T140" s="137" t="s">
        <v>3</v>
      </c>
      <c r="U140" s="36" t="s">
        <v>40</v>
      </c>
      <c r="V140" s="138">
        <v>4.66</v>
      </c>
      <c r="W140" s="138">
        <f>V140*K140</f>
        <v>9.66018</v>
      </c>
      <c r="X140" s="138">
        <v>2.25634</v>
      </c>
      <c r="Y140" s="138">
        <f>X140*K140</f>
        <v>4.67739282</v>
      </c>
      <c r="Z140" s="138">
        <v>0</v>
      </c>
      <c r="AA140" s="139">
        <f>Z140*K140</f>
        <v>0</v>
      </c>
      <c r="AR140" s="13" t="s">
        <v>146</v>
      </c>
      <c r="AT140" s="13" t="s">
        <v>131</v>
      </c>
      <c r="AU140" s="13" t="s">
        <v>141</v>
      </c>
      <c r="AY140" s="13" t="s">
        <v>130</v>
      </c>
      <c r="BE140" s="140">
        <f>IF(U140="základní",N140,0)</f>
        <v>0</v>
      </c>
      <c r="BF140" s="140">
        <f>IF(U140="snížená",N140,0)</f>
        <v>0</v>
      </c>
      <c r="BG140" s="140">
        <f>IF(U140="zákl. přenesená",N140,0)</f>
        <v>0</v>
      </c>
      <c r="BH140" s="140">
        <f>IF(U140="sníž. přenesená",N140,0)</f>
        <v>0</v>
      </c>
      <c r="BI140" s="140">
        <f>IF(U140="nulová",N140,0)</f>
        <v>0</v>
      </c>
      <c r="BJ140" s="13" t="s">
        <v>19</v>
      </c>
      <c r="BK140" s="140">
        <f>ROUND(L140*K140,2)</f>
        <v>0</v>
      </c>
      <c r="BL140" s="13" t="s">
        <v>146</v>
      </c>
      <c r="BM140" s="13" t="s">
        <v>308</v>
      </c>
    </row>
    <row r="141" spans="2:65" s="1" customFormat="1" ht="31.5" customHeight="1">
      <c r="B141" s="131"/>
      <c r="C141" s="132">
        <v>12</v>
      </c>
      <c r="D141" s="132" t="s">
        <v>131</v>
      </c>
      <c r="E141" s="133" t="s">
        <v>309</v>
      </c>
      <c r="F141" s="208" t="s">
        <v>310</v>
      </c>
      <c r="G141" s="209"/>
      <c r="H141" s="209"/>
      <c r="I141" s="209"/>
      <c r="J141" s="134" t="s">
        <v>307</v>
      </c>
      <c r="K141" s="135">
        <f>K140</f>
        <v>2.073</v>
      </c>
      <c r="L141" s="210"/>
      <c r="M141" s="209"/>
      <c r="N141" s="210">
        <f>K141*L141</f>
        <v>0</v>
      </c>
      <c r="O141" s="209"/>
      <c r="P141" s="209"/>
      <c r="Q141" s="209"/>
      <c r="R141" s="136"/>
      <c r="T141" s="137" t="s">
        <v>3</v>
      </c>
      <c r="U141" s="36" t="s">
        <v>40</v>
      </c>
      <c r="V141" s="138">
        <v>0.625</v>
      </c>
      <c r="W141" s="138">
        <f>V141*K141</f>
        <v>1.295625</v>
      </c>
      <c r="X141" s="138">
        <v>0</v>
      </c>
      <c r="Y141" s="138">
        <f>X141*K141</f>
        <v>0</v>
      </c>
      <c r="Z141" s="138">
        <v>0</v>
      </c>
      <c r="AA141" s="139">
        <f>Z141*K141</f>
        <v>0</v>
      </c>
      <c r="AR141" s="13" t="s">
        <v>146</v>
      </c>
      <c r="AT141" s="13" t="s">
        <v>131</v>
      </c>
      <c r="AU141" s="13" t="s">
        <v>141</v>
      </c>
      <c r="AY141" s="13" t="s">
        <v>130</v>
      </c>
      <c r="BE141" s="140">
        <f>IF(U141="základní",N141,0)</f>
        <v>0</v>
      </c>
      <c r="BF141" s="140">
        <f>IF(U141="snížená",N141,0)</f>
        <v>0</v>
      </c>
      <c r="BG141" s="140">
        <f>IF(U141="zákl. přenesená",N141,0)</f>
        <v>0</v>
      </c>
      <c r="BH141" s="140">
        <f>IF(U141="sníž. přenesená",N141,0)</f>
        <v>0</v>
      </c>
      <c r="BI141" s="140">
        <f>IF(U141="nulová",N141,0)</f>
        <v>0</v>
      </c>
      <c r="BJ141" s="13" t="s">
        <v>19</v>
      </c>
      <c r="BK141" s="140">
        <f>ROUND(L141*K141,2)</f>
        <v>0</v>
      </c>
      <c r="BL141" s="13" t="s">
        <v>146</v>
      </c>
      <c r="BM141" s="13" t="s">
        <v>311</v>
      </c>
    </row>
    <row r="142" spans="2:63" s="9" customFormat="1" ht="29.25" customHeight="1">
      <c r="B142" s="120"/>
      <c r="C142" s="121"/>
      <c r="D142" s="130" t="s">
        <v>152</v>
      </c>
      <c r="E142" s="130"/>
      <c r="F142" s="130"/>
      <c r="G142" s="130"/>
      <c r="H142" s="130"/>
      <c r="I142" s="130"/>
      <c r="J142" s="130"/>
      <c r="K142" s="130"/>
      <c r="L142" s="130"/>
      <c r="M142" s="130"/>
      <c r="N142" s="217">
        <f>BK142</f>
        <v>0</v>
      </c>
      <c r="O142" s="218"/>
      <c r="P142" s="218"/>
      <c r="Q142" s="218"/>
      <c r="R142" s="123"/>
      <c r="T142" s="124"/>
      <c r="U142" s="121"/>
      <c r="V142" s="121"/>
      <c r="W142" s="125">
        <f>SUM(W143:W143)</f>
        <v>260.54952000000003</v>
      </c>
      <c r="X142" s="121"/>
      <c r="Y142" s="125">
        <f>SUM(Y143:Y143)</f>
        <v>0.0338376</v>
      </c>
      <c r="Z142" s="121"/>
      <c r="AA142" s="126">
        <f>SUM(AA143:AA143)</f>
        <v>0</v>
      </c>
      <c r="AR142" s="127" t="s">
        <v>19</v>
      </c>
      <c r="AT142" s="128" t="s">
        <v>74</v>
      </c>
      <c r="AU142" s="128" t="s">
        <v>19</v>
      </c>
      <c r="AY142" s="127" t="s">
        <v>130</v>
      </c>
      <c r="BK142" s="129">
        <f>SUM(BK143:BK143)</f>
        <v>0</v>
      </c>
    </row>
    <row r="143" spans="2:65" s="1" customFormat="1" ht="31.5" customHeight="1">
      <c r="B143" s="131"/>
      <c r="C143" s="132">
        <v>13</v>
      </c>
      <c r="D143" s="132" t="s">
        <v>131</v>
      </c>
      <c r="E143" s="133" t="s">
        <v>312</v>
      </c>
      <c r="F143" s="208" t="s">
        <v>313</v>
      </c>
      <c r="G143" s="209"/>
      <c r="H143" s="209"/>
      <c r="I143" s="209"/>
      <c r="J143" s="134" t="s">
        <v>174</v>
      </c>
      <c r="K143" s="135">
        <f>281.98*3</f>
        <v>845.94</v>
      </c>
      <c r="L143" s="210"/>
      <c r="M143" s="209"/>
      <c r="N143" s="210">
        <f>K143*L143</f>
        <v>0</v>
      </c>
      <c r="O143" s="209"/>
      <c r="P143" s="209"/>
      <c r="Q143" s="209"/>
      <c r="R143" s="136"/>
      <c r="T143" s="137" t="s">
        <v>3</v>
      </c>
      <c r="U143" s="36" t="s">
        <v>40</v>
      </c>
      <c r="V143" s="138">
        <v>0.308</v>
      </c>
      <c r="W143" s="138">
        <f>V143*K143</f>
        <v>260.54952000000003</v>
      </c>
      <c r="X143" s="138">
        <v>4E-05</v>
      </c>
      <c r="Y143" s="138">
        <f>X143*K143</f>
        <v>0.0338376</v>
      </c>
      <c r="Z143" s="138">
        <v>0</v>
      </c>
      <c r="AA143" s="139">
        <f>Z143*K143</f>
        <v>0</v>
      </c>
      <c r="AR143" s="13" t="s">
        <v>146</v>
      </c>
      <c r="AT143" s="13" t="s">
        <v>131</v>
      </c>
      <c r="AU143" s="13" t="s">
        <v>100</v>
      </c>
      <c r="AY143" s="13" t="s">
        <v>130</v>
      </c>
      <c r="BE143" s="140">
        <f>IF(U143="základní",N143,0)</f>
        <v>0</v>
      </c>
      <c r="BF143" s="140">
        <f>IF(U143="snížená",N143,0)</f>
        <v>0</v>
      </c>
      <c r="BG143" s="140">
        <f>IF(U143="zákl. přenesená",N143,0)</f>
        <v>0</v>
      </c>
      <c r="BH143" s="140">
        <f>IF(U143="sníž. přenesená",N143,0)</f>
        <v>0</v>
      </c>
      <c r="BI143" s="140">
        <f>IF(U143="nulová",N143,0)</f>
        <v>0</v>
      </c>
      <c r="BJ143" s="13" t="s">
        <v>19</v>
      </c>
      <c r="BK143" s="140">
        <f>ROUND(L143*K143,2)</f>
        <v>0</v>
      </c>
      <c r="BL143" s="13" t="s">
        <v>146</v>
      </c>
      <c r="BM143" s="13" t="s">
        <v>314</v>
      </c>
    </row>
    <row r="144" spans="2:63" s="9" customFormat="1" ht="29.25" customHeight="1">
      <c r="B144" s="120"/>
      <c r="C144" s="121"/>
      <c r="D144" s="130" t="s">
        <v>278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217">
        <f>BK144</f>
        <v>0</v>
      </c>
      <c r="O144" s="218"/>
      <c r="P144" s="218"/>
      <c r="Q144" s="218"/>
      <c r="R144" s="123"/>
      <c r="T144" s="124"/>
      <c r="U144" s="121"/>
      <c r="V144" s="121"/>
      <c r="W144" s="125">
        <f>W145</f>
        <v>142.56395999999998</v>
      </c>
      <c r="X144" s="121"/>
      <c r="Y144" s="125">
        <f>Y145</f>
        <v>0</v>
      </c>
      <c r="Z144" s="121"/>
      <c r="AA144" s="126">
        <f>AA145</f>
        <v>0</v>
      </c>
      <c r="AR144" s="127" t="s">
        <v>19</v>
      </c>
      <c r="AT144" s="128" t="s">
        <v>74</v>
      </c>
      <c r="AU144" s="128" t="s">
        <v>19</v>
      </c>
      <c r="AY144" s="127" t="s">
        <v>130</v>
      </c>
      <c r="BK144" s="129">
        <f>BK145</f>
        <v>0</v>
      </c>
    </row>
    <row r="145" spans="2:65" s="1" customFormat="1" ht="22.5" customHeight="1">
      <c r="B145" s="131"/>
      <c r="C145" s="132">
        <v>14</v>
      </c>
      <c r="D145" s="132" t="s">
        <v>131</v>
      </c>
      <c r="E145" s="133" t="s">
        <v>315</v>
      </c>
      <c r="F145" s="208" t="s">
        <v>316</v>
      </c>
      <c r="G145" s="209"/>
      <c r="H145" s="209"/>
      <c r="I145" s="209"/>
      <c r="J145" s="134" t="s">
        <v>201</v>
      </c>
      <c r="K145" s="135">
        <f>10.703*3</f>
        <v>32.108999999999995</v>
      </c>
      <c r="L145" s="210"/>
      <c r="M145" s="209"/>
      <c r="N145" s="210">
        <f>K145*L145</f>
        <v>0</v>
      </c>
      <c r="O145" s="209"/>
      <c r="P145" s="209"/>
      <c r="Q145" s="209"/>
      <c r="R145" s="136"/>
      <c r="T145" s="137" t="s">
        <v>3</v>
      </c>
      <c r="U145" s="36" t="s">
        <v>40</v>
      </c>
      <c r="V145" s="138">
        <v>4.44</v>
      </c>
      <c r="W145" s="138">
        <f>V145*K145</f>
        <v>142.56395999999998</v>
      </c>
      <c r="X145" s="138">
        <v>0</v>
      </c>
      <c r="Y145" s="138">
        <f>X145*K145</f>
        <v>0</v>
      </c>
      <c r="Z145" s="138">
        <v>0</v>
      </c>
      <c r="AA145" s="139">
        <f>Z145*K145</f>
        <v>0</v>
      </c>
      <c r="AR145" s="13" t="s">
        <v>146</v>
      </c>
      <c r="AT145" s="13" t="s">
        <v>131</v>
      </c>
      <c r="AU145" s="13" t="s">
        <v>100</v>
      </c>
      <c r="AY145" s="13" t="s">
        <v>130</v>
      </c>
      <c r="BE145" s="140">
        <f>IF(U145="základní",N145,0)</f>
        <v>0</v>
      </c>
      <c r="BF145" s="140">
        <f>IF(U145="snížená",N145,0)</f>
        <v>0</v>
      </c>
      <c r="BG145" s="140">
        <f>IF(U145="zákl. přenesená",N145,0)</f>
        <v>0</v>
      </c>
      <c r="BH145" s="140">
        <f>IF(U145="sníž. přenesená",N145,0)</f>
        <v>0</v>
      </c>
      <c r="BI145" s="140">
        <f>IF(U145="nulová",N145,0)</f>
        <v>0</v>
      </c>
      <c r="BJ145" s="13" t="s">
        <v>19</v>
      </c>
      <c r="BK145" s="140">
        <f>ROUND(L145*K145,2)</f>
        <v>0</v>
      </c>
      <c r="BL145" s="13" t="s">
        <v>146</v>
      </c>
      <c r="BM145" s="13" t="s">
        <v>317</v>
      </c>
    </row>
    <row r="146" spans="2:63" s="9" customFormat="1" ht="36.75" customHeight="1">
      <c r="B146" s="120"/>
      <c r="C146" s="121"/>
      <c r="D146" s="122" t="s">
        <v>158</v>
      </c>
      <c r="E146" s="122"/>
      <c r="F146" s="122"/>
      <c r="G146" s="122"/>
      <c r="H146" s="122"/>
      <c r="I146" s="122"/>
      <c r="J146" s="122"/>
      <c r="K146" s="122"/>
      <c r="L146" s="122"/>
      <c r="M146" s="122"/>
      <c r="N146" s="224">
        <f>N147+N157+N159+N173+N178</f>
        <v>0</v>
      </c>
      <c r="O146" s="225"/>
      <c r="P146" s="225"/>
      <c r="Q146" s="225"/>
      <c r="R146" s="123"/>
      <c r="T146" s="124"/>
      <c r="U146" s="121"/>
      <c r="V146" s="121"/>
      <c r="W146" s="125">
        <f>W147+W157+W159+W173+W178</f>
        <v>1695.35547</v>
      </c>
      <c r="X146" s="121"/>
      <c r="Y146" s="125">
        <f>Y147+Y157+Y159+Y173+Y178</f>
        <v>18.40062068</v>
      </c>
      <c r="Z146" s="121"/>
      <c r="AA146" s="126">
        <f>AA147+AA157+AA159+AA173+AA178</f>
        <v>1.584</v>
      </c>
      <c r="AR146" s="127" t="s">
        <v>100</v>
      </c>
      <c r="AT146" s="128" t="s">
        <v>74</v>
      </c>
      <c r="AU146" s="128" t="s">
        <v>75</v>
      </c>
      <c r="AY146" s="127" t="s">
        <v>130</v>
      </c>
      <c r="BK146" s="129">
        <f>BK147+BK157+BK159+BK173+BK178</f>
        <v>0</v>
      </c>
    </row>
    <row r="147" spans="2:63" s="9" customFormat="1" ht="19.5" customHeight="1">
      <c r="B147" s="120"/>
      <c r="C147" s="121"/>
      <c r="D147" s="130" t="s">
        <v>279</v>
      </c>
      <c r="E147" s="130"/>
      <c r="F147" s="130"/>
      <c r="G147" s="130"/>
      <c r="H147" s="130"/>
      <c r="I147" s="130"/>
      <c r="J147" s="130"/>
      <c r="K147" s="130"/>
      <c r="L147" s="130"/>
      <c r="M147" s="130"/>
      <c r="N147" s="217">
        <f>N148+N149+N150+N151+N152+N153+N154+N155+N156</f>
        <v>0</v>
      </c>
      <c r="O147" s="218"/>
      <c r="P147" s="218"/>
      <c r="Q147" s="218"/>
      <c r="R147" s="123"/>
      <c r="T147" s="124"/>
      <c r="U147" s="121"/>
      <c r="V147" s="121"/>
      <c r="W147" s="125">
        <f>SUM(W148:W156)</f>
        <v>84.766098</v>
      </c>
      <c r="X147" s="121"/>
      <c r="Y147" s="125">
        <f>SUM(Y148:Y156)</f>
        <v>0.978786</v>
      </c>
      <c r="Z147" s="121"/>
      <c r="AA147" s="126">
        <f>SUM(AA148:AA156)</f>
        <v>0</v>
      </c>
      <c r="AR147" s="127" t="s">
        <v>100</v>
      </c>
      <c r="AT147" s="128" t="s">
        <v>74</v>
      </c>
      <c r="AU147" s="128" t="s">
        <v>19</v>
      </c>
      <c r="AY147" s="127" t="s">
        <v>130</v>
      </c>
      <c r="BK147" s="129">
        <f>SUM(BK148:BK156)</f>
        <v>0</v>
      </c>
    </row>
    <row r="148" spans="2:65" s="1" customFormat="1" ht="31.5" customHeight="1">
      <c r="B148" s="131"/>
      <c r="C148" s="132">
        <v>15</v>
      </c>
      <c r="D148" s="132" t="s">
        <v>131</v>
      </c>
      <c r="E148" s="133" t="s">
        <v>318</v>
      </c>
      <c r="F148" s="208" t="s">
        <v>319</v>
      </c>
      <c r="G148" s="209"/>
      <c r="H148" s="209"/>
      <c r="I148" s="209"/>
      <c r="J148" s="134" t="s">
        <v>174</v>
      </c>
      <c r="K148" s="135">
        <f>97.07*3</f>
        <v>291.21</v>
      </c>
      <c r="L148" s="210"/>
      <c r="M148" s="209"/>
      <c r="N148" s="210">
        <f aca="true" t="shared" si="10" ref="N148:N156">K148*L148</f>
        <v>0</v>
      </c>
      <c r="O148" s="209"/>
      <c r="P148" s="209"/>
      <c r="Q148" s="209"/>
      <c r="R148" s="136"/>
      <c r="T148" s="137" t="s">
        <v>3</v>
      </c>
      <c r="U148" s="36" t="s">
        <v>40</v>
      </c>
      <c r="V148" s="138">
        <v>0.024</v>
      </c>
      <c r="W148" s="138">
        <f aca="true" t="shared" si="11" ref="W148:W156">V148*K148</f>
        <v>6.989039999999999</v>
      </c>
      <c r="X148" s="138">
        <v>0</v>
      </c>
      <c r="Y148" s="138">
        <f aca="true" t="shared" si="12" ref="Y148:Y156">X148*K148</f>
        <v>0</v>
      </c>
      <c r="Z148" s="138">
        <v>0</v>
      </c>
      <c r="AA148" s="139">
        <f aca="true" t="shared" si="13" ref="AA148:AA156">Z148*K148</f>
        <v>0</v>
      </c>
      <c r="AR148" s="13" t="s">
        <v>221</v>
      </c>
      <c r="AT148" s="13" t="s">
        <v>131</v>
      </c>
      <c r="AU148" s="13" t="s">
        <v>100</v>
      </c>
      <c r="AY148" s="13" t="s">
        <v>130</v>
      </c>
      <c r="BE148" s="140">
        <f aca="true" t="shared" si="14" ref="BE148:BE156">IF(U148="základní",N148,0)</f>
        <v>0</v>
      </c>
      <c r="BF148" s="140">
        <f aca="true" t="shared" si="15" ref="BF148:BF156">IF(U148="snížená",N148,0)</f>
        <v>0</v>
      </c>
      <c r="BG148" s="140">
        <f aca="true" t="shared" si="16" ref="BG148:BG156">IF(U148="zákl. přenesená",N148,0)</f>
        <v>0</v>
      </c>
      <c r="BH148" s="140">
        <f aca="true" t="shared" si="17" ref="BH148:BH156">IF(U148="sníž. přenesená",N148,0)</f>
        <v>0</v>
      </c>
      <c r="BI148" s="140">
        <f aca="true" t="shared" si="18" ref="BI148:BI156">IF(U148="nulová",N148,0)</f>
        <v>0</v>
      </c>
      <c r="BJ148" s="13" t="s">
        <v>19</v>
      </c>
      <c r="BK148" s="140">
        <f aca="true" t="shared" si="19" ref="BK148:BK156">ROUND(L148*K148,2)</f>
        <v>0</v>
      </c>
      <c r="BL148" s="13" t="s">
        <v>221</v>
      </c>
      <c r="BM148" s="13" t="s">
        <v>320</v>
      </c>
    </row>
    <row r="149" spans="2:65" s="1" customFormat="1" ht="22.5" customHeight="1">
      <c r="B149" s="131"/>
      <c r="C149" s="144">
        <v>16</v>
      </c>
      <c r="D149" s="144" t="s">
        <v>321</v>
      </c>
      <c r="E149" s="145" t="s">
        <v>322</v>
      </c>
      <c r="F149" s="227" t="s">
        <v>528</v>
      </c>
      <c r="G149" s="228"/>
      <c r="H149" s="228"/>
      <c r="I149" s="228"/>
      <c r="J149" s="146" t="s">
        <v>323</v>
      </c>
      <c r="K149" s="147">
        <f>0.029*3</f>
        <v>0.08700000000000001</v>
      </c>
      <c r="L149" s="229"/>
      <c r="M149" s="228"/>
      <c r="N149" s="229">
        <f t="shared" si="10"/>
        <v>0</v>
      </c>
      <c r="O149" s="209"/>
      <c r="P149" s="209"/>
      <c r="Q149" s="209"/>
      <c r="R149" s="136"/>
      <c r="T149" s="137" t="s">
        <v>3</v>
      </c>
      <c r="U149" s="36" t="s">
        <v>40</v>
      </c>
      <c r="V149" s="138">
        <v>0</v>
      </c>
      <c r="W149" s="138">
        <f t="shared" si="11"/>
        <v>0</v>
      </c>
      <c r="X149" s="138">
        <v>0.001</v>
      </c>
      <c r="Y149" s="138">
        <f t="shared" si="12"/>
        <v>8.700000000000001E-05</v>
      </c>
      <c r="Z149" s="138">
        <v>0</v>
      </c>
      <c r="AA149" s="139">
        <f t="shared" si="13"/>
        <v>0</v>
      </c>
      <c r="AR149" s="13" t="s">
        <v>324</v>
      </c>
      <c r="AT149" s="13" t="s">
        <v>321</v>
      </c>
      <c r="AU149" s="13" t="s">
        <v>100</v>
      </c>
      <c r="AY149" s="13" t="s">
        <v>130</v>
      </c>
      <c r="BE149" s="140">
        <f t="shared" si="14"/>
        <v>0</v>
      </c>
      <c r="BF149" s="140">
        <f t="shared" si="15"/>
        <v>0</v>
      </c>
      <c r="BG149" s="140">
        <f t="shared" si="16"/>
        <v>0</v>
      </c>
      <c r="BH149" s="140">
        <f t="shared" si="17"/>
        <v>0</v>
      </c>
      <c r="BI149" s="140">
        <f t="shared" si="18"/>
        <v>0</v>
      </c>
      <c r="BJ149" s="13" t="s">
        <v>19</v>
      </c>
      <c r="BK149" s="140">
        <f t="shared" si="19"/>
        <v>0</v>
      </c>
      <c r="BL149" s="13" t="s">
        <v>221</v>
      </c>
      <c r="BM149" s="13" t="s">
        <v>325</v>
      </c>
    </row>
    <row r="150" spans="2:65" s="1" customFormat="1" ht="31.5" customHeight="1">
      <c r="B150" s="131"/>
      <c r="C150" s="132">
        <v>17</v>
      </c>
      <c r="D150" s="132" t="s">
        <v>131</v>
      </c>
      <c r="E150" s="133" t="s">
        <v>326</v>
      </c>
      <c r="F150" s="208" t="s">
        <v>327</v>
      </c>
      <c r="G150" s="209"/>
      <c r="H150" s="209"/>
      <c r="I150" s="209"/>
      <c r="J150" s="134" t="s">
        <v>174</v>
      </c>
      <c r="K150" s="135">
        <f>78.705*3</f>
        <v>236.115</v>
      </c>
      <c r="L150" s="210"/>
      <c r="M150" s="209"/>
      <c r="N150" s="210">
        <f t="shared" si="10"/>
        <v>0</v>
      </c>
      <c r="O150" s="209"/>
      <c r="P150" s="209"/>
      <c r="Q150" s="209"/>
      <c r="R150" s="136"/>
      <c r="T150" s="137" t="s">
        <v>3</v>
      </c>
      <c r="U150" s="36" t="s">
        <v>40</v>
      </c>
      <c r="V150" s="138">
        <v>0.054</v>
      </c>
      <c r="W150" s="138">
        <f t="shared" si="11"/>
        <v>12.750210000000001</v>
      </c>
      <c r="X150" s="138">
        <v>0</v>
      </c>
      <c r="Y150" s="138">
        <f t="shared" si="12"/>
        <v>0</v>
      </c>
      <c r="Z150" s="138">
        <v>0</v>
      </c>
      <c r="AA150" s="139">
        <f t="shared" si="13"/>
        <v>0</v>
      </c>
      <c r="AR150" s="13" t="s">
        <v>221</v>
      </c>
      <c r="AT150" s="13" t="s">
        <v>131</v>
      </c>
      <c r="AU150" s="13" t="s">
        <v>100</v>
      </c>
      <c r="AY150" s="13" t="s">
        <v>130</v>
      </c>
      <c r="BE150" s="140">
        <f t="shared" si="14"/>
        <v>0</v>
      </c>
      <c r="BF150" s="140">
        <f t="shared" si="15"/>
        <v>0</v>
      </c>
      <c r="BG150" s="140">
        <f t="shared" si="16"/>
        <v>0</v>
      </c>
      <c r="BH150" s="140">
        <f t="shared" si="17"/>
        <v>0</v>
      </c>
      <c r="BI150" s="140">
        <f t="shared" si="18"/>
        <v>0</v>
      </c>
      <c r="BJ150" s="13" t="s">
        <v>19</v>
      </c>
      <c r="BK150" s="140">
        <f t="shared" si="19"/>
        <v>0</v>
      </c>
      <c r="BL150" s="13" t="s">
        <v>221</v>
      </c>
      <c r="BM150" s="13" t="s">
        <v>328</v>
      </c>
    </row>
    <row r="151" spans="2:65" s="1" customFormat="1" ht="22.5" customHeight="1">
      <c r="B151" s="131"/>
      <c r="C151" s="144">
        <v>18</v>
      </c>
      <c r="D151" s="144" t="s">
        <v>321</v>
      </c>
      <c r="E151" s="145" t="s">
        <v>322</v>
      </c>
      <c r="F151" s="227" t="s">
        <v>528</v>
      </c>
      <c r="G151" s="228"/>
      <c r="H151" s="228"/>
      <c r="I151" s="228"/>
      <c r="J151" s="146" t="s">
        <v>323</v>
      </c>
      <c r="K151" s="147">
        <f>0.028*3</f>
        <v>0.084</v>
      </c>
      <c r="L151" s="229"/>
      <c r="M151" s="228"/>
      <c r="N151" s="229">
        <f t="shared" si="10"/>
        <v>0</v>
      </c>
      <c r="O151" s="209"/>
      <c r="P151" s="209"/>
      <c r="Q151" s="209"/>
      <c r="R151" s="136"/>
      <c r="T151" s="137" t="s">
        <v>3</v>
      </c>
      <c r="U151" s="36" t="s">
        <v>40</v>
      </c>
      <c r="V151" s="138">
        <v>0</v>
      </c>
      <c r="W151" s="138">
        <f t="shared" si="11"/>
        <v>0</v>
      </c>
      <c r="X151" s="138">
        <v>0.001</v>
      </c>
      <c r="Y151" s="138">
        <f t="shared" si="12"/>
        <v>8.400000000000001E-05</v>
      </c>
      <c r="Z151" s="138">
        <v>0</v>
      </c>
      <c r="AA151" s="139">
        <f t="shared" si="13"/>
        <v>0</v>
      </c>
      <c r="AR151" s="13" t="s">
        <v>324</v>
      </c>
      <c r="AT151" s="13" t="s">
        <v>321</v>
      </c>
      <c r="AU151" s="13" t="s">
        <v>100</v>
      </c>
      <c r="AY151" s="13" t="s">
        <v>130</v>
      </c>
      <c r="BE151" s="140">
        <f t="shared" si="14"/>
        <v>0</v>
      </c>
      <c r="BF151" s="140">
        <f t="shared" si="15"/>
        <v>0</v>
      </c>
      <c r="BG151" s="140">
        <f t="shared" si="16"/>
        <v>0</v>
      </c>
      <c r="BH151" s="140">
        <f t="shared" si="17"/>
        <v>0</v>
      </c>
      <c r="BI151" s="140">
        <f t="shared" si="18"/>
        <v>0</v>
      </c>
      <c r="BJ151" s="13" t="s">
        <v>19</v>
      </c>
      <c r="BK151" s="140">
        <f t="shared" si="19"/>
        <v>0</v>
      </c>
      <c r="BL151" s="13" t="s">
        <v>221</v>
      </c>
      <c r="BM151" s="13" t="s">
        <v>329</v>
      </c>
    </row>
    <row r="152" spans="2:65" s="1" customFormat="1" ht="44.25" customHeight="1">
      <c r="B152" s="131"/>
      <c r="C152" s="132">
        <v>19</v>
      </c>
      <c r="D152" s="132" t="s">
        <v>131</v>
      </c>
      <c r="E152" s="133" t="s">
        <v>330</v>
      </c>
      <c r="F152" s="226" t="s">
        <v>529</v>
      </c>
      <c r="G152" s="209"/>
      <c r="H152" s="209"/>
      <c r="I152" s="209"/>
      <c r="J152" s="134" t="s">
        <v>174</v>
      </c>
      <c r="K152" s="135">
        <f>8.91*3</f>
        <v>26.73</v>
      </c>
      <c r="L152" s="210"/>
      <c r="M152" s="209"/>
      <c r="N152" s="210">
        <f t="shared" si="10"/>
        <v>0</v>
      </c>
      <c r="O152" s="209"/>
      <c r="P152" s="209"/>
      <c r="Q152" s="209"/>
      <c r="R152" s="136"/>
      <c r="T152" s="137" t="s">
        <v>3</v>
      </c>
      <c r="U152" s="36" t="s">
        <v>40</v>
      </c>
      <c r="V152" s="138">
        <v>0.15</v>
      </c>
      <c r="W152" s="138">
        <f t="shared" si="11"/>
        <v>4.0095</v>
      </c>
      <c r="X152" s="138">
        <v>0.003</v>
      </c>
      <c r="Y152" s="138">
        <f t="shared" si="12"/>
        <v>0.08019</v>
      </c>
      <c r="Z152" s="138">
        <v>0</v>
      </c>
      <c r="AA152" s="139">
        <f t="shared" si="13"/>
        <v>0</v>
      </c>
      <c r="AR152" s="13" t="s">
        <v>221</v>
      </c>
      <c r="AT152" s="13" t="s">
        <v>131</v>
      </c>
      <c r="AU152" s="13" t="s">
        <v>100</v>
      </c>
      <c r="AY152" s="13" t="s">
        <v>130</v>
      </c>
      <c r="BE152" s="140">
        <f t="shared" si="14"/>
        <v>0</v>
      </c>
      <c r="BF152" s="140">
        <f t="shared" si="15"/>
        <v>0</v>
      </c>
      <c r="BG152" s="140">
        <f t="shared" si="16"/>
        <v>0</v>
      </c>
      <c r="BH152" s="140">
        <f t="shared" si="17"/>
        <v>0</v>
      </c>
      <c r="BI152" s="140">
        <f t="shared" si="18"/>
        <v>0</v>
      </c>
      <c r="BJ152" s="13" t="s">
        <v>19</v>
      </c>
      <c r="BK152" s="140">
        <f t="shared" si="19"/>
        <v>0</v>
      </c>
      <c r="BL152" s="13" t="s">
        <v>221</v>
      </c>
      <c r="BM152" s="13" t="s">
        <v>331</v>
      </c>
    </row>
    <row r="153" spans="2:65" s="1" customFormat="1" ht="31.5" customHeight="1">
      <c r="B153" s="131"/>
      <c r="C153" s="132">
        <v>20</v>
      </c>
      <c r="D153" s="132" t="s">
        <v>131</v>
      </c>
      <c r="E153" s="133" t="s">
        <v>332</v>
      </c>
      <c r="F153" s="226" t="s">
        <v>530</v>
      </c>
      <c r="G153" s="209"/>
      <c r="H153" s="209"/>
      <c r="I153" s="209"/>
      <c r="J153" s="134" t="s">
        <v>174</v>
      </c>
      <c r="K153" s="135">
        <f>78.705*3</f>
        <v>236.115</v>
      </c>
      <c r="L153" s="210"/>
      <c r="M153" s="209"/>
      <c r="N153" s="210">
        <f t="shared" si="10"/>
        <v>0</v>
      </c>
      <c r="O153" s="209"/>
      <c r="P153" s="209"/>
      <c r="Q153" s="209"/>
      <c r="R153" s="136"/>
      <c r="T153" s="137" t="s">
        <v>3</v>
      </c>
      <c r="U153" s="36" t="s">
        <v>40</v>
      </c>
      <c r="V153" s="138">
        <v>0.21</v>
      </c>
      <c r="W153" s="138">
        <f t="shared" si="11"/>
        <v>49.58415</v>
      </c>
      <c r="X153" s="138">
        <v>0.003</v>
      </c>
      <c r="Y153" s="138">
        <f t="shared" si="12"/>
        <v>0.708345</v>
      </c>
      <c r="Z153" s="138">
        <v>0</v>
      </c>
      <c r="AA153" s="139">
        <f t="shared" si="13"/>
        <v>0</v>
      </c>
      <c r="AR153" s="13" t="s">
        <v>221</v>
      </c>
      <c r="AT153" s="13" t="s">
        <v>131</v>
      </c>
      <c r="AU153" s="13" t="s">
        <v>100</v>
      </c>
      <c r="AY153" s="13" t="s">
        <v>130</v>
      </c>
      <c r="BE153" s="140">
        <f t="shared" si="14"/>
        <v>0</v>
      </c>
      <c r="BF153" s="140">
        <f t="shared" si="15"/>
        <v>0</v>
      </c>
      <c r="BG153" s="140">
        <f t="shared" si="16"/>
        <v>0</v>
      </c>
      <c r="BH153" s="140">
        <f t="shared" si="17"/>
        <v>0</v>
      </c>
      <c r="BI153" s="140">
        <f t="shared" si="18"/>
        <v>0</v>
      </c>
      <c r="BJ153" s="13" t="s">
        <v>19</v>
      </c>
      <c r="BK153" s="140">
        <f t="shared" si="19"/>
        <v>0</v>
      </c>
      <c r="BL153" s="13" t="s">
        <v>221</v>
      </c>
      <c r="BM153" s="13" t="s">
        <v>333</v>
      </c>
    </row>
    <row r="154" spans="2:65" s="1" customFormat="1" ht="31.5" customHeight="1">
      <c r="B154" s="131"/>
      <c r="C154" s="132">
        <v>21</v>
      </c>
      <c r="D154" s="132" t="s">
        <v>131</v>
      </c>
      <c r="E154" s="133" t="s">
        <v>334</v>
      </c>
      <c r="F154" s="226" t="s">
        <v>531</v>
      </c>
      <c r="G154" s="209"/>
      <c r="H154" s="209"/>
      <c r="I154" s="209"/>
      <c r="J154" s="134" t="s">
        <v>174</v>
      </c>
      <c r="K154" s="135">
        <f>88*3</f>
        <v>264</v>
      </c>
      <c r="L154" s="210"/>
      <c r="M154" s="209"/>
      <c r="N154" s="210">
        <f t="shared" si="10"/>
        <v>0</v>
      </c>
      <c r="O154" s="209"/>
      <c r="P154" s="209"/>
      <c r="Q154" s="209"/>
      <c r="R154" s="136"/>
      <c r="T154" s="137" t="s">
        <v>3</v>
      </c>
      <c r="U154" s="36" t="s">
        <v>40</v>
      </c>
      <c r="V154" s="138">
        <v>0.01</v>
      </c>
      <c r="W154" s="138">
        <f t="shared" si="11"/>
        <v>2.64</v>
      </c>
      <c r="X154" s="138">
        <v>0.00072</v>
      </c>
      <c r="Y154" s="138">
        <f t="shared" si="12"/>
        <v>0.19008</v>
      </c>
      <c r="Z154" s="138">
        <v>0</v>
      </c>
      <c r="AA154" s="139">
        <f t="shared" si="13"/>
        <v>0</v>
      </c>
      <c r="AR154" s="13" t="s">
        <v>221</v>
      </c>
      <c r="AT154" s="13" t="s">
        <v>131</v>
      </c>
      <c r="AU154" s="13" t="s">
        <v>100</v>
      </c>
      <c r="AY154" s="13" t="s">
        <v>130</v>
      </c>
      <c r="BE154" s="140">
        <f t="shared" si="14"/>
        <v>0</v>
      </c>
      <c r="BF154" s="140">
        <f t="shared" si="15"/>
        <v>0</v>
      </c>
      <c r="BG154" s="140">
        <f t="shared" si="16"/>
        <v>0</v>
      </c>
      <c r="BH154" s="140">
        <f t="shared" si="17"/>
        <v>0</v>
      </c>
      <c r="BI154" s="140">
        <f t="shared" si="18"/>
        <v>0</v>
      </c>
      <c r="BJ154" s="13" t="s">
        <v>19</v>
      </c>
      <c r="BK154" s="140">
        <f t="shared" si="19"/>
        <v>0</v>
      </c>
      <c r="BL154" s="13" t="s">
        <v>221</v>
      </c>
      <c r="BM154" s="13" t="s">
        <v>335</v>
      </c>
    </row>
    <row r="155" spans="2:65" s="1" customFormat="1" ht="31.5" customHeight="1">
      <c r="B155" s="131"/>
      <c r="C155" s="132">
        <v>22</v>
      </c>
      <c r="D155" s="132" t="s">
        <v>131</v>
      </c>
      <c r="E155" s="133" t="s">
        <v>336</v>
      </c>
      <c r="F155" s="208" t="s">
        <v>337</v>
      </c>
      <c r="G155" s="209"/>
      <c r="H155" s="209"/>
      <c r="I155" s="209"/>
      <c r="J155" s="134" t="s">
        <v>201</v>
      </c>
      <c r="K155" s="135">
        <f>0.978*3</f>
        <v>2.934</v>
      </c>
      <c r="L155" s="210"/>
      <c r="M155" s="209"/>
      <c r="N155" s="210">
        <f t="shared" si="10"/>
        <v>0</v>
      </c>
      <c r="O155" s="209"/>
      <c r="P155" s="209"/>
      <c r="Q155" s="209"/>
      <c r="R155" s="136"/>
      <c r="T155" s="137" t="s">
        <v>3</v>
      </c>
      <c r="U155" s="36" t="s">
        <v>40</v>
      </c>
      <c r="V155" s="138">
        <v>1.637</v>
      </c>
      <c r="W155" s="138">
        <f t="shared" si="11"/>
        <v>4.802958</v>
      </c>
      <c r="X155" s="138">
        <v>0</v>
      </c>
      <c r="Y155" s="138">
        <f t="shared" si="12"/>
        <v>0</v>
      </c>
      <c r="Z155" s="138">
        <v>0</v>
      </c>
      <c r="AA155" s="139">
        <f t="shared" si="13"/>
        <v>0</v>
      </c>
      <c r="AR155" s="13" t="s">
        <v>221</v>
      </c>
      <c r="AT155" s="13" t="s">
        <v>131</v>
      </c>
      <c r="AU155" s="13" t="s">
        <v>100</v>
      </c>
      <c r="AY155" s="13" t="s">
        <v>130</v>
      </c>
      <c r="BE155" s="140">
        <f t="shared" si="14"/>
        <v>0</v>
      </c>
      <c r="BF155" s="140">
        <f t="shared" si="15"/>
        <v>0</v>
      </c>
      <c r="BG155" s="140">
        <f t="shared" si="16"/>
        <v>0</v>
      </c>
      <c r="BH155" s="140">
        <f t="shared" si="17"/>
        <v>0</v>
      </c>
      <c r="BI155" s="140">
        <f t="shared" si="18"/>
        <v>0</v>
      </c>
      <c r="BJ155" s="13" t="s">
        <v>19</v>
      </c>
      <c r="BK155" s="140">
        <f t="shared" si="19"/>
        <v>0</v>
      </c>
      <c r="BL155" s="13" t="s">
        <v>221</v>
      </c>
      <c r="BM155" s="13" t="s">
        <v>338</v>
      </c>
    </row>
    <row r="156" spans="2:65" s="1" customFormat="1" ht="31.5" customHeight="1">
      <c r="B156" s="131"/>
      <c r="C156" s="132">
        <v>23</v>
      </c>
      <c r="D156" s="132" t="s">
        <v>131</v>
      </c>
      <c r="E156" s="133" t="s">
        <v>339</v>
      </c>
      <c r="F156" s="208" t="s">
        <v>340</v>
      </c>
      <c r="G156" s="209"/>
      <c r="H156" s="209"/>
      <c r="I156" s="209"/>
      <c r="J156" s="134" t="s">
        <v>201</v>
      </c>
      <c r="K156" s="135">
        <f>0.978*3</f>
        <v>2.934</v>
      </c>
      <c r="L156" s="210"/>
      <c r="M156" s="209"/>
      <c r="N156" s="210">
        <f t="shared" si="10"/>
        <v>0</v>
      </c>
      <c r="O156" s="209"/>
      <c r="P156" s="209"/>
      <c r="Q156" s="209"/>
      <c r="R156" s="136"/>
      <c r="T156" s="137" t="s">
        <v>3</v>
      </c>
      <c r="U156" s="36" t="s">
        <v>40</v>
      </c>
      <c r="V156" s="138">
        <v>1.36</v>
      </c>
      <c r="W156" s="138">
        <f t="shared" si="11"/>
        <v>3.9902400000000005</v>
      </c>
      <c r="X156" s="138">
        <v>0</v>
      </c>
      <c r="Y156" s="138">
        <f t="shared" si="12"/>
        <v>0</v>
      </c>
      <c r="Z156" s="138">
        <v>0</v>
      </c>
      <c r="AA156" s="139">
        <f t="shared" si="13"/>
        <v>0</v>
      </c>
      <c r="AR156" s="13" t="s">
        <v>221</v>
      </c>
      <c r="AT156" s="13" t="s">
        <v>131</v>
      </c>
      <c r="AU156" s="13" t="s">
        <v>100</v>
      </c>
      <c r="AY156" s="13" t="s">
        <v>130</v>
      </c>
      <c r="BE156" s="140">
        <f t="shared" si="14"/>
        <v>0</v>
      </c>
      <c r="BF156" s="140">
        <f t="shared" si="15"/>
        <v>0</v>
      </c>
      <c r="BG156" s="140">
        <f t="shared" si="16"/>
        <v>0</v>
      </c>
      <c r="BH156" s="140">
        <f t="shared" si="17"/>
        <v>0</v>
      </c>
      <c r="BI156" s="140">
        <f t="shared" si="18"/>
        <v>0</v>
      </c>
      <c r="BJ156" s="13" t="s">
        <v>19</v>
      </c>
      <c r="BK156" s="140">
        <f t="shared" si="19"/>
        <v>0</v>
      </c>
      <c r="BL156" s="13" t="s">
        <v>221</v>
      </c>
      <c r="BM156" s="13" t="s">
        <v>341</v>
      </c>
    </row>
    <row r="157" spans="2:63" s="9" customFormat="1" ht="29.25" customHeight="1">
      <c r="B157" s="120"/>
      <c r="C157" s="121"/>
      <c r="D157" s="130" t="s">
        <v>161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219">
        <f>BK157</f>
        <v>0</v>
      </c>
      <c r="O157" s="220"/>
      <c r="P157" s="220"/>
      <c r="Q157" s="220"/>
      <c r="R157" s="123"/>
      <c r="T157" s="124"/>
      <c r="U157" s="121"/>
      <c r="V157" s="121"/>
      <c r="W157" s="125">
        <f>SUM(W158:W158)</f>
        <v>3.3000000000000003</v>
      </c>
      <c r="X157" s="121"/>
      <c r="Y157" s="125">
        <f>SUM(Y158:Y158)</f>
        <v>0</v>
      </c>
      <c r="Z157" s="121"/>
      <c r="AA157" s="126">
        <f>SUM(AA158:AA158)</f>
        <v>1.584</v>
      </c>
      <c r="AR157" s="127" t="s">
        <v>100</v>
      </c>
      <c r="AT157" s="128" t="s">
        <v>74</v>
      </c>
      <c r="AU157" s="128" t="s">
        <v>19</v>
      </c>
      <c r="AY157" s="127" t="s">
        <v>130</v>
      </c>
      <c r="BK157" s="129">
        <f>SUM(BK158:BK158)</f>
        <v>0</v>
      </c>
    </row>
    <row r="158" spans="2:65" s="1" customFormat="1" ht="31.5" customHeight="1">
      <c r="B158" s="131"/>
      <c r="C158" s="132">
        <v>24</v>
      </c>
      <c r="D158" s="132" t="s">
        <v>131</v>
      </c>
      <c r="E158" s="133" t="s">
        <v>252</v>
      </c>
      <c r="F158" s="208" t="s">
        <v>253</v>
      </c>
      <c r="G158" s="209"/>
      <c r="H158" s="209"/>
      <c r="I158" s="209"/>
      <c r="J158" s="134" t="s">
        <v>238</v>
      </c>
      <c r="K158" s="135">
        <f>22*3</f>
        <v>66</v>
      </c>
      <c r="L158" s="210"/>
      <c r="M158" s="209"/>
      <c r="N158" s="210">
        <f>K158*L158</f>
        <v>0</v>
      </c>
      <c r="O158" s="209"/>
      <c r="P158" s="209"/>
      <c r="Q158" s="209"/>
      <c r="R158" s="136"/>
      <c r="T158" s="137" t="s">
        <v>3</v>
      </c>
      <c r="U158" s="36" t="s">
        <v>40</v>
      </c>
      <c r="V158" s="138">
        <v>0.05</v>
      </c>
      <c r="W158" s="138">
        <f>V158*K158</f>
        <v>3.3000000000000003</v>
      </c>
      <c r="X158" s="138">
        <v>0</v>
      </c>
      <c r="Y158" s="138">
        <f>X158*K158</f>
        <v>0</v>
      </c>
      <c r="Z158" s="138">
        <v>0.024</v>
      </c>
      <c r="AA158" s="139">
        <f>Z158*K158</f>
        <v>1.584</v>
      </c>
      <c r="AR158" s="13" t="s">
        <v>221</v>
      </c>
      <c r="AT158" s="13" t="s">
        <v>131</v>
      </c>
      <c r="AU158" s="13" t="s">
        <v>100</v>
      </c>
      <c r="AY158" s="13" t="s">
        <v>130</v>
      </c>
      <c r="BE158" s="140">
        <f>IF(U158="základní",N158,0)</f>
        <v>0</v>
      </c>
      <c r="BF158" s="140">
        <f>IF(U158="snížená",N158,0)</f>
        <v>0</v>
      </c>
      <c r="BG158" s="140">
        <f>IF(U158="zákl. přenesená",N158,0)</f>
        <v>0</v>
      </c>
      <c r="BH158" s="140">
        <f>IF(U158="sníž. přenesená",N158,0)</f>
        <v>0</v>
      </c>
      <c r="BI158" s="140">
        <f>IF(U158="nulová",N158,0)</f>
        <v>0</v>
      </c>
      <c r="BJ158" s="13" t="s">
        <v>19</v>
      </c>
      <c r="BK158" s="140">
        <f>ROUND(L158*K158,2)</f>
        <v>0</v>
      </c>
      <c r="BL158" s="13" t="s">
        <v>221</v>
      </c>
      <c r="BM158" s="13" t="s">
        <v>342</v>
      </c>
    </row>
    <row r="159" spans="2:63" s="9" customFormat="1" ht="29.25" customHeight="1">
      <c r="B159" s="120"/>
      <c r="C159" s="121"/>
      <c r="D159" s="130" t="s">
        <v>280</v>
      </c>
      <c r="E159" s="130"/>
      <c r="F159" s="130"/>
      <c r="G159" s="130"/>
      <c r="H159" s="130"/>
      <c r="I159" s="130"/>
      <c r="J159" s="130"/>
      <c r="K159" s="130"/>
      <c r="L159" s="130"/>
      <c r="M159" s="130"/>
      <c r="N159" s="217">
        <f>N160+N161+N162+N163+N164+N165+N166+N167+N168+N169+N170+N171+N172</f>
        <v>0</v>
      </c>
      <c r="O159" s="218"/>
      <c r="P159" s="218"/>
      <c r="Q159" s="218"/>
      <c r="R159" s="123"/>
      <c r="T159" s="124"/>
      <c r="U159" s="121"/>
      <c r="V159" s="121"/>
      <c r="W159" s="125">
        <f>SUM(W160:W172)</f>
        <v>1462.35978</v>
      </c>
      <c r="X159" s="121"/>
      <c r="Y159" s="125">
        <f>SUM(Y160:Y172)</f>
        <v>17.0548226</v>
      </c>
      <c r="Z159" s="121"/>
      <c r="AA159" s="126">
        <f>SUM(AA160:AA172)</f>
        <v>0</v>
      </c>
      <c r="AR159" s="127" t="s">
        <v>100</v>
      </c>
      <c r="AT159" s="128" t="s">
        <v>74</v>
      </c>
      <c r="AU159" s="128" t="s">
        <v>19</v>
      </c>
      <c r="AY159" s="127" t="s">
        <v>130</v>
      </c>
      <c r="BK159" s="129">
        <f>SUM(BK160:BK172)</f>
        <v>0</v>
      </c>
    </row>
    <row r="160" spans="2:65" s="1" customFormat="1" ht="31.5" customHeight="1">
      <c r="B160" s="131"/>
      <c r="C160" s="132">
        <v>25</v>
      </c>
      <c r="D160" s="132" t="s">
        <v>131</v>
      </c>
      <c r="E160" s="133" t="s">
        <v>343</v>
      </c>
      <c r="F160" s="208" t="s">
        <v>344</v>
      </c>
      <c r="G160" s="209"/>
      <c r="H160" s="209"/>
      <c r="I160" s="209"/>
      <c r="J160" s="134" t="s">
        <v>174</v>
      </c>
      <c r="K160" s="135">
        <f>113.63*3+60</f>
        <v>400.89</v>
      </c>
      <c r="L160" s="210"/>
      <c r="M160" s="209"/>
      <c r="N160" s="210">
        <f aca="true" t="shared" si="20" ref="N160:N172">K160*L160</f>
        <v>0</v>
      </c>
      <c r="O160" s="209"/>
      <c r="P160" s="209"/>
      <c r="Q160" s="209"/>
      <c r="R160" s="136"/>
      <c r="T160" s="137" t="s">
        <v>3</v>
      </c>
      <c r="U160" s="36" t="s">
        <v>40</v>
      </c>
      <c r="V160" s="138">
        <v>0.641</v>
      </c>
      <c r="W160" s="138">
        <f aca="true" t="shared" si="21" ref="W160:W172">V160*K160</f>
        <v>256.97049</v>
      </c>
      <c r="X160" s="138">
        <v>0.003</v>
      </c>
      <c r="Y160" s="138">
        <f aca="true" t="shared" si="22" ref="Y160:Y172">X160*K160</f>
        <v>1.20267</v>
      </c>
      <c r="Z160" s="138">
        <v>0</v>
      </c>
      <c r="AA160" s="139">
        <f aca="true" t="shared" si="23" ref="AA160:AA172">Z160*K160</f>
        <v>0</v>
      </c>
      <c r="AR160" s="13" t="s">
        <v>221</v>
      </c>
      <c r="AT160" s="13" t="s">
        <v>131</v>
      </c>
      <c r="AU160" s="13" t="s">
        <v>100</v>
      </c>
      <c r="AY160" s="13" t="s">
        <v>130</v>
      </c>
      <c r="BE160" s="140">
        <f aca="true" t="shared" si="24" ref="BE160:BE172">IF(U160="základní",N160,0)</f>
        <v>0</v>
      </c>
      <c r="BF160" s="140">
        <f aca="true" t="shared" si="25" ref="BF160:BF172">IF(U160="snížená",N160,0)</f>
        <v>0</v>
      </c>
      <c r="BG160" s="140">
        <f aca="true" t="shared" si="26" ref="BG160:BG172">IF(U160="zákl. přenesená",N160,0)</f>
        <v>0</v>
      </c>
      <c r="BH160" s="140">
        <f aca="true" t="shared" si="27" ref="BH160:BH172">IF(U160="sníž. přenesená",N160,0)</f>
        <v>0</v>
      </c>
      <c r="BI160" s="140">
        <f aca="true" t="shared" si="28" ref="BI160:BI172">IF(U160="nulová",N160,0)</f>
        <v>0</v>
      </c>
      <c r="BJ160" s="13" t="s">
        <v>19</v>
      </c>
      <c r="BK160" s="140">
        <f aca="true" t="shared" si="29" ref="BK160:BK172">ROUND(L160*K160,2)</f>
        <v>0</v>
      </c>
      <c r="BL160" s="13" t="s">
        <v>221</v>
      </c>
      <c r="BM160" s="13" t="s">
        <v>345</v>
      </c>
    </row>
    <row r="161" spans="2:65" s="1" customFormat="1" ht="22.5" customHeight="1">
      <c r="B161" s="131"/>
      <c r="C161" s="144">
        <v>26</v>
      </c>
      <c r="D161" s="144" t="s">
        <v>321</v>
      </c>
      <c r="E161" s="145" t="s">
        <v>346</v>
      </c>
      <c r="F161" s="227" t="s">
        <v>347</v>
      </c>
      <c r="G161" s="228"/>
      <c r="H161" s="228"/>
      <c r="I161" s="228"/>
      <c r="J161" s="146" t="s">
        <v>174</v>
      </c>
      <c r="K161" s="147">
        <f>(118.393+6.5)*3+65</f>
        <v>439.679</v>
      </c>
      <c r="L161" s="229"/>
      <c r="M161" s="228"/>
      <c r="N161" s="229">
        <f t="shared" si="20"/>
        <v>0</v>
      </c>
      <c r="O161" s="209"/>
      <c r="P161" s="209"/>
      <c r="Q161" s="209"/>
      <c r="R161" s="136"/>
      <c r="T161" s="137" t="s">
        <v>3</v>
      </c>
      <c r="U161" s="36" t="s">
        <v>40</v>
      </c>
      <c r="V161" s="138">
        <v>0</v>
      </c>
      <c r="W161" s="138">
        <f t="shared" si="21"/>
        <v>0</v>
      </c>
      <c r="X161" s="138">
        <v>0.0118</v>
      </c>
      <c r="Y161" s="138">
        <f t="shared" si="22"/>
        <v>5.1882122</v>
      </c>
      <c r="Z161" s="138">
        <v>0</v>
      </c>
      <c r="AA161" s="139">
        <f t="shared" si="23"/>
        <v>0</v>
      </c>
      <c r="AR161" s="13" t="s">
        <v>324</v>
      </c>
      <c r="AT161" s="13" t="s">
        <v>321</v>
      </c>
      <c r="AU161" s="13" t="s">
        <v>100</v>
      </c>
      <c r="AY161" s="13" t="s">
        <v>130</v>
      </c>
      <c r="BE161" s="140">
        <f t="shared" si="24"/>
        <v>0</v>
      </c>
      <c r="BF161" s="140">
        <f t="shared" si="25"/>
        <v>0</v>
      </c>
      <c r="BG161" s="140">
        <f t="shared" si="26"/>
        <v>0</v>
      </c>
      <c r="BH161" s="140">
        <f t="shared" si="27"/>
        <v>0</v>
      </c>
      <c r="BI161" s="140">
        <f t="shared" si="28"/>
        <v>0</v>
      </c>
      <c r="BJ161" s="13" t="s">
        <v>19</v>
      </c>
      <c r="BK161" s="140">
        <f t="shared" si="29"/>
        <v>0</v>
      </c>
      <c r="BL161" s="13" t="s">
        <v>221</v>
      </c>
      <c r="BM161" s="13" t="s">
        <v>348</v>
      </c>
    </row>
    <row r="162" spans="2:65" s="1" customFormat="1" ht="31.5" customHeight="1">
      <c r="B162" s="131"/>
      <c r="C162" s="132">
        <v>27</v>
      </c>
      <c r="D162" s="132" t="s">
        <v>131</v>
      </c>
      <c r="E162" s="133" t="s">
        <v>349</v>
      </c>
      <c r="F162" s="208" t="s">
        <v>350</v>
      </c>
      <c r="G162" s="209"/>
      <c r="H162" s="209"/>
      <c r="I162" s="209"/>
      <c r="J162" s="134" t="s">
        <v>174</v>
      </c>
      <c r="K162" s="135">
        <f>K160*3</f>
        <v>1202.67</v>
      </c>
      <c r="L162" s="210"/>
      <c r="M162" s="209"/>
      <c r="N162" s="210">
        <f t="shared" si="20"/>
        <v>0</v>
      </c>
      <c r="O162" s="209"/>
      <c r="P162" s="209"/>
      <c r="Q162" s="209"/>
      <c r="R162" s="136"/>
      <c r="T162" s="137" t="s">
        <v>3</v>
      </c>
      <c r="U162" s="36" t="s">
        <v>40</v>
      </c>
      <c r="V162" s="138">
        <v>0.13</v>
      </c>
      <c r="W162" s="138">
        <f t="shared" si="21"/>
        <v>156.3471</v>
      </c>
      <c r="X162" s="138">
        <v>0</v>
      </c>
      <c r="Y162" s="138">
        <f t="shared" si="22"/>
        <v>0</v>
      </c>
      <c r="Z162" s="138">
        <v>0</v>
      </c>
      <c r="AA162" s="139">
        <f t="shared" si="23"/>
        <v>0</v>
      </c>
      <c r="AR162" s="13" t="s">
        <v>221</v>
      </c>
      <c r="AT162" s="13" t="s">
        <v>131</v>
      </c>
      <c r="AU162" s="13" t="s">
        <v>100</v>
      </c>
      <c r="AY162" s="13" t="s">
        <v>130</v>
      </c>
      <c r="BE162" s="140">
        <f t="shared" si="24"/>
        <v>0</v>
      </c>
      <c r="BF162" s="140">
        <f t="shared" si="25"/>
        <v>0</v>
      </c>
      <c r="BG162" s="140">
        <f t="shared" si="26"/>
        <v>0</v>
      </c>
      <c r="BH162" s="140">
        <f t="shared" si="27"/>
        <v>0</v>
      </c>
      <c r="BI162" s="140">
        <f t="shared" si="28"/>
        <v>0</v>
      </c>
      <c r="BJ162" s="13" t="s">
        <v>19</v>
      </c>
      <c r="BK162" s="140">
        <f t="shared" si="29"/>
        <v>0</v>
      </c>
      <c r="BL162" s="13" t="s">
        <v>221</v>
      </c>
      <c r="BM162" s="13" t="s">
        <v>351</v>
      </c>
    </row>
    <row r="163" spans="2:65" s="1" customFormat="1" ht="31.5" customHeight="1">
      <c r="B163" s="131"/>
      <c r="C163" s="132">
        <v>28</v>
      </c>
      <c r="D163" s="132" t="s">
        <v>131</v>
      </c>
      <c r="E163" s="133" t="s">
        <v>352</v>
      </c>
      <c r="F163" s="208" t="s">
        <v>353</v>
      </c>
      <c r="G163" s="209"/>
      <c r="H163" s="209"/>
      <c r="I163" s="209"/>
      <c r="J163" s="134" t="s">
        <v>174</v>
      </c>
      <c r="K163" s="135">
        <f>K162</f>
        <v>1202.67</v>
      </c>
      <c r="L163" s="210"/>
      <c r="M163" s="209"/>
      <c r="N163" s="210">
        <f t="shared" si="20"/>
        <v>0</v>
      </c>
      <c r="O163" s="209"/>
      <c r="P163" s="209"/>
      <c r="Q163" s="209"/>
      <c r="R163" s="136"/>
      <c r="T163" s="137" t="s">
        <v>3</v>
      </c>
      <c r="U163" s="36" t="s">
        <v>40</v>
      </c>
      <c r="V163" s="138">
        <v>0.615</v>
      </c>
      <c r="W163" s="138">
        <f t="shared" si="21"/>
        <v>739.64205</v>
      </c>
      <c r="X163" s="138">
        <v>0</v>
      </c>
      <c r="Y163" s="138">
        <f t="shared" si="22"/>
        <v>0</v>
      </c>
      <c r="Z163" s="138">
        <v>0</v>
      </c>
      <c r="AA163" s="139">
        <f t="shared" si="23"/>
        <v>0</v>
      </c>
      <c r="AR163" s="13" t="s">
        <v>221</v>
      </c>
      <c r="AT163" s="13" t="s">
        <v>131</v>
      </c>
      <c r="AU163" s="13" t="s">
        <v>100</v>
      </c>
      <c r="AY163" s="13" t="s">
        <v>130</v>
      </c>
      <c r="BE163" s="140">
        <f t="shared" si="24"/>
        <v>0</v>
      </c>
      <c r="BF163" s="140">
        <f t="shared" si="25"/>
        <v>0</v>
      </c>
      <c r="BG163" s="140">
        <f t="shared" si="26"/>
        <v>0</v>
      </c>
      <c r="BH163" s="140">
        <f t="shared" si="27"/>
        <v>0</v>
      </c>
      <c r="BI163" s="140">
        <f t="shared" si="28"/>
        <v>0</v>
      </c>
      <c r="BJ163" s="13" t="s">
        <v>19</v>
      </c>
      <c r="BK163" s="140">
        <f t="shared" si="29"/>
        <v>0</v>
      </c>
      <c r="BL163" s="13" t="s">
        <v>221</v>
      </c>
      <c r="BM163" s="13" t="s">
        <v>354</v>
      </c>
    </row>
    <row r="164" spans="2:65" s="1" customFormat="1" ht="31.5" customHeight="1">
      <c r="B164" s="131"/>
      <c r="C164" s="132">
        <v>29</v>
      </c>
      <c r="D164" s="132" t="s">
        <v>131</v>
      </c>
      <c r="E164" s="133" t="s">
        <v>355</v>
      </c>
      <c r="F164" s="208" t="s">
        <v>356</v>
      </c>
      <c r="G164" s="209"/>
      <c r="H164" s="209"/>
      <c r="I164" s="209"/>
      <c r="J164" s="134" t="s">
        <v>174</v>
      </c>
      <c r="K164" s="135">
        <f>K163</f>
        <v>1202.67</v>
      </c>
      <c r="L164" s="210"/>
      <c r="M164" s="209"/>
      <c r="N164" s="210">
        <f t="shared" si="20"/>
        <v>0</v>
      </c>
      <c r="O164" s="209"/>
      <c r="P164" s="209"/>
      <c r="Q164" s="209"/>
      <c r="R164" s="136"/>
      <c r="T164" s="137" t="s">
        <v>3</v>
      </c>
      <c r="U164" s="36" t="s">
        <v>40</v>
      </c>
      <c r="V164" s="138">
        <v>0.149</v>
      </c>
      <c r="W164" s="138">
        <f t="shared" si="21"/>
        <v>179.19783</v>
      </c>
      <c r="X164" s="138">
        <v>0.008</v>
      </c>
      <c r="Y164" s="138">
        <f t="shared" si="22"/>
        <v>9.621360000000001</v>
      </c>
      <c r="Z164" s="138">
        <v>0</v>
      </c>
      <c r="AA164" s="139">
        <f t="shared" si="23"/>
        <v>0</v>
      </c>
      <c r="AR164" s="13" t="s">
        <v>221</v>
      </c>
      <c r="AT164" s="13" t="s">
        <v>131</v>
      </c>
      <c r="AU164" s="13" t="s">
        <v>100</v>
      </c>
      <c r="AY164" s="13" t="s">
        <v>130</v>
      </c>
      <c r="BE164" s="140">
        <f t="shared" si="24"/>
        <v>0</v>
      </c>
      <c r="BF164" s="140">
        <f t="shared" si="25"/>
        <v>0</v>
      </c>
      <c r="BG164" s="140">
        <f t="shared" si="26"/>
        <v>0</v>
      </c>
      <c r="BH164" s="140">
        <f t="shared" si="27"/>
        <v>0</v>
      </c>
      <c r="BI164" s="140">
        <f t="shared" si="28"/>
        <v>0</v>
      </c>
      <c r="BJ164" s="13" t="s">
        <v>19</v>
      </c>
      <c r="BK164" s="140">
        <f t="shared" si="29"/>
        <v>0</v>
      </c>
      <c r="BL164" s="13" t="s">
        <v>221</v>
      </c>
      <c r="BM164" s="13" t="s">
        <v>357</v>
      </c>
    </row>
    <row r="165" spans="2:65" s="1" customFormat="1" ht="22.5" customHeight="1">
      <c r="B165" s="131"/>
      <c r="C165" s="132">
        <v>30</v>
      </c>
      <c r="D165" s="132" t="s">
        <v>131</v>
      </c>
      <c r="E165" s="133" t="s">
        <v>358</v>
      </c>
      <c r="F165" s="208" t="s">
        <v>359</v>
      </c>
      <c r="G165" s="209"/>
      <c r="H165" s="209"/>
      <c r="I165" s="209"/>
      <c r="J165" s="134" t="s">
        <v>189</v>
      </c>
      <c r="K165" s="135">
        <f>177.56*3</f>
        <v>532.6800000000001</v>
      </c>
      <c r="L165" s="210"/>
      <c r="M165" s="209"/>
      <c r="N165" s="210">
        <f t="shared" si="20"/>
        <v>0</v>
      </c>
      <c r="O165" s="209"/>
      <c r="P165" s="209"/>
      <c r="Q165" s="209"/>
      <c r="R165" s="136"/>
      <c r="T165" s="137" t="s">
        <v>3</v>
      </c>
      <c r="U165" s="36" t="s">
        <v>40</v>
      </c>
      <c r="V165" s="138">
        <v>0.05</v>
      </c>
      <c r="W165" s="138">
        <f t="shared" si="21"/>
        <v>26.634000000000004</v>
      </c>
      <c r="X165" s="138">
        <v>3E-05</v>
      </c>
      <c r="Y165" s="138">
        <f t="shared" si="22"/>
        <v>0.015980400000000002</v>
      </c>
      <c r="Z165" s="138">
        <v>0</v>
      </c>
      <c r="AA165" s="139">
        <f t="shared" si="23"/>
        <v>0</v>
      </c>
      <c r="AR165" s="13" t="s">
        <v>221</v>
      </c>
      <c r="AT165" s="13" t="s">
        <v>131</v>
      </c>
      <c r="AU165" s="13" t="s">
        <v>100</v>
      </c>
      <c r="AY165" s="13" t="s">
        <v>130</v>
      </c>
      <c r="BE165" s="140">
        <f t="shared" si="24"/>
        <v>0</v>
      </c>
      <c r="BF165" s="140">
        <f t="shared" si="25"/>
        <v>0</v>
      </c>
      <c r="BG165" s="140">
        <f t="shared" si="26"/>
        <v>0</v>
      </c>
      <c r="BH165" s="140">
        <f t="shared" si="27"/>
        <v>0</v>
      </c>
      <c r="BI165" s="140">
        <f t="shared" si="28"/>
        <v>0</v>
      </c>
      <c r="BJ165" s="13" t="s">
        <v>19</v>
      </c>
      <c r="BK165" s="140">
        <f t="shared" si="29"/>
        <v>0</v>
      </c>
      <c r="BL165" s="13" t="s">
        <v>221</v>
      </c>
      <c r="BM165" s="13" t="s">
        <v>360</v>
      </c>
    </row>
    <row r="166" spans="2:65" s="1" customFormat="1" ht="22.5" customHeight="1">
      <c r="B166" s="131"/>
      <c r="C166" s="144">
        <v>31</v>
      </c>
      <c r="D166" s="144" t="s">
        <v>321</v>
      </c>
      <c r="E166" s="145" t="s">
        <v>346</v>
      </c>
      <c r="F166" s="227" t="s">
        <v>520</v>
      </c>
      <c r="G166" s="228"/>
      <c r="H166" s="228"/>
      <c r="I166" s="228"/>
      <c r="J166" s="146" t="s">
        <v>462</v>
      </c>
      <c r="K166" s="147">
        <f>29*3</f>
        <v>87</v>
      </c>
      <c r="L166" s="229"/>
      <c r="M166" s="228"/>
      <c r="N166" s="229">
        <f t="shared" si="20"/>
        <v>0</v>
      </c>
      <c r="O166" s="209"/>
      <c r="P166" s="209"/>
      <c r="Q166" s="209"/>
      <c r="R166" s="136"/>
      <c r="T166" s="137" t="s">
        <v>3</v>
      </c>
      <c r="U166" s="36" t="s">
        <v>40</v>
      </c>
      <c r="V166" s="138">
        <v>0</v>
      </c>
      <c r="W166" s="138">
        <f t="shared" si="21"/>
        <v>0</v>
      </c>
      <c r="X166" s="138">
        <v>0.0118</v>
      </c>
      <c r="Y166" s="138">
        <f t="shared" si="22"/>
        <v>1.0266</v>
      </c>
      <c r="Z166" s="138">
        <v>0</v>
      </c>
      <c r="AA166" s="139">
        <f t="shared" si="23"/>
        <v>0</v>
      </c>
      <c r="AR166" s="13" t="s">
        <v>324</v>
      </c>
      <c r="AT166" s="13" t="s">
        <v>321</v>
      </c>
      <c r="AU166" s="13" t="s">
        <v>100</v>
      </c>
      <c r="AY166" s="13" t="s">
        <v>130</v>
      </c>
      <c r="BE166" s="140">
        <f t="shared" si="24"/>
        <v>0</v>
      </c>
      <c r="BF166" s="140">
        <f t="shared" si="25"/>
        <v>0</v>
      </c>
      <c r="BG166" s="140">
        <f t="shared" si="26"/>
        <v>0</v>
      </c>
      <c r="BH166" s="140">
        <f t="shared" si="27"/>
        <v>0</v>
      </c>
      <c r="BI166" s="140">
        <f t="shared" si="28"/>
        <v>0</v>
      </c>
      <c r="BJ166" s="13" t="s">
        <v>19</v>
      </c>
      <c r="BK166" s="140">
        <f t="shared" si="29"/>
        <v>0</v>
      </c>
      <c r="BL166" s="13" t="s">
        <v>221</v>
      </c>
      <c r="BM166" s="13" t="s">
        <v>348</v>
      </c>
    </row>
    <row r="167" spans="2:65" s="1" customFormat="1" ht="22.5" customHeight="1">
      <c r="B167" s="131"/>
      <c r="C167" s="132">
        <v>32</v>
      </c>
      <c r="D167" s="132" t="s">
        <v>131</v>
      </c>
      <c r="E167" s="133" t="s">
        <v>361</v>
      </c>
      <c r="F167" s="226" t="s">
        <v>532</v>
      </c>
      <c r="G167" s="209"/>
      <c r="H167" s="209"/>
      <c r="I167" s="209"/>
      <c r="J167" s="134" t="s">
        <v>174</v>
      </c>
      <c r="K167" s="135">
        <f>27.693*3</f>
        <v>83.07900000000001</v>
      </c>
      <c r="L167" s="210"/>
      <c r="M167" s="209"/>
      <c r="N167" s="210">
        <f t="shared" si="20"/>
        <v>0</v>
      </c>
      <c r="O167" s="209"/>
      <c r="P167" s="209"/>
      <c r="Q167" s="209"/>
      <c r="R167" s="136"/>
      <c r="T167" s="137" t="s">
        <v>3</v>
      </c>
      <c r="U167" s="36" t="s">
        <v>40</v>
      </c>
      <c r="V167" s="138">
        <v>0</v>
      </c>
      <c r="W167" s="138">
        <f t="shared" si="21"/>
        <v>0</v>
      </c>
      <c r="X167" s="138">
        <v>0</v>
      </c>
      <c r="Y167" s="138">
        <f t="shared" si="22"/>
        <v>0</v>
      </c>
      <c r="Z167" s="138">
        <v>0</v>
      </c>
      <c r="AA167" s="139">
        <f t="shared" si="23"/>
        <v>0</v>
      </c>
      <c r="AR167" s="13" t="s">
        <v>221</v>
      </c>
      <c r="AT167" s="13" t="s">
        <v>131</v>
      </c>
      <c r="AU167" s="13" t="s">
        <v>100</v>
      </c>
      <c r="AY167" s="13" t="s">
        <v>130</v>
      </c>
      <c r="BE167" s="140">
        <f t="shared" si="24"/>
        <v>0</v>
      </c>
      <c r="BF167" s="140">
        <f t="shared" si="25"/>
        <v>0</v>
      </c>
      <c r="BG167" s="140">
        <f t="shared" si="26"/>
        <v>0</v>
      </c>
      <c r="BH167" s="140">
        <f t="shared" si="27"/>
        <v>0</v>
      </c>
      <c r="BI167" s="140">
        <f t="shared" si="28"/>
        <v>0</v>
      </c>
      <c r="BJ167" s="13" t="s">
        <v>19</v>
      </c>
      <c r="BK167" s="140">
        <f t="shared" si="29"/>
        <v>0</v>
      </c>
      <c r="BL167" s="13" t="s">
        <v>221</v>
      </c>
      <c r="BM167" s="13" t="s">
        <v>362</v>
      </c>
    </row>
    <row r="168" spans="2:65" s="1" customFormat="1" ht="22.5" customHeight="1">
      <c r="B168" s="131"/>
      <c r="C168" s="144">
        <v>33</v>
      </c>
      <c r="D168" s="144" t="s">
        <v>321</v>
      </c>
      <c r="E168" s="145" t="s">
        <v>346</v>
      </c>
      <c r="F168" s="227" t="s">
        <v>347</v>
      </c>
      <c r="G168" s="228"/>
      <c r="H168" s="228"/>
      <c r="I168" s="228"/>
      <c r="J168" s="146" t="s">
        <v>174</v>
      </c>
      <c r="K168" s="147">
        <f>K167*1.1</f>
        <v>91.38690000000001</v>
      </c>
      <c r="L168" s="229"/>
      <c r="M168" s="228"/>
      <c r="N168" s="229">
        <f t="shared" si="20"/>
        <v>0</v>
      </c>
      <c r="O168" s="209"/>
      <c r="P168" s="209"/>
      <c r="Q168" s="209"/>
      <c r="R168" s="136"/>
      <c r="T168" s="137"/>
      <c r="U168" s="36"/>
      <c r="V168" s="138"/>
      <c r="W168" s="138"/>
      <c r="X168" s="138"/>
      <c r="Y168" s="138"/>
      <c r="Z168" s="138"/>
      <c r="AA168" s="139"/>
      <c r="AR168" s="13"/>
      <c r="AT168" s="13"/>
      <c r="AU168" s="13"/>
      <c r="AY168" s="13"/>
      <c r="BE168" s="140"/>
      <c r="BF168" s="140"/>
      <c r="BG168" s="140"/>
      <c r="BH168" s="140"/>
      <c r="BI168" s="140"/>
      <c r="BJ168" s="13"/>
      <c r="BK168" s="140"/>
      <c r="BL168" s="13"/>
      <c r="BM168" s="13"/>
    </row>
    <row r="169" spans="2:65" s="1" customFormat="1" ht="31.5" customHeight="1">
      <c r="B169" s="131"/>
      <c r="C169" s="132">
        <v>34</v>
      </c>
      <c r="D169" s="132" t="s">
        <v>131</v>
      </c>
      <c r="E169" s="154" t="s">
        <v>521</v>
      </c>
      <c r="F169" s="226" t="s">
        <v>523</v>
      </c>
      <c r="G169" s="209"/>
      <c r="H169" s="209"/>
      <c r="I169" s="209"/>
      <c r="J169" s="134" t="s">
        <v>201</v>
      </c>
      <c r="K169" s="135">
        <f>2.586*3</f>
        <v>7.757999999999999</v>
      </c>
      <c r="L169" s="210"/>
      <c r="M169" s="209"/>
      <c r="N169" s="210">
        <f t="shared" si="20"/>
        <v>0</v>
      </c>
      <c r="O169" s="209"/>
      <c r="P169" s="209"/>
      <c r="Q169" s="209"/>
      <c r="R169" s="136"/>
      <c r="T169" s="137" t="s">
        <v>3</v>
      </c>
      <c r="U169" s="36" t="s">
        <v>40</v>
      </c>
      <c r="V169" s="138">
        <v>1.305</v>
      </c>
      <c r="W169" s="138">
        <f t="shared" si="21"/>
        <v>10.124189999999999</v>
      </c>
      <c r="X169" s="138">
        <v>0</v>
      </c>
      <c r="Y169" s="138">
        <f t="shared" si="22"/>
        <v>0</v>
      </c>
      <c r="Z169" s="138">
        <v>0</v>
      </c>
      <c r="AA169" s="139">
        <f t="shared" si="23"/>
        <v>0</v>
      </c>
      <c r="AR169" s="13" t="s">
        <v>221</v>
      </c>
      <c r="AT169" s="13" t="s">
        <v>131</v>
      </c>
      <c r="AU169" s="13" t="s">
        <v>100</v>
      </c>
      <c r="AY169" s="13" t="s">
        <v>130</v>
      </c>
      <c r="BE169" s="140">
        <f t="shared" si="24"/>
        <v>0</v>
      </c>
      <c r="BF169" s="140">
        <f t="shared" si="25"/>
        <v>0</v>
      </c>
      <c r="BG169" s="140">
        <f t="shared" si="26"/>
        <v>0</v>
      </c>
      <c r="BH169" s="140">
        <f t="shared" si="27"/>
        <v>0</v>
      </c>
      <c r="BI169" s="140">
        <f t="shared" si="28"/>
        <v>0</v>
      </c>
      <c r="BJ169" s="13" t="s">
        <v>19</v>
      </c>
      <c r="BK169" s="140">
        <f t="shared" si="29"/>
        <v>0</v>
      </c>
      <c r="BL169" s="13" t="s">
        <v>221</v>
      </c>
      <c r="BM169" s="13" t="s">
        <v>365</v>
      </c>
    </row>
    <row r="170" spans="2:65" s="1" customFormat="1" ht="31.5" customHeight="1">
      <c r="B170" s="131"/>
      <c r="C170" s="132">
        <v>35</v>
      </c>
      <c r="D170" s="132" t="s">
        <v>131</v>
      </c>
      <c r="E170" s="154" t="s">
        <v>522</v>
      </c>
      <c r="F170" s="226" t="s">
        <v>524</v>
      </c>
      <c r="G170" s="209"/>
      <c r="H170" s="209"/>
      <c r="I170" s="209"/>
      <c r="J170" s="155" t="s">
        <v>462</v>
      </c>
      <c r="K170" s="135">
        <f>11*3</f>
        <v>33</v>
      </c>
      <c r="L170" s="210"/>
      <c r="M170" s="209"/>
      <c r="N170" s="210">
        <f t="shared" si="20"/>
        <v>0</v>
      </c>
      <c r="O170" s="209"/>
      <c r="P170" s="209"/>
      <c r="Q170" s="209"/>
      <c r="R170" s="136"/>
      <c r="T170" s="137" t="s">
        <v>3</v>
      </c>
      <c r="U170" s="36" t="s">
        <v>40</v>
      </c>
      <c r="V170" s="138">
        <v>1.14</v>
      </c>
      <c r="W170" s="138">
        <f t="shared" si="21"/>
        <v>37.62</v>
      </c>
      <c r="X170" s="138">
        <v>0</v>
      </c>
      <c r="Y170" s="138">
        <f t="shared" si="22"/>
        <v>0</v>
      </c>
      <c r="Z170" s="138">
        <v>0</v>
      </c>
      <c r="AA170" s="139">
        <f t="shared" si="23"/>
        <v>0</v>
      </c>
      <c r="AR170" s="13" t="s">
        <v>221</v>
      </c>
      <c r="AT170" s="13" t="s">
        <v>131</v>
      </c>
      <c r="AU170" s="13" t="s">
        <v>100</v>
      </c>
      <c r="AY170" s="13" t="s">
        <v>130</v>
      </c>
      <c r="BE170" s="140">
        <f t="shared" si="24"/>
        <v>0</v>
      </c>
      <c r="BF170" s="140">
        <f t="shared" si="25"/>
        <v>0</v>
      </c>
      <c r="BG170" s="140">
        <f t="shared" si="26"/>
        <v>0</v>
      </c>
      <c r="BH170" s="140">
        <f t="shared" si="27"/>
        <v>0</v>
      </c>
      <c r="BI170" s="140">
        <f t="shared" si="28"/>
        <v>0</v>
      </c>
      <c r="BJ170" s="13" t="s">
        <v>19</v>
      </c>
      <c r="BK170" s="140">
        <f t="shared" si="29"/>
        <v>0</v>
      </c>
      <c r="BL170" s="13" t="s">
        <v>221</v>
      </c>
      <c r="BM170" s="13" t="s">
        <v>368</v>
      </c>
    </row>
    <row r="171" spans="2:65" s="1" customFormat="1" ht="31.5" customHeight="1">
      <c r="B171" s="131"/>
      <c r="C171" s="132">
        <v>36</v>
      </c>
      <c r="D171" s="132" t="s">
        <v>131</v>
      </c>
      <c r="E171" s="133" t="s">
        <v>363</v>
      </c>
      <c r="F171" s="208" t="s">
        <v>364</v>
      </c>
      <c r="G171" s="209"/>
      <c r="H171" s="209"/>
      <c r="I171" s="209"/>
      <c r="J171" s="155" t="s">
        <v>462</v>
      </c>
      <c r="K171" s="135">
        <f>12*3</f>
        <v>36</v>
      </c>
      <c r="L171" s="210"/>
      <c r="M171" s="209"/>
      <c r="N171" s="210">
        <f t="shared" si="20"/>
        <v>0</v>
      </c>
      <c r="O171" s="209"/>
      <c r="P171" s="209"/>
      <c r="Q171" s="209"/>
      <c r="R171" s="136"/>
      <c r="T171" s="137" t="s">
        <v>3</v>
      </c>
      <c r="U171" s="36" t="s">
        <v>40</v>
      </c>
      <c r="V171" s="138">
        <v>1.305</v>
      </c>
      <c r="W171" s="138">
        <f t="shared" si="21"/>
        <v>46.98</v>
      </c>
      <c r="X171" s="138">
        <v>0</v>
      </c>
      <c r="Y171" s="138">
        <f t="shared" si="22"/>
        <v>0</v>
      </c>
      <c r="Z171" s="138">
        <v>0</v>
      </c>
      <c r="AA171" s="139">
        <f t="shared" si="23"/>
        <v>0</v>
      </c>
      <c r="AR171" s="13" t="s">
        <v>221</v>
      </c>
      <c r="AT171" s="13" t="s">
        <v>131</v>
      </c>
      <c r="AU171" s="13" t="s">
        <v>100</v>
      </c>
      <c r="AY171" s="13" t="s">
        <v>130</v>
      </c>
      <c r="BE171" s="140">
        <f t="shared" si="24"/>
        <v>0</v>
      </c>
      <c r="BF171" s="140">
        <f t="shared" si="25"/>
        <v>0</v>
      </c>
      <c r="BG171" s="140">
        <f t="shared" si="26"/>
        <v>0</v>
      </c>
      <c r="BH171" s="140">
        <f t="shared" si="27"/>
        <v>0</v>
      </c>
      <c r="BI171" s="140">
        <f t="shared" si="28"/>
        <v>0</v>
      </c>
      <c r="BJ171" s="13" t="s">
        <v>19</v>
      </c>
      <c r="BK171" s="140">
        <f t="shared" si="29"/>
        <v>0</v>
      </c>
      <c r="BL171" s="13" t="s">
        <v>221</v>
      </c>
      <c r="BM171" s="13" t="s">
        <v>365</v>
      </c>
    </row>
    <row r="172" spans="2:65" s="1" customFormat="1" ht="31.5" customHeight="1">
      <c r="B172" s="131"/>
      <c r="C172" s="132">
        <v>37</v>
      </c>
      <c r="D172" s="132" t="s">
        <v>131</v>
      </c>
      <c r="E172" s="133" t="s">
        <v>366</v>
      </c>
      <c r="F172" s="208" t="s">
        <v>367</v>
      </c>
      <c r="G172" s="209"/>
      <c r="H172" s="209"/>
      <c r="I172" s="209"/>
      <c r="J172" s="134" t="s">
        <v>201</v>
      </c>
      <c r="K172" s="135">
        <f>2.586*3</f>
        <v>7.757999999999999</v>
      </c>
      <c r="L172" s="210"/>
      <c r="M172" s="209"/>
      <c r="N172" s="210">
        <f t="shared" si="20"/>
        <v>0</v>
      </c>
      <c r="O172" s="209"/>
      <c r="P172" s="209"/>
      <c r="Q172" s="209"/>
      <c r="R172" s="136"/>
      <c r="T172" s="137" t="s">
        <v>3</v>
      </c>
      <c r="U172" s="36" t="s">
        <v>40</v>
      </c>
      <c r="V172" s="138">
        <v>1.14</v>
      </c>
      <c r="W172" s="138">
        <f t="shared" si="21"/>
        <v>8.844119999999998</v>
      </c>
      <c r="X172" s="138">
        <v>0</v>
      </c>
      <c r="Y172" s="138">
        <f t="shared" si="22"/>
        <v>0</v>
      </c>
      <c r="Z172" s="138">
        <v>0</v>
      </c>
      <c r="AA172" s="139">
        <f t="shared" si="23"/>
        <v>0</v>
      </c>
      <c r="AR172" s="13" t="s">
        <v>221</v>
      </c>
      <c r="AT172" s="13" t="s">
        <v>131</v>
      </c>
      <c r="AU172" s="13" t="s">
        <v>100</v>
      </c>
      <c r="AY172" s="13" t="s">
        <v>130</v>
      </c>
      <c r="BE172" s="140">
        <f t="shared" si="24"/>
        <v>0</v>
      </c>
      <c r="BF172" s="140">
        <f t="shared" si="25"/>
        <v>0</v>
      </c>
      <c r="BG172" s="140">
        <f t="shared" si="26"/>
        <v>0</v>
      </c>
      <c r="BH172" s="140">
        <f t="shared" si="27"/>
        <v>0</v>
      </c>
      <c r="BI172" s="140">
        <f t="shared" si="28"/>
        <v>0</v>
      </c>
      <c r="BJ172" s="13" t="s">
        <v>19</v>
      </c>
      <c r="BK172" s="140">
        <f t="shared" si="29"/>
        <v>0</v>
      </c>
      <c r="BL172" s="13" t="s">
        <v>221</v>
      </c>
      <c r="BM172" s="13" t="s">
        <v>368</v>
      </c>
    </row>
    <row r="173" spans="2:63" s="9" customFormat="1" ht="29.25" customHeight="1">
      <c r="B173" s="120"/>
      <c r="C173" s="121"/>
      <c r="D173" s="130" t="s">
        <v>162</v>
      </c>
      <c r="E173" s="130"/>
      <c r="F173" s="130"/>
      <c r="G173" s="130"/>
      <c r="H173" s="130"/>
      <c r="I173" s="130"/>
      <c r="J173" s="130"/>
      <c r="K173" s="130"/>
      <c r="L173" s="130"/>
      <c r="M173" s="130"/>
      <c r="N173" s="219">
        <f>BK173</f>
        <v>0</v>
      </c>
      <c r="O173" s="220"/>
      <c r="P173" s="220"/>
      <c r="Q173" s="220"/>
      <c r="R173" s="123"/>
      <c r="T173" s="124"/>
      <c r="U173" s="121"/>
      <c r="V173" s="121"/>
      <c r="W173" s="125">
        <f>SUM(W174:W177)</f>
        <v>50.186693999999996</v>
      </c>
      <c r="X173" s="121"/>
      <c r="Y173" s="125">
        <f>SUM(Y174:Y177)</f>
        <v>0.048897239999999995</v>
      </c>
      <c r="Z173" s="121"/>
      <c r="AA173" s="126">
        <f>SUM(AA174:AA177)</f>
        <v>0</v>
      </c>
      <c r="AR173" s="127" t="s">
        <v>100</v>
      </c>
      <c r="AT173" s="128" t="s">
        <v>74</v>
      </c>
      <c r="AU173" s="128" t="s">
        <v>19</v>
      </c>
      <c r="AY173" s="127" t="s">
        <v>130</v>
      </c>
      <c r="BK173" s="129">
        <f>SUM(BK174:BK177)</f>
        <v>0</v>
      </c>
    </row>
    <row r="174" spans="2:65" s="1" customFormat="1" ht="31.5" customHeight="1">
      <c r="B174" s="131"/>
      <c r="C174" s="132">
        <v>38</v>
      </c>
      <c r="D174" s="132" t="s">
        <v>131</v>
      </c>
      <c r="E174" s="133" t="s">
        <v>369</v>
      </c>
      <c r="F174" s="208" t="s">
        <v>370</v>
      </c>
      <c r="G174" s="209"/>
      <c r="H174" s="209"/>
      <c r="I174" s="209"/>
      <c r="J174" s="134" t="s">
        <v>174</v>
      </c>
      <c r="K174" s="135">
        <f>19.976*3</f>
        <v>59.928</v>
      </c>
      <c r="L174" s="210"/>
      <c r="M174" s="209"/>
      <c r="N174" s="210">
        <f>K174*L174</f>
        <v>0</v>
      </c>
      <c r="O174" s="209"/>
      <c r="P174" s="209"/>
      <c r="Q174" s="209"/>
      <c r="R174" s="136"/>
      <c r="T174" s="137" t="s">
        <v>3</v>
      </c>
      <c r="U174" s="36" t="s">
        <v>40</v>
      </c>
      <c r="V174" s="138">
        <v>0.117</v>
      </c>
      <c r="W174" s="138">
        <f>V174*K174</f>
        <v>7.011576</v>
      </c>
      <c r="X174" s="138">
        <v>7E-05</v>
      </c>
      <c r="Y174" s="138">
        <f>X174*K174</f>
        <v>0.004194959999999999</v>
      </c>
      <c r="Z174" s="138">
        <v>0</v>
      </c>
      <c r="AA174" s="139">
        <f>Z174*K174</f>
        <v>0</v>
      </c>
      <c r="AR174" s="13" t="s">
        <v>221</v>
      </c>
      <c r="AT174" s="13" t="s">
        <v>131</v>
      </c>
      <c r="AU174" s="13" t="s">
        <v>100</v>
      </c>
      <c r="AY174" s="13" t="s">
        <v>130</v>
      </c>
      <c r="BE174" s="140">
        <f>IF(U174="základní",N174,0)</f>
        <v>0</v>
      </c>
      <c r="BF174" s="140">
        <f>IF(U174="snížená",N174,0)</f>
        <v>0</v>
      </c>
      <c r="BG174" s="140">
        <f>IF(U174="zákl. přenesená",N174,0)</f>
        <v>0</v>
      </c>
      <c r="BH174" s="140">
        <f>IF(U174="sníž. přenesená",N174,0)</f>
        <v>0</v>
      </c>
      <c r="BI174" s="140">
        <f>IF(U174="nulová",N174,0)</f>
        <v>0</v>
      </c>
      <c r="BJ174" s="13" t="s">
        <v>19</v>
      </c>
      <c r="BK174" s="140">
        <f>ROUND(L174*K174,2)</f>
        <v>0</v>
      </c>
      <c r="BL174" s="13" t="s">
        <v>221</v>
      </c>
      <c r="BM174" s="13" t="s">
        <v>371</v>
      </c>
    </row>
    <row r="175" spans="2:65" s="1" customFormat="1" ht="31.5" customHeight="1">
      <c r="B175" s="131"/>
      <c r="C175" s="132">
        <v>39</v>
      </c>
      <c r="D175" s="132" t="s">
        <v>131</v>
      </c>
      <c r="E175" s="133" t="s">
        <v>372</v>
      </c>
      <c r="F175" s="208" t="s">
        <v>373</v>
      </c>
      <c r="G175" s="209"/>
      <c r="H175" s="209"/>
      <c r="I175" s="209"/>
      <c r="J175" s="134" t="s">
        <v>174</v>
      </c>
      <c r="K175" s="135">
        <f>19.976*3</f>
        <v>59.928</v>
      </c>
      <c r="L175" s="210"/>
      <c r="M175" s="209"/>
      <c r="N175" s="210">
        <f>K175*L175</f>
        <v>0</v>
      </c>
      <c r="O175" s="209"/>
      <c r="P175" s="209"/>
      <c r="Q175" s="209"/>
      <c r="R175" s="136"/>
      <c r="T175" s="137" t="s">
        <v>3</v>
      </c>
      <c r="U175" s="36" t="s">
        <v>40</v>
      </c>
      <c r="V175" s="138">
        <v>0.184</v>
      </c>
      <c r="W175" s="138">
        <f>V175*K175</f>
        <v>11.026752</v>
      </c>
      <c r="X175" s="138">
        <v>0.00014</v>
      </c>
      <c r="Y175" s="138">
        <f>X175*K175</f>
        <v>0.008389919999999999</v>
      </c>
      <c r="Z175" s="138">
        <v>0</v>
      </c>
      <c r="AA175" s="139">
        <f>Z175*K175</f>
        <v>0</v>
      </c>
      <c r="AR175" s="13" t="s">
        <v>221</v>
      </c>
      <c r="AT175" s="13" t="s">
        <v>131</v>
      </c>
      <c r="AU175" s="13" t="s">
        <v>100</v>
      </c>
      <c r="AY175" s="13" t="s">
        <v>130</v>
      </c>
      <c r="BE175" s="140">
        <f>IF(U175="základní",N175,0)</f>
        <v>0</v>
      </c>
      <c r="BF175" s="140">
        <f>IF(U175="snížená",N175,0)</f>
        <v>0</v>
      </c>
      <c r="BG175" s="140">
        <f>IF(U175="zákl. přenesená",N175,0)</f>
        <v>0</v>
      </c>
      <c r="BH175" s="140">
        <f>IF(U175="sníž. přenesená",N175,0)</f>
        <v>0</v>
      </c>
      <c r="BI175" s="140">
        <f>IF(U175="nulová",N175,0)</f>
        <v>0</v>
      </c>
      <c r="BJ175" s="13" t="s">
        <v>19</v>
      </c>
      <c r="BK175" s="140">
        <f>ROUND(L175*K175,2)</f>
        <v>0</v>
      </c>
      <c r="BL175" s="13" t="s">
        <v>221</v>
      </c>
      <c r="BM175" s="13" t="s">
        <v>374</v>
      </c>
    </row>
    <row r="176" spans="2:65" s="1" customFormat="1" ht="31.5" customHeight="1">
      <c r="B176" s="131"/>
      <c r="C176" s="132">
        <v>40</v>
      </c>
      <c r="D176" s="132" t="s">
        <v>131</v>
      </c>
      <c r="E176" s="133" t="s">
        <v>375</v>
      </c>
      <c r="F176" s="208" t="s">
        <v>376</v>
      </c>
      <c r="G176" s="209"/>
      <c r="H176" s="209"/>
      <c r="I176" s="209"/>
      <c r="J176" s="134" t="s">
        <v>174</v>
      </c>
      <c r="K176" s="135">
        <f>19.976*3</f>
        <v>59.928</v>
      </c>
      <c r="L176" s="210"/>
      <c r="M176" s="209"/>
      <c r="N176" s="210">
        <f>K176*L176</f>
        <v>0</v>
      </c>
      <c r="O176" s="209"/>
      <c r="P176" s="209"/>
      <c r="Q176" s="209"/>
      <c r="R176" s="136"/>
      <c r="T176" s="137" t="s">
        <v>3</v>
      </c>
      <c r="U176" s="36" t="s">
        <v>40</v>
      </c>
      <c r="V176" s="138">
        <v>0.172</v>
      </c>
      <c r="W176" s="138">
        <f>V176*K176</f>
        <v>10.307616</v>
      </c>
      <c r="X176" s="138">
        <v>0.00012</v>
      </c>
      <c r="Y176" s="138">
        <f>X176*K176</f>
        <v>0.00719136</v>
      </c>
      <c r="Z176" s="138">
        <v>0</v>
      </c>
      <c r="AA176" s="139">
        <f>Z176*K176</f>
        <v>0</v>
      </c>
      <c r="AR176" s="13" t="s">
        <v>221</v>
      </c>
      <c r="AT176" s="13" t="s">
        <v>131</v>
      </c>
      <c r="AU176" s="13" t="s">
        <v>100</v>
      </c>
      <c r="AY176" s="13" t="s">
        <v>130</v>
      </c>
      <c r="BE176" s="140">
        <f>IF(U176="základní",N176,0)</f>
        <v>0</v>
      </c>
      <c r="BF176" s="140">
        <f>IF(U176="snížená",N176,0)</f>
        <v>0</v>
      </c>
      <c r="BG176" s="140">
        <f>IF(U176="zákl. přenesená",N176,0)</f>
        <v>0</v>
      </c>
      <c r="BH176" s="140">
        <f>IF(U176="sníž. přenesená",N176,0)</f>
        <v>0</v>
      </c>
      <c r="BI176" s="140">
        <f>IF(U176="nulová",N176,0)</f>
        <v>0</v>
      </c>
      <c r="BJ176" s="13" t="s">
        <v>19</v>
      </c>
      <c r="BK176" s="140">
        <f>ROUND(L176*K176,2)</f>
        <v>0</v>
      </c>
      <c r="BL176" s="13" t="s">
        <v>221</v>
      </c>
      <c r="BM176" s="13" t="s">
        <v>377</v>
      </c>
    </row>
    <row r="177" spans="2:65" s="1" customFormat="1" ht="31.5" customHeight="1">
      <c r="B177" s="131"/>
      <c r="C177" s="132">
        <v>41</v>
      </c>
      <c r="D177" s="132" t="s">
        <v>131</v>
      </c>
      <c r="E177" s="133" t="s">
        <v>378</v>
      </c>
      <c r="F177" s="208" t="s">
        <v>379</v>
      </c>
      <c r="G177" s="209"/>
      <c r="H177" s="209"/>
      <c r="I177" s="209"/>
      <c r="J177" s="134" t="s">
        <v>174</v>
      </c>
      <c r="K177" s="135">
        <f>97.07*3</f>
        <v>291.21</v>
      </c>
      <c r="L177" s="210"/>
      <c r="M177" s="209"/>
      <c r="N177" s="210">
        <f>K177*L177</f>
        <v>0</v>
      </c>
      <c r="O177" s="209"/>
      <c r="P177" s="209"/>
      <c r="Q177" s="209"/>
      <c r="R177" s="136"/>
      <c r="T177" s="137" t="s">
        <v>3</v>
      </c>
      <c r="U177" s="36" t="s">
        <v>40</v>
      </c>
      <c r="V177" s="138">
        <v>0.075</v>
      </c>
      <c r="W177" s="138">
        <f>V177*K177</f>
        <v>21.840749999999996</v>
      </c>
      <c r="X177" s="138">
        <v>0.0001</v>
      </c>
      <c r="Y177" s="138">
        <f>X177*K177</f>
        <v>0.029121</v>
      </c>
      <c r="Z177" s="138">
        <v>0</v>
      </c>
      <c r="AA177" s="139">
        <f>Z177*K177</f>
        <v>0</v>
      </c>
      <c r="AR177" s="13" t="s">
        <v>221</v>
      </c>
      <c r="AT177" s="13" t="s">
        <v>131</v>
      </c>
      <c r="AU177" s="13" t="s">
        <v>100</v>
      </c>
      <c r="AY177" s="13" t="s">
        <v>130</v>
      </c>
      <c r="BE177" s="140">
        <f>IF(U177="základní",N177,0)</f>
        <v>0</v>
      </c>
      <c r="BF177" s="140">
        <f>IF(U177="snížená",N177,0)</f>
        <v>0</v>
      </c>
      <c r="BG177" s="140">
        <f>IF(U177="zákl. přenesená",N177,0)</f>
        <v>0</v>
      </c>
      <c r="BH177" s="140">
        <f>IF(U177="sníž. přenesená",N177,0)</f>
        <v>0</v>
      </c>
      <c r="BI177" s="140">
        <f>IF(U177="nulová",N177,0)</f>
        <v>0</v>
      </c>
      <c r="BJ177" s="13" t="s">
        <v>19</v>
      </c>
      <c r="BK177" s="140">
        <f>ROUND(L177*K177,2)</f>
        <v>0</v>
      </c>
      <c r="BL177" s="13" t="s">
        <v>221</v>
      </c>
      <c r="BM177" s="13" t="s">
        <v>380</v>
      </c>
    </row>
    <row r="178" spans="2:63" s="9" customFormat="1" ht="29.25" customHeight="1">
      <c r="B178" s="120"/>
      <c r="C178" s="121"/>
      <c r="D178" s="130" t="s">
        <v>163</v>
      </c>
      <c r="E178" s="130"/>
      <c r="F178" s="130"/>
      <c r="G178" s="130"/>
      <c r="H178" s="130"/>
      <c r="I178" s="130"/>
      <c r="J178" s="130"/>
      <c r="K178" s="130"/>
      <c r="L178" s="130"/>
      <c r="M178" s="130"/>
      <c r="N178" s="217">
        <f>BK178</f>
        <v>0</v>
      </c>
      <c r="O178" s="218"/>
      <c r="P178" s="218"/>
      <c r="Q178" s="218"/>
      <c r="R178" s="123"/>
      <c r="T178" s="124"/>
      <c r="U178" s="121"/>
      <c r="V178" s="121"/>
      <c r="W178" s="125">
        <f>SUM(W179:W180)</f>
        <v>94.742898</v>
      </c>
      <c r="X178" s="121"/>
      <c r="Y178" s="125">
        <f>SUM(Y179:Y180)</f>
        <v>0.31811484</v>
      </c>
      <c r="Z178" s="121"/>
      <c r="AA178" s="126">
        <f>SUM(AA179:AA180)</f>
        <v>0</v>
      </c>
      <c r="AR178" s="127" t="s">
        <v>100</v>
      </c>
      <c r="AT178" s="128" t="s">
        <v>74</v>
      </c>
      <c r="AU178" s="128" t="s">
        <v>19</v>
      </c>
      <c r="AY178" s="127" t="s">
        <v>130</v>
      </c>
      <c r="BK178" s="129">
        <f>SUM(BK179:BK180)</f>
        <v>0</v>
      </c>
    </row>
    <row r="179" spans="2:65" s="1" customFormat="1" ht="31.5" customHeight="1">
      <c r="B179" s="131"/>
      <c r="C179" s="132">
        <v>42</v>
      </c>
      <c r="D179" s="132" t="s">
        <v>131</v>
      </c>
      <c r="E179" s="133" t="s">
        <v>381</v>
      </c>
      <c r="F179" s="208" t="s">
        <v>382</v>
      </c>
      <c r="G179" s="209"/>
      <c r="H179" s="209"/>
      <c r="I179" s="209"/>
      <c r="J179" s="134" t="s">
        <v>174</v>
      </c>
      <c r="K179" s="135">
        <f>230.518*3</f>
        <v>691.554</v>
      </c>
      <c r="L179" s="210"/>
      <c r="M179" s="209"/>
      <c r="N179" s="210">
        <f>K179*L179</f>
        <v>0</v>
      </c>
      <c r="O179" s="209"/>
      <c r="P179" s="209"/>
      <c r="Q179" s="209"/>
      <c r="R179" s="136"/>
      <c r="T179" s="137" t="s">
        <v>3</v>
      </c>
      <c r="U179" s="36" t="s">
        <v>40</v>
      </c>
      <c r="V179" s="138">
        <v>0.033</v>
      </c>
      <c r="W179" s="138">
        <f>V179*K179</f>
        <v>22.821282</v>
      </c>
      <c r="X179" s="138">
        <v>0.0002</v>
      </c>
      <c r="Y179" s="138">
        <f>X179*K179</f>
        <v>0.1383108</v>
      </c>
      <c r="Z179" s="138">
        <v>0</v>
      </c>
      <c r="AA179" s="139">
        <f>Z179*K179</f>
        <v>0</v>
      </c>
      <c r="AR179" s="13" t="s">
        <v>221</v>
      </c>
      <c r="AT179" s="13" t="s">
        <v>131</v>
      </c>
      <c r="AU179" s="13" t="s">
        <v>100</v>
      </c>
      <c r="AY179" s="13" t="s">
        <v>130</v>
      </c>
      <c r="BE179" s="140">
        <f>IF(U179="základní",N179,0)</f>
        <v>0</v>
      </c>
      <c r="BF179" s="140">
        <f>IF(U179="snížená",N179,0)</f>
        <v>0</v>
      </c>
      <c r="BG179" s="140">
        <f>IF(U179="zákl. přenesená",N179,0)</f>
        <v>0</v>
      </c>
      <c r="BH179" s="140">
        <f>IF(U179="sníž. přenesená",N179,0)</f>
        <v>0</v>
      </c>
      <c r="BI179" s="140">
        <f>IF(U179="nulová",N179,0)</f>
        <v>0</v>
      </c>
      <c r="BJ179" s="13" t="s">
        <v>19</v>
      </c>
      <c r="BK179" s="140">
        <f>ROUND(L179*K179,2)</f>
        <v>0</v>
      </c>
      <c r="BL179" s="13" t="s">
        <v>221</v>
      </c>
      <c r="BM179" s="13" t="s">
        <v>383</v>
      </c>
    </row>
    <row r="180" spans="2:65" s="1" customFormat="1" ht="44.25" customHeight="1">
      <c r="B180" s="131"/>
      <c r="C180" s="132">
        <v>43</v>
      </c>
      <c r="D180" s="132" t="s">
        <v>131</v>
      </c>
      <c r="E180" s="133" t="s">
        <v>384</v>
      </c>
      <c r="F180" s="208" t="s">
        <v>385</v>
      </c>
      <c r="G180" s="209"/>
      <c r="H180" s="209"/>
      <c r="I180" s="209"/>
      <c r="J180" s="134" t="s">
        <v>174</v>
      </c>
      <c r="K180" s="135">
        <f>K179</f>
        <v>691.554</v>
      </c>
      <c r="L180" s="210"/>
      <c r="M180" s="209"/>
      <c r="N180" s="210">
        <f>K180*L180</f>
        <v>0</v>
      </c>
      <c r="O180" s="209"/>
      <c r="P180" s="209"/>
      <c r="Q180" s="209"/>
      <c r="R180" s="136"/>
      <c r="T180" s="137" t="s">
        <v>3</v>
      </c>
      <c r="U180" s="36" t="s">
        <v>40</v>
      </c>
      <c r="V180" s="138">
        <v>0.104</v>
      </c>
      <c r="W180" s="138">
        <f>V180*K180</f>
        <v>71.921616</v>
      </c>
      <c r="X180" s="138">
        <v>0.00026</v>
      </c>
      <c r="Y180" s="138">
        <f>X180*K180</f>
        <v>0.17980403999999997</v>
      </c>
      <c r="Z180" s="138">
        <v>0</v>
      </c>
      <c r="AA180" s="139">
        <f>Z180*K180</f>
        <v>0</v>
      </c>
      <c r="AR180" s="13" t="s">
        <v>221</v>
      </c>
      <c r="AT180" s="13" t="s">
        <v>131</v>
      </c>
      <c r="AU180" s="13" t="s">
        <v>100</v>
      </c>
      <c r="AY180" s="13" t="s">
        <v>130</v>
      </c>
      <c r="BE180" s="140">
        <f>IF(U180="základní",N180,0)</f>
        <v>0</v>
      </c>
      <c r="BF180" s="140">
        <f>IF(U180="snížená",N180,0)</f>
        <v>0</v>
      </c>
      <c r="BG180" s="140">
        <f>IF(U180="zákl. přenesená",N180,0)</f>
        <v>0</v>
      </c>
      <c r="BH180" s="140">
        <f>IF(U180="sníž. přenesená",N180,0)</f>
        <v>0</v>
      </c>
      <c r="BI180" s="140">
        <f>IF(U180="nulová",N180,0)</f>
        <v>0</v>
      </c>
      <c r="BJ180" s="13" t="s">
        <v>19</v>
      </c>
      <c r="BK180" s="140">
        <f>ROUND(L180*K180,2)</f>
        <v>0</v>
      </c>
      <c r="BL180" s="13" t="s">
        <v>221</v>
      </c>
      <c r="BM180" s="13" t="s">
        <v>386</v>
      </c>
    </row>
    <row r="181" spans="2:18" s="1" customFormat="1" ht="6.75" customHeight="1">
      <c r="B181" s="51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3"/>
    </row>
  </sheetData>
  <sheetProtection/>
  <mergeCells count="208">
    <mergeCell ref="N173:Q173"/>
    <mergeCell ref="H1:K1"/>
    <mergeCell ref="S2:AC2"/>
    <mergeCell ref="N144:Q144"/>
    <mergeCell ref="N146:Q146"/>
    <mergeCell ref="N147:Q147"/>
    <mergeCell ref="N157:Q157"/>
    <mergeCell ref="F171:I171"/>
    <mergeCell ref="F180:I180"/>
    <mergeCell ref="L180:M180"/>
    <mergeCell ref="N180:Q180"/>
    <mergeCell ref="N123:Q123"/>
    <mergeCell ref="N124:Q124"/>
    <mergeCell ref="N125:Q125"/>
    <mergeCell ref="N127:Q127"/>
    <mergeCell ref="N129:Q129"/>
    <mergeCell ref="N178:Q178"/>
    <mergeCell ref="N159:Q159"/>
    <mergeCell ref="F176:I176"/>
    <mergeCell ref="L176:M176"/>
    <mergeCell ref="L177:M177"/>
    <mergeCell ref="N177:Q177"/>
    <mergeCell ref="N176:Q176"/>
    <mergeCell ref="F179:I179"/>
    <mergeCell ref="F177:I177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L171:M171"/>
    <mergeCell ref="N171:Q171"/>
    <mergeCell ref="F172:I172"/>
    <mergeCell ref="L172:M172"/>
    <mergeCell ref="N172:Q172"/>
    <mergeCell ref="F164:I164"/>
    <mergeCell ref="L164:M164"/>
    <mergeCell ref="N164:Q164"/>
    <mergeCell ref="F165:I165"/>
    <mergeCell ref="L165:M165"/>
    <mergeCell ref="F161:I161"/>
    <mergeCell ref="L161:M161"/>
    <mergeCell ref="N161:Q161"/>
    <mergeCell ref="N165:Q165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8:I148"/>
    <mergeCell ref="L148:M148"/>
    <mergeCell ref="N148:Q148"/>
    <mergeCell ref="F141:I141"/>
    <mergeCell ref="L141:M141"/>
    <mergeCell ref="N141:Q141"/>
    <mergeCell ref="L138:M138"/>
    <mergeCell ref="N138:Q138"/>
    <mergeCell ref="F143:I143"/>
    <mergeCell ref="L143:M143"/>
    <mergeCell ref="N143:Q143"/>
    <mergeCell ref="N142:Q142"/>
    <mergeCell ref="F137:I137"/>
    <mergeCell ref="L137:M137"/>
    <mergeCell ref="N137:Q137"/>
    <mergeCell ref="F140:I140"/>
    <mergeCell ref="L140:M140"/>
    <mergeCell ref="N140:Q140"/>
    <mergeCell ref="N139:Q139"/>
    <mergeCell ref="F138:I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N130:Q130"/>
    <mergeCell ref="F132:I132"/>
    <mergeCell ref="L132:M132"/>
    <mergeCell ref="N132:Q132"/>
    <mergeCell ref="F126:I126"/>
    <mergeCell ref="L126:M126"/>
    <mergeCell ref="N126:Q126"/>
    <mergeCell ref="F128:I128"/>
    <mergeCell ref="L128:M128"/>
    <mergeCell ref="N128:Q128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N100:Q100"/>
    <mergeCell ref="N101:Q101"/>
    <mergeCell ref="N102:Q102"/>
    <mergeCell ref="N104:Q104"/>
    <mergeCell ref="L106:Q106"/>
    <mergeCell ref="C112:Q112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C2:Q2"/>
    <mergeCell ref="C4:Q4"/>
    <mergeCell ref="F6:P6"/>
    <mergeCell ref="F7:P7"/>
    <mergeCell ref="O9:P9"/>
    <mergeCell ref="O11:P11"/>
    <mergeCell ref="O12:P12"/>
    <mergeCell ref="O14:P14"/>
    <mergeCell ref="L166:M166"/>
    <mergeCell ref="N166:Q166"/>
    <mergeCell ref="F169:I169"/>
    <mergeCell ref="L169:M169"/>
    <mergeCell ref="N169:Q169"/>
    <mergeCell ref="N168:Q168"/>
    <mergeCell ref="O15:P15"/>
    <mergeCell ref="O17:P17"/>
    <mergeCell ref="F170:I170"/>
    <mergeCell ref="L170:M170"/>
    <mergeCell ref="N170:Q170"/>
    <mergeCell ref="F166:I166"/>
    <mergeCell ref="F167:I167"/>
    <mergeCell ref="L167:M167"/>
    <mergeCell ref="N167:Q167"/>
    <mergeCell ref="F168:I168"/>
    <mergeCell ref="L168:M16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5"/>
  <sheetViews>
    <sheetView showGridLines="0" zoomScalePageLayoutView="0" workbookViewId="0" topLeftCell="A1">
      <pane ySplit="1" topLeftCell="A115" activePane="bottomLeft" state="frozen"/>
      <selection pane="topLeft" activeCell="A1" sqref="A1"/>
      <selection pane="bottomLeft" activeCell="L115" sqref="L115:M1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53"/>
      <c r="B1" s="150"/>
      <c r="C1" s="150"/>
      <c r="D1" s="151" t="s">
        <v>1</v>
      </c>
      <c r="E1" s="150"/>
      <c r="F1" s="152" t="s">
        <v>513</v>
      </c>
      <c r="G1" s="152"/>
      <c r="H1" s="213" t="s">
        <v>514</v>
      </c>
      <c r="I1" s="213"/>
      <c r="J1" s="213"/>
      <c r="K1" s="213"/>
      <c r="L1" s="152" t="s">
        <v>515</v>
      </c>
      <c r="M1" s="150"/>
      <c r="N1" s="150"/>
      <c r="O1" s="151" t="s">
        <v>99</v>
      </c>
      <c r="P1" s="150"/>
      <c r="Q1" s="150"/>
      <c r="R1" s="150"/>
      <c r="S1" s="152" t="s">
        <v>516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57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6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91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100</v>
      </c>
    </row>
    <row r="4" spans="2:46" ht="36.75" customHeight="1">
      <c r="B4" s="17"/>
      <c r="C4" s="159" t="s">
        <v>101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4" t="s">
        <v>15</v>
      </c>
      <c r="E6" s="18"/>
      <c r="F6" s="192" t="str">
        <f>'Rekapitulace stavby'!K6</f>
        <v>Pavilon 7 - Pavilon 7 SOUE - I+II+III  Etapa stupačky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8"/>
      <c r="R6" s="19"/>
    </row>
    <row r="7" spans="2:18" s="1" customFormat="1" ht="32.25" customHeight="1">
      <c r="B7" s="27"/>
      <c r="C7" s="28"/>
      <c r="D7" s="23" t="s">
        <v>102</v>
      </c>
      <c r="E7" s="28"/>
      <c r="F7" s="162" t="s">
        <v>387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28"/>
      <c r="R7" s="29"/>
    </row>
    <row r="8" spans="2:18" s="1" customFormat="1" ht="14.25" customHeight="1">
      <c r="B8" s="27"/>
      <c r="C8" s="28"/>
      <c r="D8" s="24" t="s">
        <v>17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18</v>
      </c>
      <c r="N8" s="28"/>
      <c r="O8" s="22" t="s">
        <v>3</v>
      </c>
      <c r="P8" s="28"/>
      <c r="Q8" s="28"/>
      <c r="R8" s="29"/>
    </row>
    <row r="9" spans="2:18" s="1" customFormat="1" ht="14.25" customHeight="1">
      <c r="B9" s="27"/>
      <c r="C9" s="28"/>
      <c r="D9" s="24" t="s">
        <v>20</v>
      </c>
      <c r="E9" s="28"/>
      <c r="F9" s="22" t="s">
        <v>21</v>
      </c>
      <c r="G9" s="28"/>
      <c r="H9" s="28"/>
      <c r="I9" s="28"/>
      <c r="J9" s="28"/>
      <c r="K9" s="28"/>
      <c r="L9" s="28"/>
      <c r="M9" s="24" t="s">
        <v>22</v>
      </c>
      <c r="N9" s="28"/>
      <c r="O9" s="193"/>
      <c r="P9" s="170"/>
      <c r="Q9" s="28"/>
      <c r="R9" s="29"/>
    </row>
    <row r="10" spans="2:18" s="1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s="1" customFormat="1" ht="14.25" customHeight="1">
      <c r="B11" s="27"/>
      <c r="C11" s="28"/>
      <c r="D11" s="24" t="s">
        <v>25</v>
      </c>
      <c r="E11" s="28"/>
      <c r="F11" s="28"/>
      <c r="G11" s="28"/>
      <c r="H11" s="28"/>
      <c r="I11" s="28"/>
      <c r="J11" s="28"/>
      <c r="K11" s="28"/>
      <c r="L11" s="28"/>
      <c r="M11" s="24" t="s">
        <v>26</v>
      </c>
      <c r="N11" s="28"/>
      <c r="O11" s="161" t="s">
        <v>3</v>
      </c>
      <c r="P11" s="170"/>
      <c r="Q11" s="28"/>
      <c r="R11" s="29"/>
    </row>
    <row r="12" spans="2:18" s="1" customFormat="1" ht="18" customHeight="1">
      <c r="B12" s="27"/>
      <c r="C12" s="28"/>
      <c r="D12" s="28"/>
      <c r="E12" s="22" t="s">
        <v>27</v>
      </c>
      <c r="F12" s="28"/>
      <c r="G12" s="28"/>
      <c r="H12" s="28"/>
      <c r="I12" s="28"/>
      <c r="J12" s="28"/>
      <c r="K12" s="28"/>
      <c r="L12" s="28"/>
      <c r="M12" s="24" t="s">
        <v>28</v>
      </c>
      <c r="N12" s="28"/>
      <c r="O12" s="161" t="s">
        <v>3</v>
      </c>
      <c r="P12" s="170"/>
      <c r="Q12" s="28"/>
      <c r="R12" s="29"/>
    </row>
    <row r="13" spans="2:18" s="1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s="1" customFormat="1" ht="14.25" customHeight="1">
      <c r="B14" s="27"/>
      <c r="C14" s="28"/>
      <c r="D14" s="24" t="s">
        <v>29</v>
      </c>
      <c r="E14" s="28"/>
      <c r="F14" s="28"/>
      <c r="G14" s="28"/>
      <c r="H14" s="28"/>
      <c r="I14" s="28"/>
      <c r="J14" s="28"/>
      <c r="K14" s="28"/>
      <c r="L14" s="28"/>
      <c r="M14" s="24" t="s">
        <v>26</v>
      </c>
      <c r="N14" s="28"/>
      <c r="O14" s="161" t="s">
        <v>3</v>
      </c>
      <c r="P14" s="170"/>
      <c r="Q14" s="28"/>
      <c r="R14" s="29"/>
    </row>
    <row r="15" spans="2:18" s="1" customFormat="1" ht="18" customHeight="1">
      <c r="B15" s="27"/>
      <c r="C15" s="28"/>
      <c r="D15" s="28"/>
      <c r="E15" s="22"/>
      <c r="F15" s="28"/>
      <c r="G15" s="28"/>
      <c r="H15" s="28"/>
      <c r="I15" s="28"/>
      <c r="J15" s="28"/>
      <c r="K15" s="28"/>
      <c r="L15" s="28"/>
      <c r="M15" s="24" t="s">
        <v>28</v>
      </c>
      <c r="N15" s="28"/>
      <c r="O15" s="161" t="s">
        <v>3</v>
      </c>
      <c r="P15" s="170"/>
      <c r="Q15" s="28"/>
      <c r="R15" s="29"/>
    </row>
    <row r="16" spans="2:18" s="1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25" customHeight="1">
      <c r="B17" s="27"/>
      <c r="C17" s="28"/>
      <c r="D17" s="24" t="s">
        <v>30</v>
      </c>
      <c r="E17" s="28"/>
      <c r="F17" s="28"/>
      <c r="G17" s="28"/>
      <c r="H17" s="28"/>
      <c r="I17" s="28"/>
      <c r="J17" s="28"/>
      <c r="K17" s="28"/>
      <c r="L17" s="28"/>
      <c r="M17" s="24" t="s">
        <v>26</v>
      </c>
      <c r="N17" s="28"/>
      <c r="O17" s="161">
        <f>IF('Rekapitulace stavby'!AN16="","",'Rekapitulace stavby'!AN16)</f>
      </c>
      <c r="P17" s="170"/>
      <c r="Q17" s="28"/>
      <c r="R17" s="29"/>
    </row>
    <row r="18" spans="2:18" s="1" customFormat="1" ht="18" customHeight="1">
      <c r="B18" s="27"/>
      <c r="C18" s="28"/>
      <c r="D18" s="28"/>
      <c r="E18" s="22" t="str">
        <f>IF('Rekapitulace stavby'!E17="","",'Rekapitulace stavby'!E17)</f>
        <v> </v>
      </c>
      <c r="F18" s="28"/>
      <c r="G18" s="28"/>
      <c r="H18" s="28"/>
      <c r="I18" s="28"/>
      <c r="J18" s="28"/>
      <c r="K18" s="28"/>
      <c r="L18" s="28"/>
      <c r="M18" s="24" t="s">
        <v>28</v>
      </c>
      <c r="N18" s="28"/>
      <c r="O18" s="161">
        <f>IF('Rekapitulace stavby'!AN17="","",'Rekapitulace stavby'!AN17)</f>
      </c>
      <c r="P18" s="170"/>
      <c r="Q18" s="28"/>
      <c r="R18" s="29"/>
    </row>
    <row r="19" spans="2:18" s="1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25" customHeight="1">
      <c r="B20" s="27"/>
      <c r="C20" s="28"/>
      <c r="D20" s="24" t="s">
        <v>33</v>
      </c>
      <c r="E20" s="28"/>
      <c r="F20" s="28"/>
      <c r="G20" s="28"/>
      <c r="H20" s="28"/>
      <c r="I20" s="28"/>
      <c r="J20" s="28"/>
      <c r="K20" s="28"/>
      <c r="L20" s="28"/>
      <c r="M20" s="24" t="s">
        <v>26</v>
      </c>
      <c r="N20" s="28"/>
      <c r="O20" s="161" t="s">
        <v>3</v>
      </c>
      <c r="P20" s="170"/>
      <c r="Q20" s="28"/>
      <c r="R20" s="29"/>
    </row>
    <row r="21" spans="2:18" s="1" customFormat="1" ht="18" customHeight="1">
      <c r="B21" s="27"/>
      <c r="C21" s="28"/>
      <c r="D21" s="28"/>
      <c r="E21" s="22"/>
      <c r="F21" s="28"/>
      <c r="G21" s="28"/>
      <c r="H21" s="28"/>
      <c r="I21" s="28"/>
      <c r="J21" s="28"/>
      <c r="K21" s="28"/>
      <c r="L21" s="28"/>
      <c r="M21" s="24" t="s">
        <v>28</v>
      </c>
      <c r="N21" s="28"/>
      <c r="O21" s="161" t="s">
        <v>3</v>
      </c>
      <c r="P21" s="170"/>
      <c r="Q21" s="28"/>
      <c r="R21" s="29"/>
    </row>
    <row r="22" spans="2:18" s="1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25" customHeight="1">
      <c r="B23" s="27"/>
      <c r="C23" s="28"/>
      <c r="D23" s="24" t="s">
        <v>34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77.25" customHeight="1">
      <c r="B24" s="27"/>
      <c r="C24" s="28"/>
      <c r="D24" s="28"/>
      <c r="E24" s="163" t="s">
        <v>35</v>
      </c>
      <c r="F24" s="170"/>
      <c r="G24" s="170"/>
      <c r="H24" s="170"/>
      <c r="I24" s="170"/>
      <c r="J24" s="170"/>
      <c r="K24" s="170"/>
      <c r="L24" s="170"/>
      <c r="M24" s="28"/>
      <c r="N24" s="28"/>
      <c r="O24" s="28"/>
      <c r="P24" s="28"/>
      <c r="Q24" s="28"/>
      <c r="R24" s="29"/>
    </row>
    <row r="25" spans="2:18" s="1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7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25" customHeight="1">
      <c r="B27" s="27"/>
      <c r="C27" s="28"/>
      <c r="D27" s="96" t="s">
        <v>104</v>
      </c>
      <c r="E27" s="28"/>
      <c r="F27" s="28"/>
      <c r="G27" s="28"/>
      <c r="H27" s="28"/>
      <c r="I27" s="28"/>
      <c r="J27" s="28"/>
      <c r="K27" s="28"/>
      <c r="L27" s="28"/>
      <c r="M27" s="164">
        <f>N88</f>
        <v>0</v>
      </c>
      <c r="N27" s="170"/>
      <c r="O27" s="170"/>
      <c r="P27" s="170"/>
      <c r="Q27" s="28"/>
      <c r="R27" s="29"/>
    </row>
    <row r="28" spans="2:18" s="1" customFormat="1" ht="14.25" customHeight="1">
      <c r="B28" s="27"/>
      <c r="C28" s="28"/>
      <c r="D28" s="26" t="s">
        <v>105</v>
      </c>
      <c r="E28" s="28"/>
      <c r="F28" s="28"/>
      <c r="G28" s="28"/>
      <c r="H28" s="28"/>
      <c r="I28" s="28"/>
      <c r="J28" s="28"/>
      <c r="K28" s="28"/>
      <c r="L28" s="28"/>
      <c r="M28" s="164">
        <f>N93</f>
        <v>0</v>
      </c>
      <c r="N28" s="170"/>
      <c r="O28" s="170"/>
      <c r="P28" s="170"/>
      <c r="Q28" s="28"/>
      <c r="R28" s="29"/>
    </row>
    <row r="29" spans="2:18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4.75" customHeight="1">
      <c r="B30" s="27"/>
      <c r="C30" s="28"/>
      <c r="D30" s="97" t="s">
        <v>38</v>
      </c>
      <c r="E30" s="28"/>
      <c r="F30" s="28"/>
      <c r="G30" s="28"/>
      <c r="H30" s="28"/>
      <c r="I30" s="28"/>
      <c r="J30" s="28"/>
      <c r="K30" s="28"/>
      <c r="L30" s="28"/>
      <c r="M30" s="194">
        <f>ROUND(M27+M28,2)</f>
        <v>0</v>
      </c>
      <c r="N30" s="170"/>
      <c r="O30" s="170"/>
      <c r="P30" s="170"/>
      <c r="Q30" s="28"/>
      <c r="R30" s="29"/>
    </row>
    <row r="31" spans="2:18" s="1" customFormat="1" ht="6.7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25" customHeight="1">
      <c r="B32" s="27"/>
      <c r="C32" s="28"/>
      <c r="D32" s="34" t="s">
        <v>39</v>
      </c>
      <c r="E32" s="34" t="s">
        <v>40</v>
      </c>
      <c r="F32" s="35">
        <v>0.21</v>
      </c>
      <c r="G32" s="98" t="s">
        <v>41</v>
      </c>
      <c r="H32" s="195">
        <f>ROUND((SUM(BE93:BE94)+SUM(BE112:BE124)),2)</f>
        <v>0</v>
      </c>
      <c r="I32" s="170"/>
      <c r="J32" s="170"/>
      <c r="K32" s="28"/>
      <c r="L32" s="28"/>
      <c r="M32" s="195">
        <f>ROUND(ROUND((SUM(BE93:BE94)+SUM(BE112:BE124)),2)*F32,2)</f>
        <v>0</v>
      </c>
      <c r="N32" s="170"/>
      <c r="O32" s="170"/>
      <c r="P32" s="170"/>
      <c r="Q32" s="28"/>
      <c r="R32" s="29"/>
    </row>
    <row r="33" spans="2:18" s="1" customFormat="1" ht="14.25" customHeight="1">
      <c r="B33" s="27"/>
      <c r="C33" s="28"/>
      <c r="D33" s="28"/>
      <c r="E33" s="34" t="s">
        <v>42</v>
      </c>
      <c r="F33" s="35">
        <v>0.15</v>
      </c>
      <c r="G33" s="98" t="s">
        <v>41</v>
      </c>
      <c r="H33" s="195">
        <f>ROUND((SUM(BF93:BF94)+SUM(BF112:BF124)),2)</f>
        <v>0</v>
      </c>
      <c r="I33" s="170"/>
      <c r="J33" s="170"/>
      <c r="K33" s="28"/>
      <c r="L33" s="28"/>
      <c r="M33" s="195">
        <f>ROUND(ROUND((SUM(BF93:BF94)+SUM(BF112:BF124)),2)*F33,2)</f>
        <v>0</v>
      </c>
      <c r="N33" s="170"/>
      <c r="O33" s="170"/>
      <c r="P33" s="170"/>
      <c r="Q33" s="28"/>
      <c r="R33" s="29"/>
    </row>
    <row r="34" spans="2:18" s="1" customFormat="1" ht="14.25" customHeight="1" hidden="1">
      <c r="B34" s="27"/>
      <c r="C34" s="28"/>
      <c r="D34" s="28"/>
      <c r="E34" s="34" t="s">
        <v>43</v>
      </c>
      <c r="F34" s="35">
        <v>0.21</v>
      </c>
      <c r="G34" s="98" t="s">
        <v>41</v>
      </c>
      <c r="H34" s="195">
        <f>ROUND((SUM(BG93:BG94)+SUM(BG112:BG124)),2)</f>
        <v>0</v>
      </c>
      <c r="I34" s="170"/>
      <c r="J34" s="170"/>
      <c r="K34" s="28"/>
      <c r="L34" s="28"/>
      <c r="M34" s="195">
        <v>0</v>
      </c>
      <c r="N34" s="170"/>
      <c r="O34" s="170"/>
      <c r="P34" s="170"/>
      <c r="Q34" s="28"/>
      <c r="R34" s="29"/>
    </row>
    <row r="35" spans="2:18" s="1" customFormat="1" ht="14.25" customHeight="1" hidden="1">
      <c r="B35" s="27"/>
      <c r="C35" s="28"/>
      <c r="D35" s="28"/>
      <c r="E35" s="34" t="s">
        <v>44</v>
      </c>
      <c r="F35" s="35">
        <v>0.15</v>
      </c>
      <c r="G35" s="98" t="s">
        <v>41</v>
      </c>
      <c r="H35" s="195">
        <f>ROUND((SUM(BH93:BH94)+SUM(BH112:BH124)),2)</f>
        <v>0</v>
      </c>
      <c r="I35" s="170"/>
      <c r="J35" s="170"/>
      <c r="K35" s="28"/>
      <c r="L35" s="28"/>
      <c r="M35" s="195">
        <v>0</v>
      </c>
      <c r="N35" s="170"/>
      <c r="O35" s="170"/>
      <c r="P35" s="170"/>
      <c r="Q35" s="28"/>
      <c r="R35" s="29"/>
    </row>
    <row r="36" spans="2:18" s="1" customFormat="1" ht="14.25" customHeight="1" hidden="1">
      <c r="B36" s="27"/>
      <c r="C36" s="28"/>
      <c r="D36" s="28"/>
      <c r="E36" s="34" t="s">
        <v>45</v>
      </c>
      <c r="F36" s="35">
        <v>0</v>
      </c>
      <c r="G36" s="98" t="s">
        <v>41</v>
      </c>
      <c r="H36" s="195">
        <f>ROUND((SUM(BI93:BI94)+SUM(BI112:BI124)),2)</f>
        <v>0</v>
      </c>
      <c r="I36" s="170"/>
      <c r="J36" s="170"/>
      <c r="K36" s="28"/>
      <c r="L36" s="28"/>
      <c r="M36" s="195">
        <v>0</v>
      </c>
      <c r="N36" s="170"/>
      <c r="O36" s="170"/>
      <c r="P36" s="170"/>
      <c r="Q36" s="28"/>
      <c r="R36" s="29"/>
    </row>
    <row r="37" spans="2:18" s="1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4.75" customHeight="1">
      <c r="B38" s="27"/>
      <c r="C38" s="95"/>
      <c r="D38" s="99" t="s">
        <v>46</v>
      </c>
      <c r="E38" s="67"/>
      <c r="F38" s="67"/>
      <c r="G38" s="100" t="s">
        <v>47</v>
      </c>
      <c r="H38" s="101" t="s">
        <v>48</v>
      </c>
      <c r="I38" s="67"/>
      <c r="J38" s="67"/>
      <c r="K38" s="67"/>
      <c r="L38" s="196">
        <f>SUM(M30:M36)</f>
        <v>0</v>
      </c>
      <c r="M38" s="173"/>
      <c r="N38" s="173"/>
      <c r="O38" s="173"/>
      <c r="P38" s="175"/>
      <c r="Q38" s="95"/>
      <c r="R38" s="29"/>
    </row>
    <row r="39" spans="2:18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2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 t="s">
        <v>49</v>
      </c>
      <c r="E50" s="43"/>
      <c r="F50" s="43"/>
      <c r="G50" s="43"/>
      <c r="H50" s="44"/>
      <c r="I50" s="28"/>
      <c r="J50" s="42" t="s">
        <v>50</v>
      </c>
      <c r="K50" s="43"/>
      <c r="L50" s="43"/>
      <c r="M50" s="43"/>
      <c r="N50" s="43"/>
      <c r="O50" s="43"/>
      <c r="P50" s="44"/>
      <c r="Q50" s="28"/>
      <c r="R50" s="29"/>
    </row>
    <row r="51" spans="2:18" ht="13.5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 t="s">
        <v>51</v>
      </c>
      <c r="E59" s="48"/>
      <c r="F59" s="48"/>
      <c r="G59" s="49" t="s">
        <v>52</v>
      </c>
      <c r="H59" s="50"/>
      <c r="I59" s="28"/>
      <c r="J59" s="47" t="s">
        <v>51</v>
      </c>
      <c r="K59" s="48"/>
      <c r="L59" s="48"/>
      <c r="M59" s="48"/>
      <c r="N59" s="49" t="s">
        <v>52</v>
      </c>
      <c r="O59" s="48"/>
      <c r="P59" s="50"/>
      <c r="Q59" s="28"/>
      <c r="R59" s="29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53</v>
      </c>
      <c r="E61" s="43"/>
      <c r="F61" s="43"/>
      <c r="G61" s="43"/>
      <c r="H61" s="44"/>
      <c r="I61" s="28"/>
      <c r="J61" s="42" t="s">
        <v>54</v>
      </c>
      <c r="K61" s="43"/>
      <c r="L61" s="43"/>
      <c r="M61" s="43"/>
      <c r="N61" s="43"/>
      <c r="O61" s="43"/>
      <c r="P61" s="44"/>
      <c r="Q61" s="28"/>
      <c r="R61" s="29"/>
    </row>
    <row r="62" spans="2:18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51</v>
      </c>
      <c r="E70" s="48"/>
      <c r="F70" s="48"/>
      <c r="G70" s="49" t="s">
        <v>52</v>
      </c>
      <c r="H70" s="50"/>
      <c r="I70" s="28"/>
      <c r="J70" s="47" t="s">
        <v>51</v>
      </c>
      <c r="K70" s="48"/>
      <c r="L70" s="48"/>
      <c r="M70" s="48"/>
      <c r="N70" s="49" t="s">
        <v>52</v>
      </c>
      <c r="O70" s="48"/>
      <c r="P70" s="50"/>
      <c r="Q70" s="28"/>
      <c r="R70" s="29"/>
    </row>
    <row r="71" spans="2:18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75" customHeight="1">
      <c r="B76" s="27"/>
      <c r="C76" s="159" t="s">
        <v>106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29"/>
    </row>
    <row r="77" spans="2:18" s="1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>
      <c r="B78" s="27"/>
      <c r="C78" s="24" t="s">
        <v>15</v>
      </c>
      <c r="D78" s="28"/>
      <c r="E78" s="28"/>
      <c r="F78" s="192" t="str">
        <f>F6</f>
        <v>Pavilon 7 - Pavilon 7 SOUE - I+II+III  Etapa stupačky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28"/>
      <c r="R78" s="29"/>
    </row>
    <row r="79" spans="2:18" s="1" customFormat="1" ht="36.75" customHeight="1">
      <c r="B79" s="27"/>
      <c r="C79" s="61" t="s">
        <v>102</v>
      </c>
      <c r="D79" s="28"/>
      <c r="E79" s="28"/>
      <c r="F79" s="187" t="str">
        <f>F7</f>
        <v>03 - Vzduchotechnika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28"/>
      <c r="R79" s="29"/>
    </row>
    <row r="80" spans="2:18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18" s="1" customFormat="1" ht="18" customHeight="1">
      <c r="B81" s="27"/>
      <c r="C81" s="24" t="s">
        <v>20</v>
      </c>
      <c r="D81" s="28"/>
      <c r="E81" s="28"/>
      <c r="F81" s="22" t="str">
        <f>F9</f>
        <v>Plzeň</v>
      </c>
      <c r="G81" s="28"/>
      <c r="H81" s="28"/>
      <c r="I81" s="28"/>
      <c r="J81" s="28"/>
      <c r="K81" s="24" t="s">
        <v>22</v>
      </c>
      <c r="L81" s="28"/>
      <c r="M81" s="193">
        <f>IF(O9="","",O9)</f>
      </c>
      <c r="N81" s="170"/>
      <c r="O81" s="170"/>
      <c r="P81" s="170"/>
      <c r="Q81" s="28"/>
      <c r="R81" s="29"/>
    </row>
    <row r="82" spans="2:18" s="1" customFormat="1" ht="6.7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18" s="1" customFormat="1" ht="15">
      <c r="B83" s="27"/>
      <c r="C83" s="24" t="s">
        <v>25</v>
      </c>
      <c r="D83" s="28"/>
      <c r="E83" s="28"/>
      <c r="F83" s="22"/>
      <c r="G83" s="28"/>
      <c r="H83" s="28"/>
      <c r="I83" s="28"/>
      <c r="J83" s="28"/>
      <c r="K83" s="24" t="s">
        <v>30</v>
      </c>
      <c r="L83" s="28"/>
      <c r="M83" s="161" t="str">
        <f>E18</f>
        <v> </v>
      </c>
      <c r="N83" s="170"/>
      <c r="O83" s="170"/>
      <c r="P83" s="170"/>
      <c r="Q83" s="170"/>
      <c r="R83" s="29"/>
    </row>
    <row r="84" spans="2:18" s="1" customFormat="1" ht="14.25" customHeight="1">
      <c r="B84" s="27"/>
      <c r="C84" s="24" t="s">
        <v>29</v>
      </c>
      <c r="D84" s="28"/>
      <c r="E84" s="28"/>
      <c r="F84" s="22">
        <f>IF(E15="","",E15)</f>
      </c>
      <c r="G84" s="28"/>
      <c r="H84" s="28"/>
      <c r="I84" s="28"/>
      <c r="J84" s="28"/>
      <c r="K84" s="24" t="s">
        <v>33</v>
      </c>
      <c r="L84" s="28"/>
      <c r="M84" s="161"/>
      <c r="N84" s="170"/>
      <c r="O84" s="170"/>
      <c r="P84" s="170"/>
      <c r="Q84" s="170"/>
      <c r="R84" s="29"/>
    </row>
    <row r="85" spans="2:18" s="1" customFormat="1" ht="9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18" s="1" customFormat="1" ht="29.25" customHeight="1">
      <c r="B86" s="27"/>
      <c r="C86" s="197" t="s">
        <v>107</v>
      </c>
      <c r="D86" s="198"/>
      <c r="E86" s="198"/>
      <c r="F86" s="198"/>
      <c r="G86" s="198"/>
      <c r="H86" s="95"/>
      <c r="I86" s="95"/>
      <c r="J86" s="95"/>
      <c r="K86" s="95"/>
      <c r="L86" s="95"/>
      <c r="M86" s="95"/>
      <c r="N86" s="197" t="s">
        <v>108</v>
      </c>
      <c r="O86" s="170"/>
      <c r="P86" s="170"/>
      <c r="Q86" s="170"/>
      <c r="R86" s="29"/>
    </row>
    <row r="87" spans="2:18" s="1" customFormat="1" ht="9.7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>
      <c r="B88" s="27"/>
      <c r="C88" s="102" t="s">
        <v>109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84">
        <f>N112</f>
        <v>0</v>
      </c>
      <c r="O88" s="170"/>
      <c r="P88" s="170"/>
      <c r="Q88" s="170"/>
      <c r="R88" s="29"/>
      <c r="AU88" s="13" t="s">
        <v>110</v>
      </c>
    </row>
    <row r="89" spans="2:18" s="6" customFormat="1" ht="24.75" customHeight="1">
      <c r="B89" s="103"/>
      <c r="C89" s="104"/>
      <c r="D89" s="105" t="s">
        <v>158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9">
        <f>N113</f>
        <v>0</v>
      </c>
      <c r="O89" s="200"/>
      <c r="P89" s="200"/>
      <c r="Q89" s="200"/>
      <c r="R89" s="106"/>
    </row>
    <row r="90" spans="2:18" s="7" customFormat="1" ht="19.5" customHeight="1">
      <c r="B90" s="107"/>
      <c r="C90" s="108"/>
      <c r="D90" s="109" t="s">
        <v>388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01">
        <f>N114</f>
        <v>0</v>
      </c>
      <c r="O90" s="202"/>
      <c r="P90" s="202"/>
      <c r="Q90" s="202"/>
      <c r="R90" s="110"/>
    </row>
    <row r="91" spans="2:18" s="6" customFormat="1" ht="24.75" customHeight="1">
      <c r="B91" s="103"/>
      <c r="C91" s="104"/>
      <c r="D91" s="105" t="s">
        <v>389</v>
      </c>
      <c r="E91" s="104"/>
      <c r="F91" s="104"/>
      <c r="G91" s="104"/>
      <c r="H91" s="104"/>
      <c r="I91" s="104"/>
      <c r="J91" s="104"/>
      <c r="K91" s="104"/>
      <c r="L91" s="104"/>
      <c r="M91" s="104"/>
      <c r="N91" s="199">
        <f>N123</f>
        <v>0</v>
      </c>
      <c r="O91" s="200"/>
      <c r="P91" s="200"/>
      <c r="Q91" s="200"/>
      <c r="R91" s="106"/>
    </row>
    <row r="92" spans="2:18" s="1" customFormat="1" ht="21.75" customHeight="1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9"/>
    </row>
    <row r="93" spans="2:21" s="1" customFormat="1" ht="29.25" customHeight="1">
      <c r="B93" s="27"/>
      <c r="C93" s="102" t="s">
        <v>114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03">
        <v>0</v>
      </c>
      <c r="O93" s="170"/>
      <c r="P93" s="170"/>
      <c r="Q93" s="170"/>
      <c r="R93" s="29"/>
      <c r="T93" s="111"/>
      <c r="U93" s="112" t="s">
        <v>39</v>
      </c>
    </row>
    <row r="94" spans="2:18" s="1" customFormat="1" ht="18" customHeight="1">
      <c r="B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</row>
    <row r="95" spans="2:18" s="1" customFormat="1" ht="29.25" customHeight="1">
      <c r="B95" s="27"/>
      <c r="C95" s="94" t="s">
        <v>98</v>
      </c>
      <c r="D95" s="95"/>
      <c r="E95" s="95"/>
      <c r="F95" s="95"/>
      <c r="G95" s="95"/>
      <c r="H95" s="95"/>
      <c r="I95" s="95"/>
      <c r="J95" s="95"/>
      <c r="K95" s="95"/>
      <c r="L95" s="185">
        <f>ROUND(SUM(N88+N93),2)</f>
        <v>0</v>
      </c>
      <c r="M95" s="198"/>
      <c r="N95" s="198"/>
      <c r="O95" s="198"/>
      <c r="P95" s="198"/>
      <c r="Q95" s="198"/>
      <c r="R95" s="29"/>
    </row>
    <row r="96" spans="2:18" s="1" customFormat="1" ht="6.75" customHeight="1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3"/>
    </row>
    <row r="100" spans="2:18" s="1" customFormat="1" ht="6.75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6"/>
    </row>
    <row r="101" spans="2:18" s="1" customFormat="1" ht="36.75" customHeight="1">
      <c r="B101" s="27"/>
      <c r="C101" s="159" t="s">
        <v>115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29"/>
    </row>
    <row r="102" spans="2:18" s="1" customFormat="1" ht="6.75" customHeight="1"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9"/>
    </row>
    <row r="103" spans="2:18" s="1" customFormat="1" ht="30" customHeight="1">
      <c r="B103" s="27"/>
      <c r="C103" s="24" t="s">
        <v>15</v>
      </c>
      <c r="D103" s="28"/>
      <c r="E103" s="28"/>
      <c r="F103" s="192" t="str">
        <f>F6</f>
        <v>Pavilon 7 - Pavilon 7 SOUE - I+II+III  Etapa stupačky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28"/>
      <c r="R103" s="29"/>
    </row>
    <row r="104" spans="2:18" s="1" customFormat="1" ht="36.75" customHeight="1">
      <c r="B104" s="27"/>
      <c r="C104" s="61" t="s">
        <v>102</v>
      </c>
      <c r="D104" s="28"/>
      <c r="E104" s="28"/>
      <c r="F104" s="187" t="str">
        <f>F7</f>
        <v>03 - Vzduchotechnika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28"/>
      <c r="R104" s="29"/>
    </row>
    <row r="105" spans="2:18" s="1" customFormat="1" ht="6.7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18" s="1" customFormat="1" ht="18" customHeight="1">
      <c r="B106" s="27"/>
      <c r="C106" s="24" t="s">
        <v>20</v>
      </c>
      <c r="D106" s="28"/>
      <c r="E106" s="28"/>
      <c r="F106" s="22" t="str">
        <f>F9</f>
        <v>Plzeň</v>
      </c>
      <c r="G106" s="28"/>
      <c r="H106" s="28"/>
      <c r="I106" s="28"/>
      <c r="J106" s="28"/>
      <c r="K106" s="24" t="s">
        <v>22</v>
      </c>
      <c r="L106" s="28"/>
      <c r="M106" s="193">
        <f>IF(O9="","",O9)</f>
      </c>
      <c r="N106" s="170"/>
      <c r="O106" s="170"/>
      <c r="P106" s="170"/>
      <c r="Q106" s="28"/>
      <c r="R106" s="29"/>
    </row>
    <row r="107" spans="2:18" s="1" customFormat="1" ht="6.75" customHeight="1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</row>
    <row r="108" spans="2:18" s="1" customFormat="1" ht="15">
      <c r="B108" s="27"/>
      <c r="C108" s="24" t="s">
        <v>25</v>
      </c>
      <c r="D108" s="28"/>
      <c r="E108" s="28"/>
      <c r="F108" s="22" t="str">
        <f>E12</f>
        <v>SOUE Plzeň</v>
      </c>
      <c r="G108" s="28"/>
      <c r="H108" s="28"/>
      <c r="I108" s="28"/>
      <c r="J108" s="28"/>
      <c r="K108" s="24" t="s">
        <v>30</v>
      </c>
      <c r="L108" s="28"/>
      <c r="M108" s="161" t="str">
        <f>E18</f>
        <v> </v>
      </c>
      <c r="N108" s="170"/>
      <c r="O108" s="170"/>
      <c r="P108" s="170"/>
      <c r="Q108" s="170"/>
      <c r="R108" s="29"/>
    </row>
    <row r="109" spans="2:18" s="1" customFormat="1" ht="14.25" customHeight="1">
      <c r="B109" s="27"/>
      <c r="C109" s="24" t="s">
        <v>29</v>
      </c>
      <c r="D109" s="28"/>
      <c r="E109" s="28"/>
      <c r="F109" s="22">
        <f>IF(E15="","",E15)</f>
      </c>
      <c r="G109" s="28"/>
      <c r="H109" s="28"/>
      <c r="I109" s="28"/>
      <c r="J109" s="28"/>
      <c r="K109" s="24" t="s">
        <v>33</v>
      </c>
      <c r="L109" s="28"/>
      <c r="M109" s="161"/>
      <c r="N109" s="170"/>
      <c r="O109" s="170"/>
      <c r="P109" s="170"/>
      <c r="Q109" s="170"/>
      <c r="R109" s="29"/>
    </row>
    <row r="110" spans="2:18" s="1" customFormat="1" ht="9.75" customHeight="1"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</row>
    <row r="111" spans="2:27" s="8" customFormat="1" ht="29.25" customHeight="1">
      <c r="B111" s="113"/>
      <c r="C111" s="114" t="s">
        <v>116</v>
      </c>
      <c r="D111" s="115" t="s">
        <v>117</v>
      </c>
      <c r="E111" s="115" t="s">
        <v>57</v>
      </c>
      <c r="F111" s="204" t="s">
        <v>118</v>
      </c>
      <c r="G111" s="205"/>
      <c r="H111" s="205"/>
      <c r="I111" s="205"/>
      <c r="J111" s="115" t="s">
        <v>119</v>
      </c>
      <c r="K111" s="115" t="s">
        <v>120</v>
      </c>
      <c r="L111" s="206" t="s">
        <v>121</v>
      </c>
      <c r="M111" s="205"/>
      <c r="N111" s="204" t="s">
        <v>108</v>
      </c>
      <c r="O111" s="205"/>
      <c r="P111" s="205"/>
      <c r="Q111" s="207"/>
      <c r="R111" s="116"/>
      <c r="T111" s="68" t="s">
        <v>122</v>
      </c>
      <c r="U111" s="69" t="s">
        <v>39</v>
      </c>
      <c r="V111" s="69" t="s">
        <v>123</v>
      </c>
      <c r="W111" s="69" t="s">
        <v>124</v>
      </c>
      <c r="X111" s="69" t="s">
        <v>125</v>
      </c>
      <c r="Y111" s="69" t="s">
        <v>126</v>
      </c>
      <c r="Z111" s="69" t="s">
        <v>127</v>
      </c>
      <c r="AA111" s="70" t="s">
        <v>128</v>
      </c>
    </row>
    <row r="112" spans="2:63" s="1" customFormat="1" ht="29.25" customHeight="1">
      <c r="B112" s="27"/>
      <c r="C112" s="72" t="s">
        <v>104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14">
        <f>BK112</f>
        <v>0</v>
      </c>
      <c r="O112" s="215"/>
      <c r="P112" s="215"/>
      <c r="Q112" s="215"/>
      <c r="R112" s="29"/>
      <c r="T112" s="71"/>
      <c r="U112" s="43"/>
      <c r="V112" s="43"/>
      <c r="W112" s="117">
        <f>W113+W123</f>
        <v>0</v>
      </c>
      <c r="X112" s="43"/>
      <c r="Y112" s="117">
        <f>Y113+Y123</f>
        <v>0</v>
      </c>
      <c r="Z112" s="43"/>
      <c r="AA112" s="118">
        <f>AA113+AA123</f>
        <v>0</v>
      </c>
      <c r="AT112" s="13" t="s">
        <v>74</v>
      </c>
      <c r="AU112" s="13" t="s">
        <v>110</v>
      </c>
      <c r="BK112" s="119">
        <f>BK113+BK123</f>
        <v>0</v>
      </c>
    </row>
    <row r="113" spans="2:63" s="9" customFormat="1" ht="36.75" customHeight="1">
      <c r="B113" s="120"/>
      <c r="C113" s="121"/>
      <c r="D113" s="122" t="s">
        <v>158</v>
      </c>
      <c r="E113" s="122"/>
      <c r="F113" s="122"/>
      <c r="G113" s="122"/>
      <c r="H113" s="122"/>
      <c r="I113" s="122"/>
      <c r="J113" s="122"/>
      <c r="K113" s="122"/>
      <c r="L113" s="122"/>
      <c r="M113" s="122"/>
      <c r="N113" s="216">
        <f>BK113</f>
        <v>0</v>
      </c>
      <c r="O113" s="199"/>
      <c r="P113" s="199"/>
      <c r="Q113" s="199"/>
      <c r="R113" s="123"/>
      <c r="T113" s="124"/>
      <c r="U113" s="121"/>
      <c r="V113" s="121"/>
      <c r="W113" s="125">
        <f>W114</f>
        <v>0</v>
      </c>
      <c r="X113" s="121"/>
      <c r="Y113" s="125">
        <f>Y114</f>
        <v>0</v>
      </c>
      <c r="Z113" s="121"/>
      <c r="AA113" s="126">
        <f>AA114</f>
        <v>0</v>
      </c>
      <c r="AR113" s="127" t="s">
        <v>100</v>
      </c>
      <c r="AT113" s="128" t="s">
        <v>74</v>
      </c>
      <c r="AU113" s="128" t="s">
        <v>75</v>
      </c>
      <c r="AY113" s="127" t="s">
        <v>130</v>
      </c>
      <c r="BK113" s="129">
        <f>BK114</f>
        <v>0</v>
      </c>
    </row>
    <row r="114" spans="2:63" s="9" customFormat="1" ht="19.5" customHeight="1">
      <c r="B114" s="120"/>
      <c r="C114" s="121"/>
      <c r="D114" s="130" t="s">
        <v>388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217">
        <f>N115+N116+N117+N118+N119+N120+N121+N122</f>
        <v>0</v>
      </c>
      <c r="O114" s="218"/>
      <c r="P114" s="218"/>
      <c r="Q114" s="218"/>
      <c r="R114" s="123"/>
      <c r="T114" s="124"/>
      <c r="U114" s="121"/>
      <c r="V114" s="121"/>
      <c r="W114" s="125">
        <f>SUM(W115:W122)</f>
        <v>0</v>
      </c>
      <c r="X114" s="121"/>
      <c r="Y114" s="125">
        <f>SUM(Y115:Y122)</f>
        <v>0</v>
      </c>
      <c r="Z114" s="121"/>
      <c r="AA114" s="126">
        <f>SUM(AA115:AA122)</f>
        <v>0</v>
      </c>
      <c r="AR114" s="127" t="s">
        <v>100</v>
      </c>
      <c r="AT114" s="128" t="s">
        <v>74</v>
      </c>
      <c r="AU114" s="128" t="s">
        <v>19</v>
      </c>
      <c r="AY114" s="127" t="s">
        <v>130</v>
      </c>
      <c r="BK114" s="129">
        <f>SUM(BK115:BK122)</f>
        <v>0</v>
      </c>
    </row>
    <row r="115" spans="2:65" s="1" customFormat="1" ht="22.5" customHeight="1">
      <c r="B115" s="131"/>
      <c r="C115" s="132" t="s">
        <v>19</v>
      </c>
      <c r="D115" s="132" t="s">
        <v>131</v>
      </c>
      <c r="E115" s="133" t="s">
        <v>390</v>
      </c>
      <c r="F115" s="208" t="s">
        <v>391</v>
      </c>
      <c r="G115" s="209"/>
      <c r="H115" s="209"/>
      <c r="I115" s="209"/>
      <c r="J115" s="134" t="s">
        <v>139</v>
      </c>
      <c r="K115" s="135">
        <v>33</v>
      </c>
      <c r="L115" s="210"/>
      <c r="M115" s="209"/>
      <c r="N115" s="210">
        <f aca="true" t="shared" si="0" ref="N115:N122">K115*L115</f>
        <v>0</v>
      </c>
      <c r="O115" s="209"/>
      <c r="P115" s="209"/>
      <c r="Q115" s="209"/>
      <c r="R115" s="136"/>
      <c r="T115" s="137" t="s">
        <v>3</v>
      </c>
      <c r="U115" s="36" t="s">
        <v>40</v>
      </c>
      <c r="V115" s="138">
        <v>0</v>
      </c>
      <c r="W115" s="138">
        <f aca="true" t="shared" si="1" ref="W115:W122">V115*K115</f>
        <v>0</v>
      </c>
      <c r="X115" s="138">
        <v>0</v>
      </c>
      <c r="Y115" s="138">
        <f aca="true" t="shared" si="2" ref="Y115:Y122">X115*K115</f>
        <v>0</v>
      </c>
      <c r="Z115" s="138">
        <v>0</v>
      </c>
      <c r="AA115" s="139">
        <f aca="true" t="shared" si="3" ref="AA115:AA122">Z115*K115</f>
        <v>0</v>
      </c>
      <c r="AR115" s="13" t="s">
        <v>221</v>
      </c>
      <c r="AT115" s="13" t="s">
        <v>131</v>
      </c>
      <c r="AU115" s="13" t="s">
        <v>100</v>
      </c>
      <c r="AY115" s="13" t="s">
        <v>130</v>
      </c>
      <c r="BE115" s="140">
        <f aca="true" t="shared" si="4" ref="BE115:BE122">IF(U115="základní",N115,0)</f>
        <v>0</v>
      </c>
      <c r="BF115" s="140">
        <f aca="true" t="shared" si="5" ref="BF115:BF122">IF(U115="snížená",N115,0)</f>
        <v>0</v>
      </c>
      <c r="BG115" s="140">
        <f aca="true" t="shared" si="6" ref="BG115:BG122">IF(U115="zákl. přenesená",N115,0)</f>
        <v>0</v>
      </c>
      <c r="BH115" s="140">
        <f aca="true" t="shared" si="7" ref="BH115:BH122">IF(U115="sníž. přenesená",N115,0)</f>
        <v>0</v>
      </c>
      <c r="BI115" s="140">
        <f aca="true" t="shared" si="8" ref="BI115:BI122">IF(U115="nulová",N115,0)</f>
        <v>0</v>
      </c>
      <c r="BJ115" s="13" t="s">
        <v>19</v>
      </c>
      <c r="BK115" s="140">
        <f aca="true" t="shared" si="9" ref="BK115:BK122">ROUND(L115*K115,2)</f>
        <v>0</v>
      </c>
      <c r="BL115" s="13" t="s">
        <v>221</v>
      </c>
      <c r="BM115" s="13" t="s">
        <v>392</v>
      </c>
    </row>
    <row r="116" spans="2:65" s="1" customFormat="1" ht="22.5" customHeight="1">
      <c r="B116" s="131"/>
      <c r="C116" s="132" t="s">
        <v>100</v>
      </c>
      <c r="D116" s="132" t="s">
        <v>131</v>
      </c>
      <c r="E116" s="133" t="s">
        <v>393</v>
      </c>
      <c r="F116" s="208" t="s">
        <v>394</v>
      </c>
      <c r="G116" s="209"/>
      <c r="H116" s="209"/>
      <c r="I116" s="209"/>
      <c r="J116" s="134" t="s">
        <v>139</v>
      </c>
      <c r="K116" s="135">
        <v>33</v>
      </c>
      <c r="L116" s="210"/>
      <c r="M116" s="209"/>
      <c r="N116" s="210">
        <f t="shared" si="0"/>
        <v>0</v>
      </c>
      <c r="O116" s="209"/>
      <c r="P116" s="209"/>
      <c r="Q116" s="209"/>
      <c r="R116" s="136"/>
      <c r="T116" s="137" t="s">
        <v>3</v>
      </c>
      <c r="U116" s="36" t="s">
        <v>40</v>
      </c>
      <c r="V116" s="138">
        <v>0</v>
      </c>
      <c r="W116" s="138">
        <f t="shared" si="1"/>
        <v>0</v>
      </c>
      <c r="X116" s="138">
        <v>0</v>
      </c>
      <c r="Y116" s="138">
        <f t="shared" si="2"/>
        <v>0</v>
      </c>
      <c r="Z116" s="138">
        <v>0</v>
      </c>
      <c r="AA116" s="139">
        <f t="shared" si="3"/>
        <v>0</v>
      </c>
      <c r="AR116" s="13" t="s">
        <v>221</v>
      </c>
      <c r="AT116" s="13" t="s">
        <v>131</v>
      </c>
      <c r="AU116" s="13" t="s">
        <v>100</v>
      </c>
      <c r="AY116" s="13" t="s">
        <v>130</v>
      </c>
      <c r="BE116" s="140">
        <f t="shared" si="4"/>
        <v>0</v>
      </c>
      <c r="BF116" s="140">
        <f t="shared" si="5"/>
        <v>0</v>
      </c>
      <c r="BG116" s="140">
        <f t="shared" si="6"/>
        <v>0</v>
      </c>
      <c r="BH116" s="140">
        <f t="shared" si="7"/>
        <v>0</v>
      </c>
      <c r="BI116" s="140">
        <f t="shared" si="8"/>
        <v>0</v>
      </c>
      <c r="BJ116" s="13" t="s">
        <v>19</v>
      </c>
      <c r="BK116" s="140">
        <f t="shared" si="9"/>
        <v>0</v>
      </c>
      <c r="BL116" s="13" t="s">
        <v>221</v>
      </c>
      <c r="BM116" s="13" t="s">
        <v>395</v>
      </c>
    </row>
    <row r="117" spans="2:65" s="1" customFormat="1" ht="22.5" customHeight="1">
      <c r="B117" s="131"/>
      <c r="C117" s="132" t="s">
        <v>141</v>
      </c>
      <c r="D117" s="132" t="s">
        <v>131</v>
      </c>
      <c r="E117" s="133" t="s">
        <v>396</v>
      </c>
      <c r="F117" s="208" t="s">
        <v>397</v>
      </c>
      <c r="G117" s="209"/>
      <c r="H117" s="209"/>
      <c r="I117" s="209"/>
      <c r="J117" s="134" t="s">
        <v>139</v>
      </c>
      <c r="K117" s="135">
        <v>33</v>
      </c>
      <c r="L117" s="210"/>
      <c r="M117" s="209"/>
      <c r="N117" s="210">
        <f t="shared" si="0"/>
        <v>0</v>
      </c>
      <c r="O117" s="209"/>
      <c r="P117" s="209"/>
      <c r="Q117" s="209"/>
      <c r="R117" s="136"/>
      <c r="T117" s="137" t="s">
        <v>3</v>
      </c>
      <c r="U117" s="36" t="s">
        <v>40</v>
      </c>
      <c r="V117" s="138">
        <v>0</v>
      </c>
      <c r="W117" s="138">
        <f t="shared" si="1"/>
        <v>0</v>
      </c>
      <c r="X117" s="138">
        <v>0</v>
      </c>
      <c r="Y117" s="138">
        <f t="shared" si="2"/>
        <v>0</v>
      </c>
      <c r="Z117" s="138">
        <v>0</v>
      </c>
      <c r="AA117" s="139">
        <f t="shared" si="3"/>
        <v>0</v>
      </c>
      <c r="AR117" s="13" t="s">
        <v>221</v>
      </c>
      <c r="AT117" s="13" t="s">
        <v>131</v>
      </c>
      <c r="AU117" s="13" t="s">
        <v>100</v>
      </c>
      <c r="AY117" s="13" t="s">
        <v>130</v>
      </c>
      <c r="BE117" s="140">
        <f t="shared" si="4"/>
        <v>0</v>
      </c>
      <c r="BF117" s="140">
        <f t="shared" si="5"/>
        <v>0</v>
      </c>
      <c r="BG117" s="140">
        <f t="shared" si="6"/>
        <v>0</v>
      </c>
      <c r="BH117" s="140">
        <f t="shared" si="7"/>
        <v>0</v>
      </c>
      <c r="BI117" s="140">
        <f t="shared" si="8"/>
        <v>0</v>
      </c>
      <c r="BJ117" s="13" t="s">
        <v>19</v>
      </c>
      <c r="BK117" s="140">
        <f t="shared" si="9"/>
        <v>0</v>
      </c>
      <c r="BL117" s="13" t="s">
        <v>221</v>
      </c>
      <c r="BM117" s="13" t="s">
        <v>398</v>
      </c>
    </row>
    <row r="118" spans="2:65" s="1" customFormat="1" ht="22.5" customHeight="1">
      <c r="B118" s="131"/>
      <c r="C118" s="132" t="s">
        <v>146</v>
      </c>
      <c r="D118" s="132" t="s">
        <v>131</v>
      </c>
      <c r="E118" s="133" t="s">
        <v>399</v>
      </c>
      <c r="F118" s="208" t="s">
        <v>400</v>
      </c>
      <c r="G118" s="209"/>
      <c r="H118" s="209"/>
      <c r="I118" s="209"/>
      <c r="J118" s="134" t="s">
        <v>139</v>
      </c>
      <c r="K118" s="135">
        <v>33</v>
      </c>
      <c r="L118" s="210"/>
      <c r="M118" s="209"/>
      <c r="N118" s="210">
        <f t="shared" si="0"/>
        <v>0</v>
      </c>
      <c r="O118" s="209"/>
      <c r="P118" s="209"/>
      <c r="Q118" s="209"/>
      <c r="R118" s="136"/>
      <c r="T118" s="137" t="s">
        <v>3</v>
      </c>
      <c r="U118" s="36" t="s">
        <v>40</v>
      </c>
      <c r="V118" s="138">
        <v>0</v>
      </c>
      <c r="W118" s="138">
        <f t="shared" si="1"/>
        <v>0</v>
      </c>
      <c r="X118" s="138">
        <v>0</v>
      </c>
      <c r="Y118" s="138">
        <f t="shared" si="2"/>
        <v>0</v>
      </c>
      <c r="Z118" s="138">
        <v>0</v>
      </c>
      <c r="AA118" s="139">
        <f t="shared" si="3"/>
        <v>0</v>
      </c>
      <c r="AR118" s="13" t="s">
        <v>221</v>
      </c>
      <c r="AT118" s="13" t="s">
        <v>131</v>
      </c>
      <c r="AU118" s="13" t="s">
        <v>100</v>
      </c>
      <c r="AY118" s="13" t="s">
        <v>130</v>
      </c>
      <c r="BE118" s="140">
        <f t="shared" si="4"/>
        <v>0</v>
      </c>
      <c r="BF118" s="140">
        <f t="shared" si="5"/>
        <v>0</v>
      </c>
      <c r="BG118" s="140">
        <f t="shared" si="6"/>
        <v>0</v>
      </c>
      <c r="BH118" s="140">
        <f t="shared" si="7"/>
        <v>0</v>
      </c>
      <c r="BI118" s="140">
        <f t="shared" si="8"/>
        <v>0</v>
      </c>
      <c r="BJ118" s="13" t="s">
        <v>19</v>
      </c>
      <c r="BK118" s="140">
        <f t="shared" si="9"/>
        <v>0</v>
      </c>
      <c r="BL118" s="13" t="s">
        <v>221</v>
      </c>
      <c r="BM118" s="13" t="s">
        <v>401</v>
      </c>
    </row>
    <row r="119" spans="2:65" s="1" customFormat="1" ht="22.5" customHeight="1">
      <c r="B119" s="131"/>
      <c r="C119" s="132" t="s">
        <v>129</v>
      </c>
      <c r="D119" s="132" t="s">
        <v>131</v>
      </c>
      <c r="E119" s="133" t="s">
        <v>402</v>
      </c>
      <c r="F119" s="208" t="s">
        <v>403</v>
      </c>
      <c r="G119" s="209"/>
      <c r="H119" s="209"/>
      <c r="I119" s="209"/>
      <c r="J119" s="134" t="s">
        <v>139</v>
      </c>
      <c r="K119" s="135">
        <v>33</v>
      </c>
      <c r="L119" s="210"/>
      <c r="M119" s="209"/>
      <c r="N119" s="210">
        <f t="shared" si="0"/>
        <v>0</v>
      </c>
      <c r="O119" s="209"/>
      <c r="P119" s="209"/>
      <c r="Q119" s="209"/>
      <c r="R119" s="136"/>
      <c r="T119" s="137" t="s">
        <v>3</v>
      </c>
      <c r="U119" s="36" t="s">
        <v>40</v>
      </c>
      <c r="V119" s="138">
        <v>0</v>
      </c>
      <c r="W119" s="138">
        <f t="shared" si="1"/>
        <v>0</v>
      </c>
      <c r="X119" s="138">
        <v>0</v>
      </c>
      <c r="Y119" s="138">
        <f t="shared" si="2"/>
        <v>0</v>
      </c>
      <c r="Z119" s="138">
        <v>0</v>
      </c>
      <c r="AA119" s="139">
        <f t="shared" si="3"/>
        <v>0</v>
      </c>
      <c r="AR119" s="13" t="s">
        <v>221</v>
      </c>
      <c r="AT119" s="13" t="s">
        <v>131</v>
      </c>
      <c r="AU119" s="13" t="s">
        <v>100</v>
      </c>
      <c r="AY119" s="13" t="s">
        <v>130</v>
      </c>
      <c r="BE119" s="140">
        <f t="shared" si="4"/>
        <v>0</v>
      </c>
      <c r="BF119" s="140">
        <f t="shared" si="5"/>
        <v>0</v>
      </c>
      <c r="BG119" s="140">
        <f t="shared" si="6"/>
        <v>0</v>
      </c>
      <c r="BH119" s="140">
        <f t="shared" si="7"/>
        <v>0</v>
      </c>
      <c r="BI119" s="140">
        <f t="shared" si="8"/>
        <v>0</v>
      </c>
      <c r="BJ119" s="13" t="s">
        <v>19</v>
      </c>
      <c r="BK119" s="140">
        <f t="shared" si="9"/>
        <v>0</v>
      </c>
      <c r="BL119" s="13" t="s">
        <v>221</v>
      </c>
      <c r="BM119" s="13" t="s">
        <v>404</v>
      </c>
    </row>
    <row r="120" spans="2:65" s="1" customFormat="1" ht="22.5" customHeight="1">
      <c r="B120" s="131"/>
      <c r="C120" s="132" t="s">
        <v>182</v>
      </c>
      <c r="D120" s="132" t="s">
        <v>131</v>
      </c>
      <c r="E120" s="133" t="s">
        <v>405</v>
      </c>
      <c r="F120" s="208" t="s">
        <v>406</v>
      </c>
      <c r="G120" s="209"/>
      <c r="H120" s="209"/>
      <c r="I120" s="209"/>
      <c r="J120" s="134" t="s">
        <v>139</v>
      </c>
      <c r="K120" s="135">
        <v>3</v>
      </c>
      <c r="L120" s="210"/>
      <c r="M120" s="209"/>
      <c r="N120" s="210">
        <f t="shared" si="0"/>
        <v>0</v>
      </c>
      <c r="O120" s="209"/>
      <c r="P120" s="209"/>
      <c r="Q120" s="209"/>
      <c r="R120" s="136"/>
      <c r="T120" s="137" t="s">
        <v>3</v>
      </c>
      <c r="U120" s="36" t="s">
        <v>40</v>
      </c>
      <c r="V120" s="138">
        <v>0</v>
      </c>
      <c r="W120" s="138">
        <f t="shared" si="1"/>
        <v>0</v>
      </c>
      <c r="X120" s="138">
        <v>0</v>
      </c>
      <c r="Y120" s="138">
        <f t="shared" si="2"/>
        <v>0</v>
      </c>
      <c r="Z120" s="138">
        <v>0</v>
      </c>
      <c r="AA120" s="139">
        <f t="shared" si="3"/>
        <v>0</v>
      </c>
      <c r="AR120" s="13" t="s">
        <v>221</v>
      </c>
      <c r="AT120" s="13" t="s">
        <v>131</v>
      </c>
      <c r="AU120" s="13" t="s">
        <v>100</v>
      </c>
      <c r="AY120" s="13" t="s">
        <v>130</v>
      </c>
      <c r="BE120" s="140">
        <f t="shared" si="4"/>
        <v>0</v>
      </c>
      <c r="BF120" s="140">
        <f t="shared" si="5"/>
        <v>0</v>
      </c>
      <c r="BG120" s="140">
        <f t="shared" si="6"/>
        <v>0</v>
      </c>
      <c r="BH120" s="140">
        <f t="shared" si="7"/>
        <v>0</v>
      </c>
      <c r="BI120" s="140">
        <f t="shared" si="8"/>
        <v>0</v>
      </c>
      <c r="BJ120" s="13" t="s">
        <v>19</v>
      </c>
      <c r="BK120" s="140">
        <f t="shared" si="9"/>
        <v>0</v>
      </c>
      <c r="BL120" s="13" t="s">
        <v>221</v>
      </c>
      <c r="BM120" s="13" t="s">
        <v>407</v>
      </c>
    </row>
    <row r="121" spans="2:65" s="1" customFormat="1" ht="22.5" customHeight="1">
      <c r="B121" s="131"/>
      <c r="C121" s="132" t="s">
        <v>186</v>
      </c>
      <c r="D121" s="132" t="s">
        <v>131</v>
      </c>
      <c r="E121" s="133" t="s">
        <v>408</v>
      </c>
      <c r="F121" s="208" t="s">
        <v>409</v>
      </c>
      <c r="G121" s="209"/>
      <c r="H121" s="209"/>
      <c r="I121" s="209"/>
      <c r="J121" s="134" t="s">
        <v>139</v>
      </c>
      <c r="K121" s="135">
        <v>3</v>
      </c>
      <c r="L121" s="210"/>
      <c r="M121" s="209"/>
      <c r="N121" s="210">
        <f t="shared" si="0"/>
        <v>0</v>
      </c>
      <c r="O121" s="209"/>
      <c r="P121" s="209"/>
      <c r="Q121" s="209"/>
      <c r="R121" s="136"/>
      <c r="T121" s="137" t="s">
        <v>3</v>
      </c>
      <c r="U121" s="36" t="s">
        <v>40</v>
      </c>
      <c r="V121" s="138">
        <v>0</v>
      </c>
      <c r="W121" s="138">
        <f t="shared" si="1"/>
        <v>0</v>
      </c>
      <c r="X121" s="138">
        <v>0</v>
      </c>
      <c r="Y121" s="138">
        <f t="shared" si="2"/>
        <v>0</v>
      </c>
      <c r="Z121" s="138">
        <v>0</v>
      </c>
      <c r="AA121" s="139">
        <f t="shared" si="3"/>
        <v>0</v>
      </c>
      <c r="AR121" s="13" t="s">
        <v>221</v>
      </c>
      <c r="AT121" s="13" t="s">
        <v>131</v>
      </c>
      <c r="AU121" s="13" t="s">
        <v>100</v>
      </c>
      <c r="AY121" s="13" t="s">
        <v>130</v>
      </c>
      <c r="BE121" s="140">
        <f t="shared" si="4"/>
        <v>0</v>
      </c>
      <c r="BF121" s="140">
        <f t="shared" si="5"/>
        <v>0</v>
      </c>
      <c r="BG121" s="140">
        <f t="shared" si="6"/>
        <v>0</v>
      </c>
      <c r="BH121" s="140">
        <f t="shared" si="7"/>
        <v>0</v>
      </c>
      <c r="BI121" s="140">
        <f t="shared" si="8"/>
        <v>0</v>
      </c>
      <c r="BJ121" s="13" t="s">
        <v>19</v>
      </c>
      <c r="BK121" s="140">
        <f t="shared" si="9"/>
        <v>0</v>
      </c>
      <c r="BL121" s="13" t="s">
        <v>221</v>
      </c>
      <c r="BM121" s="13" t="s">
        <v>410</v>
      </c>
    </row>
    <row r="122" spans="2:65" s="1" customFormat="1" ht="31.5" customHeight="1">
      <c r="B122" s="131"/>
      <c r="C122" s="132" t="s">
        <v>191</v>
      </c>
      <c r="D122" s="132" t="s">
        <v>131</v>
      </c>
      <c r="E122" s="133" t="s">
        <v>411</v>
      </c>
      <c r="F122" s="208" t="s">
        <v>412</v>
      </c>
      <c r="G122" s="209"/>
      <c r="H122" s="209"/>
      <c r="I122" s="209"/>
      <c r="J122" s="155" t="s">
        <v>229</v>
      </c>
      <c r="K122" s="135">
        <v>3</v>
      </c>
      <c r="L122" s="210"/>
      <c r="M122" s="209"/>
      <c r="N122" s="210">
        <f t="shared" si="0"/>
        <v>0</v>
      </c>
      <c r="O122" s="209"/>
      <c r="P122" s="209"/>
      <c r="Q122" s="209"/>
      <c r="R122" s="136"/>
      <c r="T122" s="137" t="s">
        <v>3</v>
      </c>
      <c r="U122" s="36" t="s">
        <v>40</v>
      </c>
      <c r="V122" s="138">
        <v>0</v>
      </c>
      <c r="W122" s="138">
        <f t="shared" si="1"/>
        <v>0</v>
      </c>
      <c r="X122" s="138">
        <v>0</v>
      </c>
      <c r="Y122" s="138">
        <f t="shared" si="2"/>
        <v>0</v>
      </c>
      <c r="Z122" s="138">
        <v>0</v>
      </c>
      <c r="AA122" s="139">
        <f t="shared" si="3"/>
        <v>0</v>
      </c>
      <c r="AR122" s="13" t="s">
        <v>221</v>
      </c>
      <c r="AT122" s="13" t="s">
        <v>131</v>
      </c>
      <c r="AU122" s="13" t="s">
        <v>100</v>
      </c>
      <c r="AY122" s="13" t="s">
        <v>130</v>
      </c>
      <c r="BE122" s="140">
        <f t="shared" si="4"/>
        <v>0</v>
      </c>
      <c r="BF122" s="140">
        <f t="shared" si="5"/>
        <v>0</v>
      </c>
      <c r="BG122" s="140">
        <f t="shared" si="6"/>
        <v>0</v>
      </c>
      <c r="BH122" s="140">
        <f t="shared" si="7"/>
        <v>0</v>
      </c>
      <c r="BI122" s="140">
        <f t="shared" si="8"/>
        <v>0</v>
      </c>
      <c r="BJ122" s="13" t="s">
        <v>19</v>
      </c>
      <c r="BK122" s="140">
        <f t="shared" si="9"/>
        <v>0</v>
      </c>
      <c r="BL122" s="13" t="s">
        <v>221</v>
      </c>
      <c r="BM122" s="13" t="s">
        <v>413</v>
      </c>
    </row>
    <row r="123" spans="2:63" s="9" customFormat="1" ht="36.75" customHeight="1">
      <c r="B123" s="120"/>
      <c r="C123" s="121"/>
      <c r="D123" s="122" t="s">
        <v>389</v>
      </c>
      <c r="E123" s="122"/>
      <c r="F123" s="122"/>
      <c r="G123" s="122"/>
      <c r="H123" s="122"/>
      <c r="I123" s="122"/>
      <c r="J123" s="122"/>
      <c r="K123" s="122"/>
      <c r="L123" s="122"/>
      <c r="M123" s="122"/>
      <c r="N123" s="230">
        <f>N124</f>
        <v>0</v>
      </c>
      <c r="O123" s="231"/>
      <c r="P123" s="231"/>
      <c r="Q123" s="231"/>
      <c r="R123" s="123"/>
      <c r="T123" s="124"/>
      <c r="U123" s="121"/>
      <c r="V123" s="121"/>
      <c r="W123" s="125">
        <f>W124</f>
        <v>0</v>
      </c>
      <c r="X123" s="121"/>
      <c r="Y123" s="125">
        <f>Y124</f>
        <v>0</v>
      </c>
      <c r="Z123" s="121"/>
      <c r="AA123" s="126">
        <f>AA124</f>
        <v>0</v>
      </c>
      <c r="AR123" s="127" t="s">
        <v>146</v>
      </c>
      <c r="AT123" s="128" t="s">
        <v>74</v>
      </c>
      <c r="AU123" s="128" t="s">
        <v>75</v>
      </c>
      <c r="AY123" s="127" t="s">
        <v>130</v>
      </c>
      <c r="BK123" s="129">
        <f>BK124</f>
        <v>0</v>
      </c>
    </row>
    <row r="124" spans="2:65" s="1" customFormat="1" ht="22.5" customHeight="1">
      <c r="B124" s="131"/>
      <c r="C124" s="132" t="s">
        <v>195</v>
      </c>
      <c r="D124" s="132" t="s">
        <v>131</v>
      </c>
      <c r="E124" s="133" t="s">
        <v>414</v>
      </c>
      <c r="F124" s="208" t="s">
        <v>415</v>
      </c>
      <c r="G124" s="209"/>
      <c r="H124" s="209"/>
      <c r="I124" s="209"/>
      <c r="J124" s="134" t="s">
        <v>144</v>
      </c>
      <c r="K124" s="135">
        <v>60</v>
      </c>
      <c r="L124" s="210"/>
      <c r="M124" s="209"/>
      <c r="N124" s="210">
        <f>K124*L124</f>
        <v>0</v>
      </c>
      <c r="O124" s="209"/>
      <c r="P124" s="209"/>
      <c r="Q124" s="209"/>
      <c r="R124" s="136"/>
      <c r="T124" s="137" t="s">
        <v>3</v>
      </c>
      <c r="U124" s="141" t="s">
        <v>40</v>
      </c>
      <c r="V124" s="142">
        <v>0</v>
      </c>
      <c r="W124" s="142">
        <f>V124*K124</f>
        <v>0</v>
      </c>
      <c r="X124" s="142">
        <v>0</v>
      </c>
      <c r="Y124" s="142">
        <f>X124*K124</f>
        <v>0</v>
      </c>
      <c r="Z124" s="142">
        <v>0</v>
      </c>
      <c r="AA124" s="143">
        <f>Z124*K124</f>
        <v>0</v>
      </c>
      <c r="AR124" s="13" t="s">
        <v>270</v>
      </c>
      <c r="AT124" s="13" t="s">
        <v>131</v>
      </c>
      <c r="AU124" s="13" t="s">
        <v>19</v>
      </c>
      <c r="AY124" s="13" t="s">
        <v>130</v>
      </c>
      <c r="BE124" s="140">
        <f>IF(U124="základní",N124,0)</f>
        <v>0</v>
      </c>
      <c r="BF124" s="140">
        <f>IF(U124="snížená",N124,0)</f>
        <v>0</v>
      </c>
      <c r="BG124" s="140">
        <f>IF(U124="zákl. přenesená",N124,0)</f>
        <v>0</v>
      </c>
      <c r="BH124" s="140">
        <f>IF(U124="sníž. přenesená",N124,0)</f>
        <v>0</v>
      </c>
      <c r="BI124" s="140">
        <f>IF(U124="nulová",N124,0)</f>
        <v>0</v>
      </c>
      <c r="BJ124" s="13" t="s">
        <v>19</v>
      </c>
      <c r="BK124" s="140">
        <f>ROUND(L124*K124,2)</f>
        <v>0</v>
      </c>
      <c r="BL124" s="13" t="s">
        <v>270</v>
      </c>
      <c r="BM124" s="13" t="s">
        <v>416</v>
      </c>
    </row>
    <row r="125" spans="2:18" s="1" customFormat="1" ht="6.75" customHeight="1">
      <c r="B125" s="51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3"/>
    </row>
  </sheetData>
  <sheetProtection/>
  <mergeCells count="84">
    <mergeCell ref="H1:K1"/>
    <mergeCell ref="S2:AC2"/>
    <mergeCell ref="F124:I124"/>
    <mergeCell ref="L124:M124"/>
    <mergeCell ref="N124:Q124"/>
    <mergeCell ref="N112:Q112"/>
    <mergeCell ref="N113:Q113"/>
    <mergeCell ref="N114:Q114"/>
    <mergeCell ref="N123:Q123"/>
    <mergeCell ref="F121:I121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F117:I117"/>
    <mergeCell ref="L117:M117"/>
    <mergeCell ref="N117:Q117"/>
    <mergeCell ref="F118:I118"/>
    <mergeCell ref="L118:M118"/>
    <mergeCell ref="N118:Q118"/>
    <mergeCell ref="F115:I115"/>
    <mergeCell ref="L115:M115"/>
    <mergeCell ref="N115:Q115"/>
    <mergeCell ref="F116:I116"/>
    <mergeCell ref="L116:M116"/>
    <mergeCell ref="N116:Q116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N89:Q89"/>
    <mergeCell ref="N90:Q90"/>
    <mergeCell ref="N91:Q91"/>
    <mergeCell ref="N93:Q93"/>
    <mergeCell ref="L95:Q95"/>
    <mergeCell ref="C101:Q101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9"/>
  <sheetViews>
    <sheetView showGridLines="0" zoomScalePageLayoutView="0" workbookViewId="0" topLeftCell="A1">
      <pane ySplit="1" topLeftCell="A142" activePane="bottomLeft" state="frozen"/>
      <selection pane="topLeft" activeCell="A1" sqref="A1"/>
      <selection pane="bottomLeft" activeCell="AD146" sqref="AD14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53"/>
      <c r="B1" s="150"/>
      <c r="C1" s="150"/>
      <c r="D1" s="151" t="s">
        <v>1</v>
      </c>
      <c r="E1" s="150"/>
      <c r="F1" s="152" t="s">
        <v>513</v>
      </c>
      <c r="G1" s="152"/>
      <c r="H1" s="213" t="s">
        <v>514</v>
      </c>
      <c r="I1" s="213"/>
      <c r="J1" s="213"/>
      <c r="K1" s="213"/>
      <c r="L1" s="152" t="s">
        <v>515</v>
      </c>
      <c r="M1" s="150"/>
      <c r="N1" s="150"/>
      <c r="O1" s="151" t="s">
        <v>99</v>
      </c>
      <c r="P1" s="150"/>
      <c r="Q1" s="150"/>
      <c r="R1" s="150"/>
      <c r="S1" s="152" t="s">
        <v>516</v>
      </c>
      <c r="T1" s="152"/>
      <c r="U1" s="153"/>
      <c r="V1" s="15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57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6" t="s">
        <v>6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13" t="s">
        <v>94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100</v>
      </c>
    </row>
    <row r="4" spans="2:46" ht="36.75" customHeight="1">
      <c r="B4" s="17"/>
      <c r="C4" s="159" t="s">
        <v>101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4" t="s">
        <v>15</v>
      </c>
      <c r="E6" s="18"/>
      <c r="F6" s="192" t="str">
        <f>'Rekapitulace stavby'!K6</f>
        <v>Pavilon 7 - Pavilon 7 SOUE - I+II+III  Etapa stupačky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8"/>
      <c r="R6" s="19"/>
    </row>
    <row r="7" spans="2:18" s="1" customFormat="1" ht="32.25" customHeight="1">
      <c r="B7" s="27"/>
      <c r="C7" s="28"/>
      <c r="D7" s="23" t="s">
        <v>102</v>
      </c>
      <c r="E7" s="28"/>
      <c r="F7" s="162" t="s">
        <v>417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28"/>
      <c r="R7" s="29"/>
    </row>
    <row r="8" spans="2:18" s="1" customFormat="1" ht="14.25" customHeight="1">
      <c r="B8" s="27"/>
      <c r="C8" s="28"/>
      <c r="D8" s="24" t="s">
        <v>17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18</v>
      </c>
      <c r="N8" s="28"/>
      <c r="O8" s="22" t="s">
        <v>3</v>
      </c>
      <c r="P8" s="28"/>
      <c r="Q8" s="28"/>
      <c r="R8" s="29"/>
    </row>
    <row r="9" spans="2:18" s="1" customFormat="1" ht="14.25" customHeight="1">
      <c r="B9" s="27"/>
      <c r="C9" s="28"/>
      <c r="D9" s="24" t="s">
        <v>20</v>
      </c>
      <c r="E9" s="28"/>
      <c r="F9" s="22" t="s">
        <v>21</v>
      </c>
      <c r="G9" s="28"/>
      <c r="H9" s="28"/>
      <c r="I9" s="28"/>
      <c r="J9" s="28"/>
      <c r="K9" s="28"/>
      <c r="L9" s="28"/>
      <c r="M9" s="24" t="s">
        <v>22</v>
      </c>
      <c r="N9" s="28"/>
      <c r="O9" s="193"/>
      <c r="P9" s="170"/>
      <c r="Q9" s="28"/>
      <c r="R9" s="29"/>
    </row>
    <row r="10" spans="2:18" s="1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s="1" customFormat="1" ht="14.25" customHeight="1">
      <c r="B11" s="27"/>
      <c r="C11" s="28"/>
      <c r="D11" s="24" t="s">
        <v>25</v>
      </c>
      <c r="E11" s="28"/>
      <c r="F11" s="28"/>
      <c r="G11" s="28"/>
      <c r="H11" s="28"/>
      <c r="I11" s="28"/>
      <c r="J11" s="28"/>
      <c r="K11" s="28"/>
      <c r="L11" s="28"/>
      <c r="M11" s="24" t="s">
        <v>26</v>
      </c>
      <c r="N11" s="28"/>
      <c r="O11" s="161" t="s">
        <v>3</v>
      </c>
      <c r="P11" s="170"/>
      <c r="Q11" s="28"/>
      <c r="R11" s="29"/>
    </row>
    <row r="12" spans="2:18" s="1" customFormat="1" ht="18" customHeight="1">
      <c r="B12" s="27"/>
      <c r="C12" s="28"/>
      <c r="D12" s="28"/>
      <c r="E12" s="22" t="s">
        <v>27</v>
      </c>
      <c r="F12" s="28"/>
      <c r="G12" s="28"/>
      <c r="H12" s="28"/>
      <c r="I12" s="28"/>
      <c r="J12" s="28"/>
      <c r="K12" s="28"/>
      <c r="L12" s="28"/>
      <c r="M12" s="24" t="s">
        <v>28</v>
      </c>
      <c r="N12" s="28"/>
      <c r="O12" s="161" t="s">
        <v>3</v>
      </c>
      <c r="P12" s="170"/>
      <c r="Q12" s="28"/>
      <c r="R12" s="29"/>
    </row>
    <row r="13" spans="2:18" s="1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s="1" customFormat="1" ht="14.25" customHeight="1">
      <c r="B14" s="27"/>
      <c r="C14" s="28"/>
      <c r="D14" s="24" t="s">
        <v>29</v>
      </c>
      <c r="E14" s="28"/>
      <c r="F14" s="28"/>
      <c r="G14" s="28"/>
      <c r="H14" s="28"/>
      <c r="I14" s="28"/>
      <c r="J14" s="28"/>
      <c r="K14" s="28"/>
      <c r="L14" s="28"/>
      <c r="M14" s="24" t="s">
        <v>26</v>
      </c>
      <c r="N14" s="28"/>
      <c r="O14" s="161" t="s">
        <v>3</v>
      </c>
      <c r="P14" s="170"/>
      <c r="Q14" s="28"/>
      <c r="R14" s="29"/>
    </row>
    <row r="15" spans="2:18" s="1" customFormat="1" ht="18" customHeight="1">
      <c r="B15" s="27"/>
      <c r="C15" s="28"/>
      <c r="D15" s="28"/>
      <c r="E15" s="22"/>
      <c r="F15" s="28"/>
      <c r="G15" s="28"/>
      <c r="H15" s="28"/>
      <c r="I15" s="28"/>
      <c r="J15" s="28"/>
      <c r="K15" s="28"/>
      <c r="L15" s="28"/>
      <c r="M15" s="24" t="s">
        <v>28</v>
      </c>
      <c r="N15" s="28"/>
      <c r="O15" s="161" t="s">
        <v>3</v>
      </c>
      <c r="P15" s="170"/>
      <c r="Q15" s="28"/>
      <c r="R15" s="29"/>
    </row>
    <row r="16" spans="2:18" s="1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1" customFormat="1" ht="14.25" customHeight="1">
      <c r="B17" s="27"/>
      <c r="C17" s="28"/>
      <c r="D17" s="24" t="s">
        <v>30</v>
      </c>
      <c r="E17" s="28"/>
      <c r="F17" s="28"/>
      <c r="G17" s="28"/>
      <c r="H17" s="28"/>
      <c r="I17" s="28"/>
      <c r="J17" s="28"/>
      <c r="K17" s="28"/>
      <c r="L17" s="28"/>
      <c r="M17" s="24" t="s">
        <v>26</v>
      </c>
      <c r="N17" s="28"/>
      <c r="O17" s="161">
        <f>IF('Rekapitulace stavby'!AN16="","",'Rekapitulace stavby'!AN16)</f>
      </c>
      <c r="P17" s="170"/>
      <c r="Q17" s="28"/>
      <c r="R17" s="29"/>
    </row>
    <row r="18" spans="2:18" s="1" customFormat="1" ht="18" customHeight="1">
      <c r="B18" s="27"/>
      <c r="C18" s="28"/>
      <c r="D18" s="28"/>
      <c r="E18" s="22" t="str">
        <f>IF('Rekapitulace stavby'!E17="","",'Rekapitulace stavby'!E17)</f>
        <v> </v>
      </c>
      <c r="F18" s="28"/>
      <c r="G18" s="28"/>
      <c r="H18" s="28"/>
      <c r="I18" s="28"/>
      <c r="J18" s="28"/>
      <c r="K18" s="28"/>
      <c r="L18" s="28"/>
      <c r="M18" s="24" t="s">
        <v>28</v>
      </c>
      <c r="N18" s="28"/>
      <c r="O18" s="161">
        <f>IF('Rekapitulace stavby'!AN17="","",'Rekapitulace stavby'!AN17)</f>
      </c>
      <c r="P18" s="170"/>
      <c r="Q18" s="28"/>
      <c r="R18" s="29"/>
    </row>
    <row r="19" spans="2:18" s="1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1" customFormat="1" ht="14.25" customHeight="1">
      <c r="B20" s="27"/>
      <c r="C20" s="28"/>
      <c r="D20" s="24" t="s">
        <v>33</v>
      </c>
      <c r="E20" s="28"/>
      <c r="F20" s="28"/>
      <c r="G20" s="28"/>
      <c r="H20" s="28"/>
      <c r="I20" s="28"/>
      <c r="J20" s="28"/>
      <c r="K20" s="28"/>
      <c r="L20" s="28"/>
      <c r="M20" s="24" t="s">
        <v>26</v>
      </c>
      <c r="N20" s="28"/>
      <c r="O20" s="161" t="s">
        <v>3</v>
      </c>
      <c r="P20" s="170"/>
      <c r="Q20" s="28"/>
      <c r="R20" s="29"/>
    </row>
    <row r="21" spans="2:18" s="1" customFormat="1" ht="18" customHeight="1">
      <c r="B21" s="27"/>
      <c r="C21" s="28"/>
      <c r="D21" s="28"/>
      <c r="E21" s="22"/>
      <c r="F21" s="28"/>
      <c r="G21" s="28"/>
      <c r="H21" s="28"/>
      <c r="I21" s="28"/>
      <c r="J21" s="28"/>
      <c r="K21" s="28"/>
      <c r="L21" s="28"/>
      <c r="M21" s="24" t="s">
        <v>28</v>
      </c>
      <c r="N21" s="28"/>
      <c r="O21" s="161" t="s">
        <v>3</v>
      </c>
      <c r="P21" s="170"/>
      <c r="Q21" s="28"/>
      <c r="R21" s="29"/>
    </row>
    <row r="22" spans="2:18" s="1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14.25" customHeight="1">
      <c r="B23" s="27"/>
      <c r="C23" s="28"/>
      <c r="D23" s="24" t="s">
        <v>34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1" customFormat="1" ht="77.25" customHeight="1">
      <c r="B24" s="27"/>
      <c r="C24" s="28"/>
      <c r="D24" s="28"/>
      <c r="E24" s="163" t="s">
        <v>35</v>
      </c>
      <c r="F24" s="170"/>
      <c r="G24" s="170"/>
      <c r="H24" s="170"/>
      <c r="I24" s="170"/>
      <c r="J24" s="170"/>
      <c r="K24" s="170"/>
      <c r="L24" s="170"/>
      <c r="M24" s="28"/>
      <c r="N24" s="28"/>
      <c r="O24" s="28"/>
      <c r="P24" s="28"/>
      <c r="Q24" s="28"/>
      <c r="R24" s="29"/>
    </row>
    <row r="25" spans="2:18" s="1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1" customFormat="1" ht="6.7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9"/>
    </row>
    <row r="27" spans="2:18" s="1" customFormat="1" ht="14.25" customHeight="1">
      <c r="B27" s="27"/>
      <c r="C27" s="28"/>
      <c r="D27" s="96" t="s">
        <v>104</v>
      </c>
      <c r="E27" s="28"/>
      <c r="F27" s="28"/>
      <c r="G27" s="28"/>
      <c r="H27" s="28"/>
      <c r="I27" s="28"/>
      <c r="J27" s="28"/>
      <c r="K27" s="28"/>
      <c r="L27" s="28"/>
      <c r="M27" s="164">
        <f>N88</f>
        <v>0</v>
      </c>
      <c r="N27" s="170"/>
      <c r="O27" s="170"/>
      <c r="P27" s="170"/>
      <c r="Q27" s="28"/>
      <c r="R27" s="29"/>
    </row>
    <row r="28" spans="2:18" s="1" customFormat="1" ht="14.25" customHeight="1">
      <c r="B28" s="27"/>
      <c r="C28" s="28"/>
      <c r="D28" s="26" t="s">
        <v>105</v>
      </c>
      <c r="E28" s="28"/>
      <c r="F28" s="28"/>
      <c r="G28" s="28"/>
      <c r="H28" s="28"/>
      <c r="I28" s="28"/>
      <c r="J28" s="28"/>
      <c r="K28" s="28"/>
      <c r="L28" s="28"/>
      <c r="M28" s="164">
        <f>N93</f>
        <v>0</v>
      </c>
      <c r="N28" s="170"/>
      <c r="O28" s="170"/>
      <c r="P28" s="170"/>
      <c r="Q28" s="28"/>
      <c r="R28" s="29"/>
    </row>
    <row r="29" spans="2:18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1" customFormat="1" ht="24.75" customHeight="1">
      <c r="B30" s="27"/>
      <c r="C30" s="28"/>
      <c r="D30" s="97" t="s">
        <v>38</v>
      </c>
      <c r="E30" s="28"/>
      <c r="F30" s="28"/>
      <c r="G30" s="28"/>
      <c r="H30" s="28"/>
      <c r="I30" s="28"/>
      <c r="J30" s="28"/>
      <c r="K30" s="28"/>
      <c r="L30" s="28"/>
      <c r="M30" s="194">
        <f>ROUND(M27+M28,2)</f>
        <v>0</v>
      </c>
      <c r="N30" s="170"/>
      <c r="O30" s="170"/>
      <c r="P30" s="170"/>
      <c r="Q30" s="28"/>
      <c r="R30" s="29"/>
    </row>
    <row r="31" spans="2:18" s="1" customFormat="1" ht="6.7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9"/>
    </row>
    <row r="32" spans="2:18" s="1" customFormat="1" ht="14.25" customHeight="1">
      <c r="B32" s="27"/>
      <c r="C32" s="28"/>
      <c r="D32" s="34" t="s">
        <v>39</v>
      </c>
      <c r="E32" s="34" t="s">
        <v>40</v>
      </c>
      <c r="F32" s="35">
        <v>0.21</v>
      </c>
      <c r="G32" s="98" t="s">
        <v>41</v>
      </c>
      <c r="H32" s="195">
        <f>ROUND((SUM(BE93:BE94)+SUM(BE112:BE148)),2)</f>
        <v>0</v>
      </c>
      <c r="I32" s="170"/>
      <c r="J32" s="170"/>
      <c r="K32" s="28"/>
      <c r="L32" s="28"/>
      <c r="M32" s="195">
        <f>ROUND(ROUND((SUM(BE93:BE94)+SUM(BE112:BE148)),2)*F32,2)</f>
        <v>0</v>
      </c>
      <c r="N32" s="170"/>
      <c r="O32" s="170"/>
      <c r="P32" s="170"/>
      <c r="Q32" s="28"/>
      <c r="R32" s="29"/>
    </row>
    <row r="33" spans="2:18" s="1" customFormat="1" ht="14.25" customHeight="1">
      <c r="B33" s="27"/>
      <c r="C33" s="28"/>
      <c r="D33" s="28"/>
      <c r="E33" s="34" t="s">
        <v>42</v>
      </c>
      <c r="F33" s="35">
        <v>0.15</v>
      </c>
      <c r="G33" s="98" t="s">
        <v>41</v>
      </c>
      <c r="H33" s="195">
        <f>ROUND((SUM(BF93:BF94)+SUM(BF112:BF148)),2)</f>
        <v>0</v>
      </c>
      <c r="I33" s="170"/>
      <c r="J33" s="170"/>
      <c r="K33" s="28"/>
      <c r="L33" s="28"/>
      <c r="M33" s="195">
        <f>ROUND(ROUND((SUM(BF93:BF94)+SUM(BF112:BF148)),2)*F33,2)</f>
        <v>0</v>
      </c>
      <c r="N33" s="170"/>
      <c r="O33" s="170"/>
      <c r="P33" s="170"/>
      <c r="Q33" s="28"/>
      <c r="R33" s="29"/>
    </row>
    <row r="34" spans="2:18" s="1" customFormat="1" ht="14.25" customHeight="1" hidden="1">
      <c r="B34" s="27"/>
      <c r="C34" s="28"/>
      <c r="D34" s="28"/>
      <c r="E34" s="34" t="s">
        <v>43</v>
      </c>
      <c r="F34" s="35">
        <v>0.21</v>
      </c>
      <c r="G34" s="98" t="s">
        <v>41</v>
      </c>
      <c r="H34" s="195">
        <f>ROUND((SUM(BG93:BG94)+SUM(BG112:BG148)),2)</f>
        <v>0</v>
      </c>
      <c r="I34" s="170"/>
      <c r="J34" s="170"/>
      <c r="K34" s="28"/>
      <c r="L34" s="28"/>
      <c r="M34" s="195">
        <v>0</v>
      </c>
      <c r="N34" s="170"/>
      <c r="O34" s="170"/>
      <c r="P34" s="170"/>
      <c r="Q34" s="28"/>
      <c r="R34" s="29"/>
    </row>
    <row r="35" spans="2:18" s="1" customFormat="1" ht="14.25" customHeight="1" hidden="1">
      <c r="B35" s="27"/>
      <c r="C35" s="28"/>
      <c r="D35" s="28"/>
      <c r="E35" s="34" t="s">
        <v>44</v>
      </c>
      <c r="F35" s="35">
        <v>0.15</v>
      </c>
      <c r="G35" s="98" t="s">
        <v>41</v>
      </c>
      <c r="H35" s="195">
        <f>ROUND((SUM(BH93:BH94)+SUM(BH112:BH148)),2)</f>
        <v>0</v>
      </c>
      <c r="I35" s="170"/>
      <c r="J35" s="170"/>
      <c r="K35" s="28"/>
      <c r="L35" s="28"/>
      <c r="M35" s="195">
        <v>0</v>
      </c>
      <c r="N35" s="170"/>
      <c r="O35" s="170"/>
      <c r="P35" s="170"/>
      <c r="Q35" s="28"/>
      <c r="R35" s="29"/>
    </row>
    <row r="36" spans="2:18" s="1" customFormat="1" ht="14.25" customHeight="1" hidden="1">
      <c r="B36" s="27"/>
      <c r="C36" s="28"/>
      <c r="D36" s="28"/>
      <c r="E36" s="34" t="s">
        <v>45</v>
      </c>
      <c r="F36" s="35">
        <v>0</v>
      </c>
      <c r="G36" s="98" t="s">
        <v>41</v>
      </c>
      <c r="H36" s="195">
        <f>ROUND((SUM(BI93:BI94)+SUM(BI112:BI148)),2)</f>
        <v>0</v>
      </c>
      <c r="I36" s="170"/>
      <c r="J36" s="170"/>
      <c r="K36" s="28"/>
      <c r="L36" s="28"/>
      <c r="M36" s="195">
        <v>0</v>
      </c>
      <c r="N36" s="170"/>
      <c r="O36" s="170"/>
      <c r="P36" s="170"/>
      <c r="Q36" s="28"/>
      <c r="R36" s="29"/>
    </row>
    <row r="37" spans="2:18" s="1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1" customFormat="1" ht="24.75" customHeight="1">
      <c r="B38" s="27"/>
      <c r="C38" s="95"/>
      <c r="D38" s="99" t="s">
        <v>46</v>
      </c>
      <c r="E38" s="67"/>
      <c r="F38" s="67"/>
      <c r="G38" s="100" t="s">
        <v>47</v>
      </c>
      <c r="H38" s="101" t="s">
        <v>48</v>
      </c>
      <c r="I38" s="67"/>
      <c r="J38" s="67"/>
      <c r="K38" s="67"/>
      <c r="L38" s="196">
        <f>SUM(M30:M36)</f>
        <v>0</v>
      </c>
      <c r="M38" s="173"/>
      <c r="N38" s="173"/>
      <c r="O38" s="173"/>
      <c r="P38" s="175"/>
      <c r="Q38" s="95"/>
      <c r="R38" s="29"/>
    </row>
    <row r="39" spans="2:18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1" customFormat="1" ht="14.2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 t="s">
        <v>49</v>
      </c>
      <c r="E50" s="43"/>
      <c r="F50" s="43"/>
      <c r="G50" s="43"/>
      <c r="H50" s="44"/>
      <c r="I50" s="28"/>
      <c r="J50" s="42" t="s">
        <v>50</v>
      </c>
      <c r="K50" s="43"/>
      <c r="L50" s="43"/>
      <c r="M50" s="43"/>
      <c r="N50" s="43"/>
      <c r="O50" s="43"/>
      <c r="P50" s="44"/>
      <c r="Q50" s="28"/>
      <c r="R50" s="29"/>
    </row>
    <row r="51" spans="2:18" ht="13.5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 t="s">
        <v>51</v>
      </c>
      <c r="E59" s="48"/>
      <c r="F59" s="48"/>
      <c r="G59" s="49" t="s">
        <v>52</v>
      </c>
      <c r="H59" s="50"/>
      <c r="I59" s="28"/>
      <c r="J59" s="47" t="s">
        <v>51</v>
      </c>
      <c r="K59" s="48"/>
      <c r="L59" s="48"/>
      <c r="M59" s="48"/>
      <c r="N59" s="49" t="s">
        <v>52</v>
      </c>
      <c r="O59" s="48"/>
      <c r="P59" s="50"/>
      <c r="Q59" s="28"/>
      <c r="R59" s="29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53</v>
      </c>
      <c r="E61" s="43"/>
      <c r="F61" s="43"/>
      <c r="G61" s="43"/>
      <c r="H61" s="44"/>
      <c r="I61" s="28"/>
      <c r="J61" s="42" t="s">
        <v>54</v>
      </c>
      <c r="K61" s="43"/>
      <c r="L61" s="43"/>
      <c r="M61" s="43"/>
      <c r="N61" s="43"/>
      <c r="O61" s="43"/>
      <c r="P61" s="44"/>
      <c r="Q61" s="28"/>
      <c r="R61" s="29"/>
    </row>
    <row r="62" spans="2:18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51</v>
      </c>
      <c r="E70" s="48"/>
      <c r="F70" s="48"/>
      <c r="G70" s="49" t="s">
        <v>52</v>
      </c>
      <c r="H70" s="50"/>
      <c r="I70" s="28"/>
      <c r="J70" s="47" t="s">
        <v>51</v>
      </c>
      <c r="K70" s="48"/>
      <c r="L70" s="48"/>
      <c r="M70" s="48"/>
      <c r="N70" s="49" t="s">
        <v>52</v>
      </c>
      <c r="O70" s="48"/>
      <c r="P70" s="50"/>
      <c r="Q70" s="28"/>
      <c r="R70" s="29"/>
    </row>
    <row r="71" spans="2:18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75" customHeight="1">
      <c r="B76" s="27"/>
      <c r="C76" s="159" t="s">
        <v>106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29"/>
    </row>
    <row r="77" spans="2:18" s="1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0" customHeight="1">
      <c r="B78" s="27"/>
      <c r="C78" s="24" t="s">
        <v>15</v>
      </c>
      <c r="D78" s="28"/>
      <c r="E78" s="28"/>
      <c r="F78" s="192" t="str">
        <f>F6</f>
        <v>Pavilon 7 - Pavilon 7 SOUE - I+II+III  Etapa stupačky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28"/>
      <c r="R78" s="29"/>
    </row>
    <row r="79" spans="2:18" s="1" customFormat="1" ht="36.75" customHeight="1">
      <c r="B79" s="27"/>
      <c r="C79" s="61" t="s">
        <v>102</v>
      </c>
      <c r="D79" s="28"/>
      <c r="E79" s="28"/>
      <c r="F79" s="187" t="str">
        <f>F7</f>
        <v>04 - ZTI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28"/>
      <c r="R79" s="29"/>
    </row>
    <row r="80" spans="2:18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18" s="1" customFormat="1" ht="18" customHeight="1">
      <c r="B81" s="27"/>
      <c r="C81" s="24" t="s">
        <v>20</v>
      </c>
      <c r="D81" s="28"/>
      <c r="E81" s="28"/>
      <c r="F81" s="22" t="str">
        <f>F9</f>
        <v>Plzeň</v>
      </c>
      <c r="G81" s="28"/>
      <c r="H81" s="28"/>
      <c r="I81" s="28"/>
      <c r="J81" s="28"/>
      <c r="K81" s="24" t="s">
        <v>22</v>
      </c>
      <c r="L81" s="28"/>
      <c r="M81" s="193">
        <f>IF(O9="","",O9)</f>
      </c>
      <c r="N81" s="170"/>
      <c r="O81" s="170"/>
      <c r="P81" s="170"/>
      <c r="Q81" s="28"/>
      <c r="R81" s="29"/>
    </row>
    <row r="82" spans="2:18" s="1" customFormat="1" ht="6.7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18" s="1" customFormat="1" ht="15">
      <c r="B83" s="27"/>
      <c r="C83" s="24" t="s">
        <v>25</v>
      </c>
      <c r="D83" s="28"/>
      <c r="E83" s="28"/>
      <c r="F83" s="22"/>
      <c r="G83" s="28"/>
      <c r="H83" s="28"/>
      <c r="I83" s="28"/>
      <c r="J83" s="28"/>
      <c r="K83" s="24" t="s">
        <v>30</v>
      </c>
      <c r="L83" s="28"/>
      <c r="M83" s="161" t="str">
        <f>E18</f>
        <v> </v>
      </c>
      <c r="N83" s="170"/>
      <c r="O83" s="170"/>
      <c r="P83" s="170"/>
      <c r="Q83" s="170"/>
      <c r="R83" s="29"/>
    </row>
    <row r="84" spans="2:18" s="1" customFormat="1" ht="14.25" customHeight="1">
      <c r="B84" s="27"/>
      <c r="C84" s="24" t="s">
        <v>29</v>
      </c>
      <c r="D84" s="28"/>
      <c r="E84" s="28"/>
      <c r="F84" s="22">
        <f>IF(E15="","",E15)</f>
      </c>
      <c r="G84" s="28"/>
      <c r="H84" s="28"/>
      <c r="I84" s="28"/>
      <c r="J84" s="28"/>
      <c r="K84" s="24" t="s">
        <v>33</v>
      </c>
      <c r="L84" s="28"/>
      <c r="M84" s="161"/>
      <c r="N84" s="170"/>
      <c r="O84" s="170"/>
      <c r="P84" s="170"/>
      <c r="Q84" s="170"/>
      <c r="R84" s="29"/>
    </row>
    <row r="85" spans="2:18" s="1" customFormat="1" ht="9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18" s="1" customFormat="1" ht="29.25" customHeight="1">
      <c r="B86" s="27"/>
      <c r="C86" s="197" t="s">
        <v>107</v>
      </c>
      <c r="D86" s="198"/>
      <c r="E86" s="198"/>
      <c r="F86" s="198"/>
      <c r="G86" s="198"/>
      <c r="H86" s="95"/>
      <c r="I86" s="95"/>
      <c r="J86" s="95"/>
      <c r="K86" s="95"/>
      <c r="L86" s="95"/>
      <c r="M86" s="95"/>
      <c r="N86" s="197" t="s">
        <v>108</v>
      </c>
      <c r="O86" s="170"/>
      <c r="P86" s="170"/>
      <c r="Q86" s="170"/>
      <c r="R86" s="29"/>
    </row>
    <row r="87" spans="2:18" s="1" customFormat="1" ht="9.7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1" customFormat="1" ht="29.25" customHeight="1">
      <c r="B88" s="27"/>
      <c r="C88" s="102" t="s">
        <v>109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84">
        <f>N112</f>
        <v>0</v>
      </c>
      <c r="O88" s="170"/>
      <c r="P88" s="170"/>
      <c r="Q88" s="170"/>
      <c r="R88" s="29"/>
      <c r="AU88" s="13" t="s">
        <v>110</v>
      </c>
    </row>
    <row r="89" spans="2:18" s="6" customFormat="1" ht="24.75" customHeight="1">
      <c r="B89" s="103"/>
      <c r="C89" s="104"/>
      <c r="D89" s="105" t="s">
        <v>158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9">
        <f>N113</f>
        <v>0</v>
      </c>
      <c r="O89" s="200"/>
      <c r="P89" s="200"/>
      <c r="Q89" s="200"/>
      <c r="R89" s="106"/>
    </row>
    <row r="90" spans="2:18" s="7" customFormat="1" ht="19.5" customHeight="1">
      <c r="B90" s="107"/>
      <c r="C90" s="108"/>
      <c r="D90" s="109" t="s">
        <v>159</v>
      </c>
      <c r="E90" s="108"/>
      <c r="F90" s="108"/>
      <c r="G90" s="108"/>
      <c r="H90" s="108"/>
      <c r="I90" s="108"/>
      <c r="J90" s="108"/>
      <c r="K90" s="108"/>
      <c r="L90" s="108"/>
      <c r="M90" s="108"/>
      <c r="N90" s="201">
        <f>N114</f>
        <v>0</v>
      </c>
      <c r="O90" s="202"/>
      <c r="P90" s="202"/>
      <c r="Q90" s="202"/>
      <c r="R90" s="110"/>
    </row>
    <row r="91" spans="2:18" s="7" customFormat="1" ht="19.5" customHeight="1">
      <c r="B91" s="107"/>
      <c r="C91" s="108"/>
      <c r="D91" s="109" t="s">
        <v>160</v>
      </c>
      <c r="E91" s="108"/>
      <c r="F91" s="108"/>
      <c r="G91" s="108"/>
      <c r="H91" s="108"/>
      <c r="I91" s="108"/>
      <c r="J91" s="108"/>
      <c r="K91" s="108"/>
      <c r="L91" s="108"/>
      <c r="M91" s="108"/>
      <c r="N91" s="201">
        <f>N128</f>
        <v>0</v>
      </c>
      <c r="O91" s="202"/>
      <c r="P91" s="202"/>
      <c r="Q91" s="202"/>
      <c r="R91" s="110"/>
    </row>
    <row r="92" spans="2:18" s="1" customFormat="1" ht="21.75" customHeight="1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9"/>
    </row>
    <row r="93" spans="2:21" s="1" customFormat="1" ht="29.25" customHeight="1">
      <c r="B93" s="27"/>
      <c r="C93" s="102" t="s">
        <v>114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03">
        <v>0</v>
      </c>
      <c r="O93" s="170"/>
      <c r="P93" s="170"/>
      <c r="Q93" s="170"/>
      <c r="R93" s="29"/>
      <c r="T93" s="111"/>
      <c r="U93" s="112" t="s">
        <v>39</v>
      </c>
    </row>
    <row r="94" spans="2:18" s="1" customFormat="1" ht="18" customHeight="1">
      <c r="B94" s="27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</row>
    <row r="95" spans="2:18" s="1" customFormat="1" ht="29.25" customHeight="1">
      <c r="B95" s="27"/>
      <c r="C95" s="94" t="s">
        <v>98</v>
      </c>
      <c r="D95" s="95"/>
      <c r="E95" s="95"/>
      <c r="F95" s="95"/>
      <c r="G95" s="95"/>
      <c r="H95" s="95"/>
      <c r="I95" s="95"/>
      <c r="J95" s="95"/>
      <c r="K95" s="95"/>
      <c r="L95" s="185">
        <f>ROUND(SUM(N88+N93),2)</f>
        <v>0</v>
      </c>
      <c r="M95" s="198"/>
      <c r="N95" s="198"/>
      <c r="O95" s="198"/>
      <c r="P95" s="198"/>
      <c r="Q95" s="198"/>
      <c r="R95" s="29"/>
    </row>
    <row r="96" spans="2:18" s="1" customFormat="1" ht="6.75" customHeight="1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3"/>
    </row>
    <row r="100" spans="2:18" s="1" customFormat="1" ht="6.75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6"/>
    </row>
    <row r="101" spans="2:18" s="1" customFormat="1" ht="36.75" customHeight="1">
      <c r="B101" s="27"/>
      <c r="C101" s="159" t="s">
        <v>115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29"/>
    </row>
    <row r="102" spans="2:18" s="1" customFormat="1" ht="6.75" customHeight="1"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9"/>
    </row>
    <row r="103" spans="2:18" s="1" customFormat="1" ht="30" customHeight="1">
      <c r="B103" s="27"/>
      <c r="C103" s="24" t="s">
        <v>15</v>
      </c>
      <c r="D103" s="28"/>
      <c r="E103" s="28"/>
      <c r="F103" s="192" t="str">
        <f>F6</f>
        <v>Pavilon 7 - Pavilon 7 SOUE - I+II+III  Etapa stupačky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28"/>
      <c r="R103" s="29"/>
    </row>
    <row r="104" spans="2:18" s="1" customFormat="1" ht="36.75" customHeight="1">
      <c r="B104" s="27"/>
      <c r="C104" s="61" t="s">
        <v>102</v>
      </c>
      <c r="D104" s="28"/>
      <c r="E104" s="28"/>
      <c r="F104" s="187" t="str">
        <f>F7</f>
        <v>04 - ZTI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28"/>
      <c r="R104" s="29"/>
    </row>
    <row r="105" spans="2:18" s="1" customFormat="1" ht="6.7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18" s="1" customFormat="1" ht="18" customHeight="1">
      <c r="B106" s="27"/>
      <c r="C106" s="24" t="s">
        <v>20</v>
      </c>
      <c r="D106" s="28"/>
      <c r="E106" s="28"/>
      <c r="F106" s="22" t="str">
        <f>F9</f>
        <v>Plzeň</v>
      </c>
      <c r="G106" s="28"/>
      <c r="H106" s="28"/>
      <c r="I106" s="28"/>
      <c r="J106" s="28"/>
      <c r="K106" s="24" t="s">
        <v>22</v>
      </c>
      <c r="L106" s="28"/>
      <c r="M106" s="193">
        <f>IF(O9="","",O9)</f>
      </c>
      <c r="N106" s="170"/>
      <c r="O106" s="170"/>
      <c r="P106" s="170"/>
      <c r="Q106" s="28"/>
      <c r="R106" s="29"/>
    </row>
    <row r="107" spans="2:18" s="1" customFormat="1" ht="6.75" customHeight="1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</row>
    <row r="108" spans="2:18" s="1" customFormat="1" ht="15">
      <c r="B108" s="27"/>
      <c r="C108" s="24" t="s">
        <v>25</v>
      </c>
      <c r="D108" s="28"/>
      <c r="E108" s="28"/>
      <c r="F108" s="22"/>
      <c r="G108" s="28"/>
      <c r="H108" s="28"/>
      <c r="I108" s="28"/>
      <c r="J108" s="28"/>
      <c r="K108" s="24" t="s">
        <v>30</v>
      </c>
      <c r="L108" s="28"/>
      <c r="M108" s="161" t="str">
        <f>E18</f>
        <v> </v>
      </c>
      <c r="N108" s="170"/>
      <c r="O108" s="170"/>
      <c r="P108" s="170"/>
      <c r="Q108" s="170"/>
      <c r="R108" s="29"/>
    </row>
    <row r="109" spans="2:18" s="1" customFormat="1" ht="14.25" customHeight="1">
      <c r="B109" s="27"/>
      <c r="C109" s="24" t="s">
        <v>29</v>
      </c>
      <c r="D109" s="28"/>
      <c r="E109" s="28"/>
      <c r="F109" s="22">
        <f>IF(E15="","",E15)</f>
      </c>
      <c r="G109" s="28"/>
      <c r="H109" s="28"/>
      <c r="I109" s="28"/>
      <c r="J109" s="28"/>
      <c r="K109" s="24" t="s">
        <v>33</v>
      </c>
      <c r="L109" s="28"/>
      <c r="M109" s="161">
        <f>E21</f>
        <v>0</v>
      </c>
      <c r="N109" s="170"/>
      <c r="O109" s="170"/>
      <c r="P109" s="170"/>
      <c r="Q109" s="170"/>
      <c r="R109" s="29"/>
    </row>
    <row r="110" spans="2:18" s="1" customFormat="1" ht="9.75" customHeight="1"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</row>
    <row r="111" spans="2:27" s="8" customFormat="1" ht="29.25" customHeight="1">
      <c r="B111" s="113"/>
      <c r="C111" s="114" t="s">
        <v>116</v>
      </c>
      <c r="D111" s="115" t="s">
        <v>117</v>
      </c>
      <c r="E111" s="115" t="s">
        <v>57</v>
      </c>
      <c r="F111" s="204" t="s">
        <v>118</v>
      </c>
      <c r="G111" s="205"/>
      <c r="H111" s="205"/>
      <c r="I111" s="205"/>
      <c r="J111" s="115" t="s">
        <v>119</v>
      </c>
      <c r="K111" s="115" t="s">
        <v>120</v>
      </c>
      <c r="L111" s="206" t="s">
        <v>121</v>
      </c>
      <c r="M111" s="205"/>
      <c r="N111" s="204" t="s">
        <v>108</v>
      </c>
      <c r="O111" s="205"/>
      <c r="P111" s="205"/>
      <c r="Q111" s="207"/>
      <c r="R111" s="116"/>
      <c r="T111" s="68" t="s">
        <v>122</v>
      </c>
      <c r="U111" s="69" t="s">
        <v>39</v>
      </c>
      <c r="V111" s="69" t="s">
        <v>123</v>
      </c>
      <c r="W111" s="69" t="s">
        <v>124</v>
      </c>
      <c r="X111" s="69" t="s">
        <v>125</v>
      </c>
      <c r="Y111" s="69" t="s">
        <v>126</v>
      </c>
      <c r="Z111" s="69" t="s">
        <v>127</v>
      </c>
      <c r="AA111" s="70" t="s">
        <v>128</v>
      </c>
    </row>
    <row r="112" spans="2:63" s="1" customFormat="1" ht="29.25" customHeight="1">
      <c r="B112" s="27"/>
      <c r="C112" s="72" t="s">
        <v>104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14">
        <f>N113</f>
        <v>0</v>
      </c>
      <c r="O112" s="215"/>
      <c r="P112" s="215"/>
      <c r="Q112" s="215"/>
      <c r="R112" s="29"/>
      <c r="T112" s="71"/>
      <c r="U112" s="43"/>
      <c r="V112" s="43"/>
      <c r="W112" s="117">
        <f>W113</f>
        <v>438.576957</v>
      </c>
      <c r="X112" s="43"/>
      <c r="Y112" s="117">
        <f>Y113</f>
        <v>0.90294</v>
      </c>
      <c r="Z112" s="43"/>
      <c r="AA112" s="118">
        <f>AA113</f>
        <v>0</v>
      </c>
      <c r="AT112" s="13" t="s">
        <v>74</v>
      </c>
      <c r="AU112" s="13" t="s">
        <v>110</v>
      </c>
      <c r="BK112" s="119">
        <f>BK113</f>
        <v>0</v>
      </c>
    </row>
    <row r="113" spans="2:63" s="9" customFormat="1" ht="36.75" customHeight="1">
      <c r="B113" s="120"/>
      <c r="C113" s="121"/>
      <c r="D113" s="122" t="s">
        <v>158</v>
      </c>
      <c r="E113" s="122"/>
      <c r="F113" s="122"/>
      <c r="G113" s="122"/>
      <c r="H113" s="122"/>
      <c r="I113" s="122"/>
      <c r="J113" s="122"/>
      <c r="K113" s="122"/>
      <c r="L113" s="122"/>
      <c r="M113" s="122"/>
      <c r="N113" s="216">
        <f>N114+N128</f>
        <v>0</v>
      </c>
      <c r="O113" s="199"/>
      <c r="P113" s="199"/>
      <c r="Q113" s="199"/>
      <c r="R113" s="123"/>
      <c r="T113" s="124"/>
      <c r="U113" s="121"/>
      <c r="V113" s="121"/>
      <c r="W113" s="125">
        <f>W114+W128</f>
        <v>438.576957</v>
      </c>
      <c r="X113" s="121"/>
      <c r="Y113" s="125">
        <f>Y114+Y128</f>
        <v>0.90294</v>
      </c>
      <c r="Z113" s="121"/>
      <c r="AA113" s="126">
        <f>AA114+AA128</f>
        <v>0</v>
      </c>
      <c r="AR113" s="127" t="s">
        <v>100</v>
      </c>
      <c r="AT113" s="128" t="s">
        <v>74</v>
      </c>
      <c r="AU113" s="128" t="s">
        <v>75</v>
      </c>
      <c r="AY113" s="127" t="s">
        <v>130</v>
      </c>
      <c r="BK113" s="129">
        <f>BK114+BK128</f>
        <v>0</v>
      </c>
    </row>
    <row r="114" spans="2:63" s="9" customFormat="1" ht="19.5" customHeight="1">
      <c r="B114" s="120"/>
      <c r="C114" s="121"/>
      <c r="D114" s="130" t="s">
        <v>159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217">
        <f>N115+N116+N117+N118+N119+N120+N121+N122+N123+N124+N125+N126+N127</f>
        <v>0</v>
      </c>
      <c r="O114" s="218"/>
      <c r="P114" s="218"/>
      <c r="Q114" s="218"/>
      <c r="R114" s="123"/>
      <c r="T114" s="124"/>
      <c r="U114" s="121"/>
      <c r="V114" s="121"/>
      <c r="W114" s="125">
        <f>SUM(W115:W127)</f>
        <v>207.92833499999998</v>
      </c>
      <c r="X114" s="121"/>
      <c r="Y114" s="125">
        <f>SUM(Y115:Y127)</f>
        <v>0.23061</v>
      </c>
      <c r="Z114" s="121"/>
      <c r="AA114" s="126">
        <f>SUM(AA115:AA127)</f>
        <v>0</v>
      </c>
      <c r="AR114" s="127" t="s">
        <v>100</v>
      </c>
      <c r="AT114" s="128" t="s">
        <v>74</v>
      </c>
      <c r="AU114" s="128" t="s">
        <v>19</v>
      </c>
      <c r="AY114" s="127" t="s">
        <v>130</v>
      </c>
      <c r="BK114" s="129">
        <f>SUM(BK115:BK127)</f>
        <v>0</v>
      </c>
    </row>
    <row r="115" spans="2:65" s="1" customFormat="1" ht="22.5" customHeight="1">
      <c r="B115" s="131"/>
      <c r="C115" s="132" t="s">
        <v>19</v>
      </c>
      <c r="D115" s="132" t="s">
        <v>131</v>
      </c>
      <c r="E115" s="133" t="s">
        <v>418</v>
      </c>
      <c r="F115" s="208" t="s">
        <v>419</v>
      </c>
      <c r="G115" s="209"/>
      <c r="H115" s="209"/>
      <c r="I115" s="209"/>
      <c r="J115" s="134" t="s">
        <v>238</v>
      </c>
      <c r="K115" s="135">
        <v>9</v>
      </c>
      <c r="L115" s="210"/>
      <c r="M115" s="209"/>
      <c r="N115" s="210">
        <f aca="true" t="shared" si="0" ref="N115:N127">K115*L115</f>
        <v>0</v>
      </c>
      <c r="O115" s="209"/>
      <c r="P115" s="209"/>
      <c r="Q115" s="209"/>
      <c r="R115" s="136"/>
      <c r="T115" s="137" t="s">
        <v>3</v>
      </c>
      <c r="U115" s="36" t="s">
        <v>40</v>
      </c>
      <c r="V115" s="138">
        <v>0.361</v>
      </c>
      <c r="W115" s="138">
        <f aca="true" t="shared" si="1" ref="W115:W127">V115*K115</f>
        <v>3.2489999999999997</v>
      </c>
      <c r="X115" s="138">
        <v>0.00101</v>
      </c>
      <c r="Y115" s="138">
        <f aca="true" t="shared" si="2" ref="Y115:Y127">X115*K115</f>
        <v>0.00909</v>
      </c>
      <c r="Z115" s="138">
        <v>0</v>
      </c>
      <c r="AA115" s="139">
        <f aca="true" t="shared" si="3" ref="AA115:AA127">Z115*K115</f>
        <v>0</v>
      </c>
      <c r="AR115" s="13" t="s">
        <v>221</v>
      </c>
      <c r="AT115" s="13" t="s">
        <v>131</v>
      </c>
      <c r="AU115" s="13" t="s">
        <v>100</v>
      </c>
      <c r="AY115" s="13" t="s">
        <v>130</v>
      </c>
      <c r="BE115" s="140">
        <f aca="true" t="shared" si="4" ref="BE115:BE127">IF(U115="základní",N115,0)</f>
        <v>0</v>
      </c>
      <c r="BF115" s="140">
        <f aca="true" t="shared" si="5" ref="BF115:BF127">IF(U115="snížená",N115,0)</f>
        <v>0</v>
      </c>
      <c r="BG115" s="140">
        <f aca="true" t="shared" si="6" ref="BG115:BG127">IF(U115="zákl. přenesená",N115,0)</f>
        <v>0</v>
      </c>
      <c r="BH115" s="140">
        <f aca="true" t="shared" si="7" ref="BH115:BH127">IF(U115="sníž. přenesená",N115,0)</f>
        <v>0</v>
      </c>
      <c r="BI115" s="140">
        <f aca="true" t="shared" si="8" ref="BI115:BI127">IF(U115="nulová",N115,0)</f>
        <v>0</v>
      </c>
      <c r="BJ115" s="13" t="s">
        <v>19</v>
      </c>
      <c r="BK115" s="140">
        <f aca="true" t="shared" si="9" ref="BK115:BK127">ROUND(L115*K115,2)</f>
        <v>0</v>
      </c>
      <c r="BL115" s="13" t="s">
        <v>221</v>
      </c>
      <c r="BM115" s="13" t="s">
        <v>420</v>
      </c>
    </row>
    <row r="116" spans="2:65" s="1" customFormat="1" ht="22.5" customHeight="1">
      <c r="B116" s="131"/>
      <c r="C116" s="132" t="s">
        <v>100</v>
      </c>
      <c r="D116" s="132" t="s">
        <v>131</v>
      </c>
      <c r="E116" s="133" t="s">
        <v>421</v>
      </c>
      <c r="F116" s="208" t="s">
        <v>422</v>
      </c>
      <c r="G116" s="209"/>
      <c r="H116" s="209"/>
      <c r="I116" s="209"/>
      <c r="J116" s="134" t="s">
        <v>238</v>
      </c>
      <c r="K116" s="135">
        <v>3</v>
      </c>
      <c r="L116" s="210"/>
      <c r="M116" s="209"/>
      <c r="N116" s="210">
        <f t="shared" si="0"/>
        <v>0</v>
      </c>
      <c r="O116" s="209"/>
      <c r="P116" s="209"/>
      <c r="Q116" s="209"/>
      <c r="R116" s="136"/>
      <c r="T116" s="137" t="s">
        <v>3</v>
      </c>
      <c r="U116" s="36" t="s">
        <v>40</v>
      </c>
      <c r="V116" s="138">
        <v>0.363</v>
      </c>
      <c r="W116" s="138">
        <f t="shared" si="1"/>
        <v>1.089</v>
      </c>
      <c r="X116" s="138">
        <v>0.00204</v>
      </c>
      <c r="Y116" s="138">
        <f t="shared" si="2"/>
        <v>0.0061200000000000004</v>
      </c>
      <c r="Z116" s="138">
        <v>0</v>
      </c>
      <c r="AA116" s="139">
        <f t="shared" si="3"/>
        <v>0</v>
      </c>
      <c r="AR116" s="13" t="s">
        <v>221</v>
      </c>
      <c r="AT116" s="13" t="s">
        <v>131</v>
      </c>
      <c r="AU116" s="13" t="s">
        <v>100</v>
      </c>
      <c r="AY116" s="13" t="s">
        <v>130</v>
      </c>
      <c r="BE116" s="140">
        <f t="shared" si="4"/>
        <v>0</v>
      </c>
      <c r="BF116" s="140">
        <f t="shared" si="5"/>
        <v>0</v>
      </c>
      <c r="BG116" s="140">
        <f t="shared" si="6"/>
        <v>0</v>
      </c>
      <c r="BH116" s="140">
        <f t="shared" si="7"/>
        <v>0</v>
      </c>
      <c r="BI116" s="140">
        <f t="shared" si="8"/>
        <v>0</v>
      </c>
      <c r="BJ116" s="13" t="s">
        <v>19</v>
      </c>
      <c r="BK116" s="140">
        <f t="shared" si="9"/>
        <v>0</v>
      </c>
      <c r="BL116" s="13" t="s">
        <v>221</v>
      </c>
      <c r="BM116" s="13" t="s">
        <v>423</v>
      </c>
    </row>
    <row r="117" spans="2:65" s="1" customFormat="1" ht="31.5" customHeight="1">
      <c r="B117" s="131"/>
      <c r="C117" s="132" t="s">
        <v>141</v>
      </c>
      <c r="D117" s="132" t="s">
        <v>131</v>
      </c>
      <c r="E117" s="133" t="s">
        <v>424</v>
      </c>
      <c r="F117" s="208" t="s">
        <v>425</v>
      </c>
      <c r="G117" s="209"/>
      <c r="H117" s="209"/>
      <c r="I117" s="209"/>
      <c r="J117" s="134" t="s">
        <v>189</v>
      </c>
      <c r="K117" s="135">
        <v>18</v>
      </c>
      <c r="L117" s="210"/>
      <c r="M117" s="209"/>
      <c r="N117" s="210">
        <f t="shared" si="0"/>
        <v>0</v>
      </c>
      <c r="O117" s="209"/>
      <c r="P117" s="209"/>
      <c r="Q117" s="209"/>
      <c r="R117" s="136"/>
      <c r="T117" s="137" t="s">
        <v>3</v>
      </c>
      <c r="U117" s="36" t="s">
        <v>40</v>
      </c>
      <c r="V117" s="138">
        <v>0.557</v>
      </c>
      <c r="W117" s="138">
        <f t="shared" si="1"/>
        <v>10.026000000000002</v>
      </c>
      <c r="X117" s="138">
        <v>0.00227</v>
      </c>
      <c r="Y117" s="138">
        <f t="shared" si="2"/>
        <v>0.04086</v>
      </c>
      <c r="Z117" s="138">
        <v>0</v>
      </c>
      <c r="AA117" s="139">
        <f t="shared" si="3"/>
        <v>0</v>
      </c>
      <c r="AR117" s="13" t="s">
        <v>221</v>
      </c>
      <c r="AT117" s="13" t="s">
        <v>131</v>
      </c>
      <c r="AU117" s="13" t="s">
        <v>100</v>
      </c>
      <c r="AY117" s="13" t="s">
        <v>130</v>
      </c>
      <c r="BE117" s="140">
        <f t="shared" si="4"/>
        <v>0</v>
      </c>
      <c r="BF117" s="140">
        <f t="shared" si="5"/>
        <v>0</v>
      </c>
      <c r="BG117" s="140">
        <f t="shared" si="6"/>
        <v>0</v>
      </c>
      <c r="BH117" s="140">
        <f t="shared" si="7"/>
        <v>0</v>
      </c>
      <c r="BI117" s="140">
        <f t="shared" si="8"/>
        <v>0</v>
      </c>
      <c r="BJ117" s="13" t="s">
        <v>19</v>
      </c>
      <c r="BK117" s="140">
        <f t="shared" si="9"/>
        <v>0</v>
      </c>
      <c r="BL117" s="13" t="s">
        <v>221</v>
      </c>
      <c r="BM117" s="13" t="s">
        <v>426</v>
      </c>
    </row>
    <row r="118" spans="2:65" s="1" customFormat="1" ht="31.5" customHeight="1">
      <c r="B118" s="131"/>
      <c r="C118" s="132" t="s">
        <v>146</v>
      </c>
      <c r="D118" s="132" t="s">
        <v>131</v>
      </c>
      <c r="E118" s="133" t="s">
        <v>427</v>
      </c>
      <c r="F118" s="208" t="s">
        <v>428</v>
      </c>
      <c r="G118" s="209"/>
      <c r="H118" s="209"/>
      <c r="I118" s="209"/>
      <c r="J118" s="134" t="s">
        <v>189</v>
      </c>
      <c r="K118" s="135">
        <v>4.5</v>
      </c>
      <c r="L118" s="210"/>
      <c r="M118" s="209"/>
      <c r="N118" s="210">
        <f t="shared" si="0"/>
        <v>0</v>
      </c>
      <c r="O118" s="209"/>
      <c r="P118" s="209"/>
      <c r="Q118" s="209"/>
      <c r="R118" s="136"/>
      <c r="T118" s="137" t="s">
        <v>3</v>
      </c>
      <c r="U118" s="36" t="s">
        <v>40</v>
      </c>
      <c r="V118" s="138">
        <v>0.574</v>
      </c>
      <c r="W118" s="138">
        <f t="shared" si="1"/>
        <v>2.5829999999999997</v>
      </c>
      <c r="X118" s="138">
        <v>0.0035</v>
      </c>
      <c r="Y118" s="138">
        <f t="shared" si="2"/>
        <v>0.01575</v>
      </c>
      <c r="Z118" s="138">
        <v>0</v>
      </c>
      <c r="AA118" s="139">
        <f t="shared" si="3"/>
        <v>0</v>
      </c>
      <c r="AR118" s="13" t="s">
        <v>221</v>
      </c>
      <c r="AT118" s="13" t="s">
        <v>131</v>
      </c>
      <c r="AU118" s="13" t="s">
        <v>100</v>
      </c>
      <c r="AY118" s="13" t="s">
        <v>130</v>
      </c>
      <c r="BE118" s="140">
        <f t="shared" si="4"/>
        <v>0</v>
      </c>
      <c r="BF118" s="140">
        <f t="shared" si="5"/>
        <v>0</v>
      </c>
      <c r="BG118" s="140">
        <f t="shared" si="6"/>
        <v>0</v>
      </c>
      <c r="BH118" s="140">
        <f t="shared" si="7"/>
        <v>0</v>
      </c>
      <c r="BI118" s="140">
        <f t="shared" si="8"/>
        <v>0</v>
      </c>
      <c r="BJ118" s="13" t="s">
        <v>19</v>
      </c>
      <c r="BK118" s="140">
        <f t="shared" si="9"/>
        <v>0</v>
      </c>
      <c r="BL118" s="13" t="s">
        <v>221</v>
      </c>
      <c r="BM118" s="13" t="s">
        <v>429</v>
      </c>
    </row>
    <row r="119" spans="2:65" s="1" customFormat="1" ht="31.5" customHeight="1">
      <c r="B119" s="131"/>
      <c r="C119" s="132" t="s">
        <v>129</v>
      </c>
      <c r="D119" s="132" t="s">
        <v>131</v>
      </c>
      <c r="E119" s="133" t="s">
        <v>430</v>
      </c>
      <c r="F119" s="208" t="s">
        <v>431</v>
      </c>
      <c r="G119" s="209"/>
      <c r="H119" s="209"/>
      <c r="I119" s="209"/>
      <c r="J119" s="134" t="s">
        <v>189</v>
      </c>
      <c r="K119" s="135">
        <v>93</v>
      </c>
      <c r="L119" s="210"/>
      <c r="M119" s="209"/>
      <c r="N119" s="210">
        <f t="shared" si="0"/>
        <v>0</v>
      </c>
      <c r="O119" s="209"/>
      <c r="P119" s="209"/>
      <c r="Q119" s="209"/>
      <c r="R119" s="136"/>
      <c r="T119" s="137" t="s">
        <v>3</v>
      </c>
      <c r="U119" s="36" t="s">
        <v>40</v>
      </c>
      <c r="V119" s="138">
        <v>0.728</v>
      </c>
      <c r="W119" s="138">
        <f t="shared" si="1"/>
        <v>67.704</v>
      </c>
      <c r="X119" s="138">
        <v>0.00035</v>
      </c>
      <c r="Y119" s="138">
        <f t="shared" si="2"/>
        <v>0.03255</v>
      </c>
      <c r="Z119" s="138">
        <v>0</v>
      </c>
      <c r="AA119" s="139">
        <f t="shared" si="3"/>
        <v>0</v>
      </c>
      <c r="AR119" s="13" t="s">
        <v>221</v>
      </c>
      <c r="AT119" s="13" t="s">
        <v>131</v>
      </c>
      <c r="AU119" s="13" t="s">
        <v>100</v>
      </c>
      <c r="AY119" s="13" t="s">
        <v>130</v>
      </c>
      <c r="BE119" s="140">
        <f t="shared" si="4"/>
        <v>0</v>
      </c>
      <c r="BF119" s="140">
        <f t="shared" si="5"/>
        <v>0</v>
      </c>
      <c r="BG119" s="140">
        <f t="shared" si="6"/>
        <v>0</v>
      </c>
      <c r="BH119" s="140">
        <f t="shared" si="7"/>
        <v>0</v>
      </c>
      <c r="BI119" s="140">
        <f t="shared" si="8"/>
        <v>0</v>
      </c>
      <c r="BJ119" s="13" t="s">
        <v>19</v>
      </c>
      <c r="BK119" s="140">
        <f t="shared" si="9"/>
        <v>0</v>
      </c>
      <c r="BL119" s="13" t="s">
        <v>221</v>
      </c>
      <c r="BM119" s="13" t="s">
        <v>432</v>
      </c>
    </row>
    <row r="120" spans="2:65" s="1" customFormat="1" ht="31.5" customHeight="1">
      <c r="B120" s="131"/>
      <c r="C120" s="132" t="s">
        <v>182</v>
      </c>
      <c r="D120" s="132" t="s">
        <v>131</v>
      </c>
      <c r="E120" s="133" t="s">
        <v>433</v>
      </c>
      <c r="F120" s="208" t="s">
        <v>434</v>
      </c>
      <c r="G120" s="209"/>
      <c r="H120" s="209"/>
      <c r="I120" s="209"/>
      <c r="J120" s="134" t="s">
        <v>189</v>
      </c>
      <c r="K120" s="135">
        <v>114</v>
      </c>
      <c r="L120" s="210"/>
      <c r="M120" s="209"/>
      <c r="N120" s="210">
        <f t="shared" si="0"/>
        <v>0</v>
      </c>
      <c r="O120" s="209"/>
      <c r="P120" s="209"/>
      <c r="Q120" s="209"/>
      <c r="R120" s="136"/>
      <c r="T120" s="137" t="s">
        <v>3</v>
      </c>
      <c r="U120" s="36" t="s">
        <v>40</v>
      </c>
      <c r="V120" s="138">
        <v>0.314</v>
      </c>
      <c r="W120" s="138">
        <f t="shared" si="1"/>
        <v>35.796</v>
      </c>
      <c r="X120" s="138">
        <v>0.00109</v>
      </c>
      <c r="Y120" s="138">
        <f t="shared" si="2"/>
        <v>0.12426000000000001</v>
      </c>
      <c r="Z120" s="138">
        <v>0</v>
      </c>
      <c r="AA120" s="139">
        <f t="shared" si="3"/>
        <v>0</v>
      </c>
      <c r="AR120" s="13" t="s">
        <v>221</v>
      </c>
      <c r="AT120" s="13" t="s">
        <v>131</v>
      </c>
      <c r="AU120" s="13" t="s">
        <v>100</v>
      </c>
      <c r="AY120" s="13" t="s">
        <v>130</v>
      </c>
      <c r="BE120" s="140">
        <f t="shared" si="4"/>
        <v>0</v>
      </c>
      <c r="BF120" s="140">
        <f t="shared" si="5"/>
        <v>0</v>
      </c>
      <c r="BG120" s="140">
        <f t="shared" si="6"/>
        <v>0</v>
      </c>
      <c r="BH120" s="140">
        <f t="shared" si="7"/>
        <v>0</v>
      </c>
      <c r="BI120" s="140">
        <f t="shared" si="8"/>
        <v>0</v>
      </c>
      <c r="BJ120" s="13" t="s">
        <v>19</v>
      </c>
      <c r="BK120" s="140">
        <f t="shared" si="9"/>
        <v>0</v>
      </c>
      <c r="BL120" s="13" t="s">
        <v>221</v>
      </c>
      <c r="BM120" s="13" t="s">
        <v>435</v>
      </c>
    </row>
    <row r="121" spans="2:65" s="1" customFormat="1" ht="22.5" customHeight="1">
      <c r="B121" s="131"/>
      <c r="C121" s="144" t="s">
        <v>186</v>
      </c>
      <c r="D121" s="144" t="s">
        <v>321</v>
      </c>
      <c r="E121" s="145" t="s">
        <v>436</v>
      </c>
      <c r="F121" s="227" t="s">
        <v>437</v>
      </c>
      <c r="G121" s="228"/>
      <c r="H121" s="228"/>
      <c r="I121" s="228"/>
      <c r="J121" s="146" t="s">
        <v>238</v>
      </c>
      <c r="K121" s="147">
        <v>6</v>
      </c>
      <c r="L121" s="229"/>
      <c r="M121" s="228"/>
      <c r="N121" s="229">
        <f t="shared" si="0"/>
        <v>0</v>
      </c>
      <c r="O121" s="209"/>
      <c r="P121" s="209"/>
      <c r="Q121" s="209"/>
      <c r="R121" s="136"/>
      <c r="T121" s="137" t="s">
        <v>3</v>
      </c>
      <c r="U121" s="36" t="s">
        <v>40</v>
      </c>
      <c r="V121" s="138">
        <v>0</v>
      </c>
      <c r="W121" s="138">
        <f t="shared" si="1"/>
        <v>0</v>
      </c>
      <c r="X121" s="138">
        <v>0.00033</v>
      </c>
      <c r="Y121" s="138">
        <f t="shared" si="2"/>
        <v>0.00198</v>
      </c>
      <c r="Z121" s="138">
        <v>0</v>
      </c>
      <c r="AA121" s="139">
        <f t="shared" si="3"/>
        <v>0</v>
      </c>
      <c r="AR121" s="13" t="s">
        <v>324</v>
      </c>
      <c r="AT121" s="13" t="s">
        <v>321</v>
      </c>
      <c r="AU121" s="13" t="s">
        <v>100</v>
      </c>
      <c r="AY121" s="13" t="s">
        <v>130</v>
      </c>
      <c r="BE121" s="140">
        <f t="shared" si="4"/>
        <v>0</v>
      </c>
      <c r="BF121" s="140">
        <f t="shared" si="5"/>
        <v>0</v>
      </c>
      <c r="BG121" s="140">
        <f t="shared" si="6"/>
        <v>0</v>
      </c>
      <c r="BH121" s="140">
        <f t="shared" si="7"/>
        <v>0</v>
      </c>
      <c r="BI121" s="140">
        <f t="shared" si="8"/>
        <v>0</v>
      </c>
      <c r="BJ121" s="13" t="s">
        <v>19</v>
      </c>
      <c r="BK121" s="140">
        <f t="shared" si="9"/>
        <v>0</v>
      </c>
      <c r="BL121" s="13" t="s">
        <v>221</v>
      </c>
      <c r="BM121" s="13" t="s">
        <v>438</v>
      </c>
    </row>
    <row r="122" spans="2:65" s="1" customFormat="1" ht="31.5" customHeight="1">
      <c r="B122" s="131"/>
      <c r="C122" s="132" t="s">
        <v>191</v>
      </c>
      <c r="D122" s="132" t="s">
        <v>131</v>
      </c>
      <c r="E122" s="133" t="s">
        <v>439</v>
      </c>
      <c r="F122" s="208" t="s">
        <v>440</v>
      </c>
      <c r="G122" s="209"/>
      <c r="H122" s="209"/>
      <c r="I122" s="209"/>
      <c r="J122" s="134" t="s">
        <v>189</v>
      </c>
      <c r="K122" s="135">
        <f>76*3</f>
        <v>228</v>
      </c>
      <c r="L122" s="210"/>
      <c r="M122" s="209"/>
      <c r="N122" s="210">
        <f t="shared" si="0"/>
        <v>0</v>
      </c>
      <c r="O122" s="209"/>
      <c r="P122" s="209"/>
      <c r="Q122" s="209"/>
      <c r="R122" s="136"/>
      <c r="T122" s="137" t="s">
        <v>3</v>
      </c>
      <c r="U122" s="36" t="s">
        <v>40</v>
      </c>
      <c r="V122" s="138">
        <v>0.059</v>
      </c>
      <c r="W122" s="138">
        <f t="shared" si="1"/>
        <v>13.452</v>
      </c>
      <c r="X122" s="138">
        <v>0</v>
      </c>
      <c r="Y122" s="138">
        <f t="shared" si="2"/>
        <v>0</v>
      </c>
      <c r="Z122" s="138">
        <v>0</v>
      </c>
      <c r="AA122" s="139">
        <f t="shared" si="3"/>
        <v>0</v>
      </c>
      <c r="AR122" s="13" t="s">
        <v>221</v>
      </c>
      <c r="AT122" s="13" t="s">
        <v>131</v>
      </c>
      <c r="AU122" s="13" t="s">
        <v>100</v>
      </c>
      <c r="AY122" s="13" t="s">
        <v>130</v>
      </c>
      <c r="BE122" s="140">
        <f t="shared" si="4"/>
        <v>0</v>
      </c>
      <c r="BF122" s="140">
        <f t="shared" si="5"/>
        <v>0</v>
      </c>
      <c r="BG122" s="140">
        <f t="shared" si="6"/>
        <v>0</v>
      </c>
      <c r="BH122" s="140">
        <f t="shared" si="7"/>
        <v>0</v>
      </c>
      <c r="BI122" s="140">
        <f t="shared" si="8"/>
        <v>0</v>
      </c>
      <c r="BJ122" s="13" t="s">
        <v>19</v>
      </c>
      <c r="BK122" s="140">
        <f t="shared" si="9"/>
        <v>0</v>
      </c>
      <c r="BL122" s="13" t="s">
        <v>221</v>
      </c>
      <c r="BM122" s="13" t="s">
        <v>441</v>
      </c>
    </row>
    <row r="123" spans="2:65" s="1" customFormat="1" ht="22.5" customHeight="1">
      <c r="B123" s="131"/>
      <c r="C123" s="132" t="s">
        <v>195</v>
      </c>
      <c r="D123" s="132" t="s">
        <v>131</v>
      </c>
      <c r="E123" s="133" t="s">
        <v>442</v>
      </c>
      <c r="F123" s="208" t="s">
        <v>443</v>
      </c>
      <c r="G123" s="209"/>
      <c r="H123" s="209"/>
      <c r="I123" s="209"/>
      <c r="J123" s="134" t="s">
        <v>139</v>
      </c>
      <c r="K123" s="135">
        <v>3</v>
      </c>
      <c r="L123" s="210"/>
      <c r="M123" s="209"/>
      <c r="N123" s="210">
        <f t="shared" si="0"/>
        <v>0</v>
      </c>
      <c r="O123" s="209"/>
      <c r="P123" s="209"/>
      <c r="Q123" s="209"/>
      <c r="R123" s="136"/>
      <c r="T123" s="137" t="s">
        <v>3</v>
      </c>
      <c r="U123" s="36" t="s">
        <v>40</v>
      </c>
      <c r="V123" s="138">
        <v>0</v>
      </c>
      <c r="W123" s="138">
        <f t="shared" si="1"/>
        <v>0</v>
      </c>
      <c r="X123" s="138">
        <v>0</v>
      </c>
      <c r="Y123" s="138">
        <f t="shared" si="2"/>
        <v>0</v>
      </c>
      <c r="Z123" s="138">
        <v>0</v>
      </c>
      <c r="AA123" s="139">
        <f t="shared" si="3"/>
        <v>0</v>
      </c>
      <c r="AR123" s="13" t="s">
        <v>221</v>
      </c>
      <c r="AT123" s="13" t="s">
        <v>131</v>
      </c>
      <c r="AU123" s="13" t="s">
        <v>100</v>
      </c>
      <c r="AY123" s="13" t="s">
        <v>130</v>
      </c>
      <c r="BE123" s="140">
        <f t="shared" si="4"/>
        <v>0</v>
      </c>
      <c r="BF123" s="140">
        <f t="shared" si="5"/>
        <v>0</v>
      </c>
      <c r="BG123" s="140">
        <f t="shared" si="6"/>
        <v>0</v>
      </c>
      <c r="BH123" s="140">
        <f t="shared" si="7"/>
        <v>0</v>
      </c>
      <c r="BI123" s="140">
        <f t="shared" si="8"/>
        <v>0</v>
      </c>
      <c r="BJ123" s="13" t="s">
        <v>19</v>
      </c>
      <c r="BK123" s="140">
        <f t="shared" si="9"/>
        <v>0</v>
      </c>
      <c r="BL123" s="13" t="s">
        <v>221</v>
      </c>
      <c r="BM123" s="13" t="s">
        <v>444</v>
      </c>
    </row>
    <row r="124" spans="2:65" s="1" customFormat="1" ht="22.5" customHeight="1">
      <c r="B124" s="131"/>
      <c r="C124" s="132" t="s">
        <v>23</v>
      </c>
      <c r="D124" s="132" t="s">
        <v>131</v>
      </c>
      <c r="E124" s="133" t="s">
        <v>445</v>
      </c>
      <c r="F124" s="208" t="s">
        <v>446</v>
      </c>
      <c r="G124" s="209"/>
      <c r="H124" s="209"/>
      <c r="I124" s="209"/>
      <c r="J124" s="134" t="s">
        <v>238</v>
      </c>
      <c r="K124" s="135">
        <v>69</v>
      </c>
      <c r="L124" s="210"/>
      <c r="M124" s="209"/>
      <c r="N124" s="210">
        <f t="shared" si="0"/>
        <v>0</v>
      </c>
      <c r="O124" s="209"/>
      <c r="P124" s="209"/>
      <c r="Q124" s="209"/>
      <c r="R124" s="136"/>
      <c r="T124" s="137" t="s">
        <v>3</v>
      </c>
      <c r="U124" s="36" t="s">
        <v>40</v>
      </c>
      <c r="V124" s="138">
        <v>0.559</v>
      </c>
      <c r="W124" s="138">
        <f t="shared" si="1"/>
        <v>38.571000000000005</v>
      </c>
      <c r="X124" s="138">
        <v>0</v>
      </c>
      <c r="Y124" s="138">
        <f t="shared" si="2"/>
        <v>0</v>
      </c>
      <c r="Z124" s="138">
        <v>0</v>
      </c>
      <c r="AA124" s="139">
        <f t="shared" si="3"/>
        <v>0</v>
      </c>
      <c r="AR124" s="13" t="s">
        <v>221</v>
      </c>
      <c r="AT124" s="13" t="s">
        <v>131</v>
      </c>
      <c r="AU124" s="13" t="s">
        <v>100</v>
      </c>
      <c r="AY124" s="13" t="s">
        <v>130</v>
      </c>
      <c r="BE124" s="140">
        <f t="shared" si="4"/>
        <v>0</v>
      </c>
      <c r="BF124" s="140">
        <f t="shared" si="5"/>
        <v>0</v>
      </c>
      <c r="BG124" s="140">
        <f t="shared" si="6"/>
        <v>0</v>
      </c>
      <c r="BH124" s="140">
        <f t="shared" si="7"/>
        <v>0</v>
      </c>
      <c r="BI124" s="140">
        <f t="shared" si="8"/>
        <v>0</v>
      </c>
      <c r="BJ124" s="13" t="s">
        <v>19</v>
      </c>
      <c r="BK124" s="140">
        <f t="shared" si="9"/>
        <v>0</v>
      </c>
      <c r="BL124" s="13" t="s">
        <v>221</v>
      </c>
      <c r="BM124" s="13" t="s">
        <v>447</v>
      </c>
    </row>
    <row r="125" spans="2:65" s="1" customFormat="1" ht="22.5" customHeight="1">
      <c r="B125" s="131"/>
      <c r="C125" s="132" t="s">
        <v>203</v>
      </c>
      <c r="D125" s="132" t="s">
        <v>131</v>
      </c>
      <c r="E125" s="133" t="s">
        <v>448</v>
      </c>
      <c r="F125" s="208" t="s">
        <v>449</v>
      </c>
      <c r="G125" s="209"/>
      <c r="H125" s="209"/>
      <c r="I125" s="209"/>
      <c r="J125" s="134" t="s">
        <v>238</v>
      </c>
      <c r="K125" s="135">
        <v>33</v>
      </c>
      <c r="L125" s="210"/>
      <c r="M125" s="209"/>
      <c r="N125" s="210">
        <f t="shared" si="0"/>
        <v>0</v>
      </c>
      <c r="O125" s="209"/>
      <c r="P125" s="209"/>
      <c r="Q125" s="209"/>
      <c r="R125" s="136"/>
      <c r="T125" s="137" t="s">
        <v>3</v>
      </c>
      <c r="U125" s="36" t="s">
        <v>40</v>
      </c>
      <c r="V125" s="138">
        <v>1.055</v>
      </c>
      <c r="W125" s="138">
        <f t="shared" si="1"/>
        <v>34.815</v>
      </c>
      <c r="X125" s="138">
        <v>0</v>
      </c>
      <c r="Y125" s="138">
        <f t="shared" si="2"/>
        <v>0</v>
      </c>
      <c r="Z125" s="138">
        <v>0</v>
      </c>
      <c r="AA125" s="139">
        <f t="shared" si="3"/>
        <v>0</v>
      </c>
      <c r="AR125" s="13" t="s">
        <v>221</v>
      </c>
      <c r="AT125" s="13" t="s">
        <v>131</v>
      </c>
      <c r="AU125" s="13" t="s">
        <v>100</v>
      </c>
      <c r="AY125" s="13" t="s">
        <v>130</v>
      </c>
      <c r="BE125" s="140">
        <f t="shared" si="4"/>
        <v>0</v>
      </c>
      <c r="BF125" s="140">
        <f t="shared" si="5"/>
        <v>0</v>
      </c>
      <c r="BG125" s="140">
        <f t="shared" si="6"/>
        <v>0</v>
      </c>
      <c r="BH125" s="140">
        <f t="shared" si="7"/>
        <v>0</v>
      </c>
      <c r="BI125" s="140">
        <f t="shared" si="8"/>
        <v>0</v>
      </c>
      <c r="BJ125" s="13" t="s">
        <v>19</v>
      </c>
      <c r="BK125" s="140">
        <f t="shared" si="9"/>
        <v>0</v>
      </c>
      <c r="BL125" s="13" t="s">
        <v>221</v>
      </c>
      <c r="BM125" s="13" t="s">
        <v>450</v>
      </c>
    </row>
    <row r="126" spans="2:65" s="1" customFormat="1" ht="31.5" customHeight="1">
      <c r="B126" s="131"/>
      <c r="C126" s="132" t="s">
        <v>207</v>
      </c>
      <c r="D126" s="132" t="s">
        <v>131</v>
      </c>
      <c r="E126" s="133" t="s">
        <v>451</v>
      </c>
      <c r="F126" s="208" t="s">
        <v>452</v>
      </c>
      <c r="G126" s="209"/>
      <c r="H126" s="209"/>
      <c r="I126" s="209"/>
      <c r="J126" s="134" t="s">
        <v>201</v>
      </c>
      <c r="K126" s="135">
        <f>0.077*3</f>
        <v>0.23099999999999998</v>
      </c>
      <c r="L126" s="210"/>
      <c r="M126" s="209"/>
      <c r="N126" s="210">
        <f t="shared" si="0"/>
        <v>0</v>
      </c>
      <c r="O126" s="209"/>
      <c r="P126" s="209"/>
      <c r="Q126" s="209"/>
      <c r="R126" s="136"/>
      <c r="T126" s="137" t="s">
        <v>3</v>
      </c>
      <c r="U126" s="36" t="s">
        <v>40</v>
      </c>
      <c r="V126" s="138">
        <v>1.575</v>
      </c>
      <c r="W126" s="138">
        <f t="shared" si="1"/>
        <v>0.36382499999999995</v>
      </c>
      <c r="X126" s="138">
        <v>0</v>
      </c>
      <c r="Y126" s="138">
        <f t="shared" si="2"/>
        <v>0</v>
      </c>
      <c r="Z126" s="138">
        <v>0</v>
      </c>
      <c r="AA126" s="139">
        <f t="shared" si="3"/>
        <v>0</v>
      </c>
      <c r="AR126" s="13" t="s">
        <v>221</v>
      </c>
      <c r="AT126" s="13" t="s">
        <v>131</v>
      </c>
      <c r="AU126" s="13" t="s">
        <v>100</v>
      </c>
      <c r="AY126" s="13" t="s">
        <v>130</v>
      </c>
      <c r="BE126" s="140">
        <f t="shared" si="4"/>
        <v>0</v>
      </c>
      <c r="BF126" s="140">
        <f t="shared" si="5"/>
        <v>0</v>
      </c>
      <c r="BG126" s="140">
        <f t="shared" si="6"/>
        <v>0</v>
      </c>
      <c r="BH126" s="140">
        <f t="shared" si="7"/>
        <v>0</v>
      </c>
      <c r="BI126" s="140">
        <f t="shared" si="8"/>
        <v>0</v>
      </c>
      <c r="BJ126" s="13" t="s">
        <v>19</v>
      </c>
      <c r="BK126" s="140">
        <f t="shared" si="9"/>
        <v>0</v>
      </c>
      <c r="BL126" s="13" t="s">
        <v>221</v>
      </c>
      <c r="BM126" s="13" t="s">
        <v>453</v>
      </c>
    </row>
    <row r="127" spans="2:65" s="1" customFormat="1" ht="31.5" customHeight="1">
      <c r="B127" s="131"/>
      <c r="C127" s="132" t="s">
        <v>211</v>
      </c>
      <c r="D127" s="132" t="s">
        <v>131</v>
      </c>
      <c r="E127" s="133" t="s">
        <v>454</v>
      </c>
      <c r="F127" s="208" t="s">
        <v>455</v>
      </c>
      <c r="G127" s="209"/>
      <c r="H127" s="209"/>
      <c r="I127" s="209"/>
      <c r="J127" s="134" t="s">
        <v>201</v>
      </c>
      <c r="K127" s="135">
        <f>0.077*3</f>
        <v>0.23099999999999998</v>
      </c>
      <c r="L127" s="210"/>
      <c r="M127" s="209"/>
      <c r="N127" s="210">
        <f t="shared" si="0"/>
        <v>0</v>
      </c>
      <c r="O127" s="209"/>
      <c r="P127" s="209"/>
      <c r="Q127" s="209"/>
      <c r="R127" s="136"/>
      <c r="T127" s="137" t="s">
        <v>3</v>
      </c>
      <c r="U127" s="36" t="s">
        <v>40</v>
      </c>
      <c r="V127" s="138">
        <v>1.21</v>
      </c>
      <c r="W127" s="138">
        <f t="shared" si="1"/>
        <v>0.27951</v>
      </c>
      <c r="X127" s="138">
        <v>0</v>
      </c>
      <c r="Y127" s="138">
        <f t="shared" si="2"/>
        <v>0</v>
      </c>
      <c r="Z127" s="138">
        <v>0</v>
      </c>
      <c r="AA127" s="139">
        <f t="shared" si="3"/>
        <v>0</v>
      </c>
      <c r="AR127" s="13" t="s">
        <v>221</v>
      </c>
      <c r="AT127" s="13" t="s">
        <v>131</v>
      </c>
      <c r="AU127" s="13" t="s">
        <v>100</v>
      </c>
      <c r="AY127" s="13" t="s">
        <v>130</v>
      </c>
      <c r="BE127" s="140">
        <f t="shared" si="4"/>
        <v>0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3" t="s">
        <v>19</v>
      </c>
      <c r="BK127" s="140">
        <f t="shared" si="9"/>
        <v>0</v>
      </c>
      <c r="BL127" s="13" t="s">
        <v>221</v>
      </c>
      <c r="BM127" s="13" t="s">
        <v>456</v>
      </c>
    </row>
    <row r="128" spans="2:63" s="9" customFormat="1" ht="29.25" customHeight="1">
      <c r="B128" s="120"/>
      <c r="C128" s="121"/>
      <c r="D128" s="130" t="s">
        <v>160</v>
      </c>
      <c r="E128" s="130"/>
      <c r="F128" s="130"/>
      <c r="G128" s="130"/>
      <c r="H128" s="130"/>
      <c r="I128" s="130"/>
      <c r="J128" s="130"/>
      <c r="K128" s="130"/>
      <c r="L128" s="130"/>
      <c r="M128" s="130"/>
      <c r="N128" s="219">
        <f>N129+N131+N132+N133+N134+N135+N136+N137+N138+N139+N140+N141+N142+N143+N144+N145+N146+N147+N148+N130</f>
        <v>0</v>
      </c>
      <c r="O128" s="220"/>
      <c r="P128" s="220"/>
      <c r="Q128" s="220"/>
      <c r="R128" s="123"/>
      <c r="T128" s="124"/>
      <c r="U128" s="121"/>
      <c r="V128" s="121"/>
      <c r="W128" s="125">
        <f>SUM(W129:W148)</f>
        <v>230.648622</v>
      </c>
      <c r="X128" s="121"/>
      <c r="Y128" s="125">
        <f>SUM(Y129:Y148)</f>
        <v>0.67233</v>
      </c>
      <c r="Z128" s="121"/>
      <c r="AA128" s="126">
        <f>SUM(AA129:AA148)</f>
        <v>0</v>
      </c>
      <c r="AR128" s="127" t="s">
        <v>100</v>
      </c>
      <c r="AT128" s="128" t="s">
        <v>74</v>
      </c>
      <c r="AU128" s="128" t="s">
        <v>19</v>
      </c>
      <c r="AY128" s="127" t="s">
        <v>130</v>
      </c>
      <c r="BK128" s="129">
        <f>SUM(BK129:BK148)</f>
        <v>0</v>
      </c>
    </row>
    <row r="129" spans="2:65" s="1" customFormat="1" ht="22.5" customHeight="1">
      <c r="B129" s="131"/>
      <c r="C129" s="132" t="s">
        <v>215</v>
      </c>
      <c r="D129" s="132" t="s">
        <v>131</v>
      </c>
      <c r="E129" s="133" t="s">
        <v>457</v>
      </c>
      <c r="F129" s="208" t="s">
        <v>458</v>
      </c>
      <c r="G129" s="209"/>
      <c r="H129" s="209"/>
      <c r="I129" s="209"/>
      <c r="J129" s="134" t="s">
        <v>238</v>
      </c>
      <c r="K129" s="135">
        <v>33</v>
      </c>
      <c r="L129" s="210"/>
      <c r="M129" s="209"/>
      <c r="N129" s="210">
        <f aca="true" t="shared" si="10" ref="N129:N148">K129*L129</f>
        <v>0</v>
      </c>
      <c r="O129" s="209"/>
      <c r="P129" s="209"/>
      <c r="Q129" s="209"/>
      <c r="R129" s="136"/>
      <c r="T129" s="137" t="s">
        <v>3</v>
      </c>
      <c r="U129" s="36" t="s">
        <v>40</v>
      </c>
      <c r="V129" s="138">
        <v>1.4</v>
      </c>
      <c r="W129" s="138">
        <f aca="true" t="shared" si="11" ref="W129:W145">V129*K129</f>
        <v>46.199999999999996</v>
      </c>
      <c r="X129" s="138">
        <v>0.00178</v>
      </c>
      <c r="Y129" s="138">
        <f aca="true" t="shared" si="12" ref="Y129:Y145">X129*K129</f>
        <v>0.058739999999999994</v>
      </c>
      <c r="Z129" s="138">
        <v>0</v>
      </c>
      <c r="AA129" s="139">
        <f aca="true" t="shared" si="13" ref="AA129:AA145">Z129*K129</f>
        <v>0</v>
      </c>
      <c r="AR129" s="13" t="s">
        <v>221</v>
      </c>
      <c r="AT129" s="13" t="s">
        <v>131</v>
      </c>
      <c r="AU129" s="13" t="s">
        <v>100</v>
      </c>
      <c r="AY129" s="13" t="s">
        <v>130</v>
      </c>
      <c r="BE129" s="140">
        <f aca="true" t="shared" si="14" ref="BE129:BE145">IF(U129="základní",N129,0)</f>
        <v>0</v>
      </c>
      <c r="BF129" s="140">
        <f aca="true" t="shared" si="15" ref="BF129:BF145">IF(U129="snížená",N129,0)</f>
        <v>0</v>
      </c>
      <c r="BG129" s="140">
        <f aca="true" t="shared" si="16" ref="BG129:BG145">IF(U129="zákl. přenesená",N129,0)</f>
        <v>0</v>
      </c>
      <c r="BH129" s="140">
        <f aca="true" t="shared" si="17" ref="BH129:BH145">IF(U129="sníž. přenesená",N129,0)</f>
        <v>0</v>
      </c>
      <c r="BI129" s="140">
        <f aca="true" t="shared" si="18" ref="BI129:BI145">IF(U129="nulová",N129,0)</f>
        <v>0</v>
      </c>
      <c r="BJ129" s="13" t="s">
        <v>19</v>
      </c>
      <c r="BK129" s="140">
        <f aca="true" t="shared" si="19" ref="BK129:BK145">ROUND(L129*K129,2)</f>
        <v>0</v>
      </c>
      <c r="BL129" s="13" t="s">
        <v>221</v>
      </c>
      <c r="BM129" s="13" t="s">
        <v>459</v>
      </c>
    </row>
    <row r="130" spans="2:65" s="1" customFormat="1" ht="22.5" customHeight="1">
      <c r="B130" s="131"/>
      <c r="C130" s="144" t="s">
        <v>9</v>
      </c>
      <c r="D130" s="144" t="s">
        <v>321</v>
      </c>
      <c r="E130" s="145" t="s">
        <v>538</v>
      </c>
      <c r="F130" s="227" t="s">
        <v>537</v>
      </c>
      <c r="G130" s="228"/>
      <c r="H130" s="228"/>
      <c r="I130" s="228"/>
      <c r="J130" s="146" t="s">
        <v>462</v>
      </c>
      <c r="K130" s="147">
        <v>33</v>
      </c>
      <c r="L130" s="229"/>
      <c r="M130" s="228"/>
      <c r="N130" s="229">
        <f t="shared" si="10"/>
        <v>0</v>
      </c>
      <c r="O130" s="209"/>
      <c r="P130" s="209"/>
      <c r="Q130" s="209"/>
      <c r="R130" s="136"/>
      <c r="T130" s="137"/>
      <c r="U130" s="36"/>
      <c r="V130" s="138"/>
      <c r="W130" s="138"/>
      <c r="X130" s="138"/>
      <c r="Y130" s="138"/>
      <c r="Z130" s="138"/>
      <c r="AA130" s="139"/>
      <c r="AR130" s="13"/>
      <c r="AT130" s="13"/>
      <c r="AU130" s="13"/>
      <c r="AY130" s="13"/>
      <c r="BE130" s="140"/>
      <c r="BF130" s="140"/>
      <c r="BG130" s="140"/>
      <c r="BH130" s="140"/>
      <c r="BI130" s="140"/>
      <c r="BJ130" s="13"/>
      <c r="BK130" s="140"/>
      <c r="BL130" s="13"/>
      <c r="BM130" s="13"/>
    </row>
    <row r="131" spans="2:65" s="1" customFormat="1" ht="22.5" customHeight="1">
      <c r="B131" s="131"/>
      <c r="C131" s="144">
        <v>16</v>
      </c>
      <c r="D131" s="144" t="s">
        <v>321</v>
      </c>
      <c r="E131" s="145" t="s">
        <v>460</v>
      </c>
      <c r="F131" s="227" t="s">
        <v>461</v>
      </c>
      <c r="G131" s="228"/>
      <c r="H131" s="228"/>
      <c r="I131" s="228"/>
      <c r="J131" s="146" t="s">
        <v>462</v>
      </c>
      <c r="K131" s="147">
        <v>33</v>
      </c>
      <c r="L131" s="229"/>
      <c r="M131" s="228"/>
      <c r="N131" s="229">
        <f t="shared" si="10"/>
        <v>0</v>
      </c>
      <c r="O131" s="209"/>
      <c r="P131" s="209"/>
      <c r="Q131" s="209"/>
      <c r="R131" s="136"/>
      <c r="T131" s="137" t="s">
        <v>3</v>
      </c>
      <c r="U131" s="36" t="s">
        <v>40</v>
      </c>
      <c r="V131" s="138">
        <v>0</v>
      </c>
      <c r="W131" s="138">
        <f t="shared" si="11"/>
        <v>0</v>
      </c>
      <c r="X131" s="138">
        <v>0</v>
      </c>
      <c r="Y131" s="138">
        <f t="shared" si="12"/>
        <v>0</v>
      </c>
      <c r="Z131" s="138">
        <v>0</v>
      </c>
      <c r="AA131" s="139">
        <f t="shared" si="13"/>
        <v>0</v>
      </c>
      <c r="AR131" s="13" t="s">
        <v>324</v>
      </c>
      <c r="AT131" s="13" t="s">
        <v>321</v>
      </c>
      <c r="AU131" s="13" t="s">
        <v>100</v>
      </c>
      <c r="AY131" s="13" t="s">
        <v>130</v>
      </c>
      <c r="BE131" s="140">
        <f t="shared" si="14"/>
        <v>0</v>
      </c>
      <c r="BF131" s="140">
        <f t="shared" si="15"/>
        <v>0</v>
      </c>
      <c r="BG131" s="140">
        <f t="shared" si="16"/>
        <v>0</v>
      </c>
      <c r="BH131" s="140">
        <f t="shared" si="17"/>
        <v>0</v>
      </c>
      <c r="BI131" s="140">
        <f t="shared" si="18"/>
        <v>0</v>
      </c>
      <c r="BJ131" s="13" t="s">
        <v>19</v>
      </c>
      <c r="BK131" s="140">
        <f t="shared" si="19"/>
        <v>0</v>
      </c>
      <c r="BL131" s="13" t="s">
        <v>221</v>
      </c>
      <c r="BM131" s="13" t="s">
        <v>463</v>
      </c>
    </row>
    <row r="132" spans="2:65" s="1" customFormat="1" ht="22.5" customHeight="1">
      <c r="B132" s="131"/>
      <c r="C132" s="144" t="s">
        <v>221</v>
      </c>
      <c r="D132" s="144" t="s">
        <v>321</v>
      </c>
      <c r="E132" s="145" t="s">
        <v>464</v>
      </c>
      <c r="F132" s="227" t="s">
        <v>465</v>
      </c>
      <c r="G132" s="228"/>
      <c r="H132" s="228"/>
      <c r="I132" s="228"/>
      <c r="J132" s="146" t="s">
        <v>462</v>
      </c>
      <c r="K132" s="147">
        <v>33</v>
      </c>
      <c r="L132" s="229"/>
      <c r="M132" s="228"/>
      <c r="N132" s="229">
        <f t="shared" si="10"/>
        <v>0</v>
      </c>
      <c r="O132" s="209"/>
      <c r="P132" s="209"/>
      <c r="Q132" s="209"/>
      <c r="R132" s="136"/>
      <c r="T132" s="137" t="s">
        <v>3</v>
      </c>
      <c r="U132" s="36" t="s">
        <v>40</v>
      </c>
      <c r="V132" s="138">
        <v>0</v>
      </c>
      <c r="W132" s="138">
        <f t="shared" si="11"/>
        <v>0</v>
      </c>
      <c r="X132" s="138">
        <v>0</v>
      </c>
      <c r="Y132" s="138">
        <f t="shared" si="12"/>
        <v>0</v>
      </c>
      <c r="Z132" s="138">
        <v>0</v>
      </c>
      <c r="AA132" s="139">
        <f t="shared" si="13"/>
        <v>0</v>
      </c>
      <c r="AR132" s="13" t="s">
        <v>324</v>
      </c>
      <c r="AT132" s="13" t="s">
        <v>321</v>
      </c>
      <c r="AU132" s="13" t="s">
        <v>100</v>
      </c>
      <c r="AY132" s="13" t="s">
        <v>130</v>
      </c>
      <c r="BE132" s="140">
        <f t="shared" si="14"/>
        <v>0</v>
      </c>
      <c r="BF132" s="140">
        <f t="shared" si="15"/>
        <v>0</v>
      </c>
      <c r="BG132" s="140">
        <f t="shared" si="16"/>
        <v>0</v>
      </c>
      <c r="BH132" s="140">
        <f t="shared" si="17"/>
        <v>0</v>
      </c>
      <c r="BI132" s="140">
        <f t="shared" si="18"/>
        <v>0</v>
      </c>
      <c r="BJ132" s="13" t="s">
        <v>19</v>
      </c>
      <c r="BK132" s="140">
        <f t="shared" si="19"/>
        <v>0</v>
      </c>
      <c r="BL132" s="13" t="s">
        <v>221</v>
      </c>
      <c r="BM132" s="13" t="s">
        <v>466</v>
      </c>
    </row>
    <row r="133" spans="2:65" s="1" customFormat="1" ht="31.5" customHeight="1">
      <c r="B133" s="131"/>
      <c r="C133" s="132" t="s">
        <v>226</v>
      </c>
      <c r="D133" s="132" t="s">
        <v>131</v>
      </c>
      <c r="E133" s="133" t="s">
        <v>467</v>
      </c>
      <c r="F133" s="208" t="s">
        <v>468</v>
      </c>
      <c r="G133" s="209"/>
      <c r="H133" s="209"/>
      <c r="I133" s="209"/>
      <c r="J133" s="134" t="s">
        <v>229</v>
      </c>
      <c r="K133" s="135">
        <v>33</v>
      </c>
      <c r="L133" s="210"/>
      <c r="M133" s="209"/>
      <c r="N133" s="210">
        <f t="shared" si="10"/>
        <v>0</v>
      </c>
      <c r="O133" s="209"/>
      <c r="P133" s="209"/>
      <c r="Q133" s="209"/>
      <c r="R133" s="136"/>
      <c r="T133" s="137" t="s">
        <v>3</v>
      </c>
      <c r="U133" s="36" t="s">
        <v>40</v>
      </c>
      <c r="V133" s="138">
        <v>1.1</v>
      </c>
      <c r="W133" s="138">
        <f t="shared" si="11"/>
        <v>36.300000000000004</v>
      </c>
      <c r="X133" s="138">
        <v>0.00186</v>
      </c>
      <c r="Y133" s="138">
        <f t="shared" si="12"/>
        <v>0.061380000000000004</v>
      </c>
      <c r="Z133" s="138">
        <v>0</v>
      </c>
      <c r="AA133" s="139">
        <f t="shared" si="13"/>
        <v>0</v>
      </c>
      <c r="AR133" s="13" t="s">
        <v>221</v>
      </c>
      <c r="AT133" s="13" t="s">
        <v>131</v>
      </c>
      <c r="AU133" s="13" t="s">
        <v>100</v>
      </c>
      <c r="AY133" s="13" t="s">
        <v>130</v>
      </c>
      <c r="BE133" s="140">
        <f t="shared" si="14"/>
        <v>0</v>
      </c>
      <c r="BF133" s="140">
        <f t="shared" si="15"/>
        <v>0</v>
      </c>
      <c r="BG133" s="140">
        <f t="shared" si="16"/>
        <v>0</v>
      </c>
      <c r="BH133" s="140">
        <f t="shared" si="17"/>
        <v>0</v>
      </c>
      <c r="BI133" s="140">
        <f t="shared" si="18"/>
        <v>0</v>
      </c>
      <c r="BJ133" s="13" t="s">
        <v>19</v>
      </c>
      <c r="BK133" s="140">
        <f t="shared" si="19"/>
        <v>0</v>
      </c>
      <c r="BL133" s="13" t="s">
        <v>221</v>
      </c>
      <c r="BM133" s="13" t="s">
        <v>469</v>
      </c>
    </row>
    <row r="134" spans="2:65" s="1" customFormat="1" ht="22.5" customHeight="1">
      <c r="B134" s="131"/>
      <c r="C134" s="132" t="s">
        <v>231</v>
      </c>
      <c r="D134" s="132" t="s">
        <v>131</v>
      </c>
      <c r="E134" s="133" t="s">
        <v>470</v>
      </c>
      <c r="F134" s="226" t="s">
        <v>527</v>
      </c>
      <c r="G134" s="209"/>
      <c r="H134" s="209"/>
      <c r="I134" s="209"/>
      <c r="J134" s="155" t="s">
        <v>238</v>
      </c>
      <c r="K134" s="135">
        <v>30</v>
      </c>
      <c r="L134" s="210"/>
      <c r="M134" s="209"/>
      <c r="N134" s="210">
        <f t="shared" si="10"/>
        <v>0</v>
      </c>
      <c r="O134" s="209"/>
      <c r="P134" s="209"/>
      <c r="Q134" s="209"/>
      <c r="R134" s="136"/>
      <c r="T134" s="137" t="s">
        <v>3</v>
      </c>
      <c r="U134" s="36" t="s">
        <v>40</v>
      </c>
      <c r="V134" s="138">
        <v>2.54</v>
      </c>
      <c r="W134" s="138">
        <f t="shared" si="11"/>
        <v>76.2</v>
      </c>
      <c r="X134" s="138">
        <v>0.00088</v>
      </c>
      <c r="Y134" s="138">
        <f t="shared" si="12"/>
        <v>0.0264</v>
      </c>
      <c r="Z134" s="138">
        <v>0</v>
      </c>
      <c r="AA134" s="139">
        <f t="shared" si="13"/>
        <v>0</v>
      </c>
      <c r="AR134" s="13" t="s">
        <v>221</v>
      </c>
      <c r="AT134" s="13" t="s">
        <v>131</v>
      </c>
      <c r="AU134" s="13" t="s">
        <v>100</v>
      </c>
      <c r="AY134" s="13" t="s">
        <v>130</v>
      </c>
      <c r="BE134" s="140">
        <f t="shared" si="14"/>
        <v>0</v>
      </c>
      <c r="BF134" s="140">
        <f t="shared" si="15"/>
        <v>0</v>
      </c>
      <c r="BG134" s="140">
        <f t="shared" si="16"/>
        <v>0</v>
      </c>
      <c r="BH134" s="140">
        <f t="shared" si="17"/>
        <v>0</v>
      </c>
      <c r="BI134" s="140">
        <f t="shared" si="18"/>
        <v>0</v>
      </c>
      <c r="BJ134" s="13" t="s">
        <v>19</v>
      </c>
      <c r="BK134" s="140">
        <f t="shared" si="19"/>
        <v>0</v>
      </c>
      <c r="BL134" s="13" t="s">
        <v>221</v>
      </c>
      <c r="BM134" s="13" t="s">
        <v>471</v>
      </c>
    </row>
    <row r="135" spans="2:65" s="1" customFormat="1" ht="22.5" customHeight="1">
      <c r="B135" s="131"/>
      <c r="C135" s="144" t="s">
        <v>235</v>
      </c>
      <c r="D135" s="144" t="s">
        <v>321</v>
      </c>
      <c r="E135" s="145" t="s">
        <v>472</v>
      </c>
      <c r="F135" s="227" t="s">
        <v>526</v>
      </c>
      <c r="G135" s="228"/>
      <c r="H135" s="228"/>
      <c r="I135" s="228"/>
      <c r="J135" s="146" t="s">
        <v>238</v>
      </c>
      <c r="K135" s="147">
        <v>30</v>
      </c>
      <c r="L135" s="229"/>
      <c r="M135" s="228"/>
      <c r="N135" s="229">
        <f t="shared" si="10"/>
        <v>0</v>
      </c>
      <c r="O135" s="209"/>
      <c r="P135" s="209"/>
      <c r="Q135" s="209"/>
      <c r="R135" s="136"/>
      <c r="T135" s="137" t="s">
        <v>3</v>
      </c>
      <c r="U135" s="36" t="s">
        <v>40</v>
      </c>
      <c r="V135" s="138">
        <v>0</v>
      </c>
      <c r="W135" s="138">
        <f t="shared" si="11"/>
        <v>0</v>
      </c>
      <c r="X135" s="138">
        <v>0.0125</v>
      </c>
      <c r="Y135" s="138">
        <f t="shared" si="12"/>
        <v>0.375</v>
      </c>
      <c r="Z135" s="138">
        <v>0</v>
      </c>
      <c r="AA135" s="139">
        <f t="shared" si="13"/>
        <v>0</v>
      </c>
      <c r="AR135" s="13" t="s">
        <v>324</v>
      </c>
      <c r="AT135" s="13" t="s">
        <v>321</v>
      </c>
      <c r="AU135" s="13" t="s">
        <v>100</v>
      </c>
      <c r="AY135" s="13" t="s">
        <v>130</v>
      </c>
      <c r="BE135" s="140">
        <f t="shared" si="14"/>
        <v>0</v>
      </c>
      <c r="BF135" s="140">
        <f t="shared" si="15"/>
        <v>0</v>
      </c>
      <c r="BG135" s="140">
        <f t="shared" si="16"/>
        <v>0</v>
      </c>
      <c r="BH135" s="140">
        <f t="shared" si="17"/>
        <v>0</v>
      </c>
      <c r="BI135" s="140">
        <f t="shared" si="18"/>
        <v>0</v>
      </c>
      <c r="BJ135" s="13" t="s">
        <v>19</v>
      </c>
      <c r="BK135" s="140">
        <f t="shared" si="19"/>
        <v>0</v>
      </c>
      <c r="BL135" s="13" t="s">
        <v>221</v>
      </c>
      <c r="BM135" s="13" t="s">
        <v>473</v>
      </c>
    </row>
    <row r="136" spans="2:65" s="1" customFormat="1" ht="22.5" customHeight="1">
      <c r="B136" s="131"/>
      <c r="C136" s="132">
        <v>20</v>
      </c>
      <c r="D136" s="132" t="s">
        <v>131</v>
      </c>
      <c r="E136" s="133" t="s">
        <v>474</v>
      </c>
      <c r="F136" s="208" t="s">
        <v>475</v>
      </c>
      <c r="G136" s="209"/>
      <c r="H136" s="209"/>
      <c r="I136" s="209"/>
      <c r="J136" s="134" t="s">
        <v>238</v>
      </c>
      <c r="K136" s="135">
        <f>44*3</f>
        <v>132</v>
      </c>
      <c r="L136" s="210"/>
      <c r="M136" s="209"/>
      <c r="N136" s="210">
        <f t="shared" si="10"/>
        <v>0</v>
      </c>
      <c r="O136" s="209"/>
      <c r="P136" s="209"/>
      <c r="Q136" s="209"/>
      <c r="R136" s="136"/>
      <c r="T136" s="137" t="s">
        <v>3</v>
      </c>
      <c r="U136" s="36" t="s">
        <v>40</v>
      </c>
      <c r="V136" s="138">
        <v>0.146</v>
      </c>
      <c r="W136" s="138">
        <f t="shared" si="11"/>
        <v>19.272</v>
      </c>
      <c r="X136" s="138">
        <v>8E-05</v>
      </c>
      <c r="Y136" s="138">
        <f t="shared" si="12"/>
        <v>0.010560000000000002</v>
      </c>
      <c r="Z136" s="138">
        <v>0</v>
      </c>
      <c r="AA136" s="139">
        <f t="shared" si="13"/>
        <v>0</v>
      </c>
      <c r="AR136" s="13" t="s">
        <v>221</v>
      </c>
      <c r="AT136" s="13" t="s">
        <v>131</v>
      </c>
      <c r="AU136" s="13" t="s">
        <v>100</v>
      </c>
      <c r="AY136" s="13" t="s">
        <v>130</v>
      </c>
      <c r="BE136" s="140">
        <f t="shared" si="14"/>
        <v>0</v>
      </c>
      <c r="BF136" s="140">
        <f t="shared" si="15"/>
        <v>0</v>
      </c>
      <c r="BG136" s="140">
        <f t="shared" si="16"/>
        <v>0</v>
      </c>
      <c r="BH136" s="140">
        <f t="shared" si="17"/>
        <v>0</v>
      </c>
      <c r="BI136" s="140">
        <f t="shared" si="18"/>
        <v>0</v>
      </c>
      <c r="BJ136" s="13" t="s">
        <v>19</v>
      </c>
      <c r="BK136" s="140">
        <f t="shared" si="19"/>
        <v>0</v>
      </c>
      <c r="BL136" s="13" t="s">
        <v>221</v>
      </c>
      <c r="BM136" s="13" t="s">
        <v>476</v>
      </c>
    </row>
    <row r="137" spans="2:65" s="1" customFormat="1" ht="31.5" customHeight="1">
      <c r="B137" s="131"/>
      <c r="C137" s="132">
        <v>21</v>
      </c>
      <c r="D137" s="132" t="s">
        <v>131</v>
      </c>
      <c r="E137" s="133" t="s">
        <v>477</v>
      </c>
      <c r="F137" s="208" t="s">
        <v>478</v>
      </c>
      <c r="G137" s="209"/>
      <c r="H137" s="209"/>
      <c r="I137" s="209"/>
      <c r="J137" s="134" t="s">
        <v>238</v>
      </c>
      <c r="K137" s="135">
        <v>33</v>
      </c>
      <c r="L137" s="210"/>
      <c r="M137" s="209"/>
      <c r="N137" s="210">
        <f t="shared" si="10"/>
        <v>0</v>
      </c>
      <c r="O137" s="209"/>
      <c r="P137" s="209"/>
      <c r="Q137" s="209"/>
      <c r="R137" s="136"/>
      <c r="T137" s="137" t="s">
        <v>3</v>
      </c>
      <c r="U137" s="36" t="s">
        <v>40</v>
      </c>
      <c r="V137" s="138">
        <v>0.32</v>
      </c>
      <c r="W137" s="138">
        <f t="shared" si="11"/>
        <v>10.56</v>
      </c>
      <c r="X137" s="138">
        <v>4E-05</v>
      </c>
      <c r="Y137" s="138">
        <f t="shared" si="12"/>
        <v>0.0013200000000000002</v>
      </c>
      <c r="Z137" s="138">
        <v>0</v>
      </c>
      <c r="AA137" s="139">
        <f t="shared" si="13"/>
        <v>0</v>
      </c>
      <c r="AR137" s="13" t="s">
        <v>221</v>
      </c>
      <c r="AT137" s="13" t="s">
        <v>131</v>
      </c>
      <c r="AU137" s="13" t="s">
        <v>100</v>
      </c>
      <c r="AY137" s="13" t="s">
        <v>130</v>
      </c>
      <c r="BE137" s="140">
        <f t="shared" si="14"/>
        <v>0</v>
      </c>
      <c r="BF137" s="140">
        <f t="shared" si="15"/>
        <v>0</v>
      </c>
      <c r="BG137" s="140">
        <f t="shared" si="16"/>
        <v>0</v>
      </c>
      <c r="BH137" s="140">
        <f t="shared" si="17"/>
        <v>0</v>
      </c>
      <c r="BI137" s="140">
        <f t="shared" si="18"/>
        <v>0</v>
      </c>
      <c r="BJ137" s="13" t="s">
        <v>19</v>
      </c>
      <c r="BK137" s="140">
        <f t="shared" si="19"/>
        <v>0</v>
      </c>
      <c r="BL137" s="13" t="s">
        <v>221</v>
      </c>
      <c r="BM137" s="13" t="s">
        <v>479</v>
      </c>
    </row>
    <row r="138" spans="2:65" s="1" customFormat="1" ht="22.5" customHeight="1">
      <c r="B138" s="131"/>
      <c r="C138" s="144">
        <v>22</v>
      </c>
      <c r="D138" s="144" t="s">
        <v>321</v>
      </c>
      <c r="E138" s="145" t="s">
        <v>480</v>
      </c>
      <c r="F138" s="227" t="s">
        <v>533</v>
      </c>
      <c r="G138" s="228"/>
      <c r="H138" s="228"/>
      <c r="I138" s="228"/>
      <c r="J138" s="146" t="s">
        <v>238</v>
      </c>
      <c r="K138" s="147">
        <v>33</v>
      </c>
      <c r="L138" s="229"/>
      <c r="M138" s="228"/>
      <c r="N138" s="229">
        <f t="shared" si="10"/>
        <v>0</v>
      </c>
      <c r="O138" s="209"/>
      <c r="P138" s="209"/>
      <c r="Q138" s="209"/>
      <c r="R138" s="136"/>
      <c r="T138" s="137" t="s">
        <v>3</v>
      </c>
      <c r="U138" s="36" t="s">
        <v>40</v>
      </c>
      <c r="V138" s="138">
        <v>0</v>
      </c>
      <c r="W138" s="138">
        <f t="shared" si="11"/>
        <v>0</v>
      </c>
      <c r="X138" s="138">
        <v>0.0018</v>
      </c>
      <c r="Y138" s="138">
        <f t="shared" si="12"/>
        <v>0.0594</v>
      </c>
      <c r="Z138" s="138">
        <v>0</v>
      </c>
      <c r="AA138" s="139">
        <f t="shared" si="13"/>
        <v>0</v>
      </c>
      <c r="AR138" s="13" t="s">
        <v>324</v>
      </c>
      <c r="AT138" s="13" t="s">
        <v>321</v>
      </c>
      <c r="AU138" s="13" t="s">
        <v>100</v>
      </c>
      <c r="AY138" s="13" t="s">
        <v>130</v>
      </c>
      <c r="BE138" s="140">
        <f t="shared" si="14"/>
        <v>0</v>
      </c>
      <c r="BF138" s="140">
        <f t="shared" si="15"/>
        <v>0</v>
      </c>
      <c r="BG138" s="140">
        <f t="shared" si="16"/>
        <v>0</v>
      </c>
      <c r="BH138" s="140">
        <f t="shared" si="17"/>
        <v>0</v>
      </c>
      <c r="BI138" s="140">
        <f t="shared" si="18"/>
        <v>0</v>
      </c>
      <c r="BJ138" s="13" t="s">
        <v>19</v>
      </c>
      <c r="BK138" s="140">
        <f t="shared" si="19"/>
        <v>0</v>
      </c>
      <c r="BL138" s="13" t="s">
        <v>221</v>
      </c>
      <c r="BM138" s="13" t="s">
        <v>481</v>
      </c>
    </row>
    <row r="139" spans="2:65" s="1" customFormat="1" ht="31.5" customHeight="1">
      <c r="B139" s="131"/>
      <c r="C139" s="132">
        <v>23</v>
      </c>
      <c r="D139" s="132" t="s">
        <v>131</v>
      </c>
      <c r="E139" s="133" t="s">
        <v>482</v>
      </c>
      <c r="F139" s="208" t="s">
        <v>483</v>
      </c>
      <c r="G139" s="209"/>
      <c r="H139" s="209"/>
      <c r="I139" s="209"/>
      <c r="J139" s="134" t="s">
        <v>238</v>
      </c>
      <c r="K139" s="135">
        <v>33</v>
      </c>
      <c r="L139" s="210"/>
      <c r="M139" s="209"/>
      <c r="N139" s="210">
        <f t="shared" si="10"/>
        <v>0</v>
      </c>
      <c r="O139" s="209"/>
      <c r="P139" s="209"/>
      <c r="Q139" s="209"/>
      <c r="R139" s="136"/>
      <c r="T139" s="137" t="s">
        <v>3</v>
      </c>
      <c r="U139" s="36" t="s">
        <v>40</v>
      </c>
      <c r="V139" s="138">
        <v>0.624</v>
      </c>
      <c r="W139" s="138">
        <f t="shared" si="11"/>
        <v>20.592</v>
      </c>
      <c r="X139" s="138">
        <v>0.00013</v>
      </c>
      <c r="Y139" s="138">
        <f t="shared" si="12"/>
        <v>0.0042899999999999995</v>
      </c>
      <c r="Z139" s="138">
        <v>0</v>
      </c>
      <c r="AA139" s="139">
        <f t="shared" si="13"/>
        <v>0</v>
      </c>
      <c r="AR139" s="13" t="s">
        <v>221</v>
      </c>
      <c r="AT139" s="13" t="s">
        <v>131</v>
      </c>
      <c r="AU139" s="13" t="s">
        <v>100</v>
      </c>
      <c r="AY139" s="13" t="s">
        <v>130</v>
      </c>
      <c r="BE139" s="140">
        <f t="shared" si="14"/>
        <v>0</v>
      </c>
      <c r="BF139" s="140">
        <f t="shared" si="15"/>
        <v>0</v>
      </c>
      <c r="BG139" s="140">
        <f t="shared" si="16"/>
        <v>0</v>
      </c>
      <c r="BH139" s="140">
        <f t="shared" si="17"/>
        <v>0</v>
      </c>
      <c r="BI139" s="140">
        <f t="shared" si="18"/>
        <v>0</v>
      </c>
      <c r="BJ139" s="13" t="s">
        <v>19</v>
      </c>
      <c r="BK139" s="140">
        <f t="shared" si="19"/>
        <v>0</v>
      </c>
      <c r="BL139" s="13" t="s">
        <v>221</v>
      </c>
      <c r="BM139" s="13" t="s">
        <v>484</v>
      </c>
    </row>
    <row r="140" spans="2:65" s="1" customFormat="1" ht="31.5" customHeight="1">
      <c r="B140" s="131"/>
      <c r="C140" s="144">
        <v>24</v>
      </c>
      <c r="D140" s="144" t="s">
        <v>321</v>
      </c>
      <c r="E140" s="145" t="s">
        <v>485</v>
      </c>
      <c r="F140" s="227" t="s">
        <v>534</v>
      </c>
      <c r="G140" s="228"/>
      <c r="H140" s="228"/>
      <c r="I140" s="228"/>
      <c r="J140" s="146" t="s">
        <v>238</v>
      </c>
      <c r="K140" s="147">
        <v>33</v>
      </c>
      <c r="L140" s="229"/>
      <c r="M140" s="228"/>
      <c r="N140" s="229">
        <f t="shared" si="10"/>
        <v>0</v>
      </c>
      <c r="O140" s="209"/>
      <c r="P140" s="209"/>
      <c r="Q140" s="209"/>
      <c r="R140" s="136"/>
      <c r="T140" s="137" t="s">
        <v>3</v>
      </c>
      <c r="U140" s="36" t="s">
        <v>40</v>
      </c>
      <c r="V140" s="138">
        <v>0</v>
      </c>
      <c r="W140" s="138">
        <f t="shared" si="11"/>
        <v>0</v>
      </c>
      <c r="X140" s="138">
        <v>0.0016</v>
      </c>
      <c r="Y140" s="138">
        <f t="shared" si="12"/>
        <v>0.0528</v>
      </c>
      <c r="Z140" s="138">
        <v>0</v>
      </c>
      <c r="AA140" s="139">
        <f t="shared" si="13"/>
        <v>0</v>
      </c>
      <c r="AR140" s="13" t="s">
        <v>324</v>
      </c>
      <c r="AT140" s="13" t="s">
        <v>321</v>
      </c>
      <c r="AU140" s="13" t="s">
        <v>100</v>
      </c>
      <c r="AY140" s="13" t="s">
        <v>130</v>
      </c>
      <c r="BE140" s="140">
        <f t="shared" si="14"/>
        <v>0</v>
      </c>
      <c r="BF140" s="140">
        <f t="shared" si="15"/>
        <v>0</v>
      </c>
      <c r="BG140" s="140">
        <f t="shared" si="16"/>
        <v>0</v>
      </c>
      <c r="BH140" s="140">
        <f t="shared" si="17"/>
        <v>0</v>
      </c>
      <c r="BI140" s="140">
        <f t="shared" si="18"/>
        <v>0</v>
      </c>
      <c r="BJ140" s="13" t="s">
        <v>19</v>
      </c>
      <c r="BK140" s="140">
        <f t="shared" si="19"/>
        <v>0</v>
      </c>
      <c r="BL140" s="13" t="s">
        <v>221</v>
      </c>
      <c r="BM140" s="13" t="s">
        <v>486</v>
      </c>
    </row>
    <row r="141" spans="2:65" s="1" customFormat="1" ht="31.5" customHeight="1">
      <c r="B141" s="131"/>
      <c r="C141" s="144">
        <v>25</v>
      </c>
      <c r="D141" s="144" t="s">
        <v>321</v>
      </c>
      <c r="E141" s="145" t="s">
        <v>487</v>
      </c>
      <c r="F141" s="227" t="s">
        <v>535</v>
      </c>
      <c r="G141" s="228"/>
      <c r="H141" s="228"/>
      <c r="I141" s="228"/>
      <c r="J141" s="146" t="s">
        <v>238</v>
      </c>
      <c r="K141" s="147">
        <v>33</v>
      </c>
      <c r="L141" s="229"/>
      <c r="M141" s="228"/>
      <c r="N141" s="229">
        <f t="shared" si="10"/>
        <v>0</v>
      </c>
      <c r="O141" s="209"/>
      <c r="P141" s="209"/>
      <c r="Q141" s="209"/>
      <c r="R141" s="136"/>
      <c r="T141" s="137" t="s">
        <v>3</v>
      </c>
      <c r="U141" s="36" t="s">
        <v>40</v>
      </c>
      <c r="V141" s="138">
        <v>0</v>
      </c>
      <c r="W141" s="138">
        <f t="shared" si="11"/>
        <v>0</v>
      </c>
      <c r="X141" s="138">
        <v>0.00015</v>
      </c>
      <c r="Y141" s="138">
        <f t="shared" si="12"/>
        <v>0.0049499999999999995</v>
      </c>
      <c r="Z141" s="138">
        <v>0</v>
      </c>
      <c r="AA141" s="139">
        <f t="shared" si="13"/>
        <v>0</v>
      </c>
      <c r="AR141" s="13" t="s">
        <v>324</v>
      </c>
      <c r="AT141" s="13" t="s">
        <v>321</v>
      </c>
      <c r="AU141" s="13" t="s">
        <v>100</v>
      </c>
      <c r="AY141" s="13" t="s">
        <v>130</v>
      </c>
      <c r="BE141" s="140">
        <f t="shared" si="14"/>
        <v>0</v>
      </c>
      <c r="BF141" s="140">
        <f t="shared" si="15"/>
        <v>0</v>
      </c>
      <c r="BG141" s="140">
        <f t="shared" si="16"/>
        <v>0</v>
      </c>
      <c r="BH141" s="140">
        <f t="shared" si="17"/>
        <v>0</v>
      </c>
      <c r="BI141" s="140">
        <f t="shared" si="18"/>
        <v>0</v>
      </c>
      <c r="BJ141" s="13" t="s">
        <v>19</v>
      </c>
      <c r="BK141" s="140">
        <f t="shared" si="19"/>
        <v>0</v>
      </c>
      <c r="BL141" s="13" t="s">
        <v>221</v>
      </c>
      <c r="BM141" s="13" t="s">
        <v>488</v>
      </c>
    </row>
    <row r="142" spans="2:65" s="1" customFormat="1" ht="22.5" customHeight="1">
      <c r="B142" s="131"/>
      <c r="C142" s="144">
        <v>26</v>
      </c>
      <c r="D142" s="144" t="s">
        <v>321</v>
      </c>
      <c r="E142" s="145" t="s">
        <v>489</v>
      </c>
      <c r="F142" s="227" t="s">
        <v>490</v>
      </c>
      <c r="G142" s="228"/>
      <c r="H142" s="228"/>
      <c r="I142" s="228"/>
      <c r="J142" s="146" t="s">
        <v>462</v>
      </c>
      <c r="K142" s="147">
        <v>33</v>
      </c>
      <c r="L142" s="229"/>
      <c r="M142" s="228"/>
      <c r="N142" s="229">
        <f t="shared" si="10"/>
        <v>0</v>
      </c>
      <c r="O142" s="209"/>
      <c r="P142" s="209"/>
      <c r="Q142" s="209"/>
      <c r="R142" s="136"/>
      <c r="T142" s="137" t="s">
        <v>3</v>
      </c>
      <c r="U142" s="36" t="s">
        <v>40</v>
      </c>
      <c r="V142" s="138">
        <v>0</v>
      </c>
      <c r="W142" s="138">
        <f t="shared" si="11"/>
        <v>0</v>
      </c>
      <c r="X142" s="138">
        <v>0</v>
      </c>
      <c r="Y142" s="138">
        <f t="shared" si="12"/>
        <v>0</v>
      </c>
      <c r="Z142" s="138">
        <v>0</v>
      </c>
      <c r="AA142" s="139">
        <f t="shared" si="13"/>
        <v>0</v>
      </c>
      <c r="AR142" s="13" t="s">
        <v>324</v>
      </c>
      <c r="AT142" s="13" t="s">
        <v>321</v>
      </c>
      <c r="AU142" s="13" t="s">
        <v>100</v>
      </c>
      <c r="AY142" s="13" t="s">
        <v>130</v>
      </c>
      <c r="BE142" s="140">
        <f t="shared" si="14"/>
        <v>0</v>
      </c>
      <c r="BF142" s="140">
        <f t="shared" si="15"/>
        <v>0</v>
      </c>
      <c r="BG142" s="140">
        <f t="shared" si="16"/>
        <v>0</v>
      </c>
      <c r="BH142" s="140">
        <f t="shared" si="17"/>
        <v>0</v>
      </c>
      <c r="BI142" s="140">
        <f t="shared" si="18"/>
        <v>0</v>
      </c>
      <c r="BJ142" s="13" t="s">
        <v>19</v>
      </c>
      <c r="BK142" s="140">
        <f t="shared" si="19"/>
        <v>0</v>
      </c>
      <c r="BL142" s="13" t="s">
        <v>221</v>
      </c>
      <c r="BM142" s="13" t="s">
        <v>491</v>
      </c>
    </row>
    <row r="143" spans="2:65" s="1" customFormat="1" ht="22.5" customHeight="1">
      <c r="B143" s="131"/>
      <c r="C143" s="132">
        <v>27</v>
      </c>
      <c r="D143" s="132" t="s">
        <v>131</v>
      </c>
      <c r="E143" s="133" t="s">
        <v>492</v>
      </c>
      <c r="F143" s="208" t="s">
        <v>493</v>
      </c>
      <c r="G143" s="209"/>
      <c r="H143" s="209"/>
      <c r="I143" s="209"/>
      <c r="J143" s="134" t="s">
        <v>238</v>
      </c>
      <c r="K143" s="135">
        <v>33</v>
      </c>
      <c r="L143" s="210"/>
      <c r="M143" s="209"/>
      <c r="N143" s="210">
        <f t="shared" si="10"/>
        <v>0</v>
      </c>
      <c r="O143" s="209"/>
      <c r="P143" s="209"/>
      <c r="Q143" s="209"/>
      <c r="R143" s="136"/>
      <c r="T143" s="137" t="s">
        <v>3</v>
      </c>
      <c r="U143" s="36" t="s">
        <v>40</v>
      </c>
      <c r="V143" s="138">
        <v>0.246</v>
      </c>
      <c r="W143" s="138">
        <f t="shared" si="11"/>
        <v>8.118</v>
      </c>
      <c r="X143" s="138">
        <v>0.00018</v>
      </c>
      <c r="Y143" s="138">
        <f t="shared" si="12"/>
        <v>0.00594</v>
      </c>
      <c r="Z143" s="138">
        <v>0</v>
      </c>
      <c r="AA143" s="139">
        <f t="shared" si="13"/>
        <v>0</v>
      </c>
      <c r="AR143" s="13" t="s">
        <v>221</v>
      </c>
      <c r="AT143" s="13" t="s">
        <v>131</v>
      </c>
      <c r="AU143" s="13" t="s">
        <v>100</v>
      </c>
      <c r="AY143" s="13" t="s">
        <v>130</v>
      </c>
      <c r="BE143" s="140">
        <f t="shared" si="14"/>
        <v>0</v>
      </c>
      <c r="BF143" s="140">
        <f t="shared" si="15"/>
        <v>0</v>
      </c>
      <c r="BG143" s="140">
        <f t="shared" si="16"/>
        <v>0</v>
      </c>
      <c r="BH143" s="140">
        <f t="shared" si="17"/>
        <v>0</v>
      </c>
      <c r="BI143" s="140">
        <f t="shared" si="18"/>
        <v>0</v>
      </c>
      <c r="BJ143" s="13" t="s">
        <v>19</v>
      </c>
      <c r="BK143" s="140">
        <f t="shared" si="19"/>
        <v>0</v>
      </c>
      <c r="BL143" s="13" t="s">
        <v>221</v>
      </c>
      <c r="BM143" s="13" t="s">
        <v>494</v>
      </c>
    </row>
    <row r="144" spans="2:65" s="1" customFormat="1" ht="22.5" customHeight="1">
      <c r="B144" s="131"/>
      <c r="C144" s="144">
        <v>28</v>
      </c>
      <c r="D144" s="144" t="s">
        <v>321</v>
      </c>
      <c r="E144" s="145" t="s">
        <v>495</v>
      </c>
      <c r="F144" s="227" t="s">
        <v>536</v>
      </c>
      <c r="G144" s="228"/>
      <c r="H144" s="228"/>
      <c r="I144" s="228"/>
      <c r="J144" s="146" t="s">
        <v>238</v>
      </c>
      <c r="K144" s="147">
        <v>33</v>
      </c>
      <c r="L144" s="229"/>
      <c r="M144" s="228"/>
      <c r="N144" s="229">
        <f t="shared" si="10"/>
        <v>0</v>
      </c>
      <c r="O144" s="209"/>
      <c r="P144" s="209"/>
      <c r="Q144" s="209"/>
      <c r="R144" s="136"/>
      <c r="T144" s="137" t="s">
        <v>3</v>
      </c>
      <c r="U144" s="36" t="s">
        <v>40</v>
      </c>
      <c r="V144" s="138">
        <v>0</v>
      </c>
      <c r="W144" s="138">
        <f t="shared" si="11"/>
        <v>0</v>
      </c>
      <c r="X144" s="138">
        <v>0.00032</v>
      </c>
      <c r="Y144" s="138">
        <f t="shared" si="12"/>
        <v>0.010560000000000002</v>
      </c>
      <c r="Z144" s="138">
        <v>0</v>
      </c>
      <c r="AA144" s="139">
        <f t="shared" si="13"/>
        <v>0</v>
      </c>
      <c r="AR144" s="13" t="s">
        <v>324</v>
      </c>
      <c r="AT144" s="13" t="s">
        <v>321</v>
      </c>
      <c r="AU144" s="13" t="s">
        <v>100</v>
      </c>
      <c r="AY144" s="13" t="s">
        <v>130</v>
      </c>
      <c r="BE144" s="140">
        <f t="shared" si="14"/>
        <v>0</v>
      </c>
      <c r="BF144" s="140">
        <f t="shared" si="15"/>
        <v>0</v>
      </c>
      <c r="BG144" s="140">
        <f t="shared" si="16"/>
        <v>0</v>
      </c>
      <c r="BH144" s="140">
        <f t="shared" si="17"/>
        <v>0</v>
      </c>
      <c r="BI144" s="140">
        <f t="shared" si="18"/>
        <v>0</v>
      </c>
      <c r="BJ144" s="13" t="s">
        <v>19</v>
      </c>
      <c r="BK144" s="140">
        <f t="shared" si="19"/>
        <v>0</v>
      </c>
      <c r="BL144" s="13" t="s">
        <v>221</v>
      </c>
      <c r="BM144" s="13" t="s">
        <v>496</v>
      </c>
    </row>
    <row r="145" spans="2:65" s="1" customFormat="1" ht="22.5" customHeight="1">
      <c r="B145" s="131"/>
      <c r="C145" s="132">
        <v>29</v>
      </c>
      <c r="D145" s="132" t="s">
        <v>131</v>
      </c>
      <c r="E145" s="133" t="s">
        <v>497</v>
      </c>
      <c r="F145" s="208" t="s">
        <v>498</v>
      </c>
      <c r="G145" s="209"/>
      <c r="H145" s="209"/>
      <c r="I145" s="209"/>
      <c r="J145" s="134" t="s">
        <v>238</v>
      </c>
      <c r="K145" s="135">
        <v>33</v>
      </c>
      <c r="L145" s="210"/>
      <c r="M145" s="209"/>
      <c r="N145" s="210">
        <f t="shared" si="10"/>
        <v>0</v>
      </c>
      <c r="O145" s="209"/>
      <c r="P145" s="209"/>
      <c r="Q145" s="209"/>
      <c r="R145" s="136"/>
      <c r="T145" s="137" t="s">
        <v>3</v>
      </c>
      <c r="U145" s="36" t="s">
        <v>40</v>
      </c>
      <c r="V145" s="138">
        <v>0.3</v>
      </c>
      <c r="W145" s="138">
        <f t="shared" si="11"/>
        <v>9.9</v>
      </c>
      <c r="X145" s="138">
        <v>3E-05</v>
      </c>
      <c r="Y145" s="138">
        <f t="shared" si="12"/>
        <v>0.00099</v>
      </c>
      <c r="Z145" s="138">
        <v>0</v>
      </c>
      <c r="AA145" s="139">
        <f t="shared" si="13"/>
        <v>0</v>
      </c>
      <c r="AR145" s="13" t="s">
        <v>221</v>
      </c>
      <c r="AT145" s="13" t="s">
        <v>131</v>
      </c>
      <c r="AU145" s="13" t="s">
        <v>100</v>
      </c>
      <c r="AY145" s="13" t="s">
        <v>130</v>
      </c>
      <c r="BE145" s="140">
        <f t="shared" si="14"/>
        <v>0</v>
      </c>
      <c r="BF145" s="140">
        <f t="shared" si="15"/>
        <v>0</v>
      </c>
      <c r="BG145" s="140">
        <f t="shared" si="16"/>
        <v>0</v>
      </c>
      <c r="BH145" s="140">
        <f t="shared" si="17"/>
        <v>0</v>
      </c>
      <c r="BI145" s="140">
        <f t="shared" si="18"/>
        <v>0</v>
      </c>
      <c r="BJ145" s="13" t="s">
        <v>19</v>
      </c>
      <c r="BK145" s="140">
        <f t="shared" si="19"/>
        <v>0</v>
      </c>
      <c r="BL145" s="13" t="s">
        <v>221</v>
      </c>
      <c r="BM145" s="13" t="s">
        <v>499</v>
      </c>
    </row>
    <row r="146" spans="2:65" s="1" customFormat="1" ht="22.5" customHeight="1">
      <c r="B146" s="131"/>
      <c r="C146" s="144">
        <v>30</v>
      </c>
      <c r="D146" s="144" t="s">
        <v>321</v>
      </c>
      <c r="E146" s="145" t="s">
        <v>500</v>
      </c>
      <c r="F146" s="227" t="s">
        <v>501</v>
      </c>
      <c r="G146" s="228"/>
      <c r="H146" s="228"/>
      <c r="I146" s="228"/>
      <c r="J146" s="146" t="s">
        <v>502</v>
      </c>
      <c r="K146" s="147">
        <v>33</v>
      </c>
      <c r="L146" s="229"/>
      <c r="M146" s="228"/>
      <c r="N146" s="229">
        <f t="shared" si="10"/>
        <v>0</v>
      </c>
      <c r="O146" s="209"/>
      <c r="P146" s="209"/>
      <c r="Q146" s="209"/>
      <c r="R146" s="136"/>
      <c r="T146" s="137" t="s">
        <v>3</v>
      </c>
      <c r="U146" s="36" t="s">
        <v>40</v>
      </c>
      <c r="V146" s="138">
        <v>0</v>
      </c>
      <c r="W146" s="138">
        <f>V146*K146</f>
        <v>0</v>
      </c>
      <c r="X146" s="138">
        <v>0</v>
      </c>
      <c r="Y146" s="138">
        <f>X146*K146</f>
        <v>0</v>
      </c>
      <c r="Z146" s="138">
        <v>0</v>
      </c>
      <c r="AA146" s="139">
        <f>Z146*K146</f>
        <v>0</v>
      </c>
      <c r="AR146" s="13" t="s">
        <v>324</v>
      </c>
      <c r="AT146" s="13" t="s">
        <v>321</v>
      </c>
      <c r="AU146" s="13" t="s">
        <v>100</v>
      </c>
      <c r="AY146" s="13" t="s">
        <v>130</v>
      </c>
      <c r="BE146" s="140">
        <f>IF(U146="základní",N146,0)</f>
        <v>0</v>
      </c>
      <c r="BF146" s="140">
        <f>IF(U146="snížená",N146,0)</f>
        <v>0</v>
      </c>
      <c r="BG146" s="140">
        <f>IF(U146="zákl. přenesená",N146,0)</f>
        <v>0</v>
      </c>
      <c r="BH146" s="140">
        <f>IF(U146="sníž. přenesená",N146,0)</f>
        <v>0</v>
      </c>
      <c r="BI146" s="140">
        <f>IF(U146="nulová",N146,0)</f>
        <v>0</v>
      </c>
      <c r="BJ146" s="13" t="s">
        <v>19</v>
      </c>
      <c r="BK146" s="140">
        <f>ROUND(L146*K146,2)</f>
        <v>0</v>
      </c>
      <c r="BL146" s="13" t="s">
        <v>221</v>
      </c>
      <c r="BM146" s="13" t="s">
        <v>503</v>
      </c>
    </row>
    <row r="147" spans="2:65" s="1" customFormat="1" ht="31.5" customHeight="1">
      <c r="B147" s="131"/>
      <c r="C147" s="132">
        <v>31</v>
      </c>
      <c r="D147" s="132" t="s">
        <v>131</v>
      </c>
      <c r="E147" s="133" t="s">
        <v>504</v>
      </c>
      <c r="F147" s="208" t="s">
        <v>505</v>
      </c>
      <c r="G147" s="209"/>
      <c r="H147" s="209"/>
      <c r="I147" s="209"/>
      <c r="J147" s="134" t="s">
        <v>201</v>
      </c>
      <c r="K147" s="135">
        <f>0.406*3</f>
        <v>1.218</v>
      </c>
      <c r="L147" s="210"/>
      <c r="M147" s="209"/>
      <c r="N147" s="210">
        <f t="shared" si="10"/>
        <v>0</v>
      </c>
      <c r="O147" s="209"/>
      <c r="P147" s="209"/>
      <c r="Q147" s="209"/>
      <c r="R147" s="136"/>
      <c r="T147" s="137" t="s">
        <v>3</v>
      </c>
      <c r="U147" s="36" t="s">
        <v>40</v>
      </c>
      <c r="V147" s="138">
        <v>1.629</v>
      </c>
      <c r="W147" s="138">
        <f>V147*K147</f>
        <v>1.984122</v>
      </c>
      <c r="X147" s="138">
        <v>0</v>
      </c>
      <c r="Y147" s="138">
        <f>X147*K147</f>
        <v>0</v>
      </c>
      <c r="Z147" s="138">
        <v>0</v>
      </c>
      <c r="AA147" s="139">
        <f>Z147*K147</f>
        <v>0</v>
      </c>
      <c r="AR147" s="13" t="s">
        <v>221</v>
      </c>
      <c r="AT147" s="13" t="s">
        <v>131</v>
      </c>
      <c r="AU147" s="13" t="s">
        <v>100</v>
      </c>
      <c r="AY147" s="13" t="s">
        <v>130</v>
      </c>
      <c r="BE147" s="140">
        <f>IF(U147="základní",N147,0)</f>
        <v>0</v>
      </c>
      <c r="BF147" s="140">
        <f>IF(U147="snížená",N147,0)</f>
        <v>0</v>
      </c>
      <c r="BG147" s="140">
        <f>IF(U147="zákl. přenesená",N147,0)</f>
        <v>0</v>
      </c>
      <c r="BH147" s="140">
        <f>IF(U147="sníž. přenesená",N147,0)</f>
        <v>0</v>
      </c>
      <c r="BI147" s="140">
        <f>IF(U147="nulová",N147,0)</f>
        <v>0</v>
      </c>
      <c r="BJ147" s="13" t="s">
        <v>19</v>
      </c>
      <c r="BK147" s="140">
        <f>ROUND(L147*K147,2)</f>
        <v>0</v>
      </c>
      <c r="BL147" s="13" t="s">
        <v>221</v>
      </c>
      <c r="BM147" s="13" t="s">
        <v>506</v>
      </c>
    </row>
    <row r="148" spans="2:65" s="1" customFormat="1" ht="31.5" customHeight="1">
      <c r="B148" s="131"/>
      <c r="C148" s="132">
        <v>32</v>
      </c>
      <c r="D148" s="132" t="s">
        <v>131</v>
      </c>
      <c r="E148" s="133" t="s">
        <v>507</v>
      </c>
      <c r="F148" s="208" t="s">
        <v>508</v>
      </c>
      <c r="G148" s="209"/>
      <c r="H148" s="209"/>
      <c r="I148" s="209"/>
      <c r="J148" s="134" t="s">
        <v>201</v>
      </c>
      <c r="K148" s="135">
        <f>0.406*3</f>
        <v>1.218</v>
      </c>
      <c r="L148" s="210"/>
      <c r="M148" s="209"/>
      <c r="N148" s="210">
        <f t="shared" si="10"/>
        <v>0</v>
      </c>
      <c r="O148" s="209"/>
      <c r="P148" s="209"/>
      <c r="Q148" s="209"/>
      <c r="R148" s="136"/>
      <c r="T148" s="137" t="s">
        <v>3</v>
      </c>
      <c r="U148" s="141" t="s">
        <v>40</v>
      </c>
      <c r="V148" s="142">
        <v>1.25</v>
      </c>
      <c r="W148" s="142">
        <f>V148*K148</f>
        <v>1.5225</v>
      </c>
      <c r="X148" s="142">
        <v>0</v>
      </c>
      <c r="Y148" s="142">
        <f>X148*K148</f>
        <v>0</v>
      </c>
      <c r="Z148" s="142">
        <v>0</v>
      </c>
      <c r="AA148" s="143">
        <f>Z148*K148</f>
        <v>0</v>
      </c>
      <c r="AR148" s="13" t="s">
        <v>221</v>
      </c>
      <c r="AT148" s="13" t="s">
        <v>131</v>
      </c>
      <c r="AU148" s="13" t="s">
        <v>100</v>
      </c>
      <c r="AY148" s="13" t="s">
        <v>130</v>
      </c>
      <c r="BE148" s="140">
        <f>IF(U148="základní",N148,0)</f>
        <v>0</v>
      </c>
      <c r="BF148" s="140">
        <f>IF(U148="snížená",N148,0)</f>
        <v>0</v>
      </c>
      <c r="BG148" s="140">
        <f>IF(U148="zákl. přenesená",N148,0)</f>
        <v>0</v>
      </c>
      <c r="BH148" s="140">
        <f>IF(U148="sníž. přenesená",N148,0)</f>
        <v>0</v>
      </c>
      <c r="BI148" s="140">
        <f>IF(U148="nulová",N148,0)</f>
        <v>0</v>
      </c>
      <c r="BJ148" s="13" t="s">
        <v>19</v>
      </c>
      <c r="BK148" s="140">
        <f>ROUND(L148*K148,2)</f>
        <v>0</v>
      </c>
      <c r="BL148" s="13" t="s">
        <v>221</v>
      </c>
      <c r="BM148" s="13" t="s">
        <v>509</v>
      </c>
    </row>
    <row r="149" spans="2:18" s="1" customFormat="1" ht="6.75" customHeight="1"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3"/>
    </row>
  </sheetData>
  <sheetProtection/>
  <mergeCells count="156">
    <mergeCell ref="N114:Q114"/>
    <mergeCell ref="N128:Q128"/>
    <mergeCell ref="F147:I147"/>
    <mergeCell ref="L147:M147"/>
    <mergeCell ref="N147:Q147"/>
    <mergeCell ref="H1:K1"/>
    <mergeCell ref="L146:M146"/>
    <mergeCell ref="N146:Q146"/>
    <mergeCell ref="F143:I143"/>
    <mergeCell ref="L143:M143"/>
    <mergeCell ref="S2:AC2"/>
    <mergeCell ref="F148:I148"/>
    <mergeCell ref="L148:M148"/>
    <mergeCell ref="N148:Q148"/>
    <mergeCell ref="N112:Q112"/>
    <mergeCell ref="N113:Q113"/>
    <mergeCell ref="F145:I145"/>
    <mergeCell ref="L145:M145"/>
    <mergeCell ref="N145:Q145"/>
    <mergeCell ref="F146:I146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6:I136"/>
    <mergeCell ref="L136:M136"/>
    <mergeCell ref="N136:Q136"/>
    <mergeCell ref="F135:I135"/>
    <mergeCell ref="L135:M135"/>
    <mergeCell ref="N135:Q135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9:I129"/>
    <mergeCell ref="L129:M129"/>
    <mergeCell ref="N129:Q129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F117:I117"/>
    <mergeCell ref="L117:M117"/>
    <mergeCell ref="N117:Q117"/>
    <mergeCell ref="F118:I118"/>
    <mergeCell ref="L118:M118"/>
    <mergeCell ref="N118:Q118"/>
    <mergeCell ref="F115:I115"/>
    <mergeCell ref="L115:M115"/>
    <mergeCell ref="N115:Q115"/>
    <mergeCell ref="F116:I116"/>
    <mergeCell ref="L116:M116"/>
    <mergeCell ref="N116:Q116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N89:Q89"/>
    <mergeCell ref="N90:Q90"/>
    <mergeCell ref="N91:Q91"/>
    <mergeCell ref="N93:Q93"/>
    <mergeCell ref="L95:Q95"/>
    <mergeCell ref="C101:Q101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E24:L24"/>
    <mergeCell ref="M27:P27"/>
    <mergeCell ref="M28:P28"/>
    <mergeCell ref="M30:P30"/>
    <mergeCell ref="H32:J32"/>
    <mergeCell ref="M32:P32"/>
    <mergeCell ref="O14:P14"/>
    <mergeCell ref="O15:P15"/>
    <mergeCell ref="O17:P17"/>
    <mergeCell ref="O18:P18"/>
    <mergeCell ref="O20:P20"/>
    <mergeCell ref="O21:P21"/>
    <mergeCell ref="F130:I130"/>
    <mergeCell ref="L130:M130"/>
    <mergeCell ref="N130:Q130"/>
    <mergeCell ref="C2:Q2"/>
    <mergeCell ref="C4:Q4"/>
    <mergeCell ref="F6:P6"/>
    <mergeCell ref="F7:P7"/>
    <mergeCell ref="O9:P9"/>
    <mergeCell ref="O11:P11"/>
    <mergeCell ref="O12:P1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DESKTOP-CCQUK4U\Monika</dc:creator>
  <cp:keywords/>
  <dc:description/>
  <cp:lastModifiedBy>Dohnal Roman</cp:lastModifiedBy>
  <dcterms:created xsi:type="dcterms:W3CDTF">2017-02-21T15:21:30Z</dcterms:created>
  <dcterms:modified xsi:type="dcterms:W3CDTF">2018-07-10T14:12:50Z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