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Rekapitulace stavby" sheetId="1" r:id="rId1"/>
    <sheet name="SO 101 - II_235 Terešovsk..." sheetId="2" r:id="rId2"/>
    <sheet name="SO 102 - II_235 a II_233 ..." sheetId="3" r:id="rId3"/>
    <sheet name="SO 103 - BUS zastávky - T..." sheetId="4" state="hidden" r:id="rId4"/>
    <sheet name="SO 104 - DIO" sheetId="5" r:id="rId5"/>
  </sheets>
  <definedNames>
    <definedName name="_xlnm.Print_Area" localSheetId="0">'Rekapitulace stavby'!$B$2:$AQ$86</definedName>
    <definedName name="_xlnm.Print_Area" localSheetId="1">'SO 101 - II_235 Terešovsk...'!$B$2:$R$196</definedName>
    <definedName name="_xlnm.Print_Area" localSheetId="2">'SO 102 - II_235 a II_233 ...'!$B$2:$R$180</definedName>
    <definedName name="_xlnm.Print_Area" localSheetId="3">'SO 103 - BUS zastávky - T...'!$B$2:$R$127</definedName>
    <definedName name="_xlnm.Print_Area" localSheetId="4">'SO 104 - DIO'!$B$2:$R$155</definedName>
  </definedNames>
  <calcPr fullCalcOnLoad="1"/>
</workbook>
</file>

<file path=xl/sharedStrings.xml><?xml version="1.0" encoding="utf-8"?>
<sst xmlns="http://schemas.openxmlformats.org/spreadsheetml/2006/main" count="2876" uniqueCount="407">
  <si>
    <t>2012</t>
  </si>
  <si>
    <t>List obsahuje:</t>
  </si>
  <si>
    <t>2.0</t>
  </si>
  <si>
    <t>False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</si>
  <si>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</si>
  <si>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</si>
  <si>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</si>
  <si>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</si>
  <si>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</si>
  <si>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</si>
  <si>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</si>
  <si>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Hrbek</t>
  </si>
  <si>
    <t>Stavba:</t>
  </si>
  <si>
    <t>II/235 Terešovksá Huť-Mlečice</t>
  </si>
  <si>
    <t>0,1</t>
  </si>
  <si>
    <t>JKSO:</t>
  </si>
  <si>
    <t>CC-CZ:</t>
  </si>
  <si>
    <t>1</t>
  </si>
  <si>
    <t>Místo:</t>
  </si>
  <si>
    <t xml:space="preserve"> </t>
  </si>
  <si>
    <t>Datum:</t>
  </si>
  <si>
    <t>13.12.2015</t>
  </si>
  <si>
    <t>10</t>
  </si>
  <si>
    <t>100</t>
  </si>
  <si>
    <t>Objednavatel:</t>
  </si>
  <si>
    <t>IČ:</t>
  </si>
  <si>
    <t>Obec Terešov, Mlečice, Chlum, Zvíkovec</t>
  </si>
  <si>
    <t>DIČ:</t>
  </si>
  <si>
    <t>Zhotovitel:</t>
  </si>
  <si>
    <t>Projektant:</t>
  </si>
  <si>
    <t>ing. Kamil Hrbek</t>
  </si>
  <si>
    <t>True</t>
  </si>
  <si>
    <t>Zpracovatel:</t>
  </si>
  <si>
    <t>Lenka Jandová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</si>
  <si>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</si>
  <si>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</si>
  <si>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</si>
  <si>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</si>
  <si>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</si>
  <si>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</si>
  <si>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</si>
  <si>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</si>
  <si>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</si>
  <si>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</si>
  <si>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</si>
  <si>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</si>
  <si>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</si>
  <si>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</si>
  <si>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</si>
  <si>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</si>
  <si>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</si>
  <si>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</si>
  <si>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</si>
  <si>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</si>
  <si>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</si>
  <si>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</si>
  <si>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</si>
  <si>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</si>
  <si>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</si>
  <si>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</si>
  <si>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</si>
  <si>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</si>
  <si>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</si>
  <si>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</si>
  <si>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</si>
  <si>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</si>
  <si>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</si>
  <si>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</si>
  <si>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</si>
  <si>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</si>
  <si>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</si>
  <si>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</si>
  <si>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</si>
  <si>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</si>
  <si>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</si>
  <si>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</si>
  <si>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{D54CDE8F-4119-4B56-AFD8-3E593666031E}</t>
  </si>
  <si>
    <t>{00000000-0000-0000-0000-000000000000}</t>
  </si>
  <si>
    <t>SO 101</t>
  </si>
  <si>
    <t>II/235 Terešovská Huť-Mlečice</t>
  </si>
  <si>
    <t>{3E94443D-977F-402E-AE4C-9A34609DD759}</t>
  </si>
  <si>
    <t>SO 102</t>
  </si>
  <si>
    <t>II/235 a II/233 Mlečice-Chlum</t>
  </si>
  <si>
    <t>{9641BEEC-2BDE-4EFD-A77F-F45757C96FD7}</t>
  </si>
  <si>
    <t>{61006717-77D1-431D-A773-DE4F3EFFE2E8}</t>
  </si>
  <si>
    <t>SO 104</t>
  </si>
  <si>
    <t>DIO</t>
  </si>
  <si>
    <t>{B4345264-6D02-4E2A-B261-DEBEDF35F2A2}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</si>
  <si>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</si>
  <si>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</si>
  <si>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</si>
  <si>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</si>
  <si>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</si>
  <si>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</si>
  <si>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</si>
  <si>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</si>
  <si>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SO 101 - II/235 Terešovská Huť-Mlečice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</si>
  <si>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</si>
  <si>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</si>
  <si>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</si>
  <si>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</si>
  <si>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</si>
  <si>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</si>
  <si>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</si>
  <si>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</si>
  <si>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</si>
  <si>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</si>
  <si>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</t>
  </si>
  <si>
    <t xml:space="preserve">    9 - Ostatní konstrukce a práce-bourání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</si>
  <si>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</si>
  <si>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</si>
  <si>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</si>
  <si>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</si>
  <si>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</si>
  <si>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</si>
  <si>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</si>
  <si>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</si>
  <si>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</si>
  <si>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</si>
  <si>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</si>
  <si>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</si>
  <si>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</si>
  <si>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</si>
  <si>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</si>
  <si>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</si>
  <si>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</si>
  <si>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</si>
  <si>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</si>
  <si>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</si>
  <si>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</si>
  <si>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</si>
  <si>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</si>
  <si>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113107213</t>
  </si>
  <si>
    <t>Odstranění podkladu pl přes 200 m2 z kameniva těženého tl 300 mm</t>
  </si>
  <si>
    <t>m2</t>
  </si>
  <si>
    <t>4</t>
  </si>
  <si>
    <t>113154331</t>
  </si>
  <si>
    <t>3</t>
  </si>
  <si>
    <t>132201101</t>
  </si>
  <si>
    <t>Hloubení rýh š do 600 mm v hornině tř. 3 objemu do 100 m3</t>
  </si>
  <si>
    <t>m3</t>
  </si>
  <si>
    <t>162701105</t>
  </si>
  <si>
    <t>Vodorovné přemístění do 10000 m výkopku/sypaniny z horniny tř. 1 až 4</t>
  </si>
  <si>
    <t>5</t>
  </si>
  <si>
    <t>162701109</t>
  </si>
  <si>
    <t>Příplatek k vodorovnému přemístění výkopku/sypaniny z horniny tř. 1 až 4 ZKD 1000 m přes 10000 m</t>
  </si>
  <si>
    <t>6</t>
  </si>
  <si>
    <t>167101101</t>
  </si>
  <si>
    <t>Nakládání výkopku z hornin tř. 1 až 4 do 100 m3</t>
  </si>
  <si>
    <t>7</t>
  </si>
  <si>
    <t>171201201</t>
  </si>
  <si>
    <t>Uložení sypaniny na skládky</t>
  </si>
  <si>
    <t>8</t>
  </si>
  <si>
    <t>171201211</t>
  </si>
  <si>
    <t>Poplatek za uložení odpadu ze sypaniny na skládce (skládkovné)</t>
  </si>
  <si>
    <t>t</t>
  </si>
  <si>
    <t>9</t>
  </si>
  <si>
    <t>174101101</t>
  </si>
  <si>
    <t>Zásyp jam, šachet rýh nebo kolem objektů sypaninou se zhutněním</t>
  </si>
  <si>
    <t>M</t>
  </si>
  <si>
    <t>583312001</t>
  </si>
  <si>
    <t>zásypový materiál - sanace pláně</t>
  </si>
  <si>
    <t>11</t>
  </si>
  <si>
    <t>175101101</t>
  </si>
  <si>
    <t>Obsypání potrubí bez prohození sypaniny z hornin tř. 1 až 4 uloženým do 3 m od kraje výkopu</t>
  </si>
  <si>
    <t>12</t>
  </si>
  <si>
    <t>583336740</t>
  </si>
  <si>
    <t>kamenivo těžené hrubé frakce 16-32</t>
  </si>
  <si>
    <t>13</t>
  </si>
  <si>
    <t>181951102</t>
  </si>
  <si>
    <t>Úprava pláně v hornině tř. 1 až 4 se zhutněním</t>
  </si>
  <si>
    <t>14</t>
  </si>
  <si>
    <t>212755218</t>
  </si>
  <si>
    <t>Trativody z drenážních trubek plastových flexibilních D 200 mm bez lože</t>
  </si>
  <si>
    <t>m</t>
  </si>
  <si>
    <t>564831111</t>
  </si>
  <si>
    <t>Podklad ze štěrkodrtě ŠD tl 100 mm</t>
  </si>
  <si>
    <t>16</t>
  </si>
  <si>
    <t>564851111</t>
  </si>
  <si>
    <t>Podklad ze štěrkodrtě ŠD tl 150 mm</t>
  </si>
  <si>
    <t>17</t>
  </si>
  <si>
    <t>565135111</t>
  </si>
  <si>
    <t>Asfaltový beton vrstva podkladní ACP 16 (obalované kamenivo OKS) tl 50 mm š do 3 m</t>
  </si>
  <si>
    <t>18</t>
  </si>
  <si>
    <t>569841111</t>
  </si>
  <si>
    <t>19</t>
  </si>
  <si>
    <t>572531132</t>
  </si>
  <si>
    <t>Oprava trhlin asfaltovou sanační hmotou š do 50 mm</t>
  </si>
  <si>
    <t>20</t>
  </si>
  <si>
    <t>573231001</t>
  </si>
  <si>
    <t>Postřik živičný spojovací ze silniční emulze v množství do 0,4 kg/m2</t>
  </si>
  <si>
    <t>573231101</t>
  </si>
  <si>
    <t>Postřik živičný spojovací ze silniční emulze v množství do 0,2 kg/m2</t>
  </si>
  <si>
    <t>22</t>
  </si>
  <si>
    <t>573231111</t>
  </si>
  <si>
    <t>Postřik živičný spojovací ze silniční emulze v množství do 0,7 kg/m2</t>
  </si>
  <si>
    <t>23</t>
  </si>
  <si>
    <t>577144221</t>
  </si>
  <si>
    <t>Asfaltový beton vrstva obrusná ACO 11 (ABS) tř. II tl 50 mm š přes 3 m z nemodifikovaného asfaltu</t>
  </si>
  <si>
    <t>24</t>
  </si>
  <si>
    <t>577144211</t>
  </si>
  <si>
    <t>Asfaltový beton vrstva obrusná ACO 11 (ABS) tř. II tl 50 mm š do 3 m z nemodifikovaného asfaltu</t>
  </si>
  <si>
    <t>25</t>
  </si>
  <si>
    <t>577145122</t>
  </si>
  <si>
    <t>Asfaltový beton vrstva ložní ACL 16 (ABH) tl 50 mm š přes 3 m z nemodifikovaného asfaltu</t>
  </si>
  <si>
    <t>26</t>
  </si>
  <si>
    <t>594411111</t>
  </si>
  <si>
    <t>Dlažba z lomového kamene s provedením lože z MC</t>
  </si>
  <si>
    <t>27</t>
  </si>
  <si>
    <t>912211111</t>
  </si>
  <si>
    <t>Montáž směrového sloupku silničního plastového prosté uložení bez betonového základu</t>
  </si>
  <si>
    <t>kus</t>
  </si>
  <si>
    <t>28</t>
  </si>
  <si>
    <t>404451501</t>
  </si>
  <si>
    <t>sloupek směrový (Z 11a, Z11b) bílý</t>
  </si>
  <si>
    <t>29</t>
  </si>
  <si>
    <t>404451502</t>
  </si>
  <si>
    <t>sloupek směrový (Z 11c, Z11d) červený</t>
  </si>
  <si>
    <t>30</t>
  </si>
  <si>
    <t>914111111</t>
  </si>
  <si>
    <t>Montáž svislé dopravní značky do velikosti 1 m2 objímkami na sloupek nebo konzolu</t>
  </si>
  <si>
    <t>31</t>
  </si>
  <si>
    <t>404440001</t>
  </si>
  <si>
    <t>dopravní značka  IS 12a</t>
  </si>
  <si>
    <t>32</t>
  </si>
  <si>
    <t>404440002</t>
  </si>
  <si>
    <t>dopravní značka  IS 12b</t>
  </si>
  <si>
    <t>33</t>
  </si>
  <si>
    <t>404440003</t>
  </si>
  <si>
    <t>dopravní značka  IS 4b</t>
  </si>
  <si>
    <t>34</t>
  </si>
  <si>
    <t>404440004</t>
  </si>
  <si>
    <t>dopravní značka  IS 3b</t>
  </si>
  <si>
    <t>35</t>
  </si>
  <si>
    <t>404440005</t>
  </si>
  <si>
    <t>dopravní značka  IS 3d</t>
  </si>
  <si>
    <t>36</t>
  </si>
  <si>
    <t>404440006</t>
  </si>
  <si>
    <t>dopravní značka  IS 21b</t>
  </si>
  <si>
    <t>37</t>
  </si>
  <si>
    <t>404440007</t>
  </si>
  <si>
    <t>dopravní značka  A2b</t>
  </si>
  <si>
    <t>38</t>
  </si>
  <si>
    <t>404440008</t>
  </si>
  <si>
    <t>dopravní značka  A2a</t>
  </si>
  <si>
    <t>39</t>
  </si>
  <si>
    <t>404440009</t>
  </si>
  <si>
    <t>dopravní značka  P1</t>
  </si>
  <si>
    <t>40</t>
  </si>
  <si>
    <t>404440010</t>
  </si>
  <si>
    <t>dopravní značka  P2</t>
  </si>
  <si>
    <t>41</t>
  </si>
  <si>
    <t>404440011</t>
  </si>
  <si>
    <t>dopravní značka  E2b</t>
  </si>
  <si>
    <t>42</t>
  </si>
  <si>
    <t>404440012</t>
  </si>
  <si>
    <t>dopravní značka  E4 - 1,5km</t>
  </si>
  <si>
    <t>43</t>
  </si>
  <si>
    <t>914511112</t>
  </si>
  <si>
    <t>Montáž sloupku dopravních značek délky do 3,5 m s betonovým základem a patkou</t>
  </si>
  <si>
    <t>44</t>
  </si>
  <si>
    <t>404452251</t>
  </si>
  <si>
    <t>sloupke Zn</t>
  </si>
  <si>
    <t>45</t>
  </si>
  <si>
    <t>404452401</t>
  </si>
  <si>
    <t>patka hliníková</t>
  </si>
  <si>
    <t>46</t>
  </si>
  <si>
    <t>404452530</t>
  </si>
  <si>
    <t>víčko plastové na sloupek 60</t>
  </si>
  <si>
    <t>47</t>
  </si>
  <si>
    <t>915211112</t>
  </si>
  <si>
    <t>Vodorovné dopravní značení retroreflexním bílým plastem dělící čáry souvislé šířky 125 mm</t>
  </si>
  <si>
    <t>48</t>
  </si>
  <si>
    <t>915611111</t>
  </si>
  <si>
    <t>Předznačení vodorovného liniového značení</t>
  </si>
  <si>
    <t>49</t>
  </si>
  <si>
    <t>919112221</t>
  </si>
  <si>
    <t>Řezání spár pro vytvoření komůrky š 15 mm hl 20 mm pro těsnící zálivku v živičném krytu</t>
  </si>
  <si>
    <t>50</t>
  </si>
  <si>
    <t>919521130</t>
  </si>
  <si>
    <t>Zřízení silničního propustku z trub betonových nebo ŽB DN 500</t>
  </si>
  <si>
    <t>51</t>
  </si>
  <si>
    <t>592225431</t>
  </si>
  <si>
    <t>trouba hrdlová přímá železobetonová s integrovaným těsněním DN 500</t>
  </si>
  <si>
    <t>52</t>
  </si>
  <si>
    <t>919535555</t>
  </si>
  <si>
    <t>Obetonování trubního propustku betonem prostým</t>
  </si>
  <si>
    <t>53</t>
  </si>
  <si>
    <t>919721222</t>
  </si>
  <si>
    <t>Geomříž pro vyztužení asfaltového povrchu ze skelných vláken s geotextilií pevnost 50 kN/m</t>
  </si>
  <si>
    <t>54</t>
  </si>
  <si>
    <t>919731121</t>
  </si>
  <si>
    <t>Zarovnání styčné plochy podkladu nebo krytu živičného tl do 50 mm+ošetřní pružnou modifikovanou zálivkou</t>
  </si>
  <si>
    <t>55</t>
  </si>
  <si>
    <t>919735112</t>
  </si>
  <si>
    <t>Řezání stávajícího živičného krytu hl do 100 mm</t>
  </si>
  <si>
    <t>56</t>
  </si>
  <si>
    <t>938902152</t>
  </si>
  <si>
    <t>Čistění příkopů strojně příkopovou frézou š dna přes 400 mm</t>
  </si>
  <si>
    <t>938908491</t>
  </si>
  <si>
    <t>Pročištění stávajícího propustku do DN 500 mm</t>
  </si>
  <si>
    <t>938909311</t>
  </si>
  <si>
    <t>Čištění vozovek metením strojně podkladu nebo krytu betonového nebo živičného</t>
  </si>
  <si>
    <t>938909611</t>
  </si>
  <si>
    <t>Odstranění nánosu na krajnicích tl do 100 mm</t>
  </si>
  <si>
    <t>961041211</t>
  </si>
  <si>
    <t>Bourání základů z betonu prostého čel propustků</t>
  </si>
  <si>
    <t>997221561</t>
  </si>
  <si>
    <t>Vodorovná doprava suti z kusových materiálů do 1 km</t>
  </si>
  <si>
    <t>997221569</t>
  </si>
  <si>
    <t>Příplatek ZKD 1 km u vodorovné dopravy suti z kusových materiálů</t>
  </si>
  <si>
    <t>997221611</t>
  </si>
  <si>
    <t>Nakládání suti na dopravní prostředky pro vodorovnou dopravu</t>
  </si>
  <si>
    <t>997221815</t>
  </si>
  <si>
    <t>Poplatek za uložení betonového odpadu na skládce (skládkovné)</t>
  </si>
  <si>
    <t>997221855</t>
  </si>
  <si>
    <t>Poplatek za uložení odpadu z kameniva na skládce (skládkovné)</t>
  </si>
  <si>
    <t>998225111</t>
  </si>
  <si>
    <t>Přesun hmot pro pozemní komunikace s krytem z kamene, monolitickým betonovým nebo živičným</t>
  </si>
  <si>
    <t>012002001</t>
  </si>
  <si>
    <t>Vytýčení inženýrských sítí, geodetické práce</t>
  </si>
  <si>
    <t>Kč</t>
  </si>
  <si>
    <t>1024</t>
  </si>
  <si>
    <t>030001000</t>
  </si>
  <si>
    <t>Zařízení staveniště</t>
  </si>
  <si>
    <t>SO 102 - II/235 a II/233 Mlečice-Chlum</t>
  </si>
  <si>
    <t>113154321</t>
  </si>
  <si>
    <t>911334641</t>
  </si>
  <si>
    <t>dopravní značka  E2</t>
  </si>
  <si>
    <t>919521120</t>
  </si>
  <si>
    <t>Zřízení silničního propustku z trub betonových nebo ŽB DN 400</t>
  </si>
  <si>
    <t>592225401</t>
  </si>
  <si>
    <t>trouba hrdlová přímá železobet. s integrovaným těsněním DN 400 mm</t>
  </si>
  <si>
    <t>938908492</t>
  </si>
  <si>
    <t>Pročištění stávajícího propustku do DN 400 mm</t>
  </si>
  <si>
    <t>966076141</t>
  </si>
  <si>
    <t>Odstranění svodidla NHKG vcelku</t>
  </si>
  <si>
    <t>SO 103 - BUS zastávky - Terešovská huť</t>
  </si>
  <si>
    <t>122201101</t>
  </si>
  <si>
    <t>Odkopávky a prokopávky nezapažené v hornině tř. 3 objem do 100 m3</t>
  </si>
  <si>
    <t>122201109</t>
  </si>
  <si>
    <t>567122114</t>
  </si>
  <si>
    <t>Podklad ze směsi stmelené cementem SC C 8/10 (KSC I) tl 150 mm</t>
  </si>
  <si>
    <t>596211111</t>
  </si>
  <si>
    <t>Kladení zámkové dlažby komunikací pro pěší tl 60 mm skupiny A pl do 100 m2</t>
  </si>
  <si>
    <t>592453080</t>
  </si>
  <si>
    <t>dlažba 20 x 10 x 6 cm přírodní</t>
  </si>
  <si>
    <t>592452670</t>
  </si>
  <si>
    <t>dlažba pro nevidomé 20 x 10 x 6 cm barevná</t>
  </si>
  <si>
    <t>596212210</t>
  </si>
  <si>
    <t>Kladení zámkové dlažby pozemních komunikací tl 80 mm skupiny A pl do 50 m2</t>
  </si>
  <si>
    <t>592453110</t>
  </si>
  <si>
    <t>dlažba  20 x 10 x 8 cm přírodní</t>
  </si>
  <si>
    <t>915231116</t>
  </si>
  <si>
    <t>Vodorovné dopravní značení retroreflexním žlutým plastem přechody pro chodce, šipky nebo symboly</t>
  </si>
  <si>
    <t>915621111</t>
  </si>
  <si>
    <t>Předznačení vodorovného plošného značení</t>
  </si>
  <si>
    <t>916131213</t>
  </si>
  <si>
    <t>Osazení silničního obrubníku betonového stojatého s boční opěrou do lože z betonu prostého</t>
  </si>
  <si>
    <t>592175031</t>
  </si>
  <si>
    <t>916231213</t>
  </si>
  <si>
    <t>Osazení chodníkového obrubníku betonového stojatého s boční opěrou do lože z betonu prostého</t>
  </si>
  <si>
    <t>592175090</t>
  </si>
  <si>
    <t>obrubníkI 100x8x25 cm přírodní ( vč. doplňkových obrubníků)</t>
  </si>
  <si>
    <t>SO 104 - DIO</t>
  </si>
  <si>
    <t xml:space="preserve">    9-1 - Ostatní konstrukce -DIO-úsek I</t>
  </si>
  <si>
    <t xml:space="preserve">    9-2 - Ostatní konstrukce -DIO-úsek II</t>
  </si>
  <si>
    <t xml:space="preserve">    9-3 - Ostatní konstrukce -DIO-úsek III</t>
  </si>
  <si>
    <t xml:space="preserve">    9-4 - Ostatní konstrukce -DIO-úsek IV</t>
  </si>
  <si>
    <t xml:space="preserve">    VRN9 - Ostatní náklady</t>
  </si>
  <si>
    <t>913111115</t>
  </si>
  <si>
    <t>Montáž a demontáž dočasné dopravní značky samostatné základní</t>
  </si>
  <si>
    <t>913111215</t>
  </si>
  <si>
    <t>Příplatek k dočasné dopravní značce samostatné základní za první a ZKD den použití</t>
  </si>
  <si>
    <t>913121111</t>
  </si>
  <si>
    <t>Montáž a demontáž dočasné dopravní značky kompletní základní</t>
  </si>
  <si>
    <t>913121211</t>
  </si>
  <si>
    <t>Příplatek k dočasné dopravní značce kompletní základní za první a ZKD den použití</t>
  </si>
  <si>
    <t>913121112</t>
  </si>
  <si>
    <t>Montáž a demontáž dočasné dopravní značky kompletní zvětšené</t>
  </si>
  <si>
    <t>913121212</t>
  </si>
  <si>
    <t>Příplatek k dočasné dopravní značce kompletní zvětšené za první a ZKD den použití</t>
  </si>
  <si>
    <t>913221112</t>
  </si>
  <si>
    <t>Montáž a demontáž dočasné dopravní zábrany Z2 světelné šířky 2,5 m s 5 světly</t>
  </si>
  <si>
    <t>913221212</t>
  </si>
  <si>
    <t>Příplatek k dočasné dopravní zábraně Z2 světelné šířky 2,5m s 5 světly za první a ZKD den použití</t>
  </si>
  <si>
    <t>913411111</t>
  </si>
  <si>
    <t>Montáž a demontáž mobilní semaforové soupravy se 2 semafory</t>
  </si>
  <si>
    <t>913411211</t>
  </si>
  <si>
    <t>Příplatek k dočasné mobilní semaforové soupravě se 2 semafory za první a ZKD den použití</t>
  </si>
  <si>
    <t>913211112</t>
  </si>
  <si>
    <t>Montáž a demontáž dočasné dopravní zábrany Z2 reflexní šířky 2,5 m</t>
  </si>
  <si>
    <t>913211212</t>
  </si>
  <si>
    <t>Příplatek k dočasné dopravní zábraně Z2 reflexní 2,5 m za první a ZKD den použití</t>
  </si>
  <si>
    <t>913321111</t>
  </si>
  <si>
    <t>Montáž a demontáž dočasné dopravní směrové desky základní Z4</t>
  </si>
  <si>
    <t>913321211</t>
  </si>
  <si>
    <t>Příplatek k dočasné směrové desce základní Z4 za první a ZKD den použití</t>
  </si>
  <si>
    <t>053103000</t>
  </si>
  <si>
    <t xml:space="preserve">Zajištění stanoviska dopravního inspektorátu  a správního úřadu </t>
  </si>
  <si>
    <t>Silniční ocelové svodidlo JSNH4 - N2</t>
  </si>
  <si>
    <t xml:space="preserve">Příplatek za lepivost u odkopávek v hornině tř. 1-3 </t>
  </si>
  <si>
    <t>obrubník, přírodní 100x15/12x30 cm (vč. Doplňkových obrubníků)</t>
  </si>
  <si>
    <r>
      <t xml:space="preserve">Zpevnění krajnic  asfaltovým recyklátem tl. 120 mm.  </t>
    </r>
    <r>
      <rPr>
        <i/>
        <sz val="8"/>
        <color indexed="30"/>
        <rFont val="Trebuchet MS"/>
        <family val="2"/>
      </rPr>
      <t>Bude použit asfaltový recyklát získaný na stavbě.</t>
    </r>
  </si>
  <si>
    <r>
      <t>Frézování živičného krytu tl do 30 mm pruh š 2 m pl do 10000 m2 bez překážek v trase (srovnání stávajícího povrchu)</t>
    </r>
    <r>
      <rPr>
        <i/>
        <sz val="8"/>
        <color indexed="56"/>
        <rFont val="Trebuchet MS"/>
        <family val="2"/>
      </rPr>
      <t xml:space="preserve"> </t>
    </r>
  </si>
  <si>
    <r>
      <t xml:space="preserve">Zpevnění krajnic asfaltovým recyklátem tl 120 mm. </t>
    </r>
    <r>
      <rPr>
        <sz val="8"/>
        <color indexed="30"/>
        <rFont val="Trebuchet MS"/>
        <family val="2"/>
      </rPr>
      <t>Bude použit asf. recyklát získaný na stavbě.</t>
    </r>
  </si>
  <si>
    <r>
      <rPr>
        <i/>
        <sz val="8"/>
        <rFont val="Trebuchet MS"/>
        <family val="2"/>
      </rPr>
      <t xml:space="preserve">Frézování živičného krytu tl. do  30 mm pruh š 1 m pl do 10000 m2 bez překážek v trase (srovnání stávajícího povrchu)      </t>
    </r>
    <r>
      <rPr>
        <i/>
        <sz val="8"/>
        <color indexed="12"/>
        <rFont val="Trebuchet MS"/>
        <family val="2"/>
      </rPr>
      <t xml:space="preserve">                                    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</si>
</sst>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.000_ ;\-#,##0.000\ "/>
    <numFmt numFmtId="170" formatCode="#,##0.00_ ;\-#,##0.00\ "/>
  </numFmts>
  <fonts count="69">
    <font>
      <sz val="8"/>
      <name val="Trebuchet MS"/>
      <family val="2"/>
    </font>
    <font>
      <sz val="10"/>
      <name val="Arial"/>
      <family val="0"/>
    </font>
    <font>
      <sz val="8"/>
      <color indexed="43"/>
      <name val="Trebuchet MS"/>
      <family val="2"/>
    </font>
    <font>
      <sz val="10"/>
      <color indexed="16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0"/>
      <color indexed="63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i/>
      <sz val="8"/>
      <color indexed="12"/>
      <name val="Trebuchet MS"/>
      <family val="2"/>
    </font>
    <font>
      <i/>
      <sz val="8"/>
      <color indexed="30"/>
      <name val="Trebuchet MS"/>
      <family val="2"/>
    </font>
    <font>
      <i/>
      <sz val="8"/>
      <name val="Trebuchet MS"/>
      <family val="2"/>
    </font>
    <font>
      <i/>
      <sz val="8"/>
      <color indexed="5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3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8"/>
      <color rgb="FF0070C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59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2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3" fillId="3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8" fillId="34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horizontal="left" vertical="center"/>
    </xf>
    <xf numFmtId="0" fontId="8" fillId="34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0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164" fontId="23" fillId="0" borderId="0" xfId="0" applyNumberFormat="1" applyFont="1" applyBorder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7" fontId="23" fillId="0" borderId="0" xfId="0" applyNumberFormat="1" applyFont="1" applyAlignment="1">
      <alignment horizontal="right" vertical="center"/>
    </xf>
    <xf numFmtId="167" fontId="23" fillId="0" borderId="0" xfId="0" applyNumberFormat="1" applyFont="1" applyBorder="1" applyAlignment="1">
      <alignment horizontal="right" vertical="center"/>
    </xf>
    <xf numFmtId="0" fontId="18" fillId="34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8" fillId="34" borderId="0" xfId="0" applyFont="1" applyFill="1" applyBorder="1" applyAlignment="1">
      <alignment horizontal="right" vertical="center"/>
    </xf>
    <xf numFmtId="0" fontId="24" fillId="0" borderId="13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6" fillId="0" borderId="0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8" fillId="0" borderId="13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167" fontId="28" fillId="0" borderId="0" xfId="0" applyNumberFormat="1" applyFont="1" applyAlignment="1">
      <alignment horizontal="right"/>
    </xf>
    <xf numFmtId="167" fontId="28" fillId="0" borderId="0" xfId="0" applyNumberFormat="1" applyFont="1" applyBorder="1" applyAlignment="1">
      <alignment horizontal="right"/>
    </xf>
    <xf numFmtId="0" fontId="28" fillId="0" borderId="0" xfId="0" applyFont="1" applyAlignment="1">
      <alignment horizontal="left"/>
    </xf>
    <xf numFmtId="164" fontId="28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68" fontId="0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167" fontId="12" fillId="0" borderId="0" xfId="0" applyNumberFormat="1" applyFont="1" applyAlignment="1">
      <alignment horizontal="right" vertical="center"/>
    </xf>
    <xf numFmtId="167" fontId="12" fillId="0" borderId="0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168" fontId="29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0" fillId="33" borderId="0" xfId="0" applyFont="1" applyFill="1" applyAlignment="1" applyProtection="1">
      <alignment horizontal="left" vertical="top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165" fontId="12" fillId="0" borderId="0" xfId="0" applyNumberFormat="1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0" fillId="34" borderId="0" xfId="0" applyFill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right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24" fillId="0" borderId="13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25" fillId="0" borderId="13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14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8" fillId="34" borderId="0" xfId="0" applyFont="1" applyFill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167" fontId="26" fillId="0" borderId="0" xfId="0" applyNumberFormat="1" applyFont="1" applyBorder="1" applyAlignment="1" applyProtection="1">
      <alignment horizontal="right"/>
      <protection/>
    </xf>
    <xf numFmtId="164" fontId="27" fillId="0" borderId="0" xfId="0" applyNumberFormat="1" applyFont="1" applyAlignment="1" applyProtection="1">
      <alignment horizontal="right" vertical="center"/>
      <protection/>
    </xf>
    <xf numFmtId="0" fontId="28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0" fontId="28" fillId="0" borderId="14" xfId="0" applyFont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 horizontal="left"/>
      <protection/>
    </xf>
    <xf numFmtId="167" fontId="28" fillId="0" borderId="0" xfId="0" applyNumberFormat="1" applyFont="1" applyAlignment="1" applyProtection="1">
      <alignment horizontal="right"/>
      <protection/>
    </xf>
    <xf numFmtId="167" fontId="28" fillId="0" borderId="0" xfId="0" applyNumberFormat="1" applyFont="1" applyBorder="1" applyAlignment="1" applyProtection="1">
      <alignment horizontal="right"/>
      <protection/>
    </xf>
    <xf numFmtId="0" fontId="28" fillId="0" borderId="0" xfId="0" applyFont="1" applyAlignment="1" applyProtection="1">
      <alignment horizontal="left"/>
      <protection/>
    </xf>
    <xf numFmtId="164" fontId="28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68" fontId="0" fillId="0" borderId="0" xfId="0" applyNumberFormat="1" applyFont="1" applyBorder="1" applyAlignment="1" applyProtection="1">
      <alignment horizontal="right" vertical="center"/>
      <protection/>
    </xf>
    <xf numFmtId="167" fontId="12" fillId="0" borderId="0" xfId="0" applyNumberFormat="1" applyFont="1" applyAlignment="1" applyProtection="1">
      <alignment horizontal="right" vertical="center"/>
      <protection/>
    </xf>
    <xf numFmtId="167" fontId="12" fillId="0" borderId="0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68" fontId="0" fillId="0" borderId="0" xfId="0" applyNumberFormat="1" applyFont="1" applyFill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horizontal="center" vertical="center"/>
      <protection/>
    </xf>
    <xf numFmtId="49" fontId="29" fillId="0" borderId="0" xfId="0" applyNumberFormat="1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168" fontId="2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/>
      <protection/>
    </xf>
    <xf numFmtId="164" fontId="0" fillId="0" borderId="0" xfId="0" applyNumberFormat="1" applyFont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center" vertical="center"/>
      <protection/>
    </xf>
    <xf numFmtId="49" fontId="29" fillId="0" borderId="0" xfId="0" applyNumberFormat="1" applyFont="1" applyBorder="1" applyAlignment="1" applyProtection="1">
      <alignment horizontal="left" vertical="center" wrapText="1"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168" fontId="29" fillId="0" borderId="0" xfId="0" applyNumberFormat="1" applyFont="1" applyBorder="1" applyAlignment="1" applyProtection="1">
      <alignment horizontal="right" vertical="center"/>
      <protection/>
    </xf>
    <xf numFmtId="0" fontId="68" fillId="0" borderId="0" xfId="0" applyFont="1" applyFill="1" applyBorder="1" applyAlignment="1" applyProtection="1">
      <alignment horizontal="center" vertical="center" wrapText="1"/>
      <protection/>
    </xf>
    <xf numFmtId="168" fontId="68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top"/>
      <protection/>
    </xf>
    <xf numFmtId="164" fontId="18" fillId="34" borderId="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left" vertical="center" wrapText="1"/>
    </xf>
    <xf numFmtId="164" fontId="22" fillId="0" borderId="0" xfId="0" applyNumberFormat="1" applyFont="1" applyBorder="1" applyAlignment="1">
      <alignment horizontal="right" vertical="center"/>
    </xf>
    <xf numFmtId="164" fontId="1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165" fontId="12" fillId="0" borderId="0" xfId="0" applyNumberFormat="1" applyFont="1" applyBorder="1" applyAlignment="1">
      <alignment horizontal="right" vertical="center"/>
    </xf>
    <xf numFmtId="164" fontId="13" fillId="0" borderId="0" xfId="0" applyNumberFormat="1" applyFont="1" applyBorder="1" applyAlignment="1">
      <alignment horizontal="right" vertical="center"/>
    </xf>
    <xf numFmtId="0" fontId="8" fillId="34" borderId="0" xfId="0" applyFont="1" applyFill="1" applyBorder="1" applyAlignment="1">
      <alignment horizontal="left" vertical="center"/>
    </xf>
    <xf numFmtId="164" fontId="8" fillId="34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 vertical="center"/>
    </xf>
    <xf numFmtId="164" fontId="11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164" fontId="0" fillId="0" borderId="0" xfId="0" applyNumberFormat="1" applyFont="1" applyBorder="1" applyAlignment="1" applyProtection="1">
      <alignment horizontal="right" vertical="center"/>
      <protection/>
    </xf>
    <xf numFmtId="164" fontId="24" fillId="0" borderId="0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164" fontId="29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6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29" fillId="0" borderId="0" xfId="0" applyFont="1" applyFill="1" applyBorder="1" applyAlignment="1" applyProtection="1">
      <alignment horizontal="left" vertical="center" wrapText="1"/>
      <protection/>
    </xf>
    <xf numFmtId="164" fontId="29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34" borderId="0" xfId="0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Border="1" applyAlignment="1" applyProtection="1">
      <alignment horizontal="right"/>
      <protection/>
    </xf>
    <xf numFmtId="164" fontId="18" fillId="34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166" fontId="7" fillId="0" borderId="0" xfId="0" applyNumberFormat="1" applyFont="1" applyBorder="1" applyAlignment="1" applyProtection="1">
      <alignment horizontal="left" vertical="top"/>
      <protection/>
    </xf>
    <xf numFmtId="164" fontId="25" fillId="0" borderId="0" xfId="0" applyNumberFormat="1" applyFont="1" applyBorder="1" applyAlignment="1" applyProtection="1">
      <alignment horizontal="right" vertical="center"/>
      <protection/>
    </xf>
    <xf numFmtId="164" fontId="24" fillId="0" borderId="0" xfId="0" applyNumberFormat="1" applyFont="1" applyBorder="1" applyAlignment="1" applyProtection="1">
      <alignment horizontal="right" vertical="center"/>
      <protection/>
    </xf>
    <xf numFmtId="164" fontId="18" fillId="0" borderId="0" xfId="0" applyNumberFormat="1" applyFont="1" applyBorder="1" applyAlignment="1" applyProtection="1">
      <alignment horizontal="right"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164" fontId="12" fillId="0" borderId="0" xfId="0" applyNumberFormat="1" applyFont="1" applyBorder="1" applyAlignment="1" applyProtection="1">
      <alignment horizontal="right" vertical="center"/>
      <protection/>
    </xf>
    <xf numFmtId="164" fontId="8" fillId="34" borderId="0" xfId="0" applyNumberFormat="1" applyFont="1" applyFill="1" applyBorder="1" applyAlignment="1" applyProtection="1">
      <alignment horizontal="right" vertical="center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Border="1" applyAlignment="1" applyProtection="1">
      <alignment horizontal="right" vertical="center"/>
      <protection/>
    </xf>
    <xf numFmtId="164" fontId="11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29" fillId="0" borderId="0" xfId="0" applyFont="1" applyBorder="1" applyAlignment="1">
      <alignment horizontal="left" vertical="center" wrapText="1"/>
    </xf>
    <xf numFmtId="164" fontId="29" fillId="0" borderId="0" xfId="0" applyNumberFormat="1" applyFont="1" applyBorder="1" applyAlignment="1">
      <alignment horizontal="right" vertical="center"/>
    </xf>
    <xf numFmtId="164" fontId="25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vertical="center" wrapText="1"/>
    </xf>
    <xf numFmtId="164" fontId="0" fillId="0" borderId="0" xfId="0" applyNumberFormat="1" applyFont="1" applyBorder="1" applyAlignment="1">
      <alignment horizontal="right" vertical="center"/>
    </xf>
    <xf numFmtId="0" fontId="7" fillId="34" borderId="0" xfId="0" applyFont="1" applyFill="1" applyBorder="1" applyAlignment="1">
      <alignment horizontal="center" vertical="center" wrapText="1"/>
    </xf>
    <xf numFmtId="164" fontId="18" fillId="0" borderId="0" xfId="0" applyNumberFormat="1" applyFont="1" applyBorder="1" applyAlignment="1">
      <alignment horizontal="right"/>
    </xf>
    <xf numFmtId="164" fontId="2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vertical="center" wrapText="1"/>
    </xf>
    <xf numFmtId="166" fontId="7" fillId="0" borderId="0" xfId="0" applyNumberFormat="1" applyFont="1" applyBorder="1" applyAlignment="1">
      <alignment horizontal="left" vertical="top"/>
    </xf>
    <xf numFmtId="164" fontId="24" fillId="0" borderId="0" xfId="0" applyNumberFormat="1" applyFont="1" applyBorder="1" applyAlignment="1">
      <alignment horizontal="right" vertical="center"/>
    </xf>
    <xf numFmtId="164" fontId="25" fillId="0" borderId="0" xfId="0" applyNumberFormat="1" applyFont="1" applyBorder="1" applyAlignment="1">
      <alignment horizontal="right" vertical="center"/>
    </xf>
    <xf numFmtId="164" fontId="12" fillId="0" borderId="0" xfId="0" applyNumberFormat="1" applyFont="1" applyBorder="1" applyAlignment="1">
      <alignment horizontal="right" vertical="center"/>
    </xf>
    <xf numFmtId="0" fontId="0" fillId="33" borderId="0" xfId="0" applyFill="1" applyBorder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85"/>
  <sheetViews>
    <sheetView showGridLines="0" defaultGridColor="0" zoomScalePageLayoutView="0" colorId="8" workbookViewId="0" topLeftCell="A1">
      <pane ySplit="1" topLeftCell="A65" activePane="bottomLeft" state="frozen"/>
      <selection pane="topLeft" activeCell="F164" sqref="F164:I164"/>
      <selection pane="bottomLeft" activeCell="AE93" sqref="AE93"/>
    </sheetView>
  </sheetViews>
  <sheetFormatPr defaultColWidth="10.6601562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33" width="2.5" style="1" customWidth="1"/>
    <col min="34" max="34" width="3.33203125" style="1" customWidth="1"/>
    <col min="35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015625" style="1" customWidth="1"/>
    <col min="43" max="43" width="1.66796875" style="1" customWidth="1"/>
    <col min="44" max="44" width="10.66015625" style="2" customWidth="1"/>
    <col min="45" max="56" width="0" style="1" hidden="1" customWidth="1"/>
    <col min="57" max="57" width="66.5" style="1" customWidth="1"/>
    <col min="58" max="70" width="10.66015625" style="2" customWidth="1"/>
    <col min="71" max="89" width="0" style="1" hidden="1" customWidth="1"/>
    <col min="90" max="16384" width="10.66015625" style="2" customWidth="1"/>
  </cols>
  <sheetData>
    <row r="1" spans="1:73" s="4" customFormat="1" ht="22.5" customHeight="1">
      <c r="A1" s="3" t="s">
        <v>0</v>
      </c>
      <c r="D1" s="5" t="s">
        <v>1</v>
      </c>
      <c r="BA1" s="3" t="s">
        <v>2</v>
      </c>
      <c r="BT1" s="3" t="s">
        <v>3</v>
      </c>
      <c r="BU1" s="3" t="s">
        <v>3</v>
      </c>
    </row>
    <row r="2" spans="3:72" s="1" customFormat="1" ht="37.5" customHeight="1"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S2" s="6" t="s">
        <v>4</v>
      </c>
      <c r="BT2" s="6" t="s">
        <v>5</v>
      </c>
    </row>
    <row r="3" spans="2:72" s="1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4</v>
      </c>
      <c r="BT3" s="6" t="s">
        <v>6</v>
      </c>
    </row>
    <row r="4" spans="2:71" s="1" customFormat="1" ht="37.5" customHeight="1">
      <c r="B4" s="10"/>
      <c r="C4" s="205" t="s">
        <v>7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11"/>
      <c r="AS4" s="12" t="s">
        <v>8</v>
      </c>
      <c r="BS4" s="6" t="s">
        <v>9</v>
      </c>
    </row>
    <row r="5" spans="2:71" s="1" customFormat="1" ht="15" customHeight="1">
      <c r="B5" s="10"/>
      <c r="D5" s="13" t="s">
        <v>10</v>
      </c>
      <c r="K5" s="198" t="s">
        <v>11</v>
      </c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Q5" s="11"/>
      <c r="BS5" s="6" t="s">
        <v>4</v>
      </c>
    </row>
    <row r="6" spans="2:71" s="1" customFormat="1" ht="37.5" customHeight="1">
      <c r="B6" s="10"/>
      <c r="D6" s="14" t="s">
        <v>12</v>
      </c>
      <c r="K6" s="210" t="s">
        <v>13</v>
      </c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Q6" s="11"/>
      <c r="BS6" s="6" t="s">
        <v>14</v>
      </c>
    </row>
    <row r="7" spans="2:71" s="1" customFormat="1" ht="15" customHeight="1">
      <c r="B7" s="10"/>
      <c r="D7" s="15" t="s">
        <v>15</v>
      </c>
      <c r="K7" s="16"/>
      <c r="AK7" s="15" t="s">
        <v>16</v>
      </c>
      <c r="AN7" s="16"/>
      <c r="AQ7" s="11"/>
      <c r="BS7" s="6" t="s">
        <v>17</v>
      </c>
    </row>
    <row r="8" spans="2:71" s="1" customFormat="1" ht="15" customHeight="1">
      <c r="B8" s="10"/>
      <c r="D8" s="15" t="s">
        <v>18</v>
      </c>
      <c r="K8" s="16" t="s">
        <v>19</v>
      </c>
      <c r="AK8" s="15" t="s">
        <v>20</v>
      </c>
      <c r="AN8" s="16" t="s">
        <v>21</v>
      </c>
      <c r="AQ8" s="11"/>
      <c r="BS8" s="6" t="s">
        <v>22</v>
      </c>
    </row>
    <row r="9" spans="2:71" s="1" customFormat="1" ht="15" customHeight="1">
      <c r="B9" s="10"/>
      <c r="AQ9" s="11"/>
      <c r="BS9" s="6" t="s">
        <v>23</v>
      </c>
    </row>
    <row r="10" spans="2:71" s="1" customFormat="1" ht="15" customHeight="1">
      <c r="B10" s="10"/>
      <c r="D10" s="15" t="s">
        <v>24</v>
      </c>
      <c r="AK10" s="15" t="s">
        <v>25</v>
      </c>
      <c r="AN10" s="16"/>
      <c r="AQ10" s="11"/>
      <c r="BS10" s="6" t="s">
        <v>14</v>
      </c>
    </row>
    <row r="11" spans="2:71" s="1" customFormat="1" ht="19.5" customHeight="1">
      <c r="B11" s="10"/>
      <c r="E11" s="16" t="s">
        <v>26</v>
      </c>
      <c r="AK11" s="15" t="s">
        <v>27</v>
      </c>
      <c r="AN11" s="16"/>
      <c r="AQ11" s="11"/>
      <c r="BS11" s="6" t="s">
        <v>14</v>
      </c>
    </row>
    <row r="12" spans="2:71" s="1" customFormat="1" ht="7.5" customHeight="1">
      <c r="B12" s="10"/>
      <c r="AQ12" s="11"/>
      <c r="BS12" s="6" t="s">
        <v>14</v>
      </c>
    </row>
    <row r="13" spans="2:71" s="1" customFormat="1" ht="15" customHeight="1">
      <c r="B13" s="10"/>
      <c r="D13" s="15" t="s">
        <v>28</v>
      </c>
      <c r="AK13" s="15" t="s">
        <v>25</v>
      </c>
      <c r="AN13" s="16"/>
      <c r="AQ13" s="11"/>
      <c r="BS13" s="6" t="s">
        <v>14</v>
      </c>
    </row>
    <row r="14" spans="2:71" s="1" customFormat="1" ht="15.75" customHeight="1">
      <c r="B14" s="10"/>
      <c r="E14" s="16" t="s">
        <v>19</v>
      </c>
      <c r="AK14" s="15" t="s">
        <v>27</v>
      </c>
      <c r="AN14" s="16"/>
      <c r="AQ14" s="11"/>
      <c r="BS14" s="6" t="s">
        <v>14</v>
      </c>
    </row>
    <row r="15" spans="2:71" s="1" customFormat="1" ht="7.5" customHeight="1">
      <c r="B15" s="10"/>
      <c r="AQ15" s="11"/>
      <c r="BS15" s="6" t="s">
        <v>3</v>
      </c>
    </row>
    <row r="16" spans="2:71" s="1" customFormat="1" ht="15" customHeight="1">
      <c r="B16" s="10"/>
      <c r="D16" s="15" t="s">
        <v>29</v>
      </c>
      <c r="AK16" s="15" t="s">
        <v>25</v>
      </c>
      <c r="AN16" s="16"/>
      <c r="AQ16" s="11"/>
      <c r="BS16" s="6" t="s">
        <v>3</v>
      </c>
    </row>
    <row r="17" spans="2:71" s="1" customFormat="1" ht="19.5" customHeight="1">
      <c r="B17" s="10"/>
      <c r="E17" s="16" t="s">
        <v>30</v>
      </c>
      <c r="AK17" s="15" t="s">
        <v>27</v>
      </c>
      <c r="AN17" s="16"/>
      <c r="AQ17" s="11"/>
      <c r="BS17" s="6" t="s">
        <v>31</v>
      </c>
    </row>
    <row r="18" spans="2:71" s="1" customFormat="1" ht="7.5" customHeight="1">
      <c r="B18" s="10"/>
      <c r="AQ18" s="11"/>
      <c r="BS18" s="6" t="s">
        <v>4</v>
      </c>
    </row>
    <row r="19" spans="2:71" s="1" customFormat="1" ht="15" customHeight="1">
      <c r="B19" s="10"/>
      <c r="D19" s="15" t="s">
        <v>32</v>
      </c>
      <c r="AK19" s="15" t="s">
        <v>25</v>
      </c>
      <c r="AN19" s="16"/>
      <c r="AQ19" s="11"/>
      <c r="BS19" s="6" t="s">
        <v>4</v>
      </c>
    </row>
    <row r="20" spans="2:43" s="1" customFormat="1" ht="19.5" customHeight="1">
      <c r="B20" s="10"/>
      <c r="E20" s="16" t="s">
        <v>33</v>
      </c>
      <c r="AK20" s="15" t="s">
        <v>27</v>
      </c>
      <c r="AN20" s="16"/>
      <c r="AQ20" s="11"/>
    </row>
    <row r="21" spans="2:43" s="1" customFormat="1" ht="7.5" customHeight="1">
      <c r="B21" s="10"/>
      <c r="AQ21" s="11"/>
    </row>
    <row r="22" spans="2:43" s="1" customFormat="1" ht="7.5" customHeight="1">
      <c r="B22" s="10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Q22" s="11"/>
    </row>
    <row r="23" spans="2:43" s="1" customFormat="1" ht="15" customHeight="1">
      <c r="B23" s="10"/>
      <c r="D23" s="18" t="s">
        <v>34</v>
      </c>
      <c r="AK23" s="206">
        <f>ROUND($AG$77,2)</f>
        <v>0</v>
      </c>
      <c r="AL23" s="206"/>
      <c r="AM23" s="206"/>
      <c r="AN23" s="206"/>
      <c r="AO23" s="206"/>
      <c r="AQ23" s="11"/>
    </row>
    <row r="24" spans="2:43" s="1" customFormat="1" ht="15" customHeight="1">
      <c r="B24" s="10"/>
      <c r="D24" s="18" t="s">
        <v>35</v>
      </c>
      <c r="AK24" s="206">
        <f>ROUND($AG$82,2)</f>
        <v>0</v>
      </c>
      <c r="AL24" s="206"/>
      <c r="AM24" s="206"/>
      <c r="AN24" s="206"/>
      <c r="AO24" s="206"/>
      <c r="AQ24" s="11"/>
    </row>
    <row r="25" spans="2:43" s="6" customFormat="1" ht="7.5" customHeight="1">
      <c r="B25" s="19"/>
      <c r="AQ25" s="20"/>
    </row>
    <row r="26" spans="2:43" s="6" customFormat="1" ht="27" customHeight="1">
      <c r="B26" s="19"/>
      <c r="D26" s="21" t="s">
        <v>36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07">
        <f>ROUND($AK$23+$AK$24,2)</f>
        <v>0</v>
      </c>
      <c r="AL26" s="207"/>
      <c r="AM26" s="207"/>
      <c r="AN26" s="207"/>
      <c r="AO26" s="207"/>
      <c r="AQ26" s="20"/>
    </row>
    <row r="27" spans="2:43" s="6" customFormat="1" ht="7.5" customHeight="1">
      <c r="B27" s="19"/>
      <c r="AQ27" s="20"/>
    </row>
    <row r="28" spans="2:43" s="6" customFormat="1" ht="15" customHeight="1">
      <c r="B28" s="23"/>
      <c r="D28" s="24" t="s">
        <v>37</v>
      </c>
      <c r="F28" s="24" t="s">
        <v>38</v>
      </c>
      <c r="L28" s="201">
        <v>0.21</v>
      </c>
      <c r="M28" s="201"/>
      <c r="N28" s="201"/>
      <c r="O28" s="201"/>
      <c r="T28" s="25" t="s">
        <v>39</v>
      </c>
      <c r="W28" s="202">
        <f>AK26</f>
        <v>0</v>
      </c>
      <c r="X28" s="202"/>
      <c r="Y28" s="202"/>
      <c r="Z28" s="202"/>
      <c r="AA28" s="202"/>
      <c r="AB28" s="202"/>
      <c r="AC28" s="202"/>
      <c r="AD28" s="202"/>
      <c r="AE28" s="202"/>
      <c r="AK28" s="202">
        <f>W28*0.21</f>
        <v>0</v>
      </c>
      <c r="AL28" s="202"/>
      <c r="AM28" s="202"/>
      <c r="AN28" s="202"/>
      <c r="AO28" s="202"/>
      <c r="AQ28" s="26"/>
    </row>
    <row r="29" spans="2:43" s="6" customFormat="1" ht="15" customHeight="1">
      <c r="B29" s="23"/>
      <c r="F29" s="24" t="s">
        <v>40</v>
      </c>
      <c r="L29" s="201">
        <v>0.15</v>
      </c>
      <c r="M29" s="201"/>
      <c r="N29" s="201"/>
      <c r="O29" s="201"/>
      <c r="T29" s="25" t="s">
        <v>39</v>
      </c>
      <c r="W29" s="202">
        <v>0</v>
      </c>
      <c r="X29" s="202"/>
      <c r="Y29" s="202"/>
      <c r="Z29" s="202"/>
      <c r="AA29" s="202"/>
      <c r="AB29" s="202"/>
      <c r="AC29" s="202"/>
      <c r="AD29" s="202"/>
      <c r="AE29" s="202"/>
      <c r="AK29" s="202">
        <f>W29*0.15</f>
        <v>0</v>
      </c>
      <c r="AL29" s="202"/>
      <c r="AM29" s="202"/>
      <c r="AN29" s="202"/>
      <c r="AO29" s="202"/>
      <c r="AQ29" s="26"/>
    </row>
    <row r="30" spans="2:43" s="6" customFormat="1" ht="15" customHeight="1" hidden="1">
      <c r="B30" s="23"/>
      <c r="F30" s="24" t="s">
        <v>41</v>
      </c>
      <c r="L30" s="201">
        <v>0.21</v>
      </c>
      <c r="M30" s="201"/>
      <c r="N30" s="201"/>
      <c r="O30" s="201"/>
      <c r="T30" s="25" t="s">
        <v>39</v>
      </c>
      <c r="W30" s="202" t="e">
        <f>ROUND($BB$77+SUM($CF$83:$CF$83),2)</f>
        <v>#REF!</v>
      </c>
      <c r="X30" s="202"/>
      <c r="Y30" s="202"/>
      <c r="Z30" s="202"/>
      <c r="AA30" s="202"/>
      <c r="AB30" s="202"/>
      <c r="AC30" s="202"/>
      <c r="AD30" s="202"/>
      <c r="AE30" s="202"/>
      <c r="AK30" s="202">
        <v>0</v>
      </c>
      <c r="AL30" s="202"/>
      <c r="AM30" s="202"/>
      <c r="AN30" s="202"/>
      <c r="AO30" s="202"/>
      <c r="AQ30" s="26"/>
    </row>
    <row r="31" spans="2:43" s="6" customFormat="1" ht="15" customHeight="1" hidden="1">
      <c r="B31" s="23"/>
      <c r="F31" s="24" t="s">
        <v>42</v>
      </c>
      <c r="L31" s="201">
        <v>0.15</v>
      </c>
      <c r="M31" s="201"/>
      <c r="N31" s="201"/>
      <c r="O31" s="201"/>
      <c r="T31" s="25" t="s">
        <v>39</v>
      </c>
      <c r="W31" s="202" t="e">
        <f>ROUND($BC$77+SUM($CG$83:$CG$83),2)</f>
        <v>#REF!</v>
      </c>
      <c r="X31" s="202"/>
      <c r="Y31" s="202"/>
      <c r="Z31" s="202"/>
      <c r="AA31" s="202"/>
      <c r="AB31" s="202"/>
      <c r="AC31" s="202"/>
      <c r="AD31" s="202"/>
      <c r="AE31" s="202"/>
      <c r="AK31" s="202">
        <v>0</v>
      </c>
      <c r="AL31" s="202"/>
      <c r="AM31" s="202"/>
      <c r="AN31" s="202"/>
      <c r="AO31" s="202"/>
      <c r="AQ31" s="26"/>
    </row>
    <row r="32" spans="2:43" s="6" customFormat="1" ht="15" customHeight="1" hidden="1">
      <c r="B32" s="23"/>
      <c r="F32" s="24" t="s">
        <v>43</v>
      </c>
      <c r="L32" s="201">
        <v>0</v>
      </c>
      <c r="M32" s="201"/>
      <c r="N32" s="201"/>
      <c r="O32" s="201"/>
      <c r="T32" s="25" t="s">
        <v>39</v>
      </c>
      <c r="W32" s="202" t="e">
        <f>ROUND($BD$77+SUM($CH$83:$CH$83),2)</f>
        <v>#REF!</v>
      </c>
      <c r="X32" s="202"/>
      <c r="Y32" s="202"/>
      <c r="Z32" s="202"/>
      <c r="AA32" s="202"/>
      <c r="AB32" s="202"/>
      <c r="AC32" s="202"/>
      <c r="AD32" s="202"/>
      <c r="AE32" s="202"/>
      <c r="AK32" s="202">
        <v>0</v>
      </c>
      <c r="AL32" s="202"/>
      <c r="AM32" s="202"/>
      <c r="AN32" s="202"/>
      <c r="AO32" s="202"/>
      <c r="AQ32" s="26"/>
    </row>
    <row r="33" spans="2:43" s="6" customFormat="1" ht="7.5" customHeight="1">
      <c r="B33" s="19"/>
      <c r="AQ33" s="20"/>
    </row>
    <row r="34" spans="2:43" s="6" customFormat="1" ht="27" customHeight="1">
      <c r="B34" s="19"/>
      <c r="C34" s="27"/>
      <c r="D34" s="28" t="s">
        <v>44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0" t="s">
        <v>45</v>
      </c>
      <c r="U34" s="29"/>
      <c r="V34" s="29"/>
      <c r="W34" s="29"/>
      <c r="X34" s="203" t="s">
        <v>46</v>
      </c>
      <c r="Y34" s="203"/>
      <c r="Z34" s="203"/>
      <c r="AA34" s="203"/>
      <c r="AB34" s="203"/>
      <c r="AC34" s="29"/>
      <c r="AD34" s="29"/>
      <c r="AE34" s="29"/>
      <c r="AF34" s="29"/>
      <c r="AG34" s="29"/>
      <c r="AH34" s="29"/>
      <c r="AI34" s="29"/>
      <c r="AJ34" s="29"/>
      <c r="AK34" s="204">
        <f>ROUND(SUM($AK$26:$AK$32),2)</f>
        <v>0</v>
      </c>
      <c r="AL34" s="204"/>
      <c r="AM34" s="204"/>
      <c r="AN34" s="204"/>
      <c r="AO34" s="204"/>
      <c r="AP34" s="27"/>
      <c r="AQ34" s="20"/>
    </row>
    <row r="35" spans="2:43" s="6" customFormat="1" ht="15" customHeight="1">
      <c r="B35" s="19"/>
      <c r="AQ35" s="20"/>
    </row>
    <row r="36" spans="2:43" s="1" customFormat="1" ht="14.25" customHeight="1">
      <c r="B36" s="10"/>
      <c r="AQ36" s="11"/>
    </row>
    <row r="37" spans="2:43" s="1" customFormat="1" ht="14.25" customHeight="1">
      <c r="B37" s="10"/>
      <c r="AQ37" s="11"/>
    </row>
    <row r="38" spans="2:43" s="1" customFormat="1" ht="14.25" customHeight="1">
      <c r="B38" s="10"/>
      <c r="AQ38" s="11"/>
    </row>
    <row r="39" spans="2:43" s="6" customFormat="1" ht="15.75" customHeight="1">
      <c r="B39" s="19"/>
      <c r="D39" s="31" t="s">
        <v>47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C39" s="31" t="s">
        <v>48</v>
      </c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Q39" s="20"/>
    </row>
    <row r="40" spans="2:43" s="1" customFormat="1" ht="14.25" customHeight="1">
      <c r="B40" s="10"/>
      <c r="D40" s="17"/>
      <c r="Z40" s="17"/>
      <c r="AC40" s="17"/>
      <c r="AO40" s="17"/>
      <c r="AQ40" s="11"/>
    </row>
    <row r="41" spans="2:43" s="1" customFormat="1" ht="14.25" customHeight="1">
      <c r="B41" s="10"/>
      <c r="D41" s="17"/>
      <c r="Z41" s="17"/>
      <c r="AC41" s="17"/>
      <c r="AO41" s="17"/>
      <c r="AQ41" s="11"/>
    </row>
    <row r="42" spans="2:43" s="1" customFormat="1" ht="14.25" customHeight="1">
      <c r="B42" s="10"/>
      <c r="D42" s="17"/>
      <c r="Z42" s="17"/>
      <c r="AC42" s="17"/>
      <c r="AO42" s="17"/>
      <c r="AQ42" s="11"/>
    </row>
    <row r="43" spans="2:43" s="1" customFormat="1" ht="14.25" customHeight="1">
      <c r="B43" s="10"/>
      <c r="D43" s="17"/>
      <c r="Z43" s="17"/>
      <c r="AC43" s="17"/>
      <c r="AO43" s="17"/>
      <c r="AQ43" s="11"/>
    </row>
    <row r="44" spans="2:43" s="1" customFormat="1" ht="14.25" customHeight="1">
      <c r="B44" s="10"/>
      <c r="D44" s="17"/>
      <c r="Z44" s="17"/>
      <c r="AC44" s="17"/>
      <c r="AO44" s="17"/>
      <c r="AQ44" s="11"/>
    </row>
    <row r="45" spans="2:43" s="1" customFormat="1" ht="14.25" customHeight="1">
      <c r="B45" s="10"/>
      <c r="D45" s="17"/>
      <c r="Z45" s="17"/>
      <c r="AC45" s="17"/>
      <c r="AO45" s="17"/>
      <c r="AQ45" s="11"/>
    </row>
    <row r="46" spans="2:43" s="1" customFormat="1" ht="14.25" customHeight="1">
      <c r="B46" s="10"/>
      <c r="D46" s="17"/>
      <c r="Z46" s="17"/>
      <c r="AC46" s="17"/>
      <c r="AO46" s="17"/>
      <c r="AQ46" s="11"/>
    </row>
    <row r="47" spans="2:43" s="1" customFormat="1" ht="14.25" customHeight="1">
      <c r="B47" s="10"/>
      <c r="D47" s="17"/>
      <c r="Z47" s="17"/>
      <c r="AC47" s="17"/>
      <c r="AO47" s="17"/>
      <c r="AQ47" s="11"/>
    </row>
    <row r="48" spans="2:43" s="6" customFormat="1" ht="15.75" customHeight="1">
      <c r="B48" s="19"/>
      <c r="D48" s="32" t="s">
        <v>49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32" t="s">
        <v>50</v>
      </c>
      <c r="S48" s="22"/>
      <c r="T48" s="22"/>
      <c r="U48" s="22"/>
      <c r="V48" s="22"/>
      <c r="W48" s="22"/>
      <c r="X48" s="22"/>
      <c r="Y48" s="22"/>
      <c r="Z48" s="22"/>
      <c r="AC48" s="32" t="s">
        <v>49</v>
      </c>
      <c r="AD48" s="22"/>
      <c r="AE48" s="22"/>
      <c r="AF48" s="22"/>
      <c r="AG48" s="22"/>
      <c r="AH48" s="22"/>
      <c r="AI48" s="22"/>
      <c r="AJ48" s="22"/>
      <c r="AK48" s="22"/>
      <c r="AL48" s="22"/>
      <c r="AM48" s="32" t="s">
        <v>50</v>
      </c>
      <c r="AN48" s="22"/>
      <c r="AO48" s="22"/>
      <c r="AQ48" s="20"/>
    </row>
    <row r="49" spans="2:43" s="1" customFormat="1" ht="14.25" customHeight="1">
      <c r="B49" s="10"/>
      <c r="AQ49" s="11"/>
    </row>
    <row r="50" spans="2:43" s="6" customFormat="1" ht="15.75" customHeight="1">
      <c r="B50" s="19"/>
      <c r="D50" s="31" t="s">
        <v>51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C50" s="31" t="s">
        <v>52</v>
      </c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Q50" s="20"/>
    </row>
    <row r="51" spans="2:43" s="1" customFormat="1" ht="14.25" customHeight="1">
      <c r="B51" s="10"/>
      <c r="D51" s="17"/>
      <c r="Z51" s="17"/>
      <c r="AC51" s="17"/>
      <c r="AO51" s="17"/>
      <c r="AQ51" s="11"/>
    </row>
    <row r="52" spans="2:43" s="1" customFormat="1" ht="14.25" customHeight="1">
      <c r="B52" s="10"/>
      <c r="D52" s="17"/>
      <c r="Z52" s="17"/>
      <c r="AC52" s="17"/>
      <c r="AO52" s="17"/>
      <c r="AQ52" s="11"/>
    </row>
    <row r="53" spans="2:43" s="1" customFormat="1" ht="14.25" customHeight="1">
      <c r="B53" s="10"/>
      <c r="D53" s="17"/>
      <c r="Z53" s="17"/>
      <c r="AC53" s="17"/>
      <c r="AO53" s="17"/>
      <c r="AQ53" s="11"/>
    </row>
    <row r="54" spans="2:43" s="1" customFormat="1" ht="14.25" customHeight="1">
      <c r="B54" s="10"/>
      <c r="D54" s="17"/>
      <c r="Z54" s="17"/>
      <c r="AC54" s="17"/>
      <c r="AO54" s="17"/>
      <c r="AQ54" s="11"/>
    </row>
    <row r="55" spans="2:43" s="1" customFormat="1" ht="14.25" customHeight="1">
      <c r="B55" s="10"/>
      <c r="D55" s="17"/>
      <c r="Z55" s="17"/>
      <c r="AC55" s="17"/>
      <c r="AO55" s="17"/>
      <c r="AQ55" s="11"/>
    </row>
    <row r="56" spans="2:43" s="1" customFormat="1" ht="14.25" customHeight="1">
      <c r="B56" s="10"/>
      <c r="D56" s="17"/>
      <c r="Z56" s="17"/>
      <c r="AC56" s="17"/>
      <c r="AO56" s="17"/>
      <c r="AQ56" s="11"/>
    </row>
    <row r="57" spans="2:43" s="1" customFormat="1" ht="14.25" customHeight="1">
      <c r="B57" s="10"/>
      <c r="D57" s="17"/>
      <c r="Z57" s="17"/>
      <c r="AC57" s="17"/>
      <c r="AO57" s="17"/>
      <c r="AQ57" s="11"/>
    </row>
    <row r="58" spans="2:43" s="1" customFormat="1" ht="14.25" customHeight="1">
      <c r="B58" s="10"/>
      <c r="D58" s="17"/>
      <c r="Z58" s="17"/>
      <c r="AC58" s="17"/>
      <c r="AO58" s="17"/>
      <c r="AQ58" s="11"/>
    </row>
    <row r="59" spans="2:43" s="6" customFormat="1" ht="15.75" customHeight="1">
      <c r="B59" s="19"/>
      <c r="D59" s="32" t="s">
        <v>49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32" t="s">
        <v>50</v>
      </c>
      <c r="S59" s="22"/>
      <c r="T59" s="22"/>
      <c r="U59" s="22"/>
      <c r="V59" s="22"/>
      <c r="W59" s="22"/>
      <c r="X59" s="22"/>
      <c r="Y59" s="22"/>
      <c r="Z59" s="22"/>
      <c r="AC59" s="32" t="s">
        <v>49</v>
      </c>
      <c r="AD59" s="22"/>
      <c r="AE59" s="22"/>
      <c r="AF59" s="22"/>
      <c r="AG59" s="22"/>
      <c r="AH59" s="22"/>
      <c r="AI59" s="22"/>
      <c r="AJ59" s="22"/>
      <c r="AK59" s="22"/>
      <c r="AL59" s="22"/>
      <c r="AM59" s="32" t="s">
        <v>50</v>
      </c>
      <c r="AN59" s="22"/>
      <c r="AO59" s="22"/>
      <c r="AQ59" s="20"/>
    </row>
    <row r="60" spans="2:43" s="6" customFormat="1" ht="7.5" customHeight="1">
      <c r="B60" s="19"/>
      <c r="AQ60" s="20"/>
    </row>
    <row r="61" spans="2:43" s="6" customFormat="1" ht="7.5" customHeight="1">
      <c r="B61" s="33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5"/>
    </row>
    <row r="65" spans="2:43" s="6" customFormat="1" ht="7.5" customHeight="1"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8"/>
    </row>
    <row r="66" spans="2:43" s="6" customFormat="1" ht="37.5" customHeight="1">
      <c r="B66" s="19"/>
      <c r="C66" s="205" t="s">
        <v>53</v>
      </c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"/>
    </row>
    <row r="67" spans="2:43" s="16" customFormat="1" ht="15" customHeight="1">
      <c r="B67" s="39"/>
      <c r="C67" s="15" t="s">
        <v>10</v>
      </c>
      <c r="L67" s="16" t="str">
        <f>$K$5</f>
        <v>Hrbek</v>
      </c>
      <c r="AQ67" s="40"/>
    </row>
    <row r="68" spans="2:43" s="41" customFormat="1" ht="37.5" customHeight="1">
      <c r="B68" s="42"/>
      <c r="C68" s="41" t="s">
        <v>12</v>
      </c>
      <c r="L68" s="197" t="str">
        <f>$K$6</f>
        <v>II/235 Terešovksá Huť-Mlečice</v>
      </c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Q68" s="43"/>
    </row>
    <row r="69" spans="2:43" s="6" customFormat="1" ht="7.5" customHeight="1">
      <c r="B69" s="19"/>
      <c r="AQ69" s="20"/>
    </row>
    <row r="70" spans="2:43" s="6" customFormat="1" ht="15.75" customHeight="1">
      <c r="B70" s="19"/>
      <c r="C70" s="15" t="s">
        <v>18</v>
      </c>
      <c r="L70" s="44" t="str">
        <f>IF($K$8="","",$K$8)</f>
        <v> </v>
      </c>
      <c r="AI70" s="15" t="s">
        <v>20</v>
      </c>
      <c r="AM70" s="45" t="str">
        <f>IF($AN$8="","",$AN$8)</f>
        <v>13.12.2015</v>
      </c>
      <c r="AQ70" s="20"/>
    </row>
    <row r="71" spans="2:43" s="6" customFormat="1" ht="7.5" customHeight="1">
      <c r="B71" s="19"/>
      <c r="AQ71" s="20"/>
    </row>
    <row r="72" spans="2:56" s="6" customFormat="1" ht="18.75" customHeight="1">
      <c r="B72" s="19"/>
      <c r="C72" s="15" t="s">
        <v>24</v>
      </c>
      <c r="L72" s="16" t="str">
        <f>IF($E$11="","",$E$11)</f>
        <v>Obec Terešov, Mlečice, Chlum, Zvíkovec</v>
      </c>
      <c r="AI72" s="15" t="s">
        <v>29</v>
      </c>
      <c r="AM72" s="198" t="str">
        <f>IF($E$17="","",$E$17)</f>
        <v>ing. Kamil Hrbek</v>
      </c>
      <c r="AN72" s="198"/>
      <c r="AO72" s="198"/>
      <c r="AP72" s="198"/>
      <c r="AQ72" s="20"/>
      <c r="AS72" s="199" t="s">
        <v>54</v>
      </c>
      <c r="AT72" s="199"/>
      <c r="AU72" s="22"/>
      <c r="AV72" s="22"/>
      <c r="AW72" s="22"/>
      <c r="AX72" s="22"/>
      <c r="AY72" s="22"/>
      <c r="AZ72" s="22"/>
      <c r="BA72" s="22"/>
      <c r="BB72" s="22"/>
      <c r="BC72" s="22"/>
      <c r="BD72" s="22"/>
    </row>
    <row r="73" spans="2:56" s="6" customFormat="1" ht="15.75" customHeight="1">
      <c r="B73" s="19"/>
      <c r="C73" s="15" t="s">
        <v>28</v>
      </c>
      <c r="L73" s="16" t="str">
        <f>IF($E$14="","",$E$14)</f>
        <v> </v>
      </c>
      <c r="AI73" s="15" t="s">
        <v>32</v>
      </c>
      <c r="AM73" s="198" t="str">
        <f>IF($E$20="","",$E$20)</f>
        <v>Lenka Jandová</v>
      </c>
      <c r="AN73" s="198"/>
      <c r="AO73" s="198"/>
      <c r="AP73" s="198"/>
      <c r="AQ73" s="20"/>
      <c r="AS73" s="199"/>
      <c r="AT73" s="199"/>
      <c r="BD73" s="22"/>
    </row>
    <row r="74" spans="2:56" s="6" customFormat="1" ht="12" customHeight="1">
      <c r="B74" s="19"/>
      <c r="AQ74" s="20"/>
      <c r="AS74" s="199"/>
      <c r="AT74" s="199"/>
      <c r="BD74" s="22"/>
    </row>
    <row r="75" spans="2:57" s="6" customFormat="1" ht="30" customHeight="1">
      <c r="B75" s="19"/>
      <c r="C75" s="200" t="s">
        <v>55</v>
      </c>
      <c r="D75" s="200"/>
      <c r="E75" s="200"/>
      <c r="F75" s="200"/>
      <c r="G75" s="200"/>
      <c r="H75" s="29"/>
      <c r="I75" s="200" t="s">
        <v>56</v>
      </c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 t="s">
        <v>57</v>
      </c>
      <c r="AH75" s="200"/>
      <c r="AI75" s="200"/>
      <c r="AJ75" s="200"/>
      <c r="AK75" s="200"/>
      <c r="AL75" s="200"/>
      <c r="AM75" s="200"/>
      <c r="AN75" s="200" t="s">
        <v>58</v>
      </c>
      <c r="AO75" s="200"/>
      <c r="AP75" s="200"/>
      <c r="AQ75" s="20"/>
      <c r="AS75" s="46" t="s">
        <v>59</v>
      </c>
      <c r="AT75" s="46" t="s">
        <v>60</v>
      </c>
      <c r="AU75" s="46" t="s">
        <v>61</v>
      </c>
      <c r="AV75" s="46" t="s">
        <v>62</v>
      </c>
      <c r="AW75" s="46" t="s">
        <v>63</v>
      </c>
      <c r="AX75" s="46" t="s">
        <v>64</v>
      </c>
      <c r="AY75" s="46" t="s">
        <v>65</v>
      </c>
      <c r="AZ75" s="46" t="s">
        <v>66</v>
      </c>
      <c r="BA75" s="46" t="s">
        <v>67</v>
      </c>
      <c r="BB75" s="46" t="s">
        <v>68</v>
      </c>
      <c r="BC75" s="46" t="s">
        <v>69</v>
      </c>
      <c r="BD75" s="46" t="s">
        <v>70</v>
      </c>
      <c r="BE75" s="47"/>
    </row>
    <row r="76" spans="2:56" s="6" customFormat="1" ht="12" customHeight="1">
      <c r="B76" s="19"/>
      <c r="AQ76" s="20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</row>
    <row r="77" spans="2:76" s="41" customFormat="1" ht="33" customHeight="1">
      <c r="B77" s="42"/>
      <c r="C77" s="48" t="s">
        <v>71</v>
      </c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196">
        <f>ROUND(SUM($AG$78:$AG$80),2)</f>
        <v>0</v>
      </c>
      <c r="AH77" s="196"/>
      <c r="AI77" s="196"/>
      <c r="AJ77" s="196"/>
      <c r="AK77" s="196"/>
      <c r="AL77" s="196"/>
      <c r="AM77" s="196"/>
      <c r="AN77" s="196">
        <f>AG77*1.21</f>
        <v>0</v>
      </c>
      <c r="AO77" s="196"/>
      <c r="AP77" s="196"/>
      <c r="AQ77" s="43"/>
      <c r="AS77" s="49">
        <f>ROUND(SUM($AS$78:$AS$80),2)</f>
        <v>0</v>
      </c>
      <c r="AT77" s="50">
        <f>ROUND(SUM($AV$77:$AW$77),2)</f>
        <v>0</v>
      </c>
      <c r="AU77" s="51">
        <f>ROUND(SUM($AU$78:$AU$80),5)</f>
        <v>7281.90605</v>
      </c>
      <c r="AV77" s="50">
        <f>ROUND($AZ$77*$L$28,2)</f>
        <v>0</v>
      </c>
      <c r="AW77" s="50">
        <f>ROUND($BA$77*$L$29,2)</f>
        <v>0</v>
      </c>
      <c r="AX77" s="50" t="e">
        <f>ROUND($BB$77*$L$28,2)</f>
        <v>#REF!</v>
      </c>
      <c r="AY77" s="50" t="e">
        <f>ROUND($BC$77*$L$29,2)</f>
        <v>#REF!</v>
      </c>
      <c r="AZ77" s="50">
        <f>ROUND(SUM($AZ$78:$AZ$80),2)</f>
        <v>0</v>
      </c>
      <c r="BA77" s="50">
        <f>ROUND(SUM($BA$78:$BA$80),2)</f>
        <v>0</v>
      </c>
      <c r="BB77" s="50" t="e">
        <f>ROUND(SUM($BB$78:$BB$80),2)</f>
        <v>#REF!</v>
      </c>
      <c r="BC77" s="50" t="e">
        <f>ROUND(SUM($BC$78:$BC$80),2)</f>
        <v>#REF!</v>
      </c>
      <c r="BD77" s="49" t="e">
        <f>ROUND(SUM($BD$78:$BD$80),2)</f>
        <v>#REF!</v>
      </c>
      <c r="BS77" s="41" t="s">
        <v>72</v>
      </c>
      <c r="BT77" s="41" t="s">
        <v>73</v>
      </c>
      <c r="BU77" s="52" t="s">
        <v>74</v>
      </c>
      <c r="BV77" s="41" t="s">
        <v>75</v>
      </c>
      <c r="BW77" s="41" t="s">
        <v>76</v>
      </c>
      <c r="BX77" s="41" t="s">
        <v>77</v>
      </c>
    </row>
    <row r="78" spans="2:76" s="53" customFormat="1" ht="28.5" customHeight="1">
      <c r="B78" s="54"/>
      <c r="C78" s="55"/>
      <c r="D78" s="194" t="s">
        <v>78</v>
      </c>
      <c r="E78" s="194"/>
      <c r="F78" s="194"/>
      <c r="G78" s="194"/>
      <c r="H78" s="194"/>
      <c r="I78" s="55"/>
      <c r="J78" s="194" t="s">
        <v>79</v>
      </c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5">
        <f>'SO 101 - II_235 Terešovsk...'!$M$27</f>
        <v>0</v>
      </c>
      <c r="AH78" s="195"/>
      <c r="AI78" s="195"/>
      <c r="AJ78" s="195"/>
      <c r="AK78" s="195"/>
      <c r="AL78" s="195"/>
      <c r="AM78" s="195"/>
      <c r="AN78" s="195">
        <f>AG78*1.21</f>
        <v>0</v>
      </c>
      <c r="AO78" s="195"/>
      <c r="AP78" s="195"/>
      <c r="AQ78" s="56"/>
      <c r="AS78" s="57">
        <f>'SO 101 - II_235 Terešovsk...'!$M$25</f>
        <v>0</v>
      </c>
      <c r="AT78" s="58">
        <f>ROUND(SUM($AV$78:$AW$78),2)</f>
        <v>0</v>
      </c>
      <c r="AU78" s="59">
        <f>'SO 101 - II_235 Terešovsk...'!$W$109</f>
        <v>3017.1820679999996</v>
      </c>
      <c r="AV78" s="58">
        <f>'SO 101 - II_235 Terešovsk...'!$M$29</f>
        <v>0</v>
      </c>
      <c r="AW78" s="58">
        <f>'SO 101 - II_235 Terešovsk...'!$M$30</f>
        <v>0</v>
      </c>
      <c r="AX78" s="58">
        <f>'SO 101 - II_235 Terešovsk...'!$M$31</f>
        <v>0</v>
      </c>
      <c r="AY78" s="58">
        <f>'SO 101 - II_235 Terešovsk...'!$M$32</f>
        <v>0</v>
      </c>
      <c r="AZ78" s="58">
        <f>'SO 101 - II_235 Terešovsk...'!$H$29</f>
        <v>0</v>
      </c>
      <c r="BA78" s="58">
        <f>'SO 101 - II_235 Terešovsk...'!$H$30</f>
        <v>0</v>
      </c>
      <c r="BB78" s="58" t="e">
        <f>'SO 101 - II_235 Terešovsk...'!$H$31</f>
        <v>#REF!</v>
      </c>
      <c r="BC78" s="58" t="e">
        <f>'SO 101 - II_235 Terešovsk...'!$H$32</f>
        <v>#REF!</v>
      </c>
      <c r="BD78" s="57" t="e">
        <f>'SO 101 - II_235 Terešovsk...'!$H$33</f>
        <v>#REF!</v>
      </c>
      <c r="BT78" s="53" t="s">
        <v>17</v>
      </c>
      <c r="BV78" s="53" t="s">
        <v>75</v>
      </c>
      <c r="BW78" s="53" t="s">
        <v>80</v>
      </c>
      <c r="BX78" s="53" t="s">
        <v>76</v>
      </c>
    </row>
    <row r="79" spans="2:76" s="53" customFormat="1" ht="28.5" customHeight="1">
      <c r="B79" s="54"/>
      <c r="C79" s="55"/>
      <c r="D79" s="194" t="s">
        <v>81</v>
      </c>
      <c r="E79" s="194"/>
      <c r="F79" s="194"/>
      <c r="G79" s="194"/>
      <c r="H79" s="194"/>
      <c r="I79" s="55"/>
      <c r="J79" s="194" t="s">
        <v>82</v>
      </c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5">
        <f>'SO 102 - II_235 a II_233 ...'!$M$27</f>
        <v>0</v>
      </c>
      <c r="AH79" s="195"/>
      <c r="AI79" s="195"/>
      <c r="AJ79" s="195"/>
      <c r="AK79" s="195"/>
      <c r="AL79" s="195"/>
      <c r="AM79" s="195"/>
      <c r="AN79" s="195">
        <f>ROUND(SUM($AG$79,$AT$79),2)</f>
        <v>0</v>
      </c>
      <c r="AO79" s="195"/>
      <c r="AP79" s="195"/>
      <c r="AQ79" s="56"/>
      <c r="AS79" s="57">
        <f>'SO 102 - II_235 a II_233 ...'!$M$25</f>
        <v>0</v>
      </c>
      <c r="AT79" s="58">
        <f>ROUND(SUM($AV$79:$AW$79),2)</f>
        <v>0</v>
      </c>
      <c r="AU79" s="59">
        <f>'SO 102 - II_235 a II_233 ...'!$W$108</f>
        <v>4235.74998</v>
      </c>
      <c r="AV79" s="58">
        <f>'SO 102 - II_235 a II_233 ...'!$M$29</f>
        <v>0</v>
      </c>
      <c r="AW79" s="58">
        <f>'SO 102 - II_235 a II_233 ...'!$M$30</f>
        <v>0</v>
      </c>
      <c r="AX79" s="58">
        <f>'SO 102 - II_235 a II_233 ...'!$M$31</f>
        <v>0</v>
      </c>
      <c r="AY79" s="58">
        <f>'SO 102 - II_235 a II_233 ...'!$M$32</f>
        <v>0</v>
      </c>
      <c r="AZ79" s="58">
        <f>'SO 102 - II_235 a II_233 ...'!$H$29</f>
        <v>0</v>
      </c>
      <c r="BA79" s="58">
        <f>'SO 102 - II_235 a II_233 ...'!$H$30</f>
        <v>0</v>
      </c>
      <c r="BB79" s="58">
        <f>'SO 102 - II_235 a II_233 ...'!$H$31</f>
        <v>0</v>
      </c>
      <c r="BC79" s="58">
        <f>'SO 102 - II_235 a II_233 ...'!$H$32</f>
        <v>0</v>
      </c>
      <c r="BD79" s="57">
        <f>'SO 102 - II_235 a II_233 ...'!$H$33</f>
        <v>0</v>
      </c>
      <c r="BT79" s="53" t="s">
        <v>17</v>
      </c>
      <c r="BV79" s="53" t="s">
        <v>75</v>
      </c>
      <c r="BW79" s="53" t="s">
        <v>83</v>
      </c>
      <c r="BX79" s="53" t="s">
        <v>76</v>
      </c>
    </row>
    <row r="80" spans="2:76" s="53" customFormat="1" ht="28.5" customHeight="1">
      <c r="B80" s="54"/>
      <c r="C80" s="55"/>
      <c r="D80" s="194" t="s">
        <v>85</v>
      </c>
      <c r="E80" s="194"/>
      <c r="F80" s="194"/>
      <c r="G80" s="194"/>
      <c r="H80" s="194"/>
      <c r="I80" s="55"/>
      <c r="J80" s="194" t="s">
        <v>86</v>
      </c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5">
        <f>'SO 104 - DIO'!$M$27</f>
        <v>0</v>
      </c>
      <c r="AH80" s="195"/>
      <c r="AI80" s="195"/>
      <c r="AJ80" s="195"/>
      <c r="AK80" s="195"/>
      <c r="AL80" s="195"/>
      <c r="AM80" s="195"/>
      <c r="AN80" s="195">
        <f>ROUND(SUM($AG$80,$AT$80),2)</f>
        <v>0</v>
      </c>
      <c r="AO80" s="195"/>
      <c r="AP80" s="195"/>
      <c r="AQ80" s="56"/>
      <c r="AS80" s="57">
        <f>'SO 104 - DIO'!$M$25</f>
        <v>0</v>
      </c>
      <c r="AT80" s="57">
        <f>ROUND(SUM($AV$80:$AW$80),2)</f>
        <v>0</v>
      </c>
      <c r="AU80" s="60">
        <f>'SO 104 - DIO'!$W$105</f>
        <v>28.973999999999997</v>
      </c>
      <c r="AV80" s="57">
        <f>'SO 104 - DIO'!$M$29</f>
        <v>0</v>
      </c>
      <c r="AW80" s="57">
        <f>'SO 104 - DIO'!$M$30</f>
        <v>0</v>
      </c>
      <c r="AX80" s="57">
        <f>'SO 104 - DIO'!$M$31</f>
        <v>0</v>
      </c>
      <c r="AY80" s="57">
        <f>'SO 104 - DIO'!$M$32</f>
        <v>0</v>
      </c>
      <c r="AZ80" s="57">
        <f>'SO 104 - DIO'!$H$29</f>
        <v>0</v>
      </c>
      <c r="BA80" s="57">
        <f>'SO 104 - DIO'!$H$30</f>
        <v>0</v>
      </c>
      <c r="BB80" s="57">
        <f>'SO 104 - DIO'!$H$31</f>
        <v>0</v>
      </c>
      <c r="BC80" s="57">
        <f>'SO 104 - DIO'!$H$32</f>
        <v>0</v>
      </c>
      <c r="BD80" s="57">
        <f>'SO 104 - DIO'!$H$33</f>
        <v>0</v>
      </c>
      <c r="BT80" s="53" t="s">
        <v>17</v>
      </c>
      <c r="BV80" s="53" t="s">
        <v>75</v>
      </c>
      <c r="BW80" s="53" t="s">
        <v>87</v>
      </c>
      <c r="BX80" s="53" t="s">
        <v>76</v>
      </c>
    </row>
    <row r="81" spans="2:43" s="1" customFormat="1" ht="14.25" customHeight="1">
      <c r="B81" s="10"/>
      <c r="AQ81" s="11"/>
    </row>
    <row r="82" spans="2:49" s="6" customFormat="1" ht="30.75" customHeight="1">
      <c r="B82" s="19"/>
      <c r="C82" s="48" t="s">
        <v>88</v>
      </c>
      <c r="AG82" s="196">
        <v>0</v>
      </c>
      <c r="AH82" s="196"/>
      <c r="AI82" s="196"/>
      <c r="AJ82" s="196"/>
      <c r="AK82" s="196"/>
      <c r="AL82" s="196"/>
      <c r="AM82" s="196"/>
      <c r="AN82" s="196">
        <v>0</v>
      </c>
      <c r="AO82" s="196"/>
      <c r="AP82" s="196"/>
      <c r="AQ82" s="20"/>
      <c r="AS82" s="46" t="s">
        <v>89</v>
      </c>
      <c r="AT82" s="46" t="s">
        <v>90</v>
      </c>
      <c r="AU82" s="46" t="s">
        <v>37</v>
      </c>
      <c r="AV82" s="46" t="s">
        <v>60</v>
      </c>
      <c r="AW82" s="47"/>
    </row>
    <row r="83" spans="2:48" s="6" customFormat="1" ht="12" customHeight="1">
      <c r="B83" s="19"/>
      <c r="AQ83" s="20"/>
      <c r="AS83" s="22"/>
      <c r="AT83" s="22"/>
      <c r="AU83" s="22"/>
      <c r="AV83" s="22"/>
    </row>
    <row r="84" spans="2:43" s="6" customFormat="1" ht="30.75" customHeight="1">
      <c r="B84" s="19"/>
      <c r="C84" s="61" t="s">
        <v>91</v>
      </c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193">
        <f>ROUND($AG$77+$AG$82,2)</f>
        <v>0</v>
      </c>
      <c r="AH84" s="193"/>
      <c r="AI84" s="193"/>
      <c r="AJ84" s="193"/>
      <c r="AK84" s="193"/>
      <c r="AL84" s="193"/>
      <c r="AM84" s="193"/>
      <c r="AN84" s="193">
        <f>ROUND($AN$77+$AN$82,2)</f>
        <v>0</v>
      </c>
      <c r="AO84" s="193"/>
      <c r="AP84" s="193"/>
      <c r="AQ84" s="20"/>
    </row>
    <row r="85" spans="2:43" s="6" customFormat="1" ht="7.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5"/>
    </row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</sheetData>
  <sheetProtection password="CC3D" sheet="1"/>
  <mergeCells count="52">
    <mergeCell ref="C2:AP2"/>
    <mergeCell ref="AR2:BE2"/>
    <mergeCell ref="C4:AP4"/>
    <mergeCell ref="K5:AO5"/>
    <mergeCell ref="K6:AO6"/>
    <mergeCell ref="AK23:AO23"/>
    <mergeCell ref="AK24:AO24"/>
    <mergeCell ref="AK26:AO26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L31:O31"/>
    <mergeCell ref="W31:AE31"/>
    <mergeCell ref="AK31:AO31"/>
    <mergeCell ref="L32:O32"/>
    <mergeCell ref="W32:AE32"/>
    <mergeCell ref="AK32:AO32"/>
    <mergeCell ref="X34:AB34"/>
    <mergeCell ref="AK34:AO34"/>
    <mergeCell ref="C66:AP66"/>
    <mergeCell ref="L68:AO68"/>
    <mergeCell ref="AM72:AP72"/>
    <mergeCell ref="AS72:AT74"/>
    <mergeCell ref="AM73:AP73"/>
    <mergeCell ref="C75:G75"/>
    <mergeCell ref="I75:AF75"/>
    <mergeCell ref="AG75:AM75"/>
    <mergeCell ref="AN75:AP75"/>
    <mergeCell ref="D79:H79"/>
    <mergeCell ref="J79:AF79"/>
    <mergeCell ref="AG79:AM79"/>
    <mergeCell ref="AN79:AP79"/>
    <mergeCell ref="AG77:AM77"/>
    <mergeCell ref="AN77:AP77"/>
    <mergeCell ref="D78:H78"/>
    <mergeCell ref="J78:AF78"/>
    <mergeCell ref="AG78:AM78"/>
    <mergeCell ref="AN78:AP78"/>
    <mergeCell ref="AG84:AM84"/>
    <mergeCell ref="AN84:AP84"/>
    <mergeCell ref="D80:H80"/>
    <mergeCell ref="J80:AF80"/>
    <mergeCell ref="AG80:AM80"/>
    <mergeCell ref="AN80:AP80"/>
    <mergeCell ref="AG82:AM82"/>
    <mergeCell ref="AN82:AP82"/>
  </mergeCells>
  <printOptions/>
  <pageMargins left="0.3937007874015748" right="0.3937007874015748" top="0.4724409448818898" bottom="0.4724409448818898" header="0.5118110236220472" footer="0.5118110236220472"/>
  <pageSetup fitToHeight="2" horizontalDpi="300" verticalDpi="300" orientation="portrait" paperSize="9" scale="94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BL195"/>
  <sheetViews>
    <sheetView showGridLines="0" defaultGridColor="0" zoomScalePageLayoutView="0" colorId="8" workbookViewId="0" topLeftCell="A1">
      <pane ySplit="1" topLeftCell="A180" activePane="bottomLeft" state="frozen"/>
      <selection pane="topLeft" activeCell="F164" sqref="F164:I164"/>
      <selection pane="bottomLeft" activeCell="AC188" sqref="AC188"/>
    </sheetView>
  </sheetViews>
  <sheetFormatPr defaultColWidth="10.5" defaultRowHeight="14.25" customHeight="1"/>
  <cols>
    <col min="1" max="1" width="8.33203125" style="105" customWidth="1"/>
    <col min="2" max="2" width="1.66796875" style="105" customWidth="1"/>
    <col min="3" max="3" width="4.16015625" style="105" customWidth="1"/>
    <col min="4" max="4" width="4.33203125" style="105" customWidth="1"/>
    <col min="5" max="5" width="17.16015625" style="105" customWidth="1"/>
    <col min="6" max="7" width="11.16015625" style="105" customWidth="1"/>
    <col min="8" max="8" width="12.5" style="105" customWidth="1"/>
    <col min="9" max="9" width="7" style="105" customWidth="1"/>
    <col min="10" max="10" width="5.16015625" style="105" customWidth="1"/>
    <col min="11" max="11" width="11.5" style="105" customWidth="1"/>
    <col min="12" max="12" width="12" style="105" customWidth="1"/>
    <col min="13" max="13" width="7.16015625" style="105" customWidth="1"/>
    <col min="14" max="14" width="6" style="105" customWidth="1"/>
    <col min="15" max="15" width="2" style="105" customWidth="1"/>
    <col min="16" max="16" width="12.5" style="105" customWidth="1"/>
    <col min="17" max="17" width="4.16015625" style="105" customWidth="1"/>
    <col min="18" max="18" width="1.66796875" style="105" customWidth="1"/>
    <col min="19" max="19" width="14.16015625" style="105" customWidth="1"/>
    <col min="20" max="28" width="0" style="105" hidden="1" customWidth="1"/>
    <col min="29" max="29" width="11" style="105" customWidth="1"/>
    <col min="30" max="30" width="15" style="105" customWidth="1"/>
    <col min="31" max="31" width="16.33203125" style="105" customWidth="1"/>
    <col min="32" max="43" width="10.5" style="192" customWidth="1"/>
    <col min="44" max="64" width="0" style="105" hidden="1" customWidth="1"/>
    <col min="65" max="16384" width="10.5" style="192" customWidth="1"/>
  </cols>
  <sheetData>
    <row r="1" spans="4:15" s="103" customFormat="1" ht="22.5" customHeight="1">
      <c r="D1" s="104" t="s">
        <v>1</v>
      </c>
      <c r="H1" s="240"/>
      <c r="I1" s="240"/>
      <c r="J1" s="240"/>
      <c r="K1" s="240"/>
      <c r="O1" s="104" t="s">
        <v>92</v>
      </c>
    </row>
    <row r="2" spans="3:46" s="105" customFormat="1" ht="37.5" customHeight="1"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T2" s="105" t="s">
        <v>80</v>
      </c>
    </row>
    <row r="3" spans="2:46" s="105" customFormat="1" ht="7.5" customHeight="1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8"/>
      <c r="AT3" s="105" t="s">
        <v>93</v>
      </c>
    </row>
    <row r="4" spans="2:46" s="105" customFormat="1" ht="37.5" customHeight="1">
      <c r="B4" s="109"/>
      <c r="C4" s="228" t="s">
        <v>94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110"/>
      <c r="T4" s="111" t="s">
        <v>8</v>
      </c>
      <c r="AT4" s="105" t="s">
        <v>3</v>
      </c>
    </row>
    <row r="5" spans="2:18" s="105" customFormat="1" ht="7.5" customHeight="1">
      <c r="B5" s="109"/>
      <c r="R5" s="110"/>
    </row>
    <row r="6" spans="2:18" s="105" customFormat="1" ht="30.75" customHeight="1">
      <c r="B6" s="109"/>
      <c r="D6" s="112" t="s">
        <v>12</v>
      </c>
      <c r="F6" s="229" t="str">
        <f>'Rekapitulace stavby'!$K$6</f>
        <v>II/235 Terešovksá Huť-Mlečice</v>
      </c>
      <c r="G6" s="229"/>
      <c r="H6" s="229"/>
      <c r="I6" s="229"/>
      <c r="J6" s="229"/>
      <c r="K6" s="229"/>
      <c r="L6" s="229"/>
      <c r="M6" s="229"/>
      <c r="N6" s="229"/>
      <c r="O6" s="229"/>
      <c r="P6" s="229"/>
      <c r="R6" s="110"/>
    </row>
    <row r="7" spans="2:18" s="114" customFormat="1" ht="37.5" customHeight="1">
      <c r="B7" s="113"/>
      <c r="D7" s="115" t="s">
        <v>95</v>
      </c>
      <c r="F7" s="239" t="s">
        <v>96</v>
      </c>
      <c r="G7" s="239"/>
      <c r="H7" s="239"/>
      <c r="I7" s="239"/>
      <c r="J7" s="239"/>
      <c r="K7" s="239"/>
      <c r="L7" s="239"/>
      <c r="M7" s="239"/>
      <c r="N7" s="239"/>
      <c r="O7" s="239"/>
      <c r="P7" s="239"/>
      <c r="R7" s="116"/>
    </row>
    <row r="8" spans="2:18" s="114" customFormat="1" ht="15" customHeight="1">
      <c r="B8" s="113"/>
      <c r="D8" s="112" t="s">
        <v>15</v>
      </c>
      <c r="F8" s="117"/>
      <c r="M8" s="112" t="s">
        <v>16</v>
      </c>
      <c r="O8" s="117"/>
      <c r="R8" s="116"/>
    </row>
    <row r="9" spans="2:18" s="114" customFormat="1" ht="15" customHeight="1">
      <c r="B9" s="113"/>
      <c r="D9" s="112" t="s">
        <v>18</v>
      </c>
      <c r="F9" s="117" t="s">
        <v>19</v>
      </c>
      <c r="M9" s="112" t="s">
        <v>20</v>
      </c>
      <c r="O9" s="231" t="str">
        <f>'Rekapitulace stavby'!$AN$8</f>
        <v>13.12.2015</v>
      </c>
      <c r="P9" s="231"/>
      <c r="R9" s="116"/>
    </row>
    <row r="10" spans="2:18" s="114" customFormat="1" ht="12" customHeight="1">
      <c r="B10" s="113"/>
      <c r="R10" s="116"/>
    </row>
    <row r="11" spans="2:18" s="114" customFormat="1" ht="15" customHeight="1">
      <c r="B11" s="113"/>
      <c r="D11" s="112" t="s">
        <v>24</v>
      </c>
      <c r="M11" s="112" t="s">
        <v>25</v>
      </c>
      <c r="O11" s="224">
        <f>IF('Rekapitulace stavby'!$AN$10="","",'Rekapitulace stavby'!$AN$10)</f>
      </c>
      <c r="P11" s="224"/>
      <c r="R11" s="116"/>
    </row>
    <row r="12" spans="2:18" s="114" customFormat="1" ht="18.75" customHeight="1">
      <c r="B12" s="113"/>
      <c r="E12" s="117" t="str">
        <f>IF('Rekapitulace stavby'!$E$11="","",'Rekapitulace stavby'!$E$11)</f>
        <v>Obec Terešov, Mlečice, Chlum, Zvíkovec</v>
      </c>
      <c r="M12" s="112" t="s">
        <v>27</v>
      </c>
      <c r="O12" s="224">
        <f>IF('Rekapitulace stavby'!$AN$11="","",'Rekapitulace stavby'!$AN$11)</f>
      </c>
      <c r="P12" s="224"/>
      <c r="R12" s="116"/>
    </row>
    <row r="13" spans="2:18" s="114" customFormat="1" ht="7.5" customHeight="1">
      <c r="B13" s="113"/>
      <c r="R13" s="116"/>
    </row>
    <row r="14" spans="2:18" s="114" customFormat="1" ht="15" customHeight="1">
      <c r="B14" s="113"/>
      <c r="D14" s="112" t="s">
        <v>28</v>
      </c>
      <c r="M14" s="112" t="s">
        <v>25</v>
      </c>
      <c r="O14" s="224">
        <f>IF('Rekapitulace stavby'!$AN$13="","",'Rekapitulace stavby'!$AN$13)</f>
      </c>
      <c r="P14" s="224"/>
      <c r="R14" s="116"/>
    </row>
    <row r="15" spans="2:18" s="114" customFormat="1" ht="18.75" customHeight="1">
      <c r="B15" s="113"/>
      <c r="E15" s="117" t="str">
        <f>IF('Rekapitulace stavby'!$E$14="","",'Rekapitulace stavby'!$E$14)</f>
        <v> </v>
      </c>
      <c r="M15" s="112" t="s">
        <v>27</v>
      </c>
      <c r="O15" s="224">
        <f>IF('Rekapitulace stavby'!$AN$14="","",'Rekapitulace stavby'!$AN$14)</f>
      </c>
      <c r="P15" s="224"/>
      <c r="R15" s="116"/>
    </row>
    <row r="16" spans="2:18" s="114" customFormat="1" ht="7.5" customHeight="1">
      <c r="B16" s="113"/>
      <c r="R16" s="116"/>
    </row>
    <row r="17" spans="2:18" s="114" customFormat="1" ht="15" customHeight="1">
      <c r="B17" s="113"/>
      <c r="D17" s="112" t="s">
        <v>29</v>
      </c>
      <c r="M17" s="112" t="s">
        <v>25</v>
      </c>
      <c r="O17" s="224"/>
      <c r="P17" s="224"/>
      <c r="R17" s="116"/>
    </row>
    <row r="18" spans="2:18" s="114" customFormat="1" ht="18.75" customHeight="1">
      <c r="B18" s="113"/>
      <c r="E18" s="117" t="s">
        <v>30</v>
      </c>
      <c r="M18" s="112" t="s">
        <v>27</v>
      </c>
      <c r="O18" s="224"/>
      <c r="P18" s="224"/>
      <c r="R18" s="116"/>
    </row>
    <row r="19" spans="2:18" s="114" customFormat="1" ht="7.5" customHeight="1">
      <c r="B19" s="113"/>
      <c r="R19" s="116"/>
    </row>
    <row r="20" spans="2:18" s="114" customFormat="1" ht="15" customHeight="1">
      <c r="B20" s="113"/>
      <c r="D20" s="112" t="s">
        <v>32</v>
      </c>
      <c r="M20" s="112" t="s">
        <v>25</v>
      </c>
      <c r="O20" s="224">
        <f>IF('Rekapitulace stavby'!$AN$19="","",'Rekapitulace stavby'!$AN$19)</f>
      </c>
      <c r="P20" s="224"/>
      <c r="R20" s="116"/>
    </row>
    <row r="21" spans="2:18" s="114" customFormat="1" ht="18.75" customHeight="1">
      <c r="B21" s="113"/>
      <c r="E21" s="117" t="str">
        <f>IF('Rekapitulace stavby'!$E$20="","",'Rekapitulace stavby'!$E$20)</f>
        <v>Lenka Jandová</v>
      </c>
      <c r="M21" s="112" t="s">
        <v>27</v>
      </c>
      <c r="O21" s="224">
        <f>IF('Rekapitulace stavby'!$AN$20="","",'Rekapitulace stavby'!$AN$20)</f>
      </c>
      <c r="P21" s="224"/>
      <c r="R21" s="116"/>
    </row>
    <row r="22" spans="2:18" s="114" customFormat="1" ht="7.5" customHeight="1">
      <c r="B22" s="113"/>
      <c r="R22" s="116"/>
    </row>
    <row r="23" spans="2:18" s="114" customFormat="1" ht="7.5" customHeight="1">
      <c r="B23" s="113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R23" s="116"/>
    </row>
    <row r="24" spans="2:18" s="114" customFormat="1" ht="15" customHeight="1">
      <c r="B24" s="113"/>
      <c r="D24" s="119" t="s">
        <v>97</v>
      </c>
      <c r="M24" s="242">
        <f>$N$78</f>
        <v>0</v>
      </c>
      <c r="N24" s="242"/>
      <c r="O24" s="242"/>
      <c r="P24" s="242"/>
      <c r="R24" s="116"/>
    </row>
    <row r="25" spans="2:18" s="114" customFormat="1" ht="15" customHeight="1">
      <c r="B25" s="113"/>
      <c r="D25" s="120" t="s">
        <v>98</v>
      </c>
      <c r="M25" s="242">
        <f>$N$90</f>
        <v>0</v>
      </c>
      <c r="N25" s="242"/>
      <c r="O25" s="242"/>
      <c r="P25" s="242"/>
      <c r="R25" s="116"/>
    </row>
    <row r="26" spans="2:18" s="114" customFormat="1" ht="7.5" customHeight="1">
      <c r="B26" s="113"/>
      <c r="R26" s="116"/>
    </row>
    <row r="27" spans="2:18" s="114" customFormat="1" ht="26.25" customHeight="1">
      <c r="B27" s="113"/>
      <c r="D27" s="121" t="s">
        <v>36</v>
      </c>
      <c r="M27" s="243">
        <f>ROUND($M$24+$M$25,2)</f>
        <v>0</v>
      </c>
      <c r="N27" s="243"/>
      <c r="O27" s="243"/>
      <c r="P27" s="243"/>
      <c r="R27" s="116"/>
    </row>
    <row r="28" spans="2:18" s="114" customFormat="1" ht="7.5" customHeight="1">
      <c r="B28" s="113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R28" s="116"/>
    </row>
    <row r="29" spans="2:18" s="114" customFormat="1" ht="15" customHeight="1">
      <c r="B29" s="113"/>
      <c r="D29" s="122" t="s">
        <v>37</v>
      </c>
      <c r="E29" s="122" t="s">
        <v>38</v>
      </c>
      <c r="F29" s="123">
        <v>0.21</v>
      </c>
      <c r="G29" s="124" t="s">
        <v>39</v>
      </c>
      <c r="H29" s="236">
        <f>M27</f>
        <v>0</v>
      </c>
      <c r="I29" s="236"/>
      <c r="J29" s="236"/>
      <c r="M29" s="236">
        <f>H29*0.21</f>
        <v>0</v>
      </c>
      <c r="N29" s="236"/>
      <c r="O29" s="236"/>
      <c r="P29" s="236"/>
      <c r="R29" s="116"/>
    </row>
    <row r="30" spans="2:18" s="114" customFormat="1" ht="15" customHeight="1">
      <c r="B30" s="113"/>
      <c r="E30" s="122" t="s">
        <v>40</v>
      </c>
      <c r="F30" s="123">
        <v>0.15</v>
      </c>
      <c r="G30" s="124" t="s">
        <v>39</v>
      </c>
      <c r="H30" s="236">
        <f>0</f>
        <v>0</v>
      </c>
      <c r="I30" s="236"/>
      <c r="J30" s="236"/>
      <c r="M30" s="236">
        <f>H30*0.15</f>
        <v>0</v>
      </c>
      <c r="N30" s="236"/>
      <c r="O30" s="236"/>
      <c r="P30" s="236"/>
      <c r="R30" s="116"/>
    </row>
    <row r="31" spans="2:18" s="114" customFormat="1" ht="15" customHeight="1" hidden="1">
      <c r="B31" s="113"/>
      <c r="E31" s="122" t="s">
        <v>41</v>
      </c>
      <c r="F31" s="123">
        <v>0.21</v>
      </c>
      <c r="G31" s="124" t="s">
        <v>39</v>
      </c>
      <c r="H31" s="236" t="e">
        <f>ROUND((SUM($BG$90:$BG$91)+SUM($BG$109:$BG$194)),2)</f>
        <v>#REF!</v>
      </c>
      <c r="I31" s="236"/>
      <c r="J31" s="236"/>
      <c r="M31" s="236">
        <v>0</v>
      </c>
      <c r="N31" s="236"/>
      <c r="O31" s="236"/>
      <c r="P31" s="236"/>
      <c r="R31" s="116"/>
    </row>
    <row r="32" spans="2:18" s="114" customFormat="1" ht="15" customHeight="1" hidden="1">
      <c r="B32" s="113"/>
      <c r="E32" s="122" t="s">
        <v>42</v>
      </c>
      <c r="F32" s="123">
        <v>0.15</v>
      </c>
      <c r="G32" s="124" t="s">
        <v>39</v>
      </c>
      <c r="H32" s="236" t="e">
        <f>ROUND((SUM($BH$90:$BH$91)+SUM($BH$109:$BH$194)),2)</f>
        <v>#REF!</v>
      </c>
      <c r="I32" s="236"/>
      <c r="J32" s="236"/>
      <c r="M32" s="236">
        <v>0</v>
      </c>
      <c r="N32" s="236"/>
      <c r="O32" s="236"/>
      <c r="P32" s="236"/>
      <c r="R32" s="116"/>
    </row>
    <row r="33" spans="2:18" s="114" customFormat="1" ht="15" customHeight="1" hidden="1">
      <c r="B33" s="113"/>
      <c r="E33" s="122" t="s">
        <v>43</v>
      </c>
      <c r="F33" s="123">
        <v>0</v>
      </c>
      <c r="G33" s="124" t="s">
        <v>39</v>
      </c>
      <c r="H33" s="236" t="e">
        <f>ROUND((SUM($BI$90:$BI$91)+SUM($BI$109:$BI$194)),2)</f>
        <v>#REF!</v>
      </c>
      <c r="I33" s="236"/>
      <c r="J33" s="236"/>
      <c r="M33" s="236">
        <v>0</v>
      </c>
      <c r="N33" s="236"/>
      <c r="O33" s="236"/>
      <c r="P33" s="236"/>
      <c r="R33" s="116"/>
    </row>
    <row r="34" spans="2:18" s="114" customFormat="1" ht="7.5" customHeight="1">
      <c r="B34" s="113"/>
      <c r="R34" s="116"/>
    </row>
    <row r="35" spans="2:18" s="114" customFormat="1" ht="26.25" customHeight="1">
      <c r="B35" s="113"/>
      <c r="C35" s="125"/>
      <c r="D35" s="126" t="s">
        <v>44</v>
      </c>
      <c r="E35" s="127"/>
      <c r="F35" s="127"/>
      <c r="G35" s="128" t="s">
        <v>45</v>
      </c>
      <c r="H35" s="129" t="s">
        <v>46</v>
      </c>
      <c r="I35" s="127"/>
      <c r="J35" s="127"/>
      <c r="K35" s="127"/>
      <c r="L35" s="237">
        <f>ROUND(SUM($M$27:$M$33),2)</f>
        <v>0</v>
      </c>
      <c r="M35" s="237"/>
      <c r="N35" s="237"/>
      <c r="O35" s="237"/>
      <c r="P35" s="237"/>
      <c r="Q35" s="125"/>
      <c r="R35" s="116"/>
    </row>
    <row r="36" spans="2:18" s="114" customFormat="1" ht="15" customHeight="1">
      <c r="B36" s="113"/>
      <c r="R36" s="116"/>
    </row>
    <row r="37" spans="2:18" s="114" customFormat="1" ht="15" customHeight="1">
      <c r="B37" s="113"/>
      <c r="R37" s="116"/>
    </row>
    <row r="38" spans="2:18" s="105" customFormat="1" ht="14.25" customHeight="1">
      <c r="B38" s="109"/>
      <c r="R38" s="110"/>
    </row>
    <row r="39" spans="2:18" s="105" customFormat="1" ht="14.25" customHeight="1">
      <c r="B39" s="109"/>
      <c r="R39" s="110"/>
    </row>
    <row r="40" spans="2:18" s="114" customFormat="1" ht="15.75" customHeight="1">
      <c r="B40" s="113"/>
      <c r="D40" s="130" t="s">
        <v>47</v>
      </c>
      <c r="E40" s="118"/>
      <c r="F40" s="118"/>
      <c r="G40" s="118"/>
      <c r="H40" s="118"/>
      <c r="J40" s="130" t="s">
        <v>48</v>
      </c>
      <c r="K40" s="118"/>
      <c r="L40" s="118"/>
      <c r="M40" s="118"/>
      <c r="N40" s="118"/>
      <c r="O40" s="118"/>
      <c r="P40" s="118"/>
      <c r="R40" s="116"/>
    </row>
    <row r="41" spans="2:18" s="105" customFormat="1" ht="14.25" customHeight="1">
      <c r="B41" s="109"/>
      <c r="D41" s="131"/>
      <c r="H41" s="131"/>
      <c r="J41" s="131"/>
      <c r="P41" s="131"/>
      <c r="R41" s="110"/>
    </row>
    <row r="42" spans="2:18" s="105" customFormat="1" ht="14.25" customHeight="1">
      <c r="B42" s="109"/>
      <c r="D42" s="131"/>
      <c r="H42" s="131"/>
      <c r="J42" s="131"/>
      <c r="P42" s="131"/>
      <c r="R42" s="110"/>
    </row>
    <row r="43" spans="2:18" s="105" customFormat="1" ht="14.25" customHeight="1">
      <c r="B43" s="109"/>
      <c r="D43" s="131"/>
      <c r="H43" s="131"/>
      <c r="J43" s="131"/>
      <c r="P43" s="131"/>
      <c r="R43" s="110"/>
    </row>
    <row r="44" spans="2:18" s="105" customFormat="1" ht="14.25" customHeight="1">
      <c r="B44" s="109"/>
      <c r="D44" s="131"/>
      <c r="H44" s="131"/>
      <c r="J44" s="131"/>
      <c r="P44" s="131"/>
      <c r="R44" s="110"/>
    </row>
    <row r="45" spans="2:18" s="105" customFormat="1" ht="14.25" customHeight="1">
      <c r="B45" s="109"/>
      <c r="D45" s="131"/>
      <c r="H45" s="131"/>
      <c r="J45" s="131"/>
      <c r="P45" s="131"/>
      <c r="R45" s="110"/>
    </row>
    <row r="46" spans="2:18" s="105" customFormat="1" ht="14.25" customHeight="1">
      <c r="B46" s="109"/>
      <c r="D46" s="131"/>
      <c r="H46" s="131"/>
      <c r="J46" s="131"/>
      <c r="P46" s="131"/>
      <c r="R46" s="110"/>
    </row>
    <row r="47" spans="2:18" s="105" customFormat="1" ht="14.25" customHeight="1">
      <c r="B47" s="109"/>
      <c r="D47" s="131"/>
      <c r="H47" s="131"/>
      <c r="J47" s="131"/>
      <c r="P47" s="131"/>
      <c r="R47" s="110"/>
    </row>
    <row r="48" spans="2:18" s="105" customFormat="1" ht="14.25" customHeight="1">
      <c r="B48" s="109"/>
      <c r="D48" s="131"/>
      <c r="H48" s="131"/>
      <c r="J48" s="131"/>
      <c r="P48" s="131"/>
      <c r="R48" s="110"/>
    </row>
    <row r="49" spans="2:18" s="114" customFormat="1" ht="15.75" customHeight="1">
      <c r="B49" s="113"/>
      <c r="D49" s="132" t="s">
        <v>49</v>
      </c>
      <c r="E49" s="118"/>
      <c r="F49" s="118"/>
      <c r="G49" s="132" t="s">
        <v>50</v>
      </c>
      <c r="H49" s="118"/>
      <c r="J49" s="132" t="s">
        <v>49</v>
      </c>
      <c r="K49" s="118"/>
      <c r="L49" s="118"/>
      <c r="M49" s="118"/>
      <c r="N49" s="132" t="s">
        <v>50</v>
      </c>
      <c r="O49" s="118"/>
      <c r="P49" s="118"/>
      <c r="R49" s="116"/>
    </row>
    <row r="50" spans="2:18" s="105" customFormat="1" ht="14.25" customHeight="1">
      <c r="B50" s="109"/>
      <c r="R50" s="110"/>
    </row>
    <row r="51" spans="2:18" s="114" customFormat="1" ht="15.75" customHeight="1">
      <c r="B51" s="113"/>
      <c r="D51" s="130" t="s">
        <v>51</v>
      </c>
      <c r="E51" s="118"/>
      <c r="F51" s="118"/>
      <c r="G51" s="118"/>
      <c r="H51" s="118"/>
      <c r="J51" s="130" t="s">
        <v>52</v>
      </c>
      <c r="K51" s="118"/>
      <c r="L51" s="118"/>
      <c r="M51" s="118"/>
      <c r="N51" s="118"/>
      <c r="O51" s="118"/>
      <c r="P51" s="118"/>
      <c r="R51" s="116"/>
    </row>
    <row r="52" spans="2:18" s="105" customFormat="1" ht="14.25" customHeight="1">
      <c r="B52" s="109"/>
      <c r="D52" s="131"/>
      <c r="H52" s="131"/>
      <c r="J52" s="131"/>
      <c r="P52" s="131"/>
      <c r="R52" s="110"/>
    </row>
    <row r="53" spans="2:18" s="105" customFormat="1" ht="14.25" customHeight="1">
      <c r="B53" s="109"/>
      <c r="D53" s="131"/>
      <c r="H53" s="131"/>
      <c r="J53" s="131"/>
      <c r="P53" s="131"/>
      <c r="R53" s="110"/>
    </row>
    <row r="54" spans="2:18" s="105" customFormat="1" ht="14.25" customHeight="1">
      <c r="B54" s="109"/>
      <c r="D54" s="131"/>
      <c r="H54" s="131"/>
      <c r="J54" s="131"/>
      <c r="P54" s="131"/>
      <c r="R54" s="110"/>
    </row>
    <row r="55" spans="2:18" s="105" customFormat="1" ht="14.25" customHeight="1">
      <c r="B55" s="109"/>
      <c r="D55" s="131"/>
      <c r="H55" s="131"/>
      <c r="J55" s="131"/>
      <c r="P55" s="131"/>
      <c r="R55" s="110"/>
    </row>
    <row r="56" spans="2:18" s="105" customFormat="1" ht="14.25" customHeight="1">
      <c r="B56" s="109"/>
      <c r="D56" s="131"/>
      <c r="H56" s="131"/>
      <c r="J56" s="131"/>
      <c r="P56" s="131"/>
      <c r="R56" s="110"/>
    </row>
    <row r="57" spans="2:18" s="105" customFormat="1" ht="14.25" customHeight="1">
      <c r="B57" s="109"/>
      <c r="D57" s="131"/>
      <c r="H57" s="131"/>
      <c r="J57" s="131"/>
      <c r="P57" s="131"/>
      <c r="R57" s="110"/>
    </row>
    <row r="58" spans="2:18" s="105" customFormat="1" ht="14.25" customHeight="1">
      <c r="B58" s="109"/>
      <c r="D58" s="131"/>
      <c r="H58" s="131"/>
      <c r="J58" s="131"/>
      <c r="P58" s="131"/>
      <c r="R58" s="110"/>
    </row>
    <row r="59" spans="2:18" s="105" customFormat="1" ht="14.25" customHeight="1">
      <c r="B59" s="109"/>
      <c r="D59" s="131"/>
      <c r="H59" s="131"/>
      <c r="J59" s="131"/>
      <c r="P59" s="131"/>
      <c r="R59" s="110"/>
    </row>
    <row r="60" spans="2:18" s="114" customFormat="1" ht="15.75" customHeight="1">
      <c r="B60" s="113"/>
      <c r="D60" s="132" t="s">
        <v>49</v>
      </c>
      <c r="E60" s="118"/>
      <c r="F60" s="118"/>
      <c r="G60" s="132" t="s">
        <v>50</v>
      </c>
      <c r="H60" s="118"/>
      <c r="J60" s="132" t="s">
        <v>49</v>
      </c>
      <c r="K60" s="118"/>
      <c r="L60" s="118"/>
      <c r="M60" s="118"/>
      <c r="N60" s="132" t="s">
        <v>50</v>
      </c>
      <c r="O60" s="118"/>
      <c r="P60" s="118"/>
      <c r="R60" s="116"/>
    </row>
    <row r="61" spans="2:18" s="114" customFormat="1" ht="15" customHeight="1">
      <c r="B61" s="133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5"/>
    </row>
    <row r="65" spans="2:18" s="114" customFormat="1" ht="7.5" customHeight="1">
      <c r="B65" s="136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8"/>
    </row>
    <row r="66" spans="2:18" s="114" customFormat="1" ht="37.5" customHeight="1">
      <c r="B66" s="113"/>
      <c r="C66" s="228" t="s">
        <v>99</v>
      </c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116"/>
    </row>
    <row r="67" spans="2:18" s="114" customFormat="1" ht="7.5" customHeight="1">
      <c r="B67" s="113"/>
      <c r="R67" s="116"/>
    </row>
    <row r="68" spans="2:18" s="114" customFormat="1" ht="30.75" customHeight="1">
      <c r="B68" s="113"/>
      <c r="C68" s="112" t="s">
        <v>12</v>
      </c>
      <c r="F68" s="229" t="str">
        <f>$F$6</f>
        <v>II/235 Terešovksá Huť-Mlečice</v>
      </c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R68" s="116"/>
    </row>
    <row r="69" spans="2:18" s="114" customFormat="1" ht="37.5" customHeight="1">
      <c r="B69" s="113"/>
      <c r="C69" s="139" t="s">
        <v>95</v>
      </c>
      <c r="F69" s="230" t="str">
        <f>$F$7</f>
        <v>SO 101 - II/235 Terešovská Huť-Mlečice</v>
      </c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R69" s="116"/>
    </row>
    <row r="70" spans="2:18" s="114" customFormat="1" ht="7.5" customHeight="1">
      <c r="B70" s="113"/>
      <c r="R70" s="116"/>
    </row>
    <row r="71" spans="2:18" s="114" customFormat="1" ht="18.75" customHeight="1">
      <c r="B71" s="113"/>
      <c r="C71" s="112" t="s">
        <v>18</v>
      </c>
      <c r="F71" s="117" t="str">
        <f>$F$9</f>
        <v> </v>
      </c>
      <c r="K71" s="112" t="s">
        <v>20</v>
      </c>
      <c r="M71" s="231" t="str">
        <f>IF($O$9="","",$O$9)</f>
        <v>13.12.2015</v>
      </c>
      <c r="N71" s="231"/>
      <c r="O71" s="231"/>
      <c r="P71" s="231"/>
      <c r="R71" s="116"/>
    </row>
    <row r="72" spans="2:18" s="114" customFormat="1" ht="7.5" customHeight="1">
      <c r="B72" s="113"/>
      <c r="R72" s="116"/>
    </row>
    <row r="73" spans="2:18" s="114" customFormat="1" ht="15.75" customHeight="1">
      <c r="B73" s="113"/>
      <c r="C73" s="112" t="s">
        <v>24</v>
      </c>
      <c r="F73" s="117" t="str">
        <f>$E$12</f>
        <v>Obec Terešov, Mlečice, Chlum, Zvíkovec</v>
      </c>
      <c r="K73" s="112" t="s">
        <v>29</v>
      </c>
      <c r="M73" s="224" t="str">
        <f>$E$18</f>
        <v>ing. Kamil Hrbek</v>
      </c>
      <c r="N73" s="224"/>
      <c r="O73" s="224"/>
      <c r="P73" s="224"/>
      <c r="Q73" s="224"/>
      <c r="R73" s="116"/>
    </row>
    <row r="74" spans="2:18" s="114" customFormat="1" ht="15" customHeight="1">
      <c r="B74" s="113"/>
      <c r="C74" s="112" t="s">
        <v>28</v>
      </c>
      <c r="F74" s="117" t="str">
        <f>IF($E$15="","",$E$15)</f>
        <v> </v>
      </c>
      <c r="K74" s="112" t="s">
        <v>32</v>
      </c>
      <c r="M74" s="224" t="str">
        <f>$E$21</f>
        <v>Lenka Jandová</v>
      </c>
      <c r="N74" s="224"/>
      <c r="O74" s="224"/>
      <c r="P74" s="224"/>
      <c r="Q74" s="224"/>
      <c r="R74" s="116"/>
    </row>
    <row r="75" spans="2:18" s="114" customFormat="1" ht="11.25" customHeight="1">
      <c r="B75" s="113"/>
      <c r="R75" s="116"/>
    </row>
    <row r="76" spans="2:18" s="114" customFormat="1" ht="30" customHeight="1">
      <c r="B76" s="113"/>
      <c r="C76" s="235" t="s">
        <v>100</v>
      </c>
      <c r="D76" s="235"/>
      <c r="E76" s="235"/>
      <c r="F76" s="235"/>
      <c r="G76" s="235"/>
      <c r="H76" s="125"/>
      <c r="I76" s="125"/>
      <c r="J76" s="125"/>
      <c r="K76" s="125"/>
      <c r="L76" s="125"/>
      <c r="M76" s="125"/>
      <c r="N76" s="235" t="s">
        <v>101</v>
      </c>
      <c r="O76" s="235"/>
      <c r="P76" s="235"/>
      <c r="Q76" s="235"/>
      <c r="R76" s="116"/>
    </row>
    <row r="77" spans="2:18" s="114" customFormat="1" ht="11.25" customHeight="1">
      <c r="B77" s="113"/>
      <c r="R77" s="116"/>
    </row>
    <row r="78" spans="2:47" s="114" customFormat="1" ht="30" customHeight="1">
      <c r="B78" s="113"/>
      <c r="C78" s="140" t="s">
        <v>102</v>
      </c>
      <c r="N78" s="234">
        <f>N79+N86</f>
        <v>0</v>
      </c>
      <c r="O78" s="234"/>
      <c r="P78" s="234"/>
      <c r="Q78" s="234"/>
      <c r="R78" s="116"/>
      <c r="AU78" s="114" t="s">
        <v>103</v>
      </c>
    </row>
    <row r="79" spans="2:18" s="142" customFormat="1" ht="25.5" customHeight="1">
      <c r="B79" s="141"/>
      <c r="D79" s="143" t="s">
        <v>104</v>
      </c>
      <c r="N79" s="233">
        <f>N110</f>
        <v>0</v>
      </c>
      <c r="O79" s="233"/>
      <c r="P79" s="233"/>
      <c r="Q79" s="233"/>
      <c r="R79" s="144"/>
    </row>
    <row r="80" spans="2:18" s="119" customFormat="1" ht="21" customHeight="1">
      <c r="B80" s="145"/>
      <c r="D80" s="146" t="s">
        <v>105</v>
      </c>
      <c r="N80" s="232">
        <f>ROUND($N$111,2)</f>
        <v>0</v>
      </c>
      <c r="O80" s="232"/>
      <c r="P80" s="232"/>
      <c r="Q80" s="232"/>
      <c r="R80" s="147"/>
    </row>
    <row r="81" spans="2:18" s="119" customFormat="1" ht="21" customHeight="1">
      <c r="B81" s="145"/>
      <c r="D81" s="146" t="s">
        <v>106</v>
      </c>
      <c r="N81" s="232">
        <f>ROUND($N$127,2)</f>
        <v>0</v>
      </c>
      <c r="O81" s="232"/>
      <c r="P81" s="232"/>
      <c r="Q81" s="232"/>
      <c r="R81" s="147"/>
    </row>
    <row r="82" spans="2:18" s="119" customFormat="1" ht="21" customHeight="1">
      <c r="B82" s="145"/>
      <c r="D82" s="146" t="s">
        <v>107</v>
      </c>
      <c r="N82" s="232">
        <f>ROUND($N$129,2)</f>
        <v>0</v>
      </c>
      <c r="O82" s="232"/>
      <c r="P82" s="232"/>
      <c r="Q82" s="232"/>
      <c r="R82" s="147"/>
    </row>
    <row r="83" spans="2:18" s="119" customFormat="1" ht="21" customHeight="1">
      <c r="B83" s="145"/>
      <c r="D83" s="146" t="s">
        <v>108</v>
      </c>
      <c r="N83" s="232">
        <f>ROUND($N$142,2)</f>
        <v>0</v>
      </c>
      <c r="O83" s="232"/>
      <c r="P83" s="232"/>
      <c r="Q83" s="232"/>
      <c r="R83" s="147"/>
    </row>
    <row r="84" spans="2:18" s="119" customFormat="1" ht="21" customHeight="1">
      <c r="B84" s="145"/>
      <c r="D84" s="146" t="s">
        <v>109</v>
      </c>
      <c r="N84" s="232">
        <f>ROUND($N$181,2)</f>
        <v>0</v>
      </c>
      <c r="O84" s="232"/>
      <c r="P84" s="232"/>
      <c r="Q84" s="232"/>
      <c r="R84" s="147"/>
    </row>
    <row r="85" spans="2:18" s="119" customFormat="1" ht="21" customHeight="1">
      <c r="B85" s="145"/>
      <c r="D85" s="146" t="s">
        <v>110</v>
      </c>
      <c r="N85" s="232">
        <f>ROUND($N$188,2)</f>
        <v>0</v>
      </c>
      <c r="O85" s="232"/>
      <c r="P85" s="232"/>
      <c r="Q85" s="232"/>
      <c r="R85" s="147"/>
    </row>
    <row r="86" spans="2:18" s="142" customFormat="1" ht="25.5" customHeight="1">
      <c r="B86" s="141"/>
      <c r="D86" s="143" t="s">
        <v>111</v>
      </c>
      <c r="N86" s="233">
        <f>ROUND($N$190,2)</f>
        <v>0</v>
      </c>
      <c r="O86" s="233"/>
      <c r="P86" s="233"/>
      <c r="Q86" s="233"/>
      <c r="R86" s="144"/>
    </row>
    <row r="87" spans="2:18" s="119" customFormat="1" ht="21" customHeight="1">
      <c r="B87" s="145"/>
      <c r="D87" s="146" t="s">
        <v>112</v>
      </c>
      <c r="N87" s="232">
        <f>ROUND($N$191,2)</f>
        <v>0</v>
      </c>
      <c r="O87" s="232"/>
      <c r="P87" s="232"/>
      <c r="Q87" s="232"/>
      <c r="R87" s="147"/>
    </row>
    <row r="88" spans="2:18" s="119" customFormat="1" ht="21" customHeight="1">
      <c r="B88" s="145"/>
      <c r="D88" s="146" t="s">
        <v>113</v>
      </c>
      <c r="N88" s="232">
        <f>ROUND($N$193,2)</f>
        <v>0</v>
      </c>
      <c r="O88" s="232"/>
      <c r="P88" s="232"/>
      <c r="Q88" s="232"/>
      <c r="R88" s="147"/>
    </row>
    <row r="89" spans="2:18" s="114" customFormat="1" ht="22.5" customHeight="1">
      <c r="B89" s="113"/>
      <c r="R89" s="116"/>
    </row>
    <row r="90" spans="2:21" s="114" customFormat="1" ht="30" customHeight="1">
      <c r="B90" s="113"/>
      <c r="C90" s="140" t="s">
        <v>114</v>
      </c>
      <c r="N90" s="234">
        <v>0</v>
      </c>
      <c r="O90" s="234"/>
      <c r="P90" s="234"/>
      <c r="Q90" s="234"/>
      <c r="R90" s="116"/>
      <c r="T90" s="118"/>
      <c r="U90" s="148" t="s">
        <v>37</v>
      </c>
    </row>
    <row r="91" spans="2:18" s="114" customFormat="1" ht="18.75" customHeight="1">
      <c r="B91" s="113"/>
      <c r="R91" s="116"/>
    </row>
    <row r="92" spans="2:18" s="114" customFormat="1" ht="30" customHeight="1">
      <c r="B92" s="113"/>
      <c r="C92" s="149" t="s">
        <v>91</v>
      </c>
      <c r="D92" s="125"/>
      <c r="E92" s="125"/>
      <c r="F92" s="125"/>
      <c r="G92" s="125"/>
      <c r="H92" s="125"/>
      <c r="I92" s="125"/>
      <c r="J92" s="125"/>
      <c r="K92" s="125"/>
      <c r="L92" s="227">
        <f>ROUND(SUM($N$78+$N$90),2)</f>
        <v>0</v>
      </c>
      <c r="M92" s="227"/>
      <c r="N92" s="227"/>
      <c r="O92" s="227"/>
      <c r="P92" s="227"/>
      <c r="Q92" s="227"/>
      <c r="R92" s="116"/>
    </row>
    <row r="93" spans="2:18" s="114" customFormat="1" ht="7.5" customHeight="1">
      <c r="B93" s="133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5"/>
    </row>
    <row r="97" spans="2:18" s="114" customFormat="1" ht="7.5" customHeight="1">
      <c r="B97" s="136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8"/>
    </row>
    <row r="98" spans="2:18" s="114" customFormat="1" ht="37.5" customHeight="1">
      <c r="B98" s="113"/>
      <c r="C98" s="228" t="s">
        <v>115</v>
      </c>
      <c r="D98" s="228"/>
      <c r="E98" s="228"/>
      <c r="F98" s="228"/>
      <c r="G98" s="228"/>
      <c r="H98" s="228"/>
      <c r="I98" s="228"/>
      <c r="J98" s="228"/>
      <c r="K98" s="228"/>
      <c r="L98" s="228"/>
      <c r="M98" s="228"/>
      <c r="N98" s="228"/>
      <c r="O98" s="228"/>
      <c r="P98" s="228"/>
      <c r="Q98" s="228"/>
      <c r="R98" s="116"/>
    </row>
    <row r="99" spans="2:18" s="114" customFormat="1" ht="7.5" customHeight="1">
      <c r="B99" s="113"/>
      <c r="R99" s="116"/>
    </row>
    <row r="100" spans="2:18" s="114" customFormat="1" ht="30.75" customHeight="1">
      <c r="B100" s="113"/>
      <c r="C100" s="112" t="s">
        <v>12</v>
      </c>
      <c r="F100" s="229" t="str">
        <f>$F$6</f>
        <v>II/235 Terešovksá Huť-Mlečice</v>
      </c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R100" s="116"/>
    </row>
    <row r="101" spans="2:18" s="114" customFormat="1" ht="37.5" customHeight="1">
      <c r="B101" s="113"/>
      <c r="C101" s="139" t="s">
        <v>95</v>
      </c>
      <c r="F101" s="230" t="str">
        <f>$F$7</f>
        <v>SO 101 - II/235 Terešovská Huť-Mlečice</v>
      </c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R101" s="116"/>
    </row>
    <row r="102" spans="2:18" s="114" customFormat="1" ht="7.5" customHeight="1">
      <c r="B102" s="113"/>
      <c r="R102" s="116"/>
    </row>
    <row r="103" spans="2:18" s="114" customFormat="1" ht="18.75" customHeight="1">
      <c r="B103" s="113"/>
      <c r="C103" s="112" t="s">
        <v>18</v>
      </c>
      <c r="F103" s="117" t="str">
        <f>$F$9</f>
        <v> </v>
      </c>
      <c r="K103" s="112" t="s">
        <v>20</v>
      </c>
      <c r="M103" s="231" t="str">
        <f>IF($O$9="","",$O$9)</f>
        <v>13.12.2015</v>
      </c>
      <c r="N103" s="231"/>
      <c r="O103" s="231"/>
      <c r="P103" s="231"/>
      <c r="R103" s="116"/>
    </row>
    <row r="104" spans="2:18" s="114" customFormat="1" ht="7.5" customHeight="1">
      <c r="B104" s="113"/>
      <c r="R104" s="116"/>
    </row>
    <row r="105" spans="2:18" s="114" customFormat="1" ht="15.75" customHeight="1">
      <c r="B105" s="113"/>
      <c r="C105" s="112" t="s">
        <v>24</v>
      </c>
      <c r="F105" s="117" t="str">
        <f>$E$12</f>
        <v>Obec Terešov, Mlečice, Chlum, Zvíkovec</v>
      </c>
      <c r="K105" s="112" t="s">
        <v>29</v>
      </c>
      <c r="M105" s="224" t="str">
        <f>$E$18</f>
        <v>ing. Kamil Hrbek</v>
      </c>
      <c r="N105" s="224"/>
      <c r="O105" s="224"/>
      <c r="P105" s="224"/>
      <c r="Q105" s="224"/>
      <c r="R105" s="116"/>
    </row>
    <row r="106" spans="2:18" s="114" customFormat="1" ht="15" customHeight="1">
      <c r="B106" s="113"/>
      <c r="C106" s="112" t="s">
        <v>28</v>
      </c>
      <c r="F106" s="117" t="str">
        <f>IF($E$15="","",$E$15)</f>
        <v> </v>
      </c>
      <c r="K106" s="112" t="s">
        <v>32</v>
      </c>
      <c r="M106" s="224" t="str">
        <f>$E$21</f>
        <v>Lenka Jandová</v>
      </c>
      <c r="N106" s="224"/>
      <c r="O106" s="224"/>
      <c r="P106" s="224"/>
      <c r="Q106" s="224"/>
      <c r="R106" s="116"/>
    </row>
    <row r="107" spans="2:18" s="114" customFormat="1" ht="11.25" customHeight="1">
      <c r="B107" s="113"/>
      <c r="R107" s="116"/>
    </row>
    <row r="108" spans="2:27" s="153" customFormat="1" ht="30" customHeight="1">
      <c r="B108" s="150"/>
      <c r="C108" s="151" t="s">
        <v>116</v>
      </c>
      <c r="D108" s="151" t="s">
        <v>117</v>
      </c>
      <c r="E108" s="151" t="s">
        <v>55</v>
      </c>
      <c r="F108" s="225" t="s">
        <v>118</v>
      </c>
      <c r="G108" s="225"/>
      <c r="H108" s="225"/>
      <c r="I108" s="225"/>
      <c r="J108" s="151" t="s">
        <v>119</v>
      </c>
      <c r="K108" s="151" t="s">
        <v>120</v>
      </c>
      <c r="L108" s="225" t="s">
        <v>121</v>
      </c>
      <c r="M108" s="225"/>
      <c r="N108" s="225" t="s">
        <v>122</v>
      </c>
      <c r="O108" s="225"/>
      <c r="P108" s="225"/>
      <c r="Q108" s="225"/>
      <c r="R108" s="152"/>
      <c r="T108" s="154" t="s">
        <v>123</v>
      </c>
      <c r="U108" s="154" t="s">
        <v>37</v>
      </c>
      <c r="V108" s="154" t="s">
        <v>124</v>
      </c>
      <c r="W108" s="154" t="s">
        <v>125</v>
      </c>
      <c r="X108" s="154" t="s">
        <v>126</v>
      </c>
      <c r="Y108" s="154" t="s">
        <v>127</v>
      </c>
      <c r="Z108" s="154" t="s">
        <v>128</v>
      </c>
      <c r="AA108" s="154" t="s">
        <v>129</v>
      </c>
    </row>
    <row r="109" spans="2:63" s="114" customFormat="1" ht="30" customHeight="1">
      <c r="B109" s="113"/>
      <c r="C109" s="140" t="s">
        <v>97</v>
      </c>
      <c r="N109" s="226">
        <f>N110+N190</f>
        <v>0</v>
      </c>
      <c r="O109" s="226"/>
      <c r="P109" s="226"/>
      <c r="Q109" s="226"/>
      <c r="R109" s="116"/>
      <c r="T109" s="118"/>
      <c r="U109" s="118"/>
      <c r="V109" s="118"/>
      <c r="W109" s="155">
        <f>$W$110+$W$190</f>
        <v>3017.1820679999996</v>
      </c>
      <c r="X109" s="118"/>
      <c r="Y109" s="155">
        <f>$Y$110+$Y$190</f>
        <v>3418.8889237</v>
      </c>
      <c r="Z109" s="118"/>
      <c r="AA109" s="155">
        <f>$AA$110+$AA$190</f>
        <v>207.74484</v>
      </c>
      <c r="AT109" s="114" t="s">
        <v>72</v>
      </c>
      <c r="AU109" s="114" t="s">
        <v>103</v>
      </c>
      <c r="BK109" s="156">
        <f>$BK$110+$BK$190</f>
        <v>0</v>
      </c>
    </row>
    <row r="110" spans="2:63" s="158" customFormat="1" ht="37.5" customHeight="1">
      <c r="B110" s="157"/>
      <c r="D110" s="159" t="s">
        <v>104</v>
      </c>
      <c r="N110" s="212">
        <f>N111+N127+N129+N142+N181+N188</f>
        <v>0</v>
      </c>
      <c r="O110" s="212"/>
      <c r="P110" s="212"/>
      <c r="Q110" s="212"/>
      <c r="R110" s="160"/>
      <c r="T110" s="161"/>
      <c r="W110" s="162">
        <f>$W$111+$W$127+$W$129+$W$142+$W$181+$W$188</f>
        <v>3017.1820679999996</v>
      </c>
      <c r="Y110" s="162">
        <f>$Y$111+$Y$127+$Y$129+$Y$142+$Y$181+$Y$188</f>
        <v>3418.8889237</v>
      </c>
      <c r="AA110" s="163">
        <f>$AA$111+$AA$127+$AA$129+$AA$142+$AA$181+$AA$188</f>
        <v>207.74484</v>
      </c>
      <c r="AR110" s="164" t="s">
        <v>17</v>
      </c>
      <c r="AT110" s="164" t="s">
        <v>72</v>
      </c>
      <c r="AU110" s="164" t="s">
        <v>73</v>
      </c>
      <c r="AY110" s="164" t="s">
        <v>130</v>
      </c>
      <c r="BK110" s="165">
        <f>$BK$111+$BK$127+$BK$129+$BK$142+$BK$181+$BK$188</f>
        <v>0</v>
      </c>
    </row>
    <row r="111" spans="2:63" s="158" customFormat="1" ht="21" customHeight="1">
      <c r="B111" s="157"/>
      <c r="D111" s="166" t="s">
        <v>105</v>
      </c>
      <c r="N111" s="213">
        <f>N112+N113+N114+N115+N116+N117+N118+N119+N120+N121+N122+N123+N124+N125+N126</f>
        <v>0</v>
      </c>
      <c r="O111" s="213"/>
      <c r="P111" s="213"/>
      <c r="Q111" s="213"/>
      <c r="R111" s="160"/>
      <c r="T111" s="161"/>
      <c r="W111" s="162">
        <f>SUM($W$112:$W$126)</f>
        <v>0</v>
      </c>
      <c r="Y111" s="162">
        <f>SUM($Y$112:$Y$126)</f>
        <v>0</v>
      </c>
      <c r="AA111" s="163">
        <f>SUM($AA$112:$AA$126)</f>
        <v>0</v>
      </c>
      <c r="AR111" s="164" t="s">
        <v>17</v>
      </c>
      <c r="AT111" s="164" t="s">
        <v>72</v>
      </c>
      <c r="AU111" s="164" t="s">
        <v>17</v>
      </c>
      <c r="AY111" s="164" t="s">
        <v>130</v>
      </c>
      <c r="BK111" s="165">
        <f>SUM($BK$112:$BK$126)</f>
        <v>0</v>
      </c>
    </row>
    <row r="112" spans="2:64" s="114" customFormat="1" ht="27" customHeight="1">
      <c r="B112" s="113"/>
      <c r="C112" s="167" t="s">
        <v>17</v>
      </c>
      <c r="D112" s="167" t="s">
        <v>131</v>
      </c>
      <c r="E112" s="168" t="s">
        <v>132</v>
      </c>
      <c r="F112" s="215" t="s">
        <v>133</v>
      </c>
      <c r="G112" s="215"/>
      <c r="H112" s="215"/>
      <c r="I112" s="215"/>
      <c r="J112" s="169" t="s">
        <v>134</v>
      </c>
      <c r="K112" s="170">
        <v>260</v>
      </c>
      <c r="L112" s="211"/>
      <c r="M112" s="211"/>
      <c r="N112" s="211">
        <f aca="true" t="shared" si="0" ref="N112:N118">L112*K112</f>
        <v>0</v>
      </c>
      <c r="O112" s="211"/>
      <c r="P112" s="211"/>
      <c r="Q112" s="211"/>
      <c r="R112" s="116"/>
      <c r="S112" s="211"/>
      <c r="T112" s="211"/>
      <c r="U112" s="211"/>
      <c r="V112" s="211"/>
      <c r="W112" s="171"/>
      <c r="X112" s="171"/>
      <c r="Y112" s="171"/>
      <c r="Z112" s="171"/>
      <c r="AA112" s="172"/>
      <c r="AR112" s="114" t="s">
        <v>135</v>
      </c>
      <c r="AT112" s="114" t="s">
        <v>131</v>
      </c>
      <c r="AU112" s="114" t="s">
        <v>93</v>
      </c>
      <c r="AY112" s="114" t="s">
        <v>130</v>
      </c>
      <c r="BE112" s="173">
        <f>IF($U$118="základní",$N$112,0)</f>
        <v>0</v>
      </c>
      <c r="BF112" s="173">
        <f>IF($U$118="snížená",$N$112,0)</f>
        <v>0</v>
      </c>
      <c r="BG112" s="173">
        <f>IF($U$118="zákl. přenesená",$N$112,0)</f>
        <v>0</v>
      </c>
      <c r="BH112" s="173">
        <f>IF($U$118="sníž. přenesená",$N$112,0)</f>
        <v>0</v>
      </c>
      <c r="BI112" s="173">
        <f>IF($U$118="nulová",$N$112,0)</f>
        <v>0</v>
      </c>
      <c r="BJ112" s="114" t="s">
        <v>17</v>
      </c>
      <c r="BK112" s="173">
        <f>ROUND($L$112*$K$112,2)</f>
        <v>0</v>
      </c>
      <c r="BL112" s="114" t="s">
        <v>135</v>
      </c>
    </row>
    <row r="113" spans="2:64" s="114" customFormat="1" ht="36" customHeight="1">
      <c r="B113" s="113"/>
      <c r="C113" s="167" t="s">
        <v>93</v>
      </c>
      <c r="D113" s="167" t="s">
        <v>131</v>
      </c>
      <c r="E113" s="168" t="s">
        <v>136</v>
      </c>
      <c r="F113" s="215" t="s">
        <v>404</v>
      </c>
      <c r="G113" s="215"/>
      <c r="H113" s="215"/>
      <c r="I113" s="215"/>
      <c r="J113" s="169" t="s">
        <v>134</v>
      </c>
      <c r="K113" s="170">
        <v>9311.21</v>
      </c>
      <c r="L113" s="211"/>
      <c r="M113" s="211"/>
      <c r="N113" s="211">
        <f t="shared" si="0"/>
        <v>0</v>
      </c>
      <c r="O113" s="211"/>
      <c r="P113" s="211"/>
      <c r="Q113" s="211"/>
      <c r="R113" s="116"/>
      <c r="S113" s="211"/>
      <c r="T113" s="211"/>
      <c r="U113" s="211"/>
      <c r="V113" s="211"/>
      <c r="W113" s="171"/>
      <c r="X113" s="171"/>
      <c r="Y113" s="171"/>
      <c r="Z113" s="171"/>
      <c r="AA113" s="172"/>
      <c r="AR113" s="114" t="s">
        <v>135</v>
      </c>
      <c r="AT113" s="114" t="s">
        <v>131</v>
      </c>
      <c r="AU113" s="114" t="s">
        <v>93</v>
      </c>
      <c r="AY113" s="114" t="s">
        <v>130</v>
      </c>
      <c r="BE113" s="173">
        <f>IF($U$113="základní",$N$113,0)</f>
        <v>0</v>
      </c>
      <c r="BF113" s="173">
        <f>IF($U$113="snížená",$N$113,0)</f>
        <v>0</v>
      </c>
      <c r="BG113" s="173">
        <f>IF($U$113="zákl. přenesená",$N$113,0)</f>
        <v>0</v>
      </c>
      <c r="BH113" s="173">
        <f>IF($U$113="sníž. přenesená",$N$113,0)</f>
        <v>0</v>
      </c>
      <c r="BI113" s="173">
        <f>IF($U$113="nulová",$N$113,0)</f>
        <v>0</v>
      </c>
      <c r="BJ113" s="114" t="s">
        <v>17</v>
      </c>
      <c r="BK113" s="173">
        <f>ROUND($L$113*$K$113,2)</f>
        <v>0</v>
      </c>
      <c r="BL113" s="114" t="s">
        <v>135</v>
      </c>
    </row>
    <row r="114" spans="2:63" s="114" customFormat="1" ht="27" customHeight="1">
      <c r="B114" s="113"/>
      <c r="C114" s="167">
        <v>3</v>
      </c>
      <c r="D114" s="167" t="s">
        <v>131</v>
      </c>
      <c r="E114" s="174" t="s">
        <v>338</v>
      </c>
      <c r="F114" s="218" t="s">
        <v>339</v>
      </c>
      <c r="G114" s="219"/>
      <c r="H114" s="219"/>
      <c r="I114" s="219"/>
      <c r="J114" s="176" t="s">
        <v>140</v>
      </c>
      <c r="K114" s="177">
        <v>15.456</v>
      </c>
      <c r="L114" s="214"/>
      <c r="M114" s="221"/>
      <c r="N114" s="211">
        <f t="shared" si="0"/>
        <v>0</v>
      </c>
      <c r="O114" s="211"/>
      <c r="P114" s="211"/>
      <c r="Q114" s="211"/>
      <c r="R114" s="116"/>
      <c r="S114" s="211"/>
      <c r="T114" s="211"/>
      <c r="U114" s="211"/>
      <c r="V114" s="211"/>
      <c r="W114" s="171"/>
      <c r="X114" s="171"/>
      <c r="Y114" s="171"/>
      <c r="Z114" s="171"/>
      <c r="AA114" s="172"/>
      <c r="BE114" s="173"/>
      <c r="BF114" s="173"/>
      <c r="BG114" s="173"/>
      <c r="BH114" s="173"/>
      <c r="BI114" s="173"/>
      <c r="BK114" s="173"/>
    </row>
    <row r="115" spans="2:63" s="114" customFormat="1" ht="27" customHeight="1">
      <c r="B115" s="113"/>
      <c r="C115" s="167">
        <v>4</v>
      </c>
      <c r="D115" s="167" t="s">
        <v>131</v>
      </c>
      <c r="E115" s="174" t="s">
        <v>340</v>
      </c>
      <c r="F115" s="218" t="s">
        <v>401</v>
      </c>
      <c r="G115" s="219"/>
      <c r="H115" s="219"/>
      <c r="I115" s="219"/>
      <c r="J115" s="176" t="s">
        <v>140</v>
      </c>
      <c r="K115" s="177">
        <v>15.456</v>
      </c>
      <c r="L115" s="214"/>
      <c r="M115" s="221"/>
      <c r="N115" s="211">
        <f t="shared" si="0"/>
        <v>0</v>
      </c>
      <c r="O115" s="211"/>
      <c r="P115" s="211"/>
      <c r="Q115" s="211"/>
      <c r="R115" s="116"/>
      <c r="S115" s="211"/>
      <c r="T115" s="211"/>
      <c r="U115" s="211"/>
      <c r="V115" s="211"/>
      <c r="W115" s="171"/>
      <c r="X115" s="171"/>
      <c r="Y115" s="171"/>
      <c r="Z115" s="171"/>
      <c r="AA115" s="172"/>
      <c r="BE115" s="173"/>
      <c r="BF115" s="173"/>
      <c r="BG115" s="173"/>
      <c r="BH115" s="173"/>
      <c r="BI115" s="173"/>
      <c r="BK115" s="173"/>
    </row>
    <row r="116" spans="2:64" s="114" customFormat="1" ht="27" customHeight="1">
      <c r="B116" s="113"/>
      <c r="C116" s="167">
        <v>5</v>
      </c>
      <c r="D116" s="167" t="s">
        <v>131</v>
      </c>
      <c r="E116" s="174" t="s">
        <v>138</v>
      </c>
      <c r="F116" s="218" t="s">
        <v>139</v>
      </c>
      <c r="G116" s="218"/>
      <c r="H116" s="218"/>
      <c r="I116" s="218"/>
      <c r="J116" s="176" t="s">
        <v>140</v>
      </c>
      <c r="K116" s="177">
        <v>31.56</v>
      </c>
      <c r="L116" s="214"/>
      <c r="M116" s="214"/>
      <c r="N116" s="211">
        <f t="shared" si="0"/>
        <v>0</v>
      </c>
      <c r="O116" s="211"/>
      <c r="P116" s="211"/>
      <c r="Q116" s="211"/>
      <c r="R116" s="116"/>
      <c r="S116" s="211"/>
      <c r="T116" s="211"/>
      <c r="U116" s="211"/>
      <c r="V116" s="211"/>
      <c r="W116" s="171"/>
      <c r="X116" s="171"/>
      <c r="Y116" s="171"/>
      <c r="Z116" s="171"/>
      <c r="AA116" s="172"/>
      <c r="AR116" s="114" t="s">
        <v>135</v>
      </c>
      <c r="AT116" s="114" t="s">
        <v>131</v>
      </c>
      <c r="AU116" s="114" t="s">
        <v>93</v>
      </c>
      <c r="AY116" s="114" t="s">
        <v>130</v>
      </c>
      <c r="BE116" s="173">
        <f>IF($U$116="základní",$N$116,0)</f>
        <v>0</v>
      </c>
      <c r="BF116" s="173">
        <f>IF($U$116="snížená",$N$116,0)</f>
        <v>0</v>
      </c>
      <c r="BG116" s="173">
        <f>IF($U$116="zákl. přenesená",$N$116,0)</f>
        <v>0</v>
      </c>
      <c r="BH116" s="173">
        <f>IF($U$116="sníž. přenesená",$N$116,0)</f>
        <v>0</v>
      </c>
      <c r="BI116" s="173">
        <f>IF($U$116="nulová",$N$116,0)</f>
        <v>0</v>
      </c>
      <c r="BJ116" s="114" t="s">
        <v>17</v>
      </c>
      <c r="BK116" s="173">
        <f>ROUND($L$116*$K$116,2)</f>
        <v>0</v>
      </c>
      <c r="BL116" s="114" t="s">
        <v>135</v>
      </c>
    </row>
    <row r="117" spans="2:64" s="114" customFormat="1" ht="27" customHeight="1">
      <c r="B117" s="113"/>
      <c r="C117" s="167">
        <v>6</v>
      </c>
      <c r="D117" s="167" t="s">
        <v>131</v>
      </c>
      <c r="E117" s="174" t="s">
        <v>141</v>
      </c>
      <c r="F117" s="218" t="s">
        <v>142</v>
      </c>
      <c r="G117" s="218"/>
      <c r="H117" s="218"/>
      <c r="I117" s="218"/>
      <c r="J117" s="176" t="s">
        <v>140</v>
      </c>
      <c r="K117" s="177">
        <v>125.016</v>
      </c>
      <c r="L117" s="214"/>
      <c r="M117" s="214"/>
      <c r="N117" s="211">
        <f t="shared" si="0"/>
        <v>0</v>
      </c>
      <c r="O117" s="211"/>
      <c r="P117" s="211"/>
      <c r="Q117" s="211"/>
      <c r="R117" s="116"/>
      <c r="S117" s="211"/>
      <c r="T117" s="211"/>
      <c r="U117" s="211"/>
      <c r="V117" s="211"/>
      <c r="W117" s="171"/>
      <c r="X117" s="171"/>
      <c r="Y117" s="171"/>
      <c r="Z117" s="171"/>
      <c r="AA117" s="172"/>
      <c r="AR117" s="114" t="s">
        <v>135</v>
      </c>
      <c r="AT117" s="114" t="s">
        <v>131</v>
      </c>
      <c r="AU117" s="114" t="s">
        <v>93</v>
      </c>
      <c r="AY117" s="114" t="s">
        <v>130</v>
      </c>
      <c r="BE117" s="173">
        <f>IF($U$117="základní",$N$117,0)</f>
        <v>0</v>
      </c>
      <c r="BF117" s="173">
        <f>IF($U$117="snížená",$N$117,0)</f>
        <v>0</v>
      </c>
      <c r="BG117" s="173">
        <f>IF($U$117="zákl. přenesená",$N$117,0)</f>
        <v>0</v>
      </c>
      <c r="BH117" s="173">
        <f>IF($U$117="sníž. přenesená",$N$117,0)</f>
        <v>0</v>
      </c>
      <c r="BI117" s="173">
        <f>IF($U$117="nulová",$N$117,0)</f>
        <v>0</v>
      </c>
      <c r="BJ117" s="114" t="s">
        <v>17</v>
      </c>
      <c r="BK117" s="173">
        <f>ROUND($L$117*$K$117,2)</f>
        <v>0</v>
      </c>
      <c r="BL117" s="114" t="s">
        <v>135</v>
      </c>
    </row>
    <row r="118" spans="2:64" s="114" customFormat="1" ht="39" customHeight="1">
      <c r="B118" s="113"/>
      <c r="C118" s="167">
        <v>7</v>
      </c>
      <c r="D118" s="167" t="s">
        <v>131</v>
      </c>
      <c r="E118" s="174" t="s">
        <v>144</v>
      </c>
      <c r="F118" s="218" t="s">
        <v>145</v>
      </c>
      <c r="G118" s="218"/>
      <c r="H118" s="218"/>
      <c r="I118" s="218"/>
      <c r="J118" s="176" t="s">
        <v>140</v>
      </c>
      <c r="K118" s="177">
        <v>2000.256</v>
      </c>
      <c r="L118" s="214"/>
      <c r="M118" s="214"/>
      <c r="N118" s="211">
        <f t="shared" si="0"/>
        <v>0</v>
      </c>
      <c r="O118" s="211"/>
      <c r="P118" s="211"/>
      <c r="Q118" s="211"/>
      <c r="R118" s="116"/>
      <c r="S118" s="211"/>
      <c r="T118" s="211"/>
      <c r="U118" s="211"/>
      <c r="V118" s="211"/>
      <c r="W118" s="171"/>
      <c r="X118" s="171"/>
      <c r="Y118" s="171"/>
      <c r="Z118" s="171"/>
      <c r="AA118" s="172"/>
      <c r="AR118" s="114" t="s">
        <v>135</v>
      </c>
      <c r="AT118" s="114" t="s">
        <v>131</v>
      </c>
      <c r="AU118" s="114" t="s">
        <v>93</v>
      </c>
      <c r="AY118" s="114" t="s">
        <v>130</v>
      </c>
      <c r="BE118" s="173" t="e">
        <f>IF(#REF!="základní",$N$118,0)</f>
        <v>#REF!</v>
      </c>
      <c r="BF118" s="173" t="e">
        <f>IF(#REF!="snížená",$N$118,0)</f>
        <v>#REF!</v>
      </c>
      <c r="BG118" s="173" t="e">
        <f>IF(#REF!="zákl. přenesená",$N$118,0)</f>
        <v>#REF!</v>
      </c>
      <c r="BH118" s="173" t="e">
        <f>IF(#REF!="sníž. přenesená",$N$118,0)</f>
        <v>#REF!</v>
      </c>
      <c r="BI118" s="173" t="e">
        <f>IF(#REF!="nulová",$N$118,0)</f>
        <v>#REF!</v>
      </c>
      <c r="BJ118" s="114" t="s">
        <v>17</v>
      </c>
      <c r="BK118" s="173">
        <f>ROUND($L$118*$K$118,2)</f>
        <v>0</v>
      </c>
      <c r="BL118" s="114" t="s">
        <v>135</v>
      </c>
    </row>
    <row r="119" spans="2:64" s="114" customFormat="1" ht="15.75" customHeight="1">
      <c r="B119" s="113"/>
      <c r="C119" s="167">
        <v>8</v>
      </c>
      <c r="D119" s="167" t="s">
        <v>131</v>
      </c>
      <c r="E119" s="174" t="s">
        <v>147</v>
      </c>
      <c r="F119" s="218" t="s">
        <v>148</v>
      </c>
      <c r="G119" s="218"/>
      <c r="H119" s="218"/>
      <c r="I119" s="218"/>
      <c r="J119" s="176" t="s">
        <v>140</v>
      </c>
      <c r="K119" s="177">
        <v>125.016</v>
      </c>
      <c r="L119" s="214"/>
      <c r="M119" s="214"/>
      <c r="N119" s="211">
        <f aca="true" t="shared" si="1" ref="N119:N124">L119*K119</f>
        <v>0</v>
      </c>
      <c r="O119" s="211"/>
      <c r="P119" s="211"/>
      <c r="Q119" s="211"/>
      <c r="R119" s="116"/>
      <c r="S119" s="211"/>
      <c r="T119" s="211"/>
      <c r="U119" s="211"/>
      <c r="V119" s="211"/>
      <c r="W119" s="171"/>
      <c r="X119" s="171"/>
      <c r="Y119" s="171"/>
      <c r="Z119" s="171"/>
      <c r="AA119" s="172"/>
      <c r="AR119" s="114" t="s">
        <v>135</v>
      </c>
      <c r="AT119" s="114" t="s">
        <v>131</v>
      </c>
      <c r="AU119" s="114" t="s">
        <v>93</v>
      </c>
      <c r="AY119" s="114" t="s">
        <v>130</v>
      </c>
      <c r="BE119" s="173">
        <f>IF($U$119="základní",$N$119,0)</f>
        <v>0</v>
      </c>
      <c r="BF119" s="173">
        <f>IF($U$119="snížená",$N$119,0)</f>
        <v>0</v>
      </c>
      <c r="BG119" s="173">
        <f>IF($U$119="zákl. přenesená",$N$119,0)</f>
        <v>0</v>
      </c>
      <c r="BH119" s="173">
        <f>IF($U$119="sníž. přenesená",$N$119,0)</f>
        <v>0</v>
      </c>
      <c r="BI119" s="173">
        <f>IF($U$119="nulová",$N$119,0)</f>
        <v>0</v>
      </c>
      <c r="BJ119" s="114" t="s">
        <v>17</v>
      </c>
      <c r="BK119" s="173">
        <f>ROUND($L$119*$K$119,2)</f>
        <v>0</v>
      </c>
      <c r="BL119" s="114" t="s">
        <v>135</v>
      </c>
    </row>
    <row r="120" spans="2:64" s="114" customFormat="1" ht="15.75" customHeight="1">
      <c r="B120" s="113"/>
      <c r="C120" s="167">
        <v>9</v>
      </c>
      <c r="D120" s="167" t="s">
        <v>131</v>
      </c>
      <c r="E120" s="174" t="s">
        <v>150</v>
      </c>
      <c r="F120" s="218" t="s">
        <v>151</v>
      </c>
      <c r="G120" s="218"/>
      <c r="H120" s="218"/>
      <c r="I120" s="218"/>
      <c r="J120" s="176" t="s">
        <v>140</v>
      </c>
      <c r="K120" s="177">
        <v>47.016</v>
      </c>
      <c r="L120" s="214"/>
      <c r="M120" s="214"/>
      <c r="N120" s="211">
        <f t="shared" si="1"/>
        <v>0</v>
      </c>
      <c r="O120" s="211"/>
      <c r="P120" s="211"/>
      <c r="Q120" s="211"/>
      <c r="R120" s="116"/>
      <c r="S120" s="211"/>
      <c r="T120" s="211"/>
      <c r="U120" s="211"/>
      <c r="V120" s="211"/>
      <c r="W120" s="171"/>
      <c r="X120" s="171"/>
      <c r="Y120" s="171"/>
      <c r="Z120" s="171"/>
      <c r="AA120" s="172"/>
      <c r="AR120" s="114" t="s">
        <v>135</v>
      </c>
      <c r="AT120" s="114" t="s">
        <v>131</v>
      </c>
      <c r="AU120" s="114" t="s">
        <v>93</v>
      </c>
      <c r="AY120" s="114" t="s">
        <v>130</v>
      </c>
      <c r="BE120" s="173">
        <f>IF($U$120="základní",$N$120,0)</f>
        <v>0</v>
      </c>
      <c r="BF120" s="173">
        <f>IF($U$120="snížená",$N$120,0)</f>
        <v>0</v>
      </c>
      <c r="BG120" s="173">
        <f>IF($U$120="zákl. přenesená",$N$120,0)</f>
        <v>0</v>
      </c>
      <c r="BH120" s="173">
        <f>IF($U$120="sníž. přenesená",$N$120,0)</f>
        <v>0</v>
      </c>
      <c r="BI120" s="173">
        <f>IF($U$120="nulová",$N$120,0)</f>
        <v>0</v>
      </c>
      <c r="BJ120" s="114" t="s">
        <v>17</v>
      </c>
      <c r="BK120" s="173">
        <f>ROUND($L$120*$K$120,2)</f>
        <v>0</v>
      </c>
      <c r="BL120" s="114" t="s">
        <v>135</v>
      </c>
    </row>
    <row r="121" spans="2:64" s="114" customFormat="1" ht="27" customHeight="1">
      <c r="B121" s="113"/>
      <c r="C121" s="167">
        <v>10</v>
      </c>
      <c r="D121" s="167" t="s">
        <v>131</v>
      </c>
      <c r="E121" s="174" t="s">
        <v>153</v>
      </c>
      <c r="F121" s="218" t="s">
        <v>154</v>
      </c>
      <c r="G121" s="218"/>
      <c r="H121" s="218"/>
      <c r="I121" s="218"/>
      <c r="J121" s="176" t="s">
        <v>155</v>
      </c>
      <c r="K121" s="177">
        <v>79.927</v>
      </c>
      <c r="L121" s="214"/>
      <c r="M121" s="214"/>
      <c r="N121" s="211">
        <f t="shared" si="1"/>
        <v>0</v>
      </c>
      <c r="O121" s="211"/>
      <c r="P121" s="211"/>
      <c r="Q121" s="211"/>
      <c r="R121" s="116"/>
      <c r="S121" s="211"/>
      <c r="T121" s="211"/>
      <c r="U121" s="211"/>
      <c r="V121" s="211"/>
      <c r="W121" s="171"/>
      <c r="X121" s="171"/>
      <c r="Y121" s="171"/>
      <c r="Z121" s="171"/>
      <c r="AA121" s="172"/>
      <c r="AR121" s="114" t="s">
        <v>135</v>
      </c>
      <c r="AT121" s="114" t="s">
        <v>131</v>
      </c>
      <c r="AU121" s="114" t="s">
        <v>93</v>
      </c>
      <c r="AY121" s="114" t="s">
        <v>130</v>
      </c>
      <c r="BE121" s="173">
        <f>IF($U$121="základní",$N$121,0)</f>
        <v>0</v>
      </c>
      <c r="BF121" s="173">
        <f>IF($U$121="snížená",$N$121,0)</f>
        <v>0</v>
      </c>
      <c r="BG121" s="173">
        <f>IF($U$121="zákl. přenesená",$N$121,0)</f>
        <v>0</v>
      </c>
      <c r="BH121" s="173">
        <f>IF($U$121="sníž. přenesená",$N$121,0)</f>
        <v>0</v>
      </c>
      <c r="BI121" s="173">
        <f>IF($U$121="nulová",$N$121,0)</f>
        <v>0</v>
      </c>
      <c r="BJ121" s="114" t="s">
        <v>17</v>
      </c>
      <c r="BK121" s="173">
        <f>ROUND($L$121*$K$121,2)</f>
        <v>0</v>
      </c>
      <c r="BL121" s="114" t="s">
        <v>135</v>
      </c>
    </row>
    <row r="122" spans="2:64" s="114" customFormat="1" ht="27" customHeight="1">
      <c r="B122" s="113"/>
      <c r="C122" s="167">
        <v>11</v>
      </c>
      <c r="D122" s="167" t="s">
        <v>131</v>
      </c>
      <c r="E122" s="174" t="s">
        <v>157</v>
      </c>
      <c r="F122" s="218" t="s">
        <v>158</v>
      </c>
      <c r="G122" s="218"/>
      <c r="H122" s="218"/>
      <c r="I122" s="218"/>
      <c r="J122" s="176" t="s">
        <v>140</v>
      </c>
      <c r="K122" s="177">
        <v>78</v>
      </c>
      <c r="L122" s="214"/>
      <c r="M122" s="214"/>
      <c r="N122" s="211">
        <f t="shared" si="1"/>
        <v>0</v>
      </c>
      <c r="O122" s="211"/>
      <c r="P122" s="211"/>
      <c r="Q122" s="211"/>
      <c r="R122" s="116"/>
      <c r="S122" s="211"/>
      <c r="T122" s="211"/>
      <c r="U122" s="211"/>
      <c r="V122" s="211"/>
      <c r="W122" s="171"/>
      <c r="X122" s="171"/>
      <c r="Y122" s="171"/>
      <c r="Z122" s="171"/>
      <c r="AA122" s="172"/>
      <c r="AR122" s="114" t="s">
        <v>135</v>
      </c>
      <c r="AT122" s="114" t="s">
        <v>131</v>
      </c>
      <c r="AU122" s="114" t="s">
        <v>93</v>
      </c>
      <c r="AY122" s="114" t="s">
        <v>130</v>
      </c>
      <c r="BE122" s="173">
        <f>IF($U$122="základní",$N$122,0)</f>
        <v>0</v>
      </c>
      <c r="BF122" s="173">
        <f>IF($U$122="snížená",$N$122,0)</f>
        <v>0</v>
      </c>
      <c r="BG122" s="173">
        <f>IF($U$122="zákl. přenesená",$N$122,0)</f>
        <v>0</v>
      </c>
      <c r="BH122" s="173">
        <f>IF($U$122="sníž. přenesená",$N$122,0)</f>
        <v>0</v>
      </c>
      <c r="BI122" s="173">
        <f>IF($U$122="nulová",$N$122,0)</f>
        <v>0</v>
      </c>
      <c r="BJ122" s="114" t="s">
        <v>17</v>
      </c>
      <c r="BK122" s="173">
        <f>ROUND($L$122*$K$122,2)</f>
        <v>0</v>
      </c>
      <c r="BL122" s="114" t="s">
        <v>135</v>
      </c>
    </row>
    <row r="123" spans="2:64" s="114" customFormat="1" ht="15.75" customHeight="1">
      <c r="B123" s="113"/>
      <c r="C123" s="178">
        <v>12</v>
      </c>
      <c r="D123" s="178" t="s">
        <v>159</v>
      </c>
      <c r="E123" s="179" t="s">
        <v>160</v>
      </c>
      <c r="F123" s="222" t="s">
        <v>161</v>
      </c>
      <c r="G123" s="222"/>
      <c r="H123" s="222"/>
      <c r="I123" s="222"/>
      <c r="J123" s="180" t="s">
        <v>140</v>
      </c>
      <c r="K123" s="181">
        <v>78</v>
      </c>
      <c r="L123" s="223"/>
      <c r="M123" s="223"/>
      <c r="N123" s="211">
        <f t="shared" si="1"/>
        <v>0</v>
      </c>
      <c r="O123" s="211"/>
      <c r="P123" s="211"/>
      <c r="Q123" s="211"/>
      <c r="R123" s="116"/>
      <c r="S123" s="211"/>
      <c r="T123" s="211"/>
      <c r="U123" s="211"/>
      <c r="V123" s="211"/>
      <c r="W123" s="171"/>
      <c r="X123" s="171"/>
      <c r="Y123" s="171"/>
      <c r="Z123" s="171"/>
      <c r="AA123" s="172"/>
      <c r="AR123" s="114" t="s">
        <v>152</v>
      </c>
      <c r="AT123" s="114" t="s">
        <v>159</v>
      </c>
      <c r="AU123" s="114" t="s">
        <v>93</v>
      </c>
      <c r="AY123" s="114" t="s">
        <v>130</v>
      </c>
      <c r="BE123" s="173">
        <f>IF($U$123="základní",$N$123,0)</f>
        <v>0</v>
      </c>
      <c r="BF123" s="173">
        <f>IF($U$123="snížená",$N$123,0)</f>
        <v>0</v>
      </c>
      <c r="BG123" s="173">
        <f>IF($U$123="zákl. přenesená",$N$123,0)</f>
        <v>0</v>
      </c>
      <c r="BH123" s="173">
        <f>IF($U$123="sníž. přenesená",$N$123,0)</f>
        <v>0</v>
      </c>
      <c r="BI123" s="173">
        <f>IF($U$123="nulová",$N$123,0)</f>
        <v>0</v>
      </c>
      <c r="BJ123" s="114" t="s">
        <v>17</v>
      </c>
      <c r="BK123" s="173">
        <f>ROUND($L$123*$K$123,2)</f>
        <v>0</v>
      </c>
      <c r="BL123" s="114" t="s">
        <v>135</v>
      </c>
    </row>
    <row r="124" spans="2:64" s="114" customFormat="1" ht="39" customHeight="1">
      <c r="B124" s="113"/>
      <c r="C124" s="167">
        <v>13</v>
      </c>
      <c r="D124" s="167" t="s">
        <v>131</v>
      </c>
      <c r="E124" s="174" t="s">
        <v>163</v>
      </c>
      <c r="F124" s="218" t="s">
        <v>164</v>
      </c>
      <c r="G124" s="218"/>
      <c r="H124" s="218"/>
      <c r="I124" s="218"/>
      <c r="J124" s="176" t="s">
        <v>140</v>
      </c>
      <c r="K124" s="177">
        <v>23.12</v>
      </c>
      <c r="L124" s="214"/>
      <c r="M124" s="214"/>
      <c r="N124" s="211">
        <f t="shared" si="1"/>
        <v>0</v>
      </c>
      <c r="O124" s="211"/>
      <c r="P124" s="211"/>
      <c r="Q124" s="211"/>
      <c r="R124" s="116"/>
      <c r="S124" s="211"/>
      <c r="T124" s="211"/>
      <c r="U124" s="211"/>
      <c r="V124" s="211"/>
      <c r="W124" s="171"/>
      <c r="X124" s="171"/>
      <c r="Y124" s="171"/>
      <c r="Z124" s="171"/>
      <c r="AA124" s="172"/>
      <c r="AR124" s="114" t="s">
        <v>135</v>
      </c>
      <c r="AT124" s="114" t="s">
        <v>131</v>
      </c>
      <c r="AU124" s="114" t="s">
        <v>93</v>
      </c>
      <c r="AY124" s="114" t="s">
        <v>130</v>
      </c>
      <c r="BE124" s="173">
        <f>IF($U$124="základní",$N$124,0)</f>
        <v>0</v>
      </c>
      <c r="BF124" s="173">
        <f>IF($U$124="snížená",$N$124,0)</f>
        <v>0</v>
      </c>
      <c r="BG124" s="173">
        <f>IF($U$124="zákl. přenesená",$N$124,0)</f>
        <v>0</v>
      </c>
      <c r="BH124" s="173">
        <f>IF($U$124="sníž. přenesená",$N$124,0)</f>
        <v>0</v>
      </c>
      <c r="BI124" s="173">
        <f>IF($U$124="nulová",$N$124,0)</f>
        <v>0</v>
      </c>
      <c r="BJ124" s="114" t="s">
        <v>17</v>
      </c>
      <c r="BK124" s="173">
        <f>ROUND($L$124*$K$124,2)</f>
        <v>0</v>
      </c>
      <c r="BL124" s="114" t="s">
        <v>135</v>
      </c>
    </row>
    <row r="125" spans="2:64" s="114" customFormat="1" ht="15.75" customHeight="1">
      <c r="B125" s="113"/>
      <c r="C125" s="178">
        <v>14</v>
      </c>
      <c r="D125" s="178" t="s">
        <v>159</v>
      </c>
      <c r="E125" s="179" t="s">
        <v>166</v>
      </c>
      <c r="F125" s="222" t="s">
        <v>167</v>
      </c>
      <c r="G125" s="222"/>
      <c r="H125" s="222"/>
      <c r="I125" s="222"/>
      <c r="J125" s="180" t="s">
        <v>155</v>
      </c>
      <c r="K125" s="181">
        <v>46.24</v>
      </c>
      <c r="L125" s="223"/>
      <c r="M125" s="223"/>
      <c r="N125" s="211">
        <f>L125*K125</f>
        <v>0</v>
      </c>
      <c r="O125" s="211"/>
      <c r="P125" s="211"/>
      <c r="Q125" s="211"/>
      <c r="R125" s="116"/>
      <c r="S125" s="211"/>
      <c r="T125" s="211"/>
      <c r="U125" s="211"/>
      <c r="V125" s="211"/>
      <c r="W125" s="171"/>
      <c r="X125" s="171"/>
      <c r="Y125" s="171"/>
      <c r="Z125" s="171"/>
      <c r="AA125" s="172"/>
      <c r="AR125" s="114" t="s">
        <v>152</v>
      </c>
      <c r="AT125" s="114" t="s">
        <v>159</v>
      </c>
      <c r="AU125" s="114" t="s">
        <v>93</v>
      </c>
      <c r="AY125" s="114" t="s">
        <v>130</v>
      </c>
      <c r="BE125" s="173">
        <f>IF($U$125="základní",$N$125,0)</f>
        <v>0</v>
      </c>
      <c r="BF125" s="173">
        <f>IF($U$125="snížená",$N$125,0)</f>
        <v>0</v>
      </c>
      <c r="BG125" s="173">
        <f>IF($U$125="zákl. přenesená",$N$125,0)</f>
        <v>0</v>
      </c>
      <c r="BH125" s="173">
        <f>IF($U$125="sníž. přenesená",$N$125,0)</f>
        <v>0</v>
      </c>
      <c r="BI125" s="173">
        <f>IF($U$125="nulová",$N$125,0)</f>
        <v>0</v>
      </c>
      <c r="BJ125" s="114" t="s">
        <v>17</v>
      </c>
      <c r="BK125" s="173">
        <f>ROUND($L$125*$K$125,2)</f>
        <v>0</v>
      </c>
      <c r="BL125" s="114" t="s">
        <v>135</v>
      </c>
    </row>
    <row r="126" spans="2:64" s="114" customFormat="1" ht="15.75" customHeight="1">
      <c r="B126" s="113"/>
      <c r="C126" s="167">
        <v>15</v>
      </c>
      <c r="D126" s="167" t="s">
        <v>131</v>
      </c>
      <c r="E126" s="174" t="s">
        <v>169</v>
      </c>
      <c r="F126" s="218" t="s">
        <v>170</v>
      </c>
      <c r="G126" s="218"/>
      <c r="H126" s="218"/>
      <c r="I126" s="218"/>
      <c r="J126" s="176" t="s">
        <v>134</v>
      </c>
      <c r="K126" s="177">
        <v>9189.78</v>
      </c>
      <c r="L126" s="214"/>
      <c r="M126" s="214"/>
      <c r="N126" s="211">
        <f>L126*K126</f>
        <v>0</v>
      </c>
      <c r="O126" s="211"/>
      <c r="P126" s="211"/>
      <c r="Q126" s="211"/>
      <c r="R126" s="116"/>
      <c r="S126" s="211"/>
      <c r="T126" s="211"/>
      <c r="U126" s="211"/>
      <c r="V126" s="211"/>
      <c r="W126" s="171"/>
      <c r="X126" s="171"/>
      <c r="Y126" s="171"/>
      <c r="Z126" s="171"/>
      <c r="AA126" s="172"/>
      <c r="AR126" s="114" t="s">
        <v>135</v>
      </c>
      <c r="AT126" s="114" t="s">
        <v>131</v>
      </c>
      <c r="AU126" s="114" t="s">
        <v>93</v>
      </c>
      <c r="AY126" s="114" t="s">
        <v>130</v>
      </c>
      <c r="BE126" s="173">
        <f>IF($U$126="základní",$N$126,0)</f>
        <v>0</v>
      </c>
      <c r="BF126" s="173">
        <f>IF($U$126="snížená",$N$126,0)</f>
        <v>0</v>
      </c>
      <c r="BG126" s="173">
        <f>IF($U$126="zákl. přenesená",$N$126,0)</f>
        <v>0</v>
      </c>
      <c r="BH126" s="173">
        <f>IF($U$126="sníž. přenesená",$N$126,0)</f>
        <v>0</v>
      </c>
      <c r="BI126" s="173">
        <f>IF($U$126="nulová",$N$126,0)</f>
        <v>0</v>
      </c>
      <c r="BJ126" s="114" t="s">
        <v>17</v>
      </c>
      <c r="BK126" s="173">
        <f>ROUND($L$126*$K$126,2)</f>
        <v>0</v>
      </c>
      <c r="BL126" s="114" t="s">
        <v>135</v>
      </c>
    </row>
    <row r="127" spans="2:63" s="158" customFormat="1" ht="30.75" customHeight="1">
      <c r="B127" s="157"/>
      <c r="D127" s="166" t="s">
        <v>106</v>
      </c>
      <c r="E127" s="182"/>
      <c r="F127" s="182"/>
      <c r="G127" s="182"/>
      <c r="H127" s="182"/>
      <c r="I127" s="182"/>
      <c r="J127" s="182"/>
      <c r="K127" s="182"/>
      <c r="L127" s="182"/>
      <c r="M127" s="182"/>
      <c r="N127" s="213">
        <f>$BK$127</f>
        <v>0</v>
      </c>
      <c r="O127" s="213"/>
      <c r="P127" s="213"/>
      <c r="Q127" s="213"/>
      <c r="R127" s="160"/>
      <c r="S127" s="183"/>
      <c r="T127" s="161"/>
      <c r="V127" s="183"/>
      <c r="W127" s="162"/>
      <c r="Y127" s="162"/>
      <c r="AA127" s="163"/>
      <c r="AR127" s="164" t="s">
        <v>17</v>
      </c>
      <c r="AT127" s="164" t="s">
        <v>72</v>
      </c>
      <c r="AU127" s="164" t="s">
        <v>17</v>
      </c>
      <c r="AY127" s="164" t="s">
        <v>130</v>
      </c>
      <c r="BK127" s="165">
        <f>$BK$128</f>
        <v>0</v>
      </c>
    </row>
    <row r="128" spans="2:64" s="114" customFormat="1" ht="27" customHeight="1">
      <c r="B128" s="113"/>
      <c r="C128" s="167">
        <v>16</v>
      </c>
      <c r="D128" s="167" t="s">
        <v>131</v>
      </c>
      <c r="E128" s="168" t="s">
        <v>172</v>
      </c>
      <c r="F128" s="215" t="s">
        <v>173</v>
      </c>
      <c r="G128" s="215"/>
      <c r="H128" s="215"/>
      <c r="I128" s="215"/>
      <c r="J128" s="169" t="s">
        <v>174</v>
      </c>
      <c r="K128" s="170">
        <v>115.6</v>
      </c>
      <c r="L128" s="211"/>
      <c r="M128" s="211"/>
      <c r="N128" s="211">
        <f>ROUND($L$128*$K$128,2)</f>
        <v>0</v>
      </c>
      <c r="O128" s="211"/>
      <c r="P128" s="211"/>
      <c r="Q128" s="211"/>
      <c r="R128" s="116"/>
      <c r="T128" s="184"/>
      <c r="U128" s="185" t="s">
        <v>38</v>
      </c>
      <c r="V128" s="171">
        <v>0.08</v>
      </c>
      <c r="W128" s="171">
        <f>$V$128*$K$128</f>
        <v>9.248</v>
      </c>
      <c r="X128" s="171">
        <v>0.00191</v>
      </c>
      <c r="Y128" s="171">
        <f>$X$128*$K$128</f>
        <v>0.220796</v>
      </c>
      <c r="Z128" s="171">
        <v>0</v>
      </c>
      <c r="AA128" s="172">
        <f>$Z$128*$K$128</f>
        <v>0</v>
      </c>
      <c r="AR128" s="114" t="s">
        <v>135</v>
      </c>
      <c r="AT128" s="114" t="s">
        <v>131</v>
      </c>
      <c r="AU128" s="114" t="s">
        <v>93</v>
      </c>
      <c r="AY128" s="114" t="s">
        <v>130</v>
      </c>
      <c r="BE128" s="173">
        <f>IF($U$128="základní",$N$128,0)</f>
        <v>0</v>
      </c>
      <c r="BF128" s="173">
        <f>IF($U$128="snížená",$N$128,0)</f>
        <v>0</v>
      </c>
      <c r="BG128" s="173">
        <f>IF($U$128="zákl. přenesená",$N$128,0)</f>
        <v>0</v>
      </c>
      <c r="BH128" s="173">
        <f>IF($U$128="sníž. přenesená",$N$128,0)</f>
        <v>0</v>
      </c>
      <c r="BI128" s="173">
        <f>IF($U$128="nulová",$N$128,0)</f>
        <v>0</v>
      </c>
      <c r="BJ128" s="114" t="s">
        <v>17</v>
      </c>
      <c r="BK128" s="173">
        <f>ROUND($L$128*$K$128,2)</f>
        <v>0</v>
      </c>
      <c r="BL128" s="114" t="s">
        <v>135</v>
      </c>
    </row>
    <row r="129" spans="2:63" s="158" customFormat="1" ht="30.75" customHeight="1">
      <c r="B129" s="157"/>
      <c r="D129" s="166" t="s">
        <v>107</v>
      </c>
      <c r="N129" s="213">
        <f>$BK$129</f>
        <v>0</v>
      </c>
      <c r="O129" s="213"/>
      <c r="P129" s="213"/>
      <c r="Q129" s="213"/>
      <c r="R129" s="160"/>
      <c r="T129" s="161"/>
      <c r="W129" s="162">
        <f>SUM($W$130:$W$141)</f>
        <v>834.0499599999999</v>
      </c>
      <c r="Y129" s="162">
        <f>SUM($Y$130:$Y$141)</f>
        <v>3399.6354514</v>
      </c>
      <c r="AA129" s="163">
        <f>SUM($AA$130:$AA$141)</f>
        <v>0</v>
      </c>
      <c r="AR129" s="164" t="s">
        <v>17</v>
      </c>
      <c r="AT129" s="164" t="s">
        <v>72</v>
      </c>
      <c r="AU129" s="164" t="s">
        <v>17</v>
      </c>
      <c r="AY129" s="164" t="s">
        <v>130</v>
      </c>
      <c r="BK129" s="165">
        <f>SUM($BK$130:$BK$141)</f>
        <v>0</v>
      </c>
    </row>
    <row r="130" spans="2:64" s="114" customFormat="1" ht="15.75" customHeight="1">
      <c r="B130" s="113"/>
      <c r="C130" s="167">
        <v>17</v>
      </c>
      <c r="D130" s="167" t="s">
        <v>131</v>
      </c>
      <c r="E130" s="168" t="s">
        <v>175</v>
      </c>
      <c r="F130" s="215" t="s">
        <v>176</v>
      </c>
      <c r="G130" s="215"/>
      <c r="H130" s="215"/>
      <c r="I130" s="215"/>
      <c r="J130" s="169" t="s">
        <v>134</v>
      </c>
      <c r="K130" s="170">
        <v>240.47</v>
      </c>
      <c r="L130" s="211"/>
      <c r="M130" s="211"/>
      <c r="N130" s="211">
        <f>ROUND($L$130*$K$130,2)</f>
        <v>0</v>
      </c>
      <c r="O130" s="211"/>
      <c r="P130" s="211"/>
      <c r="Q130" s="211"/>
      <c r="R130" s="116"/>
      <c r="T130" s="184"/>
      <c r="U130" s="185" t="s">
        <v>38</v>
      </c>
      <c r="V130" s="171">
        <v>0.023</v>
      </c>
      <c r="W130" s="171">
        <f>$V$130*$K$130</f>
        <v>5.53081</v>
      </c>
      <c r="X130" s="171">
        <v>0.18907</v>
      </c>
      <c r="Y130" s="171">
        <f>$X$130*$K$130</f>
        <v>45.4656629</v>
      </c>
      <c r="Z130" s="171">
        <v>0</v>
      </c>
      <c r="AA130" s="172">
        <f>$Z$130*$K$130</f>
        <v>0</v>
      </c>
      <c r="AR130" s="114" t="s">
        <v>135</v>
      </c>
      <c r="AT130" s="114" t="s">
        <v>131</v>
      </c>
      <c r="AU130" s="114" t="s">
        <v>93</v>
      </c>
      <c r="AY130" s="114" t="s">
        <v>130</v>
      </c>
      <c r="BE130" s="173">
        <f>IF($U$130="základní",$N$130,0)</f>
        <v>0</v>
      </c>
      <c r="BF130" s="173">
        <f>IF($U$130="snížená",$N$130,0)</f>
        <v>0</v>
      </c>
      <c r="BG130" s="173">
        <f>IF($U$130="zákl. přenesená",$N$130,0)</f>
        <v>0</v>
      </c>
      <c r="BH130" s="173">
        <f>IF($U$130="sníž. přenesená",$N$130,0)</f>
        <v>0</v>
      </c>
      <c r="BI130" s="173">
        <f>IF($U$130="nulová",$N$130,0)</f>
        <v>0</v>
      </c>
      <c r="BJ130" s="114" t="s">
        <v>17</v>
      </c>
      <c r="BK130" s="173">
        <f>ROUND($L$130*$K$130,2)</f>
        <v>0</v>
      </c>
      <c r="BL130" s="114" t="s">
        <v>135</v>
      </c>
    </row>
    <row r="131" spans="2:64" s="114" customFormat="1" ht="15.75" customHeight="1">
      <c r="B131" s="113"/>
      <c r="C131" s="167">
        <v>18</v>
      </c>
      <c r="D131" s="167" t="s">
        <v>131</v>
      </c>
      <c r="E131" s="168" t="s">
        <v>178</v>
      </c>
      <c r="F131" s="215" t="s">
        <v>179</v>
      </c>
      <c r="G131" s="215"/>
      <c r="H131" s="215"/>
      <c r="I131" s="215"/>
      <c r="J131" s="169" t="s">
        <v>134</v>
      </c>
      <c r="K131" s="170">
        <v>520</v>
      </c>
      <c r="L131" s="211"/>
      <c r="M131" s="211"/>
      <c r="N131" s="211">
        <f>ROUND($L$131*$K$131,2)</f>
        <v>0</v>
      </c>
      <c r="O131" s="211"/>
      <c r="P131" s="211"/>
      <c r="Q131" s="211"/>
      <c r="R131" s="116"/>
      <c r="T131" s="184"/>
      <c r="U131" s="185" t="s">
        <v>38</v>
      </c>
      <c r="V131" s="171">
        <v>0.026</v>
      </c>
      <c r="W131" s="171">
        <f>$V$131*$K$131</f>
        <v>13.52</v>
      </c>
      <c r="X131" s="171">
        <v>0.27994</v>
      </c>
      <c r="Y131" s="171">
        <f>$X$131*$K$131</f>
        <v>145.5688</v>
      </c>
      <c r="Z131" s="171">
        <v>0</v>
      </c>
      <c r="AA131" s="172">
        <f>$Z$131*$K$131</f>
        <v>0</v>
      </c>
      <c r="AR131" s="114" t="s">
        <v>135</v>
      </c>
      <c r="AT131" s="114" t="s">
        <v>131</v>
      </c>
      <c r="AU131" s="114" t="s">
        <v>93</v>
      </c>
      <c r="AY131" s="114" t="s">
        <v>130</v>
      </c>
      <c r="BE131" s="173">
        <f>IF($U$131="základní",$N$131,0)</f>
        <v>0</v>
      </c>
      <c r="BF131" s="173">
        <f>IF($U$131="snížená",$N$131,0)</f>
        <v>0</v>
      </c>
      <c r="BG131" s="173">
        <f>IF($U$131="zákl. přenesená",$N$131,0)</f>
        <v>0</v>
      </c>
      <c r="BH131" s="173">
        <f>IF($U$131="sníž. přenesená",$N$131,0)</f>
        <v>0</v>
      </c>
      <c r="BI131" s="173">
        <f>IF($U$131="nulová",$N$131,0)</f>
        <v>0</v>
      </c>
      <c r="BJ131" s="114" t="s">
        <v>17</v>
      </c>
      <c r="BK131" s="173">
        <f>ROUND($L$131*$K$131,2)</f>
        <v>0</v>
      </c>
      <c r="BL131" s="114" t="s">
        <v>135</v>
      </c>
    </row>
    <row r="132" spans="2:64" s="114" customFormat="1" ht="27" customHeight="1">
      <c r="B132" s="113"/>
      <c r="C132" s="167">
        <v>19</v>
      </c>
      <c r="D132" s="167" t="s">
        <v>131</v>
      </c>
      <c r="E132" s="168" t="s">
        <v>181</v>
      </c>
      <c r="F132" s="215" t="s">
        <v>182</v>
      </c>
      <c r="G132" s="215"/>
      <c r="H132" s="215"/>
      <c r="I132" s="215"/>
      <c r="J132" s="169" t="s">
        <v>134</v>
      </c>
      <c r="K132" s="170">
        <v>2919.75</v>
      </c>
      <c r="L132" s="211"/>
      <c r="M132" s="211"/>
      <c r="N132" s="211">
        <f>ROUND($L$132*$K$132,2)</f>
        <v>0</v>
      </c>
      <c r="O132" s="211"/>
      <c r="P132" s="211"/>
      <c r="Q132" s="211"/>
      <c r="R132" s="116"/>
      <c r="T132" s="184"/>
      <c r="U132" s="185" t="s">
        <v>38</v>
      </c>
      <c r="V132" s="171">
        <v>0.048</v>
      </c>
      <c r="W132" s="171">
        <f>$V$132*$K$132</f>
        <v>140.148</v>
      </c>
      <c r="X132" s="171">
        <v>0.13188</v>
      </c>
      <c r="Y132" s="171">
        <f>$X$132*$K$132</f>
        <v>385.05663</v>
      </c>
      <c r="Z132" s="171">
        <v>0</v>
      </c>
      <c r="AA132" s="172">
        <f>$Z$132*$K$132</f>
        <v>0</v>
      </c>
      <c r="AR132" s="114" t="s">
        <v>135</v>
      </c>
      <c r="AT132" s="114" t="s">
        <v>131</v>
      </c>
      <c r="AU132" s="114" t="s">
        <v>93</v>
      </c>
      <c r="AY132" s="114" t="s">
        <v>130</v>
      </c>
      <c r="BE132" s="173">
        <f>IF($U$132="základní",$N$132,0)</f>
        <v>0</v>
      </c>
      <c r="BF132" s="173">
        <f>IF($U$132="snížená",$N$132,0)</f>
        <v>0</v>
      </c>
      <c r="BG132" s="173">
        <f>IF($U$132="zákl. přenesená",$N$132,0)</f>
        <v>0</v>
      </c>
      <c r="BH132" s="173">
        <f>IF($U$132="sníž. přenesená",$N$132,0)</f>
        <v>0</v>
      </c>
      <c r="BI132" s="173">
        <f>IF($U$132="nulová",$N$132,0)</f>
        <v>0</v>
      </c>
      <c r="BJ132" s="114" t="s">
        <v>17</v>
      </c>
      <c r="BK132" s="173">
        <f>ROUND($L$132*$K$132,2)</f>
        <v>0</v>
      </c>
      <c r="BL132" s="114" t="s">
        <v>135</v>
      </c>
    </row>
    <row r="133" spans="2:64" s="114" customFormat="1" ht="39.75" customHeight="1">
      <c r="B133" s="113"/>
      <c r="C133" s="167">
        <v>20</v>
      </c>
      <c r="D133" s="167" t="s">
        <v>131</v>
      </c>
      <c r="E133" s="168" t="s">
        <v>184</v>
      </c>
      <c r="F133" s="218" t="s">
        <v>405</v>
      </c>
      <c r="G133" s="218"/>
      <c r="H133" s="218"/>
      <c r="I133" s="218"/>
      <c r="J133" s="169" t="s">
        <v>134</v>
      </c>
      <c r="K133" s="170">
        <v>1617.34</v>
      </c>
      <c r="L133" s="211"/>
      <c r="M133" s="211"/>
      <c r="N133" s="211">
        <f>ROUND($L$133*$K$133,2)</f>
        <v>0</v>
      </c>
      <c r="O133" s="211"/>
      <c r="P133" s="211"/>
      <c r="Q133" s="211"/>
      <c r="R133" s="116"/>
      <c r="T133" s="184"/>
      <c r="U133" s="185" t="s">
        <v>38</v>
      </c>
      <c r="V133" s="171">
        <v>0.054</v>
      </c>
      <c r="W133" s="171">
        <f>$V$133*$K$133</f>
        <v>87.33636</v>
      </c>
      <c r="X133" s="171">
        <v>0.22385</v>
      </c>
      <c r="Y133" s="171">
        <f>$X$133*$K$133</f>
        <v>362.04155899999995</v>
      </c>
      <c r="Z133" s="171">
        <v>0</v>
      </c>
      <c r="AA133" s="172">
        <f>$Z$133*$K$133</f>
        <v>0</v>
      </c>
      <c r="AR133" s="114" t="s">
        <v>135</v>
      </c>
      <c r="AT133" s="114" t="s">
        <v>131</v>
      </c>
      <c r="AU133" s="114" t="s">
        <v>93</v>
      </c>
      <c r="AY133" s="114" t="s">
        <v>130</v>
      </c>
      <c r="BE133" s="173">
        <f>IF($U$133="základní",$N$133,0)</f>
        <v>0</v>
      </c>
      <c r="BF133" s="173">
        <f>IF($U$133="snížená",$N$133,0)</f>
        <v>0</v>
      </c>
      <c r="BG133" s="173">
        <f>IF($U$133="zákl. přenesená",$N$133,0)</f>
        <v>0</v>
      </c>
      <c r="BH133" s="173">
        <f>IF($U$133="sníž. přenesená",$N$133,0)</f>
        <v>0</v>
      </c>
      <c r="BI133" s="173">
        <f>IF($U$133="nulová",$N$133,0)</f>
        <v>0</v>
      </c>
      <c r="BJ133" s="114" t="s">
        <v>17</v>
      </c>
      <c r="BK133" s="173">
        <f>ROUND($L$133*$K$133,2)</f>
        <v>0</v>
      </c>
      <c r="BL133" s="114" t="s">
        <v>135</v>
      </c>
    </row>
    <row r="134" spans="2:64" s="114" customFormat="1" ht="27" customHeight="1">
      <c r="B134" s="113"/>
      <c r="C134" s="167">
        <v>21</v>
      </c>
      <c r="D134" s="167" t="s">
        <v>131</v>
      </c>
      <c r="E134" s="168" t="s">
        <v>186</v>
      </c>
      <c r="F134" s="215" t="s">
        <v>187</v>
      </c>
      <c r="G134" s="215"/>
      <c r="H134" s="215"/>
      <c r="I134" s="215"/>
      <c r="J134" s="169" t="s">
        <v>174</v>
      </c>
      <c r="K134" s="170">
        <v>2316</v>
      </c>
      <c r="L134" s="211"/>
      <c r="M134" s="211"/>
      <c r="N134" s="211">
        <f>ROUND($L$134*$K$134,2)</f>
        <v>0</v>
      </c>
      <c r="O134" s="211"/>
      <c r="P134" s="211"/>
      <c r="Q134" s="211"/>
      <c r="R134" s="116"/>
      <c r="T134" s="184"/>
      <c r="U134" s="185" t="s">
        <v>38</v>
      </c>
      <c r="V134" s="171">
        <v>0.084</v>
      </c>
      <c r="W134" s="171">
        <f>$V$134*$K$134</f>
        <v>194.544</v>
      </c>
      <c r="X134" s="171">
        <v>0.00353</v>
      </c>
      <c r="Y134" s="171">
        <f>$X$134*$K$134</f>
        <v>8.17548</v>
      </c>
      <c r="Z134" s="171">
        <v>0</v>
      </c>
      <c r="AA134" s="172">
        <f>$Z$134*$K$134</f>
        <v>0</v>
      </c>
      <c r="AR134" s="114" t="s">
        <v>135</v>
      </c>
      <c r="AT134" s="114" t="s">
        <v>131</v>
      </c>
      <c r="AU134" s="114" t="s">
        <v>93</v>
      </c>
      <c r="AY134" s="114" t="s">
        <v>130</v>
      </c>
      <c r="BE134" s="173">
        <f>IF($U$134="základní",$N$134,0)</f>
        <v>0</v>
      </c>
      <c r="BF134" s="173">
        <f>IF($U$134="snížená",$N$134,0)</f>
        <v>0</v>
      </c>
      <c r="BG134" s="173">
        <f>IF($U$134="zákl. přenesená",$N$134,0)</f>
        <v>0</v>
      </c>
      <c r="BH134" s="173">
        <f>IF($U$134="sníž. přenesená",$N$134,0)</f>
        <v>0</v>
      </c>
      <c r="BI134" s="173">
        <f>IF($U$134="nulová",$N$134,0)</f>
        <v>0</v>
      </c>
      <c r="BJ134" s="114" t="s">
        <v>17</v>
      </c>
      <c r="BK134" s="173">
        <f>ROUND($L$134*$K$134,2)</f>
        <v>0</v>
      </c>
      <c r="BL134" s="114" t="s">
        <v>135</v>
      </c>
    </row>
    <row r="135" spans="2:64" s="114" customFormat="1" ht="27" customHeight="1">
      <c r="B135" s="113"/>
      <c r="C135" s="167">
        <v>22</v>
      </c>
      <c r="D135" s="167" t="s">
        <v>131</v>
      </c>
      <c r="E135" s="168" t="s">
        <v>189</v>
      </c>
      <c r="F135" s="215" t="s">
        <v>190</v>
      </c>
      <c r="G135" s="215"/>
      <c r="H135" s="215"/>
      <c r="I135" s="215"/>
      <c r="J135" s="169" t="s">
        <v>134</v>
      </c>
      <c r="K135" s="170">
        <v>9125.83</v>
      </c>
      <c r="L135" s="211"/>
      <c r="M135" s="211"/>
      <c r="N135" s="211">
        <f>ROUND($L$135*$K$135,2)</f>
        <v>0</v>
      </c>
      <c r="O135" s="211"/>
      <c r="P135" s="211"/>
      <c r="Q135" s="211"/>
      <c r="R135" s="116"/>
      <c r="T135" s="184"/>
      <c r="U135" s="185" t="s">
        <v>38</v>
      </c>
      <c r="V135" s="171">
        <v>0.002</v>
      </c>
      <c r="W135" s="171">
        <f>$V$135*$K$135</f>
        <v>18.25166</v>
      </c>
      <c r="X135" s="171">
        <v>0.00071</v>
      </c>
      <c r="Y135" s="171">
        <f>$X$135*$K$135</f>
        <v>6.4793393</v>
      </c>
      <c r="Z135" s="171">
        <v>0</v>
      </c>
      <c r="AA135" s="172">
        <f>$Z$135*$K$135</f>
        <v>0</v>
      </c>
      <c r="AR135" s="114" t="s">
        <v>135</v>
      </c>
      <c r="AT135" s="114" t="s">
        <v>131</v>
      </c>
      <c r="AU135" s="114" t="s">
        <v>93</v>
      </c>
      <c r="AY135" s="114" t="s">
        <v>130</v>
      </c>
      <c r="BE135" s="173">
        <f>IF($U$135="základní",$N$135,0)</f>
        <v>0</v>
      </c>
      <c r="BF135" s="173">
        <f>IF($U$135="snížená",$N$135,0)</f>
        <v>0</v>
      </c>
      <c r="BG135" s="173">
        <f>IF($U$135="zákl. přenesená",$N$135,0)</f>
        <v>0</v>
      </c>
      <c r="BH135" s="173">
        <f>IF($U$135="sníž. přenesená",$N$135,0)</f>
        <v>0</v>
      </c>
      <c r="BI135" s="173">
        <f>IF($U$135="nulová",$N$135,0)</f>
        <v>0</v>
      </c>
      <c r="BJ135" s="114" t="s">
        <v>17</v>
      </c>
      <c r="BK135" s="173">
        <f>ROUND($L$135*$K$135,2)</f>
        <v>0</v>
      </c>
      <c r="BL135" s="114" t="s">
        <v>135</v>
      </c>
    </row>
    <row r="136" spans="2:64" s="114" customFormat="1" ht="27" customHeight="1">
      <c r="B136" s="113"/>
      <c r="C136" s="167">
        <v>23</v>
      </c>
      <c r="D136" s="167" t="s">
        <v>131</v>
      </c>
      <c r="E136" s="168" t="s">
        <v>191</v>
      </c>
      <c r="F136" s="215" t="s">
        <v>192</v>
      </c>
      <c r="G136" s="215"/>
      <c r="H136" s="215"/>
      <c r="I136" s="215"/>
      <c r="J136" s="169" t="s">
        <v>134</v>
      </c>
      <c r="K136" s="170">
        <v>9125.83</v>
      </c>
      <c r="L136" s="211"/>
      <c r="M136" s="211"/>
      <c r="N136" s="211">
        <f>ROUND($L$136*$K$136,2)</f>
        <v>0</v>
      </c>
      <c r="O136" s="211"/>
      <c r="P136" s="211"/>
      <c r="Q136" s="211"/>
      <c r="R136" s="116"/>
      <c r="T136" s="184"/>
      <c r="U136" s="185" t="s">
        <v>38</v>
      </c>
      <c r="V136" s="171">
        <v>0.002</v>
      </c>
      <c r="W136" s="171">
        <f>$V$136*$K$136</f>
        <v>18.25166</v>
      </c>
      <c r="X136" s="171">
        <v>0.00071</v>
      </c>
      <c r="Y136" s="171">
        <f>$X$136*$K$136</f>
        <v>6.4793393</v>
      </c>
      <c r="Z136" s="171">
        <v>0</v>
      </c>
      <c r="AA136" s="172">
        <f>$Z$136*$K$136</f>
        <v>0</v>
      </c>
      <c r="AR136" s="114" t="s">
        <v>135</v>
      </c>
      <c r="AT136" s="114" t="s">
        <v>131</v>
      </c>
      <c r="AU136" s="114" t="s">
        <v>93</v>
      </c>
      <c r="AY136" s="114" t="s">
        <v>130</v>
      </c>
      <c r="BE136" s="173">
        <f>IF($U$136="základní",$N$136,0)</f>
        <v>0</v>
      </c>
      <c r="BF136" s="173">
        <f>IF($U$136="snížená",$N$136,0)</f>
        <v>0</v>
      </c>
      <c r="BG136" s="173">
        <f>IF($U$136="zákl. přenesená",$N$136,0)</f>
        <v>0</v>
      </c>
      <c r="BH136" s="173">
        <f>IF($U$136="sníž. přenesená",$N$136,0)</f>
        <v>0</v>
      </c>
      <c r="BI136" s="173">
        <f>IF($U$136="nulová",$N$136,0)</f>
        <v>0</v>
      </c>
      <c r="BJ136" s="114" t="s">
        <v>17</v>
      </c>
      <c r="BK136" s="173">
        <f>ROUND($L$136*$K$136,2)</f>
        <v>0</v>
      </c>
      <c r="BL136" s="114" t="s">
        <v>135</v>
      </c>
    </row>
    <row r="137" spans="2:64" s="114" customFormat="1" ht="27" customHeight="1">
      <c r="B137" s="113"/>
      <c r="C137" s="167">
        <v>24</v>
      </c>
      <c r="D137" s="167" t="s">
        <v>131</v>
      </c>
      <c r="E137" s="168" t="s">
        <v>194</v>
      </c>
      <c r="F137" s="215" t="s">
        <v>195</v>
      </c>
      <c r="G137" s="215"/>
      <c r="H137" s="215"/>
      <c r="I137" s="215"/>
      <c r="J137" s="169" t="s">
        <v>134</v>
      </c>
      <c r="K137" s="170">
        <v>2218.55</v>
      </c>
      <c r="L137" s="211"/>
      <c r="M137" s="211"/>
      <c r="N137" s="211">
        <f>ROUND($L$137*$K$137,2)</f>
        <v>0</v>
      </c>
      <c r="O137" s="211"/>
      <c r="P137" s="211"/>
      <c r="Q137" s="211"/>
      <c r="R137" s="116"/>
      <c r="T137" s="184"/>
      <c r="U137" s="185" t="s">
        <v>38</v>
      </c>
      <c r="V137" s="171">
        <v>0.002</v>
      </c>
      <c r="W137" s="171">
        <f>$V$137*$K$137</f>
        <v>4.4371</v>
      </c>
      <c r="X137" s="171">
        <v>0.00071</v>
      </c>
      <c r="Y137" s="171">
        <f>$X$137*$K$137</f>
        <v>1.5751705000000003</v>
      </c>
      <c r="Z137" s="171">
        <v>0</v>
      </c>
      <c r="AA137" s="172">
        <f>$Z$137*$K$137</f>
        <v>0</v>
      </c>
      <c r="AR137" s="114" t="s">
        <v>135</v>
      </c>
      <c r="AT137" s="114" t="s">
        <v>131</v>
      </c>
      <c r="AU137" s="114" t="s">
        <v>93</v>
      </c>
      <c r="AY137" s="114" t="s">
        <v>130</v>
      </c>
      <c r="BE137" s="173">
        <f>IF($U$137="základní",$N$137,0)</f>
        <v>0</v>
      </c>
      <c r="BF137" s="173">
        <f>IF($U$137="snížená",$N$137,0)</f>
        <v>0</v>
      </c>
      <c r="BG137" s="173">
        <f>IF($U$137="zákl. přenesená",$N$137,0)</f>
        <v>0</v>
      </c>
      <c r="BH137" s="173">
        <f>IF($U$137="sníž. přenesená",$N$137,0)</f>
        <v>0</v>
      </c>
      <c r="BI137" s="173">
        <f>IF($U$137="nulová",$N$137,0)</f>
        <v>0</v>
      </c>
      <c r="BJ137" s="114" t="s">
        <v>17</v>
      </c>
      <c r="BK137" s="173">
        <f>ROUND($L$137*$K$137,2)</f>
        <v>0</v>
      </c>
      <c r="BL137" s="114" t="s">
        <v>135</v>
      </c>
    </row>
    <row r="138" spans="2:64" s="114" customFormat="1" ht="39" customHeight="1">
      <c r="B138" s="113"/>
      <c r="C138" s="167">
        <v>25</v>
      </c>
      <c r="D138" s="167" t="s">
        <v>131</v>
      </c>
      <c r="E138" s="168" t="s">
        <v>197</v>
      </c>
      <c r="F138" s="215" t="s">
        <v>198</v>
      </c>
      <c r="G138" s="215"/>
      <c r="H138" s="215"/>
      <c r="I138" s="215"/>
      <c r="J138" s="169" t="s">
        <v>134</v>
      </c>
      <c r="K138" s="170">
        <v>9125.83</v>
      </c>
      <c r="L138" s="211"/>
      <c r="M138" s="211"/>
      <c r="N138" s="211">
        <f>ROUND($L$138*$K$138,2)</f>
        <v>0</v>
      </c>
      <c r="O138" s="211"/>
      <c r="P138" s="211"/>
      <c r="Q138" s="211"/>
      <c r="R138" s="116"/>
      <c r="T138" s="184"/>
      <c r="U138" s="185" t="s">
        <v>38</v>
      </c>
      <c r="V138" s="171">
        <v>0.016</v>
      </c>
      <c r="W138" s="171">
        <f>$V$138*$K$138</f>
        <v>146.01328</v>
      </c>
      <c r="X138" s="171">
        <v>0.12966</v>
      </c>
      <c r="Y138" s="171">
        <f>$X$138*$K$138</f>
        <v>1183.2551177999999</v>
      </c>
      <c r="Z138" s="171">
        <v>0</v>
      </c>
      <c r="AA138" s="172">
        <f>$Z$138*$K$138</f>
        <v>0</v>
      </c>
      <c r="AR138" s="114" t="s">
        <v>135</v>
      </c>
      <c r="AT138" s="114" t="s">
        <v>131</v>
      </c>
      <c r="AU138" s="114" t="s">
        <v>93</v>
      </c>
      <c r="AY138" s="114" t="s">
        <v>130</v>
      </c>
      <c r="BE138" s="173">
        <f>IF($U$138="základní",$N$138,0)</f>
        <v>0</v>
      </c>
      <c r="BF138" s="173">
        <f>IF($U$138="snížená",$N$138,0)</f>
        <v>0</v>
      </c>
      <c r="BG138" s="173">
        <f>IF($U$138="zákl. přenesená",$N$138,0)</f>
        <v>0</v>
      </c>
      <c r="BH138" s="173">
        <f>IF($U$138="sníž. přenesená",$N$138,0)</f>
        <v>0</v>
      </c>
      <c r="BI138" s="173">
        <f>IF($U$138="nulová",$N$138,0)</f>
        <v>0</v>
      </c>
      <c r="BJ138" s="114" t="s">
        <v>17</v>
      </c>
      <c r="BK138" s="173">
        <f>ROUND($L$138*$K$138,2)</f>
        <v>0</v>
      </c>
      <c r="BL138" s="114" t="s">
        <v>135</v>
      </c>
    </row>
    <row r="139" spans="2:64" s="114" customFormat="1" ht="27" customHeight="1">
      <c r="B139" s="113"/>
      <c r="C139" s="167">
        <v>26</v>
      </c>
      <c r="D139" s="167" t="s">
        <v>131</v>
      </c>
      <c r="E139" s="168" t="s">
        <v>200</v>
      </c>
      <c r="F139" s="215" t="s">
        <v>201</v>
      </c>
      <c r="G139" s="215"/>
      <c r="H139" s="215"/>
      <c r="I139" s="215"/>
      <c r="J139" s="169" t="s">
        <v>134</v>
      </c>
      <c r="K139" s="170">
        <v>445.38</v>
      </c>
      <c r="L139" s="211"/>
      <c r="M139" s="211"/>
      <c r="N139" s="211">
        <f>ROUND($L$139*$K$139,2)</f>
        <v>0</v>
      </c>
      <c r="O139" s="211"/>
      <c r="P139" s="211"/>
      <c r="Q139" s="211"/>
      <c r="R139" s="116"/>
      <c r="T139" s="184"/>
      <c r="U139" s="185" t="s">
        <v>38</v>
      </c>
      <c r="V139" s="171">
        <v>0.071</v>
      </c>
      <c r="W139" s="171">
        <f>$V$139*$K$139</f>
        <v>31.621979999999997</v>
      </c>
      <c r="X139" s="171">
        <v>0.12966</v>
      </c>
      <c r="Y139" s="171">
        <f>$X$139*$K$139</f>
        <v>57.7479708</v>
      </c>
      <c r="Z139" s="171">
        <v>0</v>
      </c>
      <c r="AA139" s="172">
        <f>$Z$139*$K$139</f>
        <v>0</v>
      </c>
      <c r="AR139" s="114" t="s">
        <v>135</v>
      </c>
      <c r="AT139" s="114" t="s">
        <v>131</v>
      </c>
      <c r="AU139" s="114" t="s">
        <v>93</v>
      </c>
      <c r="AY139" s="114" t="s">
        <v>130</v>
      </c>
      <c r="BE139" s="173">
        <f>IF($U$139="základní",$N$139,0)</f>
        <v>0</v>
      </c>
      <c r="BF139" s="173">
        <f>IF($U$139="snížená",$N$139,0)</f>
        <v>0</v>
      </c>
      <c r="BG139" s="173">
        <f>IF($U$139="zákl. přenesená",$N$139,0)</f>
        <v>0</v>
      </c>
      <c r="BH139" s="173">
        <f>IF($U$139="sníž. přenesená",$N$139,0)</f>
        <v>0</v>
      </c>
      <c r="BI139" s="173">
        <f>IF($U$139="nulová",$N$139,0)</f>
        <v>0</v>
      </c>
      <c r="BJ139" s="114" t="s">
        <v>17</v>
      </c>
      <c r="BK139" s="173">
        <f>ROUND($L$139*$K$139,2)</f>
        <v>0</v>
      </c>
      <c r="BL139" s="114" t="s">
        <v>135</v>
      </c>
    </row>
    <row r="140" spans="2:64" s="114" customFormat="1" ht="27" customHeight="1">
      <c r="B140" s="113"/>
      <c r="C140" s="167">
        <v>27</v>
      </c>
      <c r="D140" s="167" t="s">
        <v>131</v>
      </c>
      <c r="E140" s="168" t="s">
        <v>203</v>
      </c>
      <c r="F140" s="215" t="s">
        <v>204</v>
      </c>
      <c r="G140" s="215"/>
      <c r="H140" s="215"/>
      <c r="I140" s="215"/>
      <c r="J140" s="169" t="s">
        <v>134</v>
      </c>
      <c r="K140" s="170">
        <v>9125.83</v>
      </c>
      <c r="L140" s="211"/>
      <c r="M140" s="211"/>
      <c r="N140" s="211">
        <f>ROUND($L$140*$K$140,2)</f>
        <v>0</v>
      </c>
      <c r="O140" s="211"/>
      <c r="P140" s="211"/>
      <c r="Q140" s="211"/>
      <c r="R140" s="116"/>
      <c r="T140" s="184"/>
      <c r="U140" s="185" t="s">
        <v>38</v>
      </c>
      <c r="V140" s="171">
        <v>0.017</v>
      </c>
      <c r="W140" s="171">
        <f>$V$140*$K$140</f>
        <v>155.13911000000002</v>
      </c>
      <c r="X140" s="171">
        <v>0.12966</v>
      </c>
      <c r="Y140" s="171">
        <f>$X$140*$K$140</f>
        <v>1183.2551177999999</v>
      </c>
      <c r="Z140" s="171">
        <v>0</v>
      </c>
      <c r="AA140" s="172">
        <f>$Z$140*$K$140</f>
        <v>0</v>
      </c>
      <c r="AR140" s="114" t="s">
        <v>135</v>
      </c>
      <c r="AT140" s="114" t="s">
        <v>131</v>
      </c>
      <c r="AU140" s="114" t="s">
        <v>93</v>
      </c>
      <c r="AY140" s="114" t="s">
        <v>130</v>
      </c>
      <c r="BE140" s="173">
        <f>IF($U$140="základní",$N$140,0)</f>
        <v>0</v>
      </c>
      <c r="BF140" s="173">
        <f>IF($U$140="snížená",$N$140,0)</f>
        <v>0</v>
      </c>
      <c r="BG140" s="173">
        <f>IF($U$140="zákl. přenesená",$N$140,0)</f>
        <v>0</v>
      </c>
      <c r="BH140" s="173">
        <f>IF($U$140="sníž. přenesená",$N$140,0)</f>
        <v>0</v>
      </c>
      <c r="BI140" s="173">
        <f>IF($U$140="nulová",$N$140,0)</f>
        <v>0</v>
      </c>
      <c r="BJ140" s="114" t="s">
        <v>17</v>
      </c>
      <c r="BK140" s="173">
        <f>ROUND($L$140*$K$140,2)</f>
        <v>0</v>
      </c>
      <c r="BL140" s="114" t="s">
        <v>135</v>
      </c>
    </row>
    <row r="141" spans="2:64" s="114" customFormat="1" ht="27" customHeight="1">
      <c r="B141" s="113"/>
      <c r="C141" s="167">
        <v>28</v>
      </c>
      <c r="D141" s="167" t="s">
        <v>131</v>
      </c>
      <c r="E141" s="168" t="s">
        <v>206</v>
      </c>
      <c r="F141" s="215" t="s">
        <v>207</v>
      </c>
      <c r="G141" s="215"/>
      <c r="H141" s="215"/>
      <c r="I141" s="215"/>
      <c r="J141" s="169" t="s">
        <v>134</v>
      </c>
      <c r="K141" s="170">
        <v>23.2</v>
      </c>
      <c r="L141" s="211"/>
      <c r="M141" s="211"/>
      <c r="N141" s="211">
        <f>ROUND($L$141*$K$141,2)</f>
        <v>0</v>
      </c>
      <c r="O141" s="211"/>
      <c r="P141" s="211"/>
      <c r="Q141" s="211"/>
      <c r="R141" s="116"/>
      <c r="T141" s="184"/>
      <c r="U141" s="185" t="s">
        <v>38</v>
      </c>
      <c r="V141" s="171">
        <v>0.83</v>
      </c>
      <c r="W141" s="171">
        <f>$V$141*$K$141</f>
        <v>19.256</v>
      </c>
      <c r="X141" s="171">
        <v>0.62652</v>
      </c>
      <c r="Y141" s="171">
        <f>$X$141*$K$141</f>
        <v>14.535263999999998</v>
      </c>
      <c r="Z141" s="171">
        <v>0</v>
      </c>
      <c r="AA141" s="172">
        <f>$Z$141*$K$141</f>
        <v>0</v>
      </c>
      <c r="AR141" s="114" t="s">
        <v>135</v>
      </c>
      <c r="AT141" s="114" t="s">
        <v>131</v>
      </c>
      <c r="AU141" s="114" t="s">
        <v>93</v>
      </c>
      <c r="AY141" s="114" t="s">
        <v>130</v>
      </c>
      <c r="BE141" s="173">
        <f>IF($U$141="základní",$N$141,0)</f>
        <v>0</v>
      </c>
      <c r="BF141" s="173">
        <f>IF($U$141="snížená",$N$141,0)</f>
        <v>0</v>
      </c>
      <c r="BG141" s="173">
        <f>IF($U$141="zákl. přenesená",$N$141,0)</f>
        <v>0</v>
      </c>
      <c r="BH141" s="173">
        <f>IF($U$141="sníž. přenesená",$N$141,0)</f>
        <v>0</v>
      </c>
      <c r="BI141" s="173">
        <f>IF($U$141="nulová",$N$141,0)</f>
        <v>0</v>
      </c>
      <c r="BJ141" s="114" t="s">
        <v>17</v>
      </c>
      <c r="BK141" s="173">
        <f>ROUND($L$141*$K$141,2)</f>
        <v>0</v>
      </c>
      <c r="BL141" s="114" t="s">
        <v>135</v>
      </c>
    </row>
    <row r="142" spans="2:63" s="158" customFormat="1" ht="30.75" customHeight="1">
      <c r="B142" s="157"/>
      <c r="D142" s="166" t="s">
        <v>108</v>
      </c>
      <c r="N142" s="213">
        <f>SUM(N143:Q180)</f>
        <v>0</v>
      </c>
      <c r="O142" s="213"/>
      <c r="P142" s="213"/>
      <c r="Q142" s="213"/>
      <c r="R142" s="160"/>
      <c r="T142" s="161"/>
      <c r="W142" s="162">
        <f>SUM($W$143:$W$180)</f>
        <v>1716.00768</v>
      </c>
      <c r="Y142" s="162">
        <f>SUM($Y$143:$Y$180)</f>
        <v>19.2534723</v>
      </c>
      <c r="AA142" s="163">
        <f>SUM($AA$143:$AA$180)</f>
        <v>207.74484</v>
      </c>
      <c r="AR142" s="164" t="s">
        <v>17</v>
      </c>
      <c r="AT142" s="164" t="s">
        <v>72</v>
      </c>
      <c r="AU142" s="164" t="s">
        <v>17</v>
      </c>
      <c r="AY142" s="164" t="s">
        <v>130</v>
      </c>
      <c r="BK142" s="165">
        <f>SUM($BK$143:$BK$180)</f>
        <v>0</v>
      </c>
    </row>
    <row r="143" spans="2:64" s="114" customFormat="1" ht="27" customHeight="1">
      <c r="B143" s="113"/>
      <c r="C143" s="167">
        <v>29</v>
      </c>
      <c r="D143" s="167" t="s">
        <v>131</v>
      </c>
      <c r="E143" s="168" t="s">
        <v>209</v>
      </c>
      <c r="F143" s="215" t="s">
        <v>210</v>
      </c>
      <c r="G143" s="215"/>
      <c r="H143" s="215"/>
      <c r="I143" s="215"/>
      <c r="J143" s="169" t="s">
        <v>211</v>
      </c>
      <c r="K143" s="170">
        <v>98</v>
      </c>
      <c r="L143" s="211"/>
      <c r="M143" s="211"/>
      <c r="N143" s="211">
        <f>L143*K143</f>
        <v>0</v>
      </c>
      <c r="O143" s="211"/>
      <c r="P143" s="211"/>
      <c r="Q143" s="211"/>
      <c r="R143" s="116"/>
      <c r="T143" s="184"/>
      <c r="U143" s="185" t="s">
        <v>38</v>
      </c>
      <c r="V143" s="171">
        <v>0.226</v>
      </c>
      <c r="W143" s="171">
        <f>$V$143*$K$143</f>
        <v>22.148</v>
      </c>
      <c r="X143" s="171">
        <v>0</v>
      </c>
      <c r="Y143" s="171">
        <f>$X$143*$K$143</f>
        <v>0</v>
      </c>
      <c r="Z143" s="171">
        <v>0</v>
      </c>
      <c r="AA143" s="172">
        <f>$Z$143*$K$143</f>
        <v>0</v>
      </c>
      <c r="AR143" s="114" t="s">
        <v>135</v>
      </c>
      <c r="AT143" s="114" t="s">
        <v>131</v>
      </c>
      <c r="AU143" s="114" t="s">
        <v>93</v>
      </c>
      <c r="AY143" s="114" t="s">
        <v>130</v>
      </c>
      <c r="BE143" s="173">
        <f>IF($U$143="základní",$N$143,0)</f>
        <v>0</v>
      </c>
      <c r="BF143" s="173">
        <f>IF($U$143="snížená",$N$143,0)</f>
        <v>0</v>
      </c>
      <c r="BG143" s="173">
        <f>IF($U$143="zákl. přenesená",$N$143,0)</f>
        <v>0</v>
      </c>
      <c r="BH143" s="173">
        <f>IF($U$143="sníž. přenesená",$N$143,0)</f>
        <v>0</v>
      </c>
      <c r="BI143" s="173">
        <f>IF($U$143="nulová",$N$143,0)</f>
        <v>0</v>
      </c>
      <c r="BJ143" s="114" t="s">
        <v>17</v>
      </c>
      <c r="BK143" s="173">
        <f>ROUND($L$143*$K$143,2)</f>
        <v>0</v>
      </c>
      <c r="BL143" s="114" t="s">
        <v>135</v>
      </c>
    </row>
    <row r="144" spans="2:64" s="114" customFormat="1" ht="15.75" customHeight="1">
      <c r="B144" s="113"/>
      <c r="C144" s="178">
        <v>30</v>
      </c>
      <c r="D144" s="178" t="s">
        <v>159</v>
      </c>
      <c r="E144" s="186" t="s">
        <v>213</v>
      </c>
      <c r="F144" s="216" t="s">
        <v>214</v>
      </c>
      <c r="G144" s="216"/>
      <c r="H144" s="216"/>
      <c r="I144" s="216"/>
      <c r="J144" s="187" t="s">
        <v>211</v>
      </c>
      <c r="K144" s="188">
        <v>88</v>
      </c>
      <c r="L144" s="217"/>
      <c r="M144" s="217"/>
      <c r="N144" s="211">
        <f aca="true" t="shared" si="2" ref="N144:N180">L144*K144</f>
        <v>0</v>
      </c>
      <c r="O144" s="211"/>
      <c r="P144" s="211"/>
      <c r="Q144" s="211"/>
      <c r="R144" s="116"/>
      <c r="T144" s="184"/>
      <c r="U144" s="185" t="s">
        <v>38</v>
      </c>
      <c r="V144" s="171">
        <v>0</v>
      </c>
      <c r="W144" s="171">
        <f>$V$144*$K$144</f>
        <v>0</v>
      </c>
      <c r="X144" s="171">
        <v>0.0022</v>
      </c>
      <c r="Y144" s="171">
        <f>$X$144*$K$144</f>
        <v>0.19360000000000002</v>
      </c>
      <c r="Z144" s="171">
        <v>0</v>
      </c>
      <c r="AA144" s="172">
        <f>$Z$144*$K$144</f>
        <v>0</v>
      </c>
      <c r="AR144" s="114" t="s">
        <v>152</v>
      </c>
      <c r="AT144" s="114" t="s">
        <v>159</v>
      </c>
      <c r="AU144" s="114" t="s">
        <v>93</v>
      </c>
      <c r="AY144" s="114" t="s">
        <v>130</v>
      </c>
      <c r="BE144" s="173">
        <f>IF($U$144="základní",$N$144,0)</f>
        <v>0</v>
      </c>
      <c r="BF144" s="173">
        <f>IF($U$144="snížená",$N$144,0)</f>
        <v>0</v>
      </c>
      <c r="BG144" s="173">
        <f>IF($U$144="zákl. přenesená",$N$144,0)</f>
        <v>0</v>
      </c>
      <c r="BH144" s="173">
        <f>IF($U$144="sníž. přenesená",$N$144,0)</f>
        <v>0</v>
      </c>
      <c r="BI144" s="173">
        <f>IF($U$144="nulová",$N$144,0)</f>
        <v>0</v>
      </c>
      <c r="BJ144" s="114" t="s">
        <v>17</v>
      </c>
      <c r="BK144" s="173">
        <f>ROUND($L$144*$K$144,2)</f>
        <v>0</v>
      </c>
      <c r="BL144" s="114" t="s">
        <v>135</v>
      </c>
    </row>
    <row r="145" spans="2:64" s="114" customFormat="1" ht="15.75" customHeight="1">
      <c r="B145" s="113"/>
      <c r="C145" s="178">
        <v>31</v>
      </c>
      <c r="D145" s="178" t="s">
        <v>159</v>
      </c>
      <c r="E145" s="186" t="s">
        <v>216</v>
      </c>
      <c r="F145" s="216" t="s">
        <v>217</v>
      </c>
      <c r="G145" s="216"/>
      <c r="H145" s="216"/>
      <c r="I145" s="216"/>
      <c r="J145" s="187" t="s">
        <v>211</v>
      </c>
      <c r="K145" s="188">
        <v>10</v>
      </c>
      <c r="L145" s="217"/>
      <c r="M145" s="217"/>
      <c r="N145" s="211">
        <f t="shared" si="2"/>
        <v>0</v>
      </c>
      <c r="O145" s="211"/>
      <c r="P145" s="211"/>
      <c r="Q145" s="211"/>
      <c r="R145" s="116"/>
      <c r="T145" s="184"/>
      <c r="U145" s="185" t="s">
        <v>38</v>
      </c>
      <c r="V145" s="171">
        <v>0</v>
      </c>
      <c r="W145" s="171">
        <f>$V$145*$K$145</f>
        <v>0</v>
      </c>
      <c r="X145" s="171">
        <v>0.0022</v>
      </c>
      <c r="Y145" s="171">
        <f>$X$145*$K$145</f>
        <v>0.022000000000000002</v>
      </c>
      <c r="Z145" s="171">
        <v>0</v>
      </c>
      <c r="AA145" s="172">
        <f>$Z$145*$K$145</f>
        <v>0</v>
      </c>
      <c r="AR145" s="114" t="s">
        <v>152</v>
      </c>
      <c r="AT145" s="114" t="s">
        <v>159</v>
      </c>
      <c r="AU145" s="114" t="s">
        <v>93</v>
      </c>
      <c r="AY145" s="114" t="s">
        <v>130</v>
      </c>
      <c r="BE145" s="173">
        <f>IF($U$145="základní",$N$145,0)</f>
        <v>0</v>
      </c>
      <c r="BF145" s="173">
        <f>IF($U$145="snížená",$N$145,0)</f>
        <v>0</v>
      </c>
      <c r="BG145" s="173">
        <f>IF($U$145="zákl. přenesená",$N$145,0)</f>
        <v>0</v>
      </c>
      <c r="BH145" s="173">
        <f>IF($U$145="sníž. přenesená",$N$145,0)</f>
        <v>0</v>
      </c>
      <c r="BI145" s="173">
        <f>IF($U$145="nulová",$N$145,0)</f>
        <v>0</v>
      </c>
      <c r="BJ145" s="114" t="s">
        <v>17</v>
      </c>
      <c r="BK145" s="173">
        <f>ROUND($L$145*$K$145,2)</f>
        <v>0</v>
      </c>
      <c r="BL145" s="114" t="s">
        <v>135</v>
      </c>
    </row>
    <row r="146" spans="2:64" s="114" customFormat="1" ht="27" customHeight="1">
      <c r="B146" s="113"/>
      <c r="C146" s="167">
        <v>32</v>
      </c>
      <c r="D146" s="167" t="s">
        <v>131</v>
      </c>
      <c r="E146" s="168" t="s">
        <v>219</v>
      </c>
      <c r="F146" s="215" t="s">
        <v>220</v>
      </c>
      <c r="G146" s="215"/>
      <c r="H146" s="215"/>
      <c r="I146" s="215"/>
      <c r="J146" s="169" t="s">
        <v>211</v>
      </c>
      <c r="K146" s="170">
        <v>19</v>
      </c>
      <c r="L146" s="211"/>
      <c r="M146" s="211"/>
      <c r="N146" s="211">
        <f t="shared" si="2"/>
        <v>0</v>
      </c>
      <c r="O146" s="211"/>
      <c r="P146" s="211"/>
      <c r="Q146" s="211"/>
      <c r="R146" s="116"/>
      <c r="T146" s="184"/>
      <c r="U146" s="185" t="s">
        <v>38</v>
      </c>
      <c r="V146" s="171">
        <v>0.2</v>
      </c>
      <c r="W146" s="171">
        <f>$V$146*$K$146</f>
        <v>3.8000000000000003</v>
      </c>
      <c r="X146" s="171">
        <v>0.0007</v>
      </c>
      <c r="Y146" s="171">
        <f>$X$146*$K$146</f>
        <v>0.0133</v>
      </c>
      <c r="Z146" s="171">
        <v>0</v>
      </c>
      <c r="AA146" s="172">
        <f>$Z$146*$K$146</f>
        <v>0</v>
      </c>
      <c r="AR146" s="114" t="s">
        <v>135</v>
      </c>
      <c r="AT146" s="114" t="s">
        <v>131</v>
      </c>
      <c r="AU146" s="114" t="s">
        <v>93</v>
      </c>
      <c r="AY146" s="114" t="s">
        <v>130</v>
      </c>
      <c r="BE146" s="173">
        <f>IF($U$146="základní",$N$146,0)</f>
        <v>0</v>
      </c>
      <c r="BF146" s="173">
        <f>IF($U$146="snížená",$N$146,0)</f>
        <v>0</v>
      </c>
      <c r="BG146" s="173">
        <f>IF($U$146="zákl. přenesená",$N$146,0)</f>
        <v>0</v>
      </c>
      <c r="BH146" s="173">
        <f>IF($U$146="sníž. přenesená",$N$146,0)</f>
        <v>0</v>
      </c>
      <c r="BI146" s="173">
        <f>IF($U$146="nulová",$N$146,0)</f>
        <v>0</v>
      </c>
      <c r="BJ146" s="114" t="s">
        <v>17</v>
      </c>
      <c r="BK146" s="173">
        <f>ROUND($L$146*$K$146,2)</f>
        <v>0</v>
      </c>
      <c r="BL146" s="114" t="s">
        <v>135</v>
      </c>
    </row>
    <row r="147" spans="2:64" s="114" customFormat="1" ht="15.75" customHeight="1">
      <c r="B147" s="113"/>
      <c r="C147" s="178">
        <v>33</v>
      </c>
      <c r="D147" s="178" t="s">
        <v>159</v>
      </c>
      <c r="E147" s="186" t="s">
        <v>222</v>
      </c>
      <c r="F147" s="216" t="s">
        <v>223</v>
      </c>
      <c r="G147" s="216"/>
      <c r="H147" s="216"/>
      <c r="I147" s="216"/>
      <c r="J147" s="187" t="s">
        <v>211</v>
      </c>
      <c r="K147" s="188">
        <v>3</v>
      </c>
      <c r="L147" s="217"/>
      <c r="M147" s="217"/>
      <c r="N147" s="211">
        <f t="shared" si="2"/>
        <v>0</v>
      </c>
      <c r="O147" s="211"/>
      <c r="P147" s="211"/>
      <c r="Q147" s="211"/>
      <c r="R147" s="116"/>
      <c r="T147" s="184"/>
      <c r="U147" s="185" t="s">
        <v>38</v>
      </c>
      <c r="V147" s="171">
        <v>0</v>
      </c>
      <c r="W147" s="171">
        <f>$V$147*$K$147</f>
        <v>0</v>
      </c>
      <c r="X147" s="171">
        <v>0.004</v>
      </c>
      <c r="Y147" s="171">
        <f>$X$147*$K$147</f>
        <v>0.012</v>
      </c>
      <c r="Z147" s="171">
        <v>0</v>
      </c>
      <c r="AA147" s="172">
        <f>$Z$147*$K$147</f>
        <v>0</v>
      </c>
      <c r="AR147" s="114" t="s">
        <v>152</v>
      </c>
      <c r="AT147" s="114" t="s">
        <v>159</v>
      </c>
      <c r="AU147" s="114" t="s">
        <v>93</v>
      </c>
      <c r="AY147" s="114" t="s">
        <v>130</v>
      </c>
      <c r="BE147" s="173">
        <f>IF($U$147="základní",$N$147,0)</f>
        <v>0</v>
      </c>
      <c r="BF147" s="173">
        <f>IF($U$147="snížená",$N$147,0)</f>
        <v>0</v>
      </c>
      <c r="BG147" s="173">
        <f>IF($U$147="zákl. přenesená",$N$147,0)</f>
        <v>0</v>
      </c>
      <c r="BH147" s="173">
        <f>IF($U$147="sníž. přenesená",$N$147,0)</f>
        <v>0</v>
      </c>
      <c r="BI147" s="173">
        <f>IF($U$147="nulová",$N$147,0)</f>
        <v>0</v>
      </c>
      <c r="BJ147" s="114" t="s">
        <v>17</v>
      </c>
      <c r="BK147" s="173">
        <f>ROUND($L$147*$K$147,2)</f>
        <v>0</v>
      </c>
      <c r="BL147" s="114" t="s">
        <v>135</v>
      </c>
    </row>
    <row r="148" spans="2:64" s="114" customFormat="1" ht="15.75" customHeight="1">
      <c r="B148" s="113"/>
      <c r="C148" s="178">
        <v>34</v>
      </c>
      <c r="D148" s="178" t="s">
        <v>159</v>
      </c>
      <c r="E148" s="186" t="s">
        <v>225</v>
      </c>
      <c r="F148" s="216" t="s">
        <v>226</v>
      </c>
      <c r="G148" s="216"/>
      <c r="H148" s="216"/>
      <c r="I148" s="216"/>
      <c r="J148" s="187" t="s">
        <v>211</v>
      </c>
      <c r="K148" s="188">
        <v>3</v>
      </c>
      <c r="L148" s="217"/>
      <c r="M148" s="217"/>
      <c r="N148" s="211">
        <f t="shared" si="2"/>
        <v>0</v>
      </c>
      <c r="O148" s="211"/>
      <c r="P148" s="211"/>
      <c r="Q148" s="211"/>
      <c r="R148" s="116"/>
      <c r="T148" s="184"/>
      <c r="U148" s="185" t="s">
        <v>38</v>
      </c>
      <c r="V148" s="171">
        <v>0</v>
      </c>
      <c r="W148" s="171">
        <f>$V$148*$K$148</f>
        <v>0</v>
      </c>
      <c r="X148" s="171">
        <v>0.004</v>
      </c>
      <c r="Y148" s="171">
        <f>$X$148*$K$148</f>
        <v>0.012</v>
      </c>
      <c r="Z148" s="171">
        <v>0</v>
      </c>
      <c r="AA148" s="172">
        <f>$Z$148*$K$148</f>
        <v>0</v>
      </c>
      <c r="AR148" s="114" t="s">
        <v>152</v>
      </c>
      <c r="AT148" s="114" t="s">
        <v>159</v>
      </c>
      <c r="AU148" s="114" t="s">
        <v>93</v>
      </c>
      <c r="AY148" s="114" t="s">
        <v>130</v>
      </c>
      <c r="BE148" s="173">
        <f>IF($U$148="základní",$N$148,0)</f>
        <v>0</v>
      </c>
      <c r="BF148" s="173">
        <f>IF($U$148="snížená",$N$148,0)</f>
        <v>0</v>
      </c>
      <c r="BG148" s="173">
        <f>IF($U$148="zákl. přenesená",$N$148,0)</f>
        <v>0</v>
      </c>
      <c r="BH148" s="173">
        <f>IF($U$148="sníž. přenesená",$N$148,0)</f>
        <v>0</v>
      </c>
      <c r="BI148" s="173">
        <f>IF($U$148="nulová",$N$148,0)</f>
        <v>0</v>
      </c>
      <c r="BJ148" s="114" t="s">
        <v>17</v>
      </c>
      <c r="BK148" s="173">
        <f>ROUND($L$148*$K$148,2)</f>
        <v>0</v>
      </c>
      <c r="BL148" s="114" t="s">
        <v>135</v>
      </c>
    </row>
    <row r="149" spans="2:64" s="114" customFormat="1" ht="15.75" customHeight="1">
      <c r="B149" s="113"/>
      <c r="C149" s="178">
        <v>35</v>
      </c>
      <c r="D149" s="178" t="s">
        <v>159</v>
      </c>
      <c r="E149" s="186" t="s">
        <v>228</v>
      </c>
      <c r="F149" s="216" t="s">
        <v>229</v>
      </c>
      <c r="G149" s="216"/>
      <c r="H149" s="216"/>
      <c r="I149" s="216"/>
      <c r="J149" s="187" t="s">
        <v>211</v>
      </c>
      <c r="K149" s="188">
        <v>2</v>
      </c>
      <c r="L149" s="217"/>
      <c r="M149" s="217"/>
      <c r="N149" s="211">
        <f t="shared" si="2"/>
        <v>0</v>
      </c>
      <c r="O149" s="211"/>
      <c r="P149" s="211"/>
      <c r="Q149" s="211"/>
      <c r="R149" s="116"/>
      <c r="T149" s="184"/>
      <c r="U149" s="185" t="s">
        <v>38</v>
      </c>
      <c r="V149" s="171">
        <v>0</v>
      </c>
      <c r="W149" s="171">
        <f>$V$149*$K$149</f>
        <v>0</v>
      </c>
      <c r="X149" s="171">
        <v>0.004</v>
      </c>
      <c r="Y149" s="171">
        <f>$X$149*$K$149</f>
        <v>0.008</v>
      </c>
      <c r="Z149" s="171">
        <v>0</v>
      </c>
      <c r="AA149" s="172">
        <f>$Z$149*$K$149</f>
        <v>0</v>
      </c>
      <c r="AR149" s="114" t="s">
        <v>152</v>
      </c>
      <c r="AT149" s="114" t="s">
        <v>159</v>
      </c>
      <c r="AU149" s="114" t="s">
        <v>93</v>
      </c>
      <c r="AY149" s="114" t="s">
        <v>130</v>
      </c>
      <c r="BE149" s="173">
        <f>IF($U$149="základní",$N$149,0)</f>
        <v>0</v>
      </c>
      <c r="BF149" s="173">
        <f>IF($U$149="snížená",$N$149,0)</f>
        <v>0</v>
      </c>
      <c r="BG149" s="173">
        <f>IF($U$149="zákl. přenesená",$N$149,0)</f>
        <v>0</v>
      </c>
      <c r="BH149" s="173">
        <f>IF($U$149="sníž. přenesená",$N$149,0)</f>
        <v>0</v>
      </c>
      <c r="BI149" s="173">
        <f>IF($U$149="nulová",$N$149,0)</f>
        <v>0</v>
      </c>
      <c r="BJ149" s="114" t="s">
        <v>17</v>
      </c>
      <c r="BK149" s="173">
        <f>ROUND($L$149*$K$149,2)</f>
        <v>0</v>
      </c>
      <c r="BL149" s="114" t="s">
        <v>135</v>
      </c>
    </row>
    <row r="150" spans="2:64" s="114" customFormat="1" ht="15.75" customHeight="1">
      <c r="B150" s="113"/>
      <c r="C150" s="178">
        <v>36</v>
      </c>
      <c r="D150" s="178" t="s">
        <v>159</v>
      </c>
      <c r="E150" s="186" t="s">
        <v>231</v>
      </c>
      <c r="F150" s="216" t="s">
        <v>232</v>
      </c>
      <c r="G150" s="216"/>
      <c r="H150" s="216"/>
      <c r="I150" s="216"/>
      <c r="J150" s="187" t="s">
        <v>211</v>
      </c>
      <c r="K150" s="188">
        <v>1</v>
      </c>
      <c r="L150" s="217"/>
      <c r="M150" s="217"/>
      <c r="N150" s="211">
        <f t="shared" si="2"/>
        <v>0</v>
      </c>
      <c r="O150" s="211"/>
      <c r="P150" s="211"/>
      <c r="Q150" s="211"/>
      <c r="R150" s="116"/>
      <c r="T150" s="184"/>
      <c r="U150" s="185" t="s">
        <v>38</v>
      </c>
      <c r="V150" s="171">
        <v>0</v>
      </c>
      <c r="W150" s="171">
        <f>$V$150*$K$150</f>
        <v>0</v>
      </c>
      <c r="X150" s="171">
        <v>0.004</v>
      </c>
      <c r="Y150" s="171">
        <f>$X$150*$K$150</f>
        <v>0.004</v>
      </c>
      <c r="Z150" s="171">
        <v>0</v>
      </c>
      <c r="AA150" s="172">
        <f>$Z$150*$K$150</f>
        <v>0</v>
      </c>
      <c r="AR150" s="114" t="s">
        <v>152</v>
      </c>
      <c r="AT150" s="114" t="s">
        <v>159</v>
      </c>
      <c r="AU150" s="114" t="s">
        <v>93</v>
      </c>
      <c r="AY150" s="114" t="s">
        <v>130</v>
      </c>
      <c r="BE150" s="173">
        <f>IF($U$150="základní",$N$150,0)</f>
        <v>0</v>
      </c>
      <c r="BF150" s="173">
        <f>IF($U$150="snížená",$N$150,0)</f>
        <v>0</v>
      </c>
      <c r="BG150" s="173">
        <f>IF($U$150="zákl. přenesená",$N$150,0)</f>
        <v>0</v>
      </c>
      <c r="BH150" s="173">
        <f>IF($U$150="sníž. přenesená",$N$150,0)</f>
        <v>0</v>
      </c>
      <c r="BI150" s="173">
        <f>IF($U$150="nulová",$N$150,0)</f>
        <v>0</v>
      </c>
      <c r="BJ150" s="114" t="s">
        <v>17</v>
      </c>
      <c r="BK150" s="173">
        <f>ROUND($L$150*$K$150,2)</f>
        <v>0</v>
      </c>
      <c r="BL150" s="114" t="s">
        <v>135</v>
      </c>
    </row>
    <row r="151" spans="2:64" s="114" customFormat="1" ht="15.75" customHeight="1">
      <c r="B151" s="113"/>
      <c r="C151" s="178">
        <v>37</v>
      </c>
      <c r="D151" s="178" t="s">
        <v>159</v>
      </c>
      <c r="E151" s="186" t="s">
        <v>234</v>
      </c>
      <c r="F151" s="216" t="s">
        <v>235</v>
      </c>
      <c r="G151" s="216"/>
      <c r="H151" s="216"/>
      <c r="I151" s="216"/>
      <c r="J151" s="187" t="s">
        <v>211</v>
      </c>
      <c r="K151" s="188">
        <v>2</v>
      </c>
      <c r="L151" s="217"/>
      <c r="M151" s="217"/>
      <c r="N151" s="211">
        <f t="shared" si="2"/>
        <v>0</v>
      </c>
      <c r="O151" s="211"/>
      <c r="P151" s="211"/>
      <c r="Q151" s="211"/>
      <c r="R151" s="116"/>
      <c r="T151" s="184"/>
      <c r="U151" s="185" t="s">
        <v>38</v>
      </c>
      <c r="V151" s="171">
        <v>0</v>
      </c>
      <c r="W151" s="171">
        <f>$V$151*$K$151</f>
        <v>0</v>
      </c>
      <c r="X151" s="171">
        <v>0.004</v>
      </c>
      <c r="Y151" s="171">
        <f>$X$151*$K$151</f>
        <v>0.008</v>
      </c>
      <c r="Z151" s="171">
        <v>0</v>
      </c>
      <c r="AA151" s="172">
        <f>$Z$151*$K$151</f>
        <v>0</v>
      </c>
      <c r="AR151" s="114" t="s">
        <v>152</v>
      </c>
      <c r="AT151" s="114" t="s">
        <v>159</v>
      </c>
      <c r="AU151" s="114" t="s">
        <v>93</v>
      </c>
      <c r="AY151" s="114" t="s">
        <v>130</v>
      </c>
      <c r="BE151" s="173">
        <f>IF($U$151="základní",$N$151,0)</f>
        <v>0</v>
      </c>
      <c r="BF151" s="173">
        <f>IF($U$151="snížená",$N$151,0)</f>
        <v>0</v>
      </c>
      <c r="BG151" s="173">
        <f>IF($U$151="zákl. přenesená",$N$151,0)</f>
        <v>0</v>
      </c>
      <c r="BH151" s="173">
        <f>IF($U$151="sníž. přenesená",$N$151,0)</f>
        <v>0</v>
      </c>
      <c r="BI151" s="173">
        <f>IF($U$151="nulová",$N$151,0)</f>
        <v>0</v>
      </c>
      <c r="BJ151" s="114" t="s">
        <v>17</v>
      </c>
      <c r="BK151" s="173">
        <f>ROUND($L$151*$K$151,2)</f>
        <v>0</v>
      </c>
      <c r="BL151" s="114" t="s">
        <v>135</v>
      </c>
    </row>
    <row r="152" spans="2:64" s="114" customFormat="1" ht="15.75" customHeight="1">
      <c r="B152" s="113"/>
      <c r="C152" s="178">
        <v>38</v>
      </c>
      <c r="D152" s="178" t="s">
        <v>159</v>
      </c>
      <c r="E152" s="186" t="s">
        <v>237</v>
      </c>
      <c r="F152" s="216" t="s">
        <v>238</v>
      </c>
      <c r="G152" s="216"/>
      <c r="H152" s="216"/>
      <c r="I152" s="216"/>
      <c r="J152" s="187" t="s">
        <v>211</v>
      </c>
      <c r="K152" s="188">
        <v>1</v>
      </c>
      <c r="L152" s="217"/>
      <c r="M152" s="217"/>
      <c r="N152" s="211">
        <f t="shared" si="2"/>
        <v>0</v>
      </c>
      <c r="O152" s="211"/>
      <c r="P152" s="211"/>
      <c r="Q152" s="211"/>
      <c r="R152" s="116"/>
      <c r="T152" s="184"/>
      <c r="U152" s="185" t="s">
        <v>38</v>
      </c>
      <c r="V152" s="171">
        <v>0</v>
      </c>
      <c r="W152" s="171">
        <f>$V$152*$K$152</f>
        <v>0</v>
      </c>
      <c r="X152" s="171">
        <v>0.004</v>
      </c>
      <c r="Y152" s="171">
        <f>$X$152*$K$152</f>
        <v>0.004</v>
      </c>
      <c r="Z152" s="171">
        <v>0</v>
      </c>
      <c r="AA152" s="172">
        <f>$Z$152*$K$152</f>
        <v>0</v>
      </c>
      <c r="AR152" s="114" t="s">
        <v>152</v>
      </c>
      <c r="AT152" s="114" t="s">
        <v>159</v>
      </c>
      <c r="AU152" s="114" t="s">
        <v>93</v>
      </c>
      <c r="AY152" s="114" t="s">
        <v>130</v>
      </c>
      <c r="BE152" s="173">
        <f>IF($U$152="základní",$N$152,0)</f>
        <v>0</v>
      </c>
      <c r="BF152" s="173">
        <f>IF($U$152="snížená",$N$152,0)</f>
        <v>0</v>
      </c>
      <c r="BG152" s="173">
        <f>IF($U$152="zákl. přenesená",$N$152,0)</f>
        <v>0</v>
      </c>
      <c r="BH152" s="173">
        <f>IF($U$152="sníž. přenesená",$N$152,0)</f>
        <v>0</v>
      </c>
      <c r="BI152" s="173">
        <f>IF($U$152="nulová",$N$152,0)</f>
        <v>0</v>
      </c>
      <c r="BJ152" s="114" t="s">
        <v>17</v>
      </c>
      <c r="BK152" s="173">
        <f>ROUND($L$152*$K$152,2)</f>
        <v>0</v>
      </c>
      <c r="BL152" s="114" t="s">
        <v>135</v>
      </c>
    </row>
    <row r="153" spans="2:64" s="114" customFormat="1" ht="15.75" customHeight="1">
      <c r="B153" s="113"/>
      <c r="C153" s="178">
        <v>39</v>
      </c>
      <c r="D153" s="178" t="s">
        <v>159</v>
      </c>
      <c r="E153" s="186" t="s">
        <v>240</v>
      </c>
      <c r="F153" s="216" t="s">
        <v>241</v>
      </c>
      <c r="G153" s="216"/>
      <c r="H153" s="216"/>
      <c r="I153" s="216"/>
      <c r="J153" s="187" t="s">
        <v>211</v>
      </c>
      <c r="K153" s="188">
        <v>1</v>
      </c>
      <c r="L153" s="217"/>
      <c r="M153" s="217"/>
      <c r="N153" s="211">
        <f t="shared" si="2"/>
        <v>0</v>
      </c>
      <c r="O153" s="211"/>
      <c r="P153" s="211"/>
      <c r="Q153" s="211"/>
      <c r="R153" s="116"/>
      <c r="T153" s="184"/>
      <c r="U153" s="185" t="s">
        <v>38</v>
      </c>
      <c r="V153" s="171">
        <v>0</v>
      </c>
      <c r="W153" s="171">
        <f>$V$153*$K$153</f>
        <v>0</v>
      </c>
      <c r="X153" s="171">
        <v>0.004</v>
      </c>
      <c r="Y153" s="171">
        <f>$X$153*$K$153</f>
        <v>0.004</v>
      </c>
      <c r="Z153" s="171">
        <v>0</v>
      </c>
      <c r="AA153" s="172">
        <f>$Z$153*$K$153</f>
        <v>0</v>
      </c>
      <c r="AR153" s="114" t="s">
        <v>152</v>
      </c>
      <c r="AT153" s="114" t="s">
        <v>159</v>
      </c>
      <c r="AU153" s="114" t="s">
        <v>93</v>
      </c>
      <c r="AY153" s="114" t="s">
        <v>130</v>
      </c>
      <c r="BE153" s="173">
        <f>IF($U$153="základní",$N$153,0)</f>
        <v>0</v>
      </c>
      <c r="BF153" s="173">
        <f>IF($U$153="snížená",$N$153,0)</f>
        <v>0</v>
      </c>
      <c r="BG153" s="173">
        <f>IF($U$153="zákl. přenesená",$N$153,0)</f>
        <v>0</v>
      </c>
      <c r="BH153" s="173">
        <f>IF($U$153="sníž. přenesená",$N$153,0)</f>
        <v>0</v>
      </c>
      <c r="BI153" s="173">
        <f>IF($U$153="nulová",$N$153,0)</f>
        <v>0</v>
      </c>
      <c r="BJ153" s="114" t="s">
        <v>17</v>
      </c>
      <c r="BK153" s="173">
        <f>ROUND($L$153*$K$153,2)</f>
        <v>0</v>
      </c>
      <c r="BL153" s="114" t="s">
        <v>135</v>
      </c>
    </row>
    <row r="154" spans="2:64" s="114" customFormat="1" ht="15.75" customHeight="1">
      <c r="B154" s="113"/>
      <c r="C154" s="178">
        <v>40</v>
      </c>
      <c r="D154" s="178" t="s">
        <v>159</v>
      </c>
      <c r="E154" s="186" t="s">
        <v>243</v>
      </c>
      <c r="F154" s="216" t="s">
        <v>244</v>
      </c>
      <c r="G154" s="216"/>
      <c r="H154" s="216"/>
      <c r="I154" s="216"/>
      <c r="J154" s="187" t="s">
        <v>211</v>
      </c>
      <c r="K154" s="188">
        <v>2</v>
      </c>
      <c r="L154" s="217"/>
      <c r="M154" s="217"/>
      <c r="N154" s="211">
        <f t="shared" si="2"/>
        <v>0</v>
      </c>
      <c r="O154" s="211"/>
      <c r="P154" s="211"/>
      <c r="Q154" s="211"/>
      <c r="R154" s="116"/>
      <c r="T154" s="184"/>
      <c r="U154" s="185" t="s">
        <v>38</v>
      </c>
      <c r="V154" s="171">
        <v>0</v>
      </c>
      <c r="W154" s="171">
        <f>$V$154*$K$154</f>
        <v>0</v>
      </c>
      <c r="X154" s="171">
        <v>0.004</v>
      </c>
      <c r="Y154" s="171">
        <f>$X$154*$K$154</f>
        <v>0.008</v>
      </c>
      <c r="Z154" s="171">
        <v>0</v>
      </c>
      <c r="AA154" s="172">
        <f>$Z$154*$K$154</f>
        <v>0</v>
      </c>
      <c r="AR154" s="114" t="s">
        <v>152</v>
      </c>
      <c r="AT154" s="114" t="s">
        <v>159</v>
      </c>
      <c r="AU154" s="114" t="s">
        <v>93</v>
      </c>
      <c r="AY154" s="114" t="s">
        <v>130</v>
      </c>
      <c r="BE154" s="173">
        <f>IF($U$154="základní",$N$154,0)</f>
        <v>0</v>
      </c>
      <c r="BF154" s="173">
        <f>IF($U$154="snížená",$N$154,0)</f>
        <v>0</v>
      </c>
      <c r="BG154" s="173">
        <f>IF($U$154="zákl. přenesená",$N$154,0)</f>
        <v>0</v>
      </c>
      <c r="BH154" s="173">
        <f>IF($U$154="sníž. přenesená",$N$154,0)</f>
        <v>0</v>
      </c>
      <c r="BI154" s="173">
        <f>IF($U$154="nulová",$N$154,0)</f>
        <v>0</v>
      </c>
      <c r="BJ154" s="114" t="s">
        <v>17</v>
      </c>
      <c r="BK154" s="173">
        <f>ROUND($L$154*$K$154,2)</f>
        <v>0</v>
      </c>
      <c r="BL154" s="114" t="s">
        <v>135</v>
      </c>
    </row>
    <row r="155" spans="2:64" s="114" customFormat="1" ht="15.75" customHeight="1">
      <c r="B155" s="113"/>
      <c r="C155" s="178">
        <v>41</v>
      </c>
      <c r="D155" s="178" t="s">
        <v>159</v>
      </c>
      <c r="E155" s="186" t="s">
        <v>246</v>
      </c>
      <c r="F155" s="216" t="s">
        <v>247</v>
      </c>
      <c r="G155" s="216"/>
      <c r="H155" s="216"/>
      <c r="I155" s="216"/>
      <c r="J155" s="187" t="s">
        <v>211</v>
      </c>
      <c r="K155" s="188">
        <v>1</v>
      </c>
      <c r="L155" s="217"/>
      <c r="M155" s="217"/>
      <c r="N155" s="211">
        <f t="shared" si="2"/>
        <v>0</v>
      </c>
      <c r="O155" s="211"/>
      <c r="P155" s="211"/>
      <c r="Q155" s="211"/>
      <c r="R155" s="116"/>
      <c r="T155" s="184"/>
      <c r="U155" s="185" t="s">
        <v>38</v>
      </c>
      <c r="V155" s="171">
        <v>0</v>
      </c>
      <c r="W155" s="171">
        <f>$V$155*$K$155</f>
        <v>0</v>
      </c>
      <c r="X155" s="171">
        <v>0.004</v>
      </c>
      <c r="Y155" s="171">
        <f>$X$155*$K$155</f>
        <v>0.004</v>
      </c>
      <c r="Z155" s="171">
        <v>0</v>
      </c>
      <c r="AA155" s="172">
        <f>$Z$155*$K$155</f>
        <v>0</v>
      </c>
      <c r="AR155" s="114" t="s">
        <v>152</v>
      </c>
      <c r="AT155" s="114" t="s">
        <v>159</v>
      </c>
      <c r="AU155" s="114" t="s">
        <v>93</v>
      </c>
      <c r="AY155" s="114" t="s">
        <v>130</v>
      </c>
      <c r="BE155" s="173">
        <f>IF($U$155="základní",$N$155,0)</f>
        <v>0</v>
      </c>
      <c r="BF155" s="173">
        <f>IF($U$155="snížená",$N$155,0)</f>
        <v>0</v>
      </c>
      <c r="BG155" s="173">
        <f>IF($U$155="zákl. přenesená",$N$155,0)</f>
        <v>0</v>
      </c>
      <c r="BH155" s="173">
        <f>IF($U$155="sníž. přenesená",$N$155,0)</f>
        <v>0</v>
      </c>
      <c r="BI155" s="173">
        <f>IF($U$155="nulová",$N$155,0)</f>
        <v>0</v>
      </c>
      <c r="BJ155" s="114" t="s">
        <v>17</v>
      </c>
      <c r="BK155" s="173">
        <f>ROUND($L$155*$K$155,2)</f>
        <v>0</v>
      </c>
      <c r="BL155" s="114" t="s">
        <v>135</v>
      </c>
    </row>
    <row r="156" spans="2:64" s="114" customFormat="1" ht="15.75" customHeight="1">
      <c r="B156" s="113"/>
      <c r="C156" s="178">
        <v>42</v>
      </c>
      <c r="D156" s="178" t="s">
        <v>159</v>
      </c>
      <c r="E156" s="186" t="s">
        <v>249</v>
      </c>
      <c r="F156" s="216" t="s">
        <v>250</v>
      </c>
      <c r="G156" s="216"/>
      <c r="H156" s="216"/>
      <c r="I156" s="216"/>
      <c r="J156" s="187" t="s">
        <v>211</v>
      </c>
      <c r="K156" s="188">
        <v>1</v>
      </c>
      <c r="L156" s="217"/>
      <c r="M156" s="217"/>
      <c r="N156" s="211">
        <f t="shared" si="2"/>
        <v>0</v>
      </c>
      <c r="O156" s="211"/>
      <c r="P156" s="211"/>
      <c r="Q156" s="211"/>
      <c r="R156" s="116"/>
      <c r="T156" s="184"/>
      <c r="U156" s="185" t="s">
        <v>38</v>
      </c>
      <c r="V156" s="171">
        <v>0</v>
      </c>
      <c r="W156" s="171">
        <f>$V$156*$K$156</f>
        <v>0</v>
      </c>
      <c r="X156" s="171">
        <v>0.004</v>
      </c>
      <c r="Y156" s="171">
        <f>$X$156*$K$156</f>
        <v>0.004</v>
      </c>
      <c r="Z156" s="171">
        <v>0</v>
      </c>
      <c r="AA156" s="172">
        <f>$Z$156*$K$156</f>
        <v>0</v>
      </c>
      <c r="AR156" s="114" t="s">
        <v>152</v>
      </c>
      <c r="AT156" s="114" t="s">
        <v>159</v>
      </c>
      <c r="AU156" s="114" t="s">
        <v>93</v>
      </c>
      <c r="AY156" s="114" t="s">
        <v>130</v>
      </c>
      <c r="BE156" s="173">
        <f>IF($U$156="základní",$N$156,0)</f>
        <v>0</v>
      </c>
      <c r="BF156" s="173">
        <f>IF($U$156="snížená",$N$156,0)</f>
        <v>0</v>
      </c>
      <c r="BG156" s="173">
        <f>IF($U$156="zákl. přenesená",$N$156,0)</f>
        <v>0</v>
      </c>
      <c r="BH156" s="173">
        <f>IF($U$156="sníž. přenesená",$N$156,0)</f>
        <v>0</v>
      </c>
      <c r="BI156" s="173">
        <f>IF($U$156="nulová",$N$156,0)</f>
        <v>0</v>
      </c>
      <c r="BJ156" s="114" t="s">
        <v>17</v>
      </c>
      <c r="BK156" s="173">
        <f>ROUND($L$156*$K$156,2)</f>
        <v>0</v>
      </c>
      <c r="BL156" s="114" t="s">
        <v>135</v>
      </c>
    </row>
    <row r="157" spans="2:64" s="114" customFormat="1" ht="15.75" customHeight="1">
      <c r="B157" s="113"/>
      <c r="C157" s="178">
        <v>43</v>
      </c>
      <c r="D157" s="178" t="s">
        <v>159</v>
      </c>
      <c r="E157" s="186" t="s">
        <v>252</v>
      </c>
      <c r="F157" s="216" t="s">
        <v>253</v>
      </c>
      <c r="G157" s="216"/>
      <c r="H157" s="216"/>
      <c r="I157" s="216"/>
      <c r="J157" s="187" t="s">
        <v>211</v>
      </c>
      <c r="K157" s="188">
        <v>1</v>
      </c>
      <c r="L157" s="217"/>
      <c r="M157" s="217"/>
      <c r="N157" s="211">
        <f t="shared" si="2"/>
        <v>0</v>
      </c>
      <c r="O157" s="211"/>
      <c r="P157" s="211"/>
      <c r="Q157" s="211"/>
      <c r="R157" s="116"/>
      <c r="T157" s="184"/>
      <c r="U157" s="185" t="s">
        <v>38</v>
      </c>
      <c r="V157" s="171">
        <v>0</v>
      </c>
      <c r="W157" s="171">
        <f>$V$157*$K$157</f>
        <v>0</v>
      </c>
      <c r="X157" s="171">
        <v>0.004</v>
      </c>
      <c r="Y157" s="171">
        <f>$X$157*$K$157</f>
        <v>0.004</v>
      </c>
      <c r="Z157" s="171">
        <v>0</v>
      </c>
      <c r="AA157" s="172">
        <f>$Z$157*$K$157</f>
        <v>0</v>
      </c>
      <c r="AR157" s="114" t="s">
        <v>152</v>
      </c>
      <c r="AT157" s="114" t="s">
        <v>159</v>
      </c>
      <c r="AU157" s="114" t="s">
        <v>93</v>
      </c>
      <c r="AY157" s="114" t="s">
        <v>130</v>
      </c>
      <c r="BE157" s="173">
        <f>IF($U$157="základní",$N$157,0)</f>
        <v>0</v>
      </c>
      <c r="BF157" s="173">
        <f>IF($U$157="snížená",$N$157,0)</f>
        <v>0</v>
      </c>
      <c r="BG157" s="173">
        <f>IF($U$157="zákl. přenesená",$N$157,0)</f>
        <v>0</v>
      </c>
      <c r="BH157" s="173">
        <f>IF($U$157="sníž. přenesená",$N$157,0)</f>
        <v>0</v>
      </c>
      <c r="BI157" s="173">
        <f>IF($U$157="nulová",$N$157,0)</f>
        <v>0</v>
      </c>
      <c r="BJ157" s="114" t="s">
        <v>17</v>
      </c>
      <c r="BK157" s="173">
        <f>ROUND($L$157*$K$157,2)</f>
        <v>0</v>
      </c>
      <c r="BL157" s="114" t="s">
        <v>135</v>
      </c>
    </row>
    <row r="158" spans="2:64" s="114" customFormat="1" ht="15.75" customHeight="1">
      <c r="B158" s="113"/>
      <c r="C158" s="178">
        <v>44</v>
      </c>
      <c r="D158" s="178" t="s">
        <v>159</v>
      </c>
      <c r="E158" s="186" t="s">
        <v>255</v>
      </c>
      <c r="F158" s="216" t="s">
        <v>256</v>
      </c>
      <c r="G158" s="216"/>
      <c r="H158" s="216"/>
      <c r="I158" s="216"/>
      <c r="J158" s="187" t="s">
        <v>211</v>
      </c>
      <c r="K158" s="188">
        <v>1</v>
      </c>
      <c r="L158" s="217"/>
      <c r="M158" s="217"/>
      <c r="N158" s="211">
        <f t="shared" si="2"/>
        <v>0</v>
      </c>
      <c r="O158" s="211"/>
      <c r="P158" s="211"/>
      <c r="Q158" s="211"/>
      <c r="R158" s="116"/>
      <c r="T158" s="184"/>
      <c r="U158" s="185" t="s">
        <v>38</v>
      </c>
      <c r="V158" s="171">
        <v>0</v>
      </c>
      <c r="W158" s="171">
        <f>$V$158*$K$158</f>
        <v>0</v>
      </c>
      <c r="X158" s="171">
        <v>0.004</v>
      </c>
      <c r="Y158" s="171">
        <f>$X$158*$K$158</f>
        <v>0.004</v>
      </c>
      <c r="Z158" s="171">
        <v>0</v>
      </c>
      <c r="AA158" s="172">
        <f>$Z$158*$K$158</f>
        <v>0</v>
      </c>
      <c r="AR158" s="114" t="s">
        <v>152</v>
      </c>
      <c r="AT158" s="114" t="s">
        <v>159</v>
      </c>
      <c r="AU158" s="114" t="s">
        <v>93</v>
      </c>
      <c r="AY158" s="114" t="s">
        <v>130</v>
      </c>
      <c r="BE158" s="173">
        <f>IF($U$158="základní",$N$158,0)</f>
        <v>0</v>
      </c>
      <c r="BF158" s="173">
        <f>IF($U$158="snížená",$N$158,0)</f>
        <v>0</v>
      </c>
      <c r="BG158" s="173">
        <f>IF($U$158="zákl. přenesená",$N$158,0)</f>
        <v>0</v>
      </c>
      <c r="BH158" s="173">
        <f>IF($U$158="sníž. přenesená",$N$158,0)</f>
        <v>0</v>
      </c>
      <c r="BI158" s="173">
        <f>IF($U$158="nulová",$N$158,0)</f>
        <v>0</v>
      </c>
      <c r="BJ158" s="114" t="s">
        <v>17</v>
      </c>
      <c r="BK158" s="173">
        <f>ROUND($L$158*$K$158,2)</f>
        <v>0</v>
      </c>
      <c r="BL158" s="114" t="s">
        <v>135</v>
      </c>
    </row>
    <row r="159" spans="2:64" s="114" customFormat="1" ht="27" customHeight="1">
      <c r="B159" s="113"/>
      <c r="C159" s="167">
        <v>45</v>
      </c>
      <c r="D159" s="167" t="s">
        <v>131</v>
      </c>
      <c r="E159" s="168" t="s">
        <v>258</v>
      </c>
      <c r="F159" s="215" t="s">
        <v>259</v>
      </c>
      <c r="G159" s="215"/>
      <c r="H159" s="215"/>
      <c r="I159" s="215"/>
      <c r="J159" s="169" t="s">
        <v>211</v>
      </c>
      <c r="K159" s="170">
        <v>14</v>
      </c>
      <c r="L159" s="211"/>
      <c r="M159" s="211"/>
      <c r="N159" s="211">
        <f t="shared" si="2"/>
        <v>0</v>
      </c>
      <c r="O159" s="211"/>
      <c r="P159" s="211"/>
      <c r="Q159" s="211"/>
      <c r="R159" s="116"/>
      <c r="T159" s="184"/>
      <c r="U159" s="185" t="s">
        <v>38</v>
      </c>
      <c r="V159" s="171">
        <v>0.549</v>
      </c>
      <c r="W159" s="171">
        <f>$V$159*$K$159</f>
        <v>7.686000000000001</v>
      </c>
      <c r="X159" s="171">
        <v>0.11241</v>
      </c>
      <c r="Y159" s="171">
        <f>$X$159*$K$159</f>
        <v>1.57374</v>
      </c>
      <c r="Z159" s="171">
        <v>0</v>
      </c>
      <c r="AA159" s="172">
        <f>$Z$159*$K$159</f>
        <v>0</v>
      </c>
      <c r="AR159" s="114" t="s">
        <v>135</v>
      </c>
      <c r="AT159" s="114" t="s">
        <v>131</v>
      </c>
      <c r="AU159" s="114" t="s">
        <v>93</v>
      </c>
      <c r="AY159" s="114" t="s">
        <v>130</v>
      </c>
      <c r="BE159" s="173">
        <f>IF($U$159="základní",$N$159,0)</f>
        <v>0</v>
      </c>
      <c r="BF159" s="173">
        <f>IF($U$159="snížená",$N$159,0)</f>
        <v>0</v>
      </c>
      <c r="BG159" s="173">
        <f>IF($U$159="zákl. přenesená",$N$159,0)</f>
        <v>0</v>
      </c>
      <c r="BH159" s="173">
        <f>IF($U$159="sníž. přenesená",$N$159,0)</f>
        <v>0</v>
      </c>
      <c r="BI159" s="173">
        <f>IF($U$159="nulová",$N$159,0)</f>
        <v>0</v>
      </c>
      <c r="BJ159" s="114" t="s">
        <v>17</v>
      </c>
      <c r="BK159" s="173">
        <f>ROUND($L$159*$K$159,2)</f>
        <v>0</v>
      </c>
      <c r="BL159" s="114" t="s">
        <v>135</v>
      </c>
    </row>
    <row r="160" spans="2:64" s="114" customFormat="1" ht="15.75" customHeight="1">
      <c r="B160" s="113"/>
      <c r="C160" s="178">
        <v>46</v>
      </c>
      <c r="D160" s="178" t="s">
        <v>159</v>
      </c>
      <c r="E160" s="186" t="s">
        <v>261</v>
      </c>
      <c r="F160" s="216" t="s">
        <v>262</v>
      </c>
      <c r="G160" s="216"/>
      <c r="H160" s="216"/>
      <c r="I160" s="216"/>
      <c r="J160" s="187" t="s">
        <v>211</v>
      </c>
      <c r="K160" s="188">
        <v>14</v>
      </c>
      <c r="L160" s="217"/>
      <c r="M160" s="217"/>
      <c r="N160" s="211">
        <f t="shared" si="2"/>
        <v>0</v>
      </c>
      <c r="O160" s="211"/>
      <c r="P160" s="211"/>
      <c r="Q160" s="211"/>
      <c r="R160" s="116"/>
      <c r="T160" s="184"/>
      <c r="U160" s="185" t="s">
        <v>38</v>
      </c>
      <c r="V160" s="171">
        <v>0</v>
      </c>
      <c r="W160" s="171">
        <f>$V$160*$K$160</f>
        <v>0</v>
      </c>
      <c r="X160" s="171">
        <v>0.0061</v>
      </c>
      <c r="Y160" s="171">
        <f>$X$160*$K$160</f>
        <v>0.0854</v>
      </c>
      <c r="Z160" s="171">
        <v>0</v>
      </c>
      <c r="AA160" s="172">
        <f>$Z$160*$K$160</f>
        <v>0</v>
      </c>
      <c r="AR160" s="114" t="s">
        <v>152</v>
      </c>
      <c r="AT160" s="114" t="s">
        <v>159</v>
      </c>
      <c r="AU160" s="114" t="s">
        <v>93</v>
      </c>
      <c r="AY160" s="114" t="s">
        <v>130</v>
      </c>
      <c r="BE160" s="173">
        <f>IF($U$160="základní",$N$160,0)</f>
        <v>0</v>
      </c>
      <c r="BF160" s="173">
        <f>IF($U$160="snížená",$N$160,0)</f>
        <v>0</v>
      </c>
      <c r="BG160" s="173">
        <f>IF($U$160="zákl. přenesená",$N$160,0)</f>
        <v>0</v>
      </c>
      <c r="BH160" s="173">
        <f>IF($U$160="sníž. přenesená",$N$160,0)</f>
        <v>0</v>
      </c>
      <c r="BI160" s="173">
        <f>IF($U$160="nulová",$N$160,0)</f>
        <v>0</v>
      </c>
      <c r="BJ160" s="114" t="s">
        <v>17</v>
      </c>
      <c r="BK160" s="173">
        <f>ROUND($L$160*$K$160,2)</f>
        <v>0</v>
      </c>
      <c r="BL160" s="114" t="s">
        <v>135</v>
      </c>
    </row>
    <row r="161" spans="2:64" s="114" customFormat="1" ht="15.75" customHeight="1">
      <c r="B161" s="113"/>
      <c r="C161" s="178">
        <v>47</v>
      </c>
      <c r="D161" s="178" t="s">
        <v>159</v>
      </c>
      <c r="E161" s="186" t="s">
        <v>264</v>
      </c>
      <c r="F161" s="216" t="s">
        <v>265</v>
      </c>
      <c r="G161" s="216"/>
      <c r="H161" s="216"/>
      <c r="I161" s="216"/>
      <c r="J161" s="187" t="s">
        <v>211</v>
      </c>
      <c r="K161" s="188">
        <v>14</v>
      </c>
      <c r="L161" s="217"/>
      <c r="M161" s="217"/>
      <c r="N161" s="211">
        <f t="shared" si="2"/>
        <v>0</v>
      </c>
      <c r="O161" s="211"/>
      <c r="P161" s="211"/>
      <c r="Q161" s="211"/>
      <c r="R161" s="116"/>
      <c r="T161" s="184"/>
      <c r="U161" s="185" t="s">
        <v>38</v>
      </c>
      <c r="V161" s="171">
        <v>0</v>
      </c>
      <c r="W161" s="171">
        <f>$V$161*$K$161</f>
        <v>0</v>
      </c>
      <c r="X161" s="171">
        <v>0.003</v>
      </c>
      <c r="Y161" s="171">
        <f>$X$161*$K$161</f>
        <v>0.042</v>
      </c>
      <c r="Z161" s="171">
        <v>0</v>
      </c>
      <c r="AA161" s="172">
        <f>$Z$161*$K$161</f>
        <v>0</v>
      </c>
      <c r="AR161" s="114" t="s">
        <v>152</v>
      </c>
      <c r="AT161" s="114" t="s">
        <v>159</v>
      </c>
      <c r="AU161" s="114" t="s">
        <v>93</v>
      </c>
      <c r="AY161" s="114" t="s">
        <v>130</v>
      </c>
      <c r="BE161" s="173">
        <f>IF($U$161="základní",$N$161,0)</f>
        <v>0</v>
      </c>
      <c r="BF161" s="173">
        <f>IF($U$161="snížená",$N$161,0)</f>
        <v>0</v>
      </c>
      <c r="BG161" s="173">
        <f>IF($U$161="zákl. přenesená",$N$161,0)</f>
        <v>0</v>
      </c>
      <c r="BH161" s="173">
        <f>IF($U$161="sníž. přenesená",$N$161,0)</f>
        <v>0</v>
      </c>
      <c r="BI161" s="173">
        <f>IF($U$161="nulová",$N$161,0)</f>
        <v>0</v>
      </c>
      <c r="BJ161" s="114" t="s">
        <v>17</v>
      </c>
      <c r="BK161" s="173">
        <f>ROUND($L$161*$K$161,2)</f>
        <v>0</v>
      </c>
      <c r="BL161" s="114" t="s">
        <v>135</v>
      </c>
    </row>
    <row r="162" spans="2:64" s="114" customFormat="1" ht="15.75" customHeight="1">
      <c r="B162" s="113"/>
      <c r="C162" s="178">
        <v>48</v>
      </c>
      <c r="D162" s="178" t="s">
        <v>159</v>
      </c>
      <c r="E162" s="186" t="s">
        <v>267</v>
      </c>
      <c r="F162" s="216" t="s">
        <v>268</v>
      </c>
      <c r="G162" s="216"/>
      <c r="H162" s="216"/>
      <c r="I162" s="216"/>
      <c r="J162" s="187" t="s">
        <v>211</v>
      </c>
      <c r="K162" s="188">
        <v>14</v>
      </c>
      <c r="L162" s="217"/>
      <c r="M162" s="217"/>
      <c r="N162" s="211">
        <f t="shared" si="2"/>
        <v>0</v>
      </c>
      <c r="O162" s="211"/>
      <c r="P162" s="211"/>
      <c r="Q162" s="211"/>
      <c r="R162" s="116"/>
      <c r="T162" s="184"/>
      <c r="U162" s="185" t="s">
        <v>38</v>
      </c>
      <c r="V162" s="171">
        <v>0</v>
      </c>
      <c r="W162" s="171">
        <f>$V$162*$K$162</f>
        <v>0</v>
      </c>
      <c r="X162" s="171">
        <v>0.0001</v>
      </c>
      <c r="Y162" s="171">
        <f>$X$162*$K$162</f>
        <v>0.0014</v>
      </c>
      <c r="Z162" s="171">
        <v>0</v>
      </c>
      <c r="AA162" s="172">
        <f>$Z$162*$K$162</f>
        <v>0</v>
      </c>
      <c r="AR162" s="114" t="s">
        <v>152</v>
      </c>
      <c r="AT162" s="114" t="s">
        <v>159</v>
      </c>
      <c r="AU162" s="114" t="s">
        <v>93</v>
      </c>
      <c r="AY162" s="114" t="s">
        <v>130</v>
      </c>
      <c r="BE162" s="173">
        <f>IF($U$162="základní",$N$162,0)</f>
        <v>0</v>
      </c>
      <c r="BF162" s="173">
        <f>IF($U$162="snížená",$N$162,0)</f>
        <v>0</v>
      </c>
      <c r="BG162" s="173">
        <f>IF($U$162="zákl. přenesená",$N$162,0)</f>
        <v>0</v>
      </c>
      <c r="BH162" s="173">
        <f>IF($U$162="sníž. přenesená",$N$162,0)</f>
        <v>0</v>
      </c>
      <c r="BI162" s="173">
        <f>IF($U$162="nulová",$N$162,0)</f>
        <v>0</v>
      </c>
      <c r="BJ162" s="114" t="s">
        <v>17</v>
      </c>
      <c r="BK162" s="173">
        <f>ROUND($L$162*$K$162,2)</f>
        <v>0</v>
      </c>
      <c r="BL162" s="114" t="s">
        <v>135</v>
      </c>
    </row>
    <row r="163" spans="2:64" s="114" customFormat="1" ht="27" customHeight="1">
      <c r="B163" s="113"/>
      <c r="C163" s="167">
        <v>49</v>
      </c>
      <c r="D163" s="167" t="s">
        <v>131</v>
      </c>
      <c r="E163" s="168" t="s">
        <v>270</v>
      </c>
      <c r="F163" s="215" t="s">
        <v>271</v>
      </c>
      <c r="G163" s="215"/>
      <c r="H163" s="215"/>
      <c r="I163" s="215"/>
      <c r="J163" s="169" t="s">
        <v>174</v>
      </c>
      <c r="K163" s="170">
        <v>3234.68</v>
      </c>
      <c r="L163" s="211"/>
      <c r="M163" s="211"/>
      <c r="N163" s="211">
        <f t="shared" si="2"/>
        <v>0</v>
      </c>
      <c r="O163" s="211"/>
      <c r="P163" s="211"/>
      <c r="Q163" s="211"/>
      <c r="R163" s="116"/>
      <c r="T163" s="184"/>
      <c r="U163" s="185" t="s">
        <v>38</v>
      </c>
      <c r="V163" s="171">
        <v>0.003</v>
      </c>
      <c r="W163" s="171">
        <f>$V$163*$K$163</f>
        <v>9.704039999999999</v>
      </c>
      <c r="X163" s="171">
        <v>0.00033</v>
      </c>
      <c r="Y163" s="171">
        <f>$X$163*$K$163</f>
        <v>1.0674443999999998</v>
      </c>
      <c r="Z163" s="171">
        <v>0</v>
      </c>
      <c r="AA163" s="172">
        <f>$Z$163*$K$163</f>
        <v>0</v>
      </c>
      <c r="AR163" s="114" t="s">
        <v>135</v>
      </c>
      <c r="AT163" s="114" t="s">
        <v>131</v>
      </c>
      <c r="AU163" s="114" t="s">
        <v>93</v>
      </c>
      <c r="AY163" s="114" t="s">
        <v>130</v>
      </c>
      <c r="BE163" s="173">
        <f>IF($U$163="základní",$N$163,0)</f>
        <v>0</v>
      </c>
      <c r="BF163" s="173">
        <f>IF($U$163="snížená",$N$163,0)</f>
        <v>0</v>
      </c>
      <c r="BG163" s="173">
        <f>IF($U$163="zákl. přenesená",$N$163,0)</f>
        <v>0</v>
      </c>
      <c r="BH163" s="173">
        <f>IF($U$163="sníž. přenesená",$N$163,0)</f>
        <v>0</v>
      </c>
      <c r="BI163" s="173">
        <f>IF($U$163="nulová",$N$163,0)</f>
        <v>0</v>
      </c>
      <c r="BJ163" s="114" t="s">
        <v>17</v>
      </c>
      <c r="BK163" s="173">
        <f>ROUND($L$163*$K$163,2)</f>
        <v>0</v>
      </c>
      <c r="BL163" s="114" t="s">
        <v>135</v>
      </c>
    </row>
    <row r="164" spans="2:63" s="114" customFormat="1" ht="40.5" customHeight="1">
      <c r="B164" s="113"/>
      <c r="C164" s="167">
        <v>50</v>
      </c>
      <c r="D164" s="167" t="s">
        <v>131</v>
      </c>
      <c r="E164" s="174" t="s">
        <v>353</v>
      </c>
      <c r="F164" s="218" t="s">
        <v>354</v>
      </c>
      <c r="G164" s="219"/>
      <c r="H164" s="219"/>
      <c r="I164" s="219"/>
      <c r="J164" s="176" t="s">
        <v>134</v>
      </c>
      <c r="K164" s="177">
        <v>20.4</v>
      </c>
      <c r="L164" s="214"/>
      <c r="M164" s="221"/>
      <c r="N164" s="214">
        <f t="shared" si="2"/>
        <v>0</v>
      </c>
      <c r="O164" s="214"/>
      <c r="P164" s="214"/>
      <c r="Q164" s="214"/>
      <c r="R164" s="116"/>
      <c r="T164" s="184"/>
      <c r="U164" s="185"/>
      <c r="V164" s="171"/>
      <c r="W164" s="171"/>
      <c r="X164" s="171"/>
      <c r="Y164" s="171"/>
      <c r="Z164" s="171"/>
      <c r="AA164" s="172"/>
      <c r="BE164" s="173"/>
      <c r="BF164" s="173"/>
      <c r="BG164" s="173"/>
      <c r="BH164" s="173"/>
      <c r="BI164" s="173"/>
      <c r="BK164" s="173"/>
    </row>
    <row r="165" spans="2:64" s="114" customFormat="1" ht="15.75" customHeight="1">
      <c r="B165" s="113"/>
      <c r="C165" s="167">
        <v>51</v>
      </c>
      <c r="D165" s="167" t="s">
        <v>131</v>
      </c>
      <c r="E165" s="174" t="s">
        <v>273</v>
      </c>
      <c r="F165" s="218" t="s">
        <v>274</v>
      </c>
      <c r="G165" s="218"/>
      <c r="H165" s="218"/>
      <c r="I165" s="218"/>
      <c r="J165" s="176" t="s">
        <v>174</v>
      </c>
      <c r="K165" s="177">
        <v>6469.36</v>
      </c>
      <c r="L165" s="214"/>
      <c r="M165" s="214"/>
      <c r="N165" s="214">
        <f t="shared" si="2"/>
        <v>0</v>
      </c>
      <c r="O165" s="214"/>
      <c r="P165" s="214"/>
      <c r="Q165" s="214"/>
      <c r="R165" s="116"/>
      <c r="T165" s="184"/>
      <c r="U165" s="185" t="s">
        <v>38</v>
      </c>
      <c r="V165" s="171">
        <v>0.016</v>
      </c>
      <c r="W165" s="171">
        <f>$V$165*$K$165</f>
        <v>103.50976</v>
      </c>
      <c r="X165" s="171">
        <v>0</v>
      </c>
      <c r="Y165" s="171">
        <f>$X$165*$K$165</f>
        <v>0</v>
      </c>
      <c r="Z165" s="171">
        <v>0</v>
      </c>
      <c r="AA165" s="172">
        <f>$Z$165*$K$165</f>
        <v>0</v>
      </c>
      <c r="AR165" s="114" t="s">
        <v>135</v>
      </c>
      <c r="AT165" s="114" t="s">
        <v>131</v>
      </c>
      <c r="AU165" s="114" t="s">
        <v>93</v>
      </c>
      <c r="AY165" s="114" t="s">
        <v>130</v>
      </c>
      <c r="BE165" s="173">
        <f>IF($U$165="základní",$N$165,0)</f>
        <v>0</v>
      </c>
      <c r="BF165" s="173">
        <f>IF($U$165="snížená",$N$165,0)</f>
        <v>0</v>
      </c>
      <c r="BG165" s="173">
        <f>IF($U$165="zákl. přenesená",$N$165,0)</f>
        <v>0</v>
      </c>
      <c r="BH165" s="173">
        <f>IF($U$165="sníž. přenesená",$N$165,0)</f>
        <v>0</v>
      </c>
      <c r="BI165" s="173">
        <f>IF($U$165="nulová",$N$165,0)</f>
        <v>0</v>
      </c>
      <c r="BJ165" s="114" t="s">
        <v>17</v>
      </c>
      <c r="BK165" s="173">
        <f>ROUND($L$165*$K$165,2)</f>
        <v>0</v>
      </c>
      <c r="BL165" s="114" t="s">
        <v>135</v>
      </c>
    </row>
    <row r="166" spans="2:63" s="114" customFormat="1" ht="22.5" customHeight="1">
      <c r="B166" s="113"/>
      <c r="C166" s="167">
        <v>52</v>
      </c>
      <c r="D166" s="167" t="s">
        <v>131</v>
      </c>
      <c r="E166" s="174" t="s">
        <v>355</v>
      </c>
      <c r="F166" s="175" t="s">
        <v>356</v>
      </c>
      <c r="G166" s="175"/>
      <c r="H166" s="175"/>
      <c r="I166" s="175"/>
      <c r="J166" s="176" t="s">
        <v>134</v>
      </c>
      <c r="K166" s="177">
        <v>20.4</v>
      </c>
      <c r="L166" s="214"/>
      <c r="M166" s="221"/>
      <c r="N166" s="214">
        <f>L166*K166</f>
        <v>0</v>
      </c>
      <c r="O166" s="214"/>
      <c r="P166" s="214"/>
      <c r="Q166" s="214"/>
      <c r="R166" s="116"/>
      <c r="T166" s="184"/>
      <c r="U166" s="185"/>
      <c r="V166" s="171"/>
      <c r="W166" s="171"/>
      <c r="X166" s="171"/>
      <c r="Y166" s="171"/>
      <c r="Z166" s="171"/>
      <c r="AA166" s="172"/>
      <c r="BE166" s="173"/>
      <c r="BF166" s="173"/>
      <c r="BG166" s="173"/>
      <c r="BH166" s="173"/>
      <c r="BI166" s="173"/>
      <c r="BK166" s="173"/>
    </row>
    <row r="167" spans="2:63" s="114" customFormat="1" ht="26.25" customHeight="1">
      <c r="B167" s="113"/>
      <c r="C167" s="167">
        <v>53</v>
      </c>
      <c r="D167" s="167" t="s">
        <v>131</v>
      </c>
      <c r="E167" s="174" t="s">
        <v>357</v>
      </c>
      <c r="F167" s="218" t="s">
        <v>358</v>
      </c>
      <c r="G167" s="219"/>
      <c r="H167" s="219"/>
      <c r="I167" s="219"/>
      <c r="J167" s="176" t="s">
        <v>174</v>
      </c>
      <c r="K167" s="177">
        <v>84.39</v>
      </c>
      <c r="L167" s="214"/>
      <c r="M167" s="221"/>
      <c r="N167" s="214">
        <f t="shared" si="2"/>
        <v>0</v>
      </c>
      <c r="O167" s="214"/>
      <c r="P167" s="214"/>
      <c r="Q167" s="214"/>
      <c r="R167" s="116"/>
      <c r="T167" s="184"/>
      <c r="U167" s="185"/>
      <c r="V167" s="171"/>
      <c r="W167" s="171"/>
      <c r="X167" s="171"/>
      <c r="Y167" s="171"/>
      <c r="Z167" s="171"/>
      <c r="AA167" s="172"/>
      <c r="BE167" s="173"/>
      <c r="BF167" s="173"/>
      <c r="BG167" s="173"/>
      <c r="BH167" s="173"/>
      <c r="BI167" s="173"/>
      <c r="BK167" s="173"/>
    </row>
    <row r="168" spans="2:63" s="114" customFormat="1" ht="28.5" customHeight="1">
      <c r="B168" s="113"/>
      <c r="C168" s="167">
        <v>54</v>
      </c>
      <c r="D168" s="167" t="s">
        <v>159</v>
      </c>
      <c r="E168" s="174" t="s">
        <v>359</v>
      </c>
      <c r="F168" s="216" t="s">
        <v>402</v>
      </c>
      <c r="G168" s="216"/>
      <c r="H168" s="216"/>
      <c r="I168" s="216"/>
      <c r="J168" s="189" t="s">
        <v>174</v>
      </c>
      <c r="K168" s="190">
        <v>86</v>
      </c>
      <c r="L168" s="220"/>
      <c r="M168" s="221"/>
      <c r="N168" s="214">
        <f t="shared" si="2"/>
        <v>0</v>
      </c>
      <c r="O168" s="214"/>
      <c r="P168" s="214"/>
      <c r="Q168" s="214"/>
      <c r="R168" s="116"/>
      <c r="T168" s="184"/>
      <c r="U168" s="185"/>
      <c r="V168" s="171"/>
      <c r="W168" s="171"/>
      <c r="X168" s="171"/>
      <c r="Y168" s="171"/>
      <c r="Z168" s="171"/>
      <c r="AA168" s="172"/>
      <c r="BE168" s="173"/>
      <c r="BF168" s="173"/>
      <c r="BG168" s="173"/>
      <c r="BH168" s="173"/>
      <c r="BI168" s="173"/>
      <c r="BK168" s="173"/>
    </row>
    <row r="169" spans="2:64" s="114" customFormat="1" ht="27" customHeight="1">
      <c r="B169" s="113"/>
      <c r="C169" s="167">
        <v>55</v>
      </c>
      <c r="D169" s="167" t="s">
        <v>131</v>
      </c>
      <c r="E169" s="174" t="s">
        <v>276</v>
      </c>
      <c r="F169" s="218" t="s">
        <v>277</v>
      </c>
      <c r="G169" s="218"/>
      <c r="H169" s="218"/>
      <c r="I169" s="218"/>
      <c r="J169" s="176" t="s">
        <v>174</v>
      </c>
      <c r="K169" s="177">
        <v>254.1</v>
      </c>
      <c r="L169" s="214"/>
      <c r="M169" s="214"/>
      <c r="N169" s="214">
        <f t="shared" si="2"/>
        <v>0</v>
      </c>
      <c r="O169" s="214"/>
      <c r="P169" s="214"/>
      <c r="Q169" s="214"/>
      <c r="R169" s="116"/>
      <c r="T169" s="184"/>
      <c r="U169" s="185" t="s">
        <v>38</v>
      </c>
      <c r="V169" s="171">
        <v>0.124</v>
      </c>
      <c r="W169" s="171">
        <f>$V$169*$K$169</f>
        <v>31.508399999999998</v>
      </c>
      <c r="X169" s="171">
        <v>0</v>
      </c>
      <c r="Y169" s="171">
        <f>$X$169*$K$169</f>
        <v>0</v>
      </c>
      <c r="Z169" s="171">
        <v>0</v>
      </c>
      <c r="AA169" s="172">
        <f>$Z$169*$K$169</f>
        <v>0</v>
      </c>
      <c r="AR169" s="114" t="s">
        <v>135</v>
      </c>
      <c r="AT169" s="114" t="s">
        <v>131</v>
      </c>
      <c r="AU169" s="114" t="s">
        <v>93</v>
      </c>
      <c r="AY169" s="114" t="s">
        <v>130</v>
      </c>
      <c r="BE169" s="173">
        <f>IF($U$169="základní",$N$169,0)</f>
        <v>0</v>
      </c>
      <c r="BF169" s="173">
        <f>IF($U$169="snížená",$N$169,0)</f>
        <v>0</v>
      </c>
      <c r="BG169" s="173">
        <f>IF($U$169="zákl. přenesená",$N$169,0)</f>
        <v>0</v>
      </c>
      <c r="BH169" s="173">
        <f>IF($U$169="sníž. přenesená",$N$169,0)</f>
        <v>0</v>
      </c>
      <c r="BI169" s="173">
        <f>IF($U$169="nulová",$N$169,0)</f>
        <v>0</v>
      </c>
      <c r="BJ169" s="114" t="s">
        <v>17</v>
      </c>
      <c r="BK169" s="173">
        <f>ROUND($L$169*$K$169,2)</f>
        <v>0</v>
      </c>
      <c r="BL169" s="114" t="s">
        <v>135</v>
      </c>
    </row>
    <row r="170" spans="2:64" s="114" customFormat="1" ht="27" customHeight="1">
      <c r="B170" s="113"/>
      <c r="C170" s="167">
        <v>56</v>
      </c>
      <c r="D170" s="167" t="s">
        <v>131</v>
      </c>
      <c r="E170" s="168" t="s">
        <v>279</v>
      </c>
      <c r="F170" s="215" t="s">
        <v>280</v>
      </c>
      <c r="G170" s="215"/>
      <c r="H170" s="215"/>
      <c r="I170" s="215"/>
      <c r="J170" s="169" t="s">
        <v>174</v>
      </c>
      <c r="K170" s="170">
        <v>5</v>
      </c>
      <c r="L170" s="211"/>
      <c r="M170" s="211"/>
      <c r="N170" s="211">
        <f t="shared" si="2"/>
        <v>0</v>
      </c>
      <c r="O170" s="211"/>
      <c r="P170" s="211"/>
      <c r="Q170" s="211"/>
      <c r="R170" s="116"/>
      <c r="T170" s="184"/>
      <c r="U170" s="185" t="s">
        <v>38</v>
      </c>
      <c r="V170" s="171">
        <v>1.699</v>
      </c>
      <c r="W170" s="171">
        <f>$V$170*$K$170</f>
        <v>8.495000000000001</v>
      </c>
      <c r="X170" s="171">
        <v>0.74932</v>
      </c>
      <c r="Y170" s="171">
        <f>$X$170*$K$170</f>
        <v>3.7466</v>
      </c>
      <c r="Z170" s="171">
        <v>0</v>
      </c>
      <c r="AA170" s="172">
        <f>$Z$170*$K$170</f>
        <v>0</v>
      </c>
      <c r="AR170" s="114" t="s">
        <v>135</v>
      </c>
      <c r="AT170" s="114" t="s">
        <v>131</v>
      </c>
      <c r="AU170" s="114" t="s">
        <v>93</v>
      </c>
      <c r="AY170" s="114" t="s">
        <v>130</v>
      </c>
      <c r="BE170" s="173">
        <f>IF($U$170="základní",$N$170,0)</f>
        <v>0</v>
      </c>
      <c r="BF170" s="173">
        <f>IF($U$170="snížená",$N$170,0)</f>
        <v>0</v>
      </c>
      <c r="BG170" s="173">
        <f>IF($U$170="zákl. přenesená",$N$170,0)</f>
        <v>0</v>
      </c>
      <c r="BH170" s="173">
        <f>IF($U$170="sníž. přenesená",$N$170,0)</f>
        <v>0</v>
      </c>
      <c r="BI170" s="173">
        <f>IF($U$170="nulová",$N$170,0)</f>
        <v>0</v>
      </c>
      <c r="BJ170" s="114" t="s">
        <v>17</v>
      </c>
      <c r="BK170" s="173">
        <f>ROUND($L$170*$K$170,2)</f>
        <v>0</v>
      </c>
      <c r="BL170" s="114" t="s">
        <v>135</v>
      </c>
    </row>
    <row r="171" spans="2:64" s="114" customFormat="1" ht="27" customHeight="1">
      <c r="B171" s="113"/>
      <c r="C171" s="178">
        <v>57</v>
      </c>
      <c r="D171" s="178" t="s">
        <v>159</v>
      </c>
      <c r="E171" s="186" t="s">
        <v>282</v>
      </c>
      <c r="F171" s="216" t="s">
        <v>283</v>
      </c>
      <c r="G171" s="216"/>
      <c r="H171" s="216"/>
      <c r="I171" s="216"/>
      <c r="J171" s="187" t="s">
        <v>174</v>
      </c>
      <c r="K171" s="188">
        <v>5</v>
      </c>
      <c r="L171" s="217"/>
      <c r="M171" s="217"/>
      <c r="N171" s="211">
        <f t="shared" si="2"/>
        <v>0</v>
      </c>
      <c r="O171" s="211"/>
      <c r="P171" s="211"/>
      <c r="Q171" s="211"/>
      <c r="R171" s="116"/>
      <c r="T171" s="184"/>
      <c r="U171" s="185" t="s">
        <v>38</v>
      </c>
      <c r="V171" s="171">
        <v>0</v>
      </c>
      <c r="W171" s="171">
        <f>$V$171*$K$171</f>
        <v>0</v>
      </c>
      <c r="X171" s="171">
        <v>0.42</v>
      </c>
      <c r="Y171" s="171">
        <f>$X$171*$K$171</f>
        <v>2.1</v>
      </c>
      <c r="Z171" s="171">
        <v>0</v>
      </c>
      <c r="AA171" s="172">
        <f>$Z$171*$K$171</f>
        <v>0</v>
      </c>
      <c r="AR171" s="114" t="s">
        <v>152</v>
      </c>
      <c r="AT171" s="114" t="s">
        <v>159</v>
      </c>
      <c r="AU171" s="114" t="s">
        <v>93</v>
      </c>
      <c r="AY171" s="114" t="s">
        <v>130</v>
      </c>
      <c r="BE171" s="173">
        <f>IF($U$171="základní",$N$171,0)</f>
        <v>0</v>
      </c>
      <c r="BF171" s="173">
        <f>IF($U$171="snížená",$N$171,0)</f>
        <v>0</v>
      </c>
      <c r="BG171" s="173">
        <f>IF($U$171="zákl. přenesená",$N$171,0)</f>
        <v>0</v>
      </c>
      <c r="BH171" s="173">
        <f>IF($U$171="sníž. přenesená",$N$171,0)</f>
        <v>0</v>
      </c>
      <c r="BI171" s="173">
        <f>IF($U$171="nulová",$N$171,0)</f>
        <v>0</v>
      </c>
      <c r="BJ171" s="114" t="s">
        <v>17</v>
      </c>
      <c r="BK171" s="173">
        <f>ROUND($L$171*$K$171,2)</f>
        <v>0</v>
      </c>
      <c r="BL171" s="114" t="s">
        <v>135</v>
      </c>
    </row>
    <row r="172" spans="2:64" s="114" customFormat="1" ht="27" customHeight="1">
      <c r="B172" s="113"/>
      <c r="C172" s="167">
        <v>58</v>
      </c>
      <c r="D172" s="167" t="s">
        <v>131</v>
      </c>
      <c r="E172" s="168" t="s">
        <v>285</v>
      </c>
      <c r="F172" s="215" t="s">
        <v>286</v>
      </c>
      <c r="G172" s="215"/>
      <c r="H172" s="215"/>
      <c r="I172" s="215"/>
      <c r="J172" s="169" t="s">
        <v>140</v>
      </c>
      <c r="K172" s="170">
        <v>3</v>
      </c>
      <c r="L172" s="211"/>
      <c r="M172" s="211"/>
      <c r="N172" s="211">
        <f t="shared" si="2"/>
        <v>0</v>
      </c>
      <c r="O172" s="211"/>
      <c r="P172" s="211"/>
      <c r="Q172" s="211"/>
      <c r="R172" s="116"/>
      <c r="T172" s="184"/>
      <c r="U172" s="185" t="s">
        <v>38</v>
      </c>
      <c r="V172" s="171">
        <v>3.644</v>
      </c>
      <c r="W172" s="171">
        <f>$V$172*$K$172</f>
        <v>10.932</v>
      </c>
      <c r="X172" s="171">
        <v>2.26672</v>
      </c>
      <c r="Y172" s="171">
        <f>$X$172*$K$172</f>
        <v>6.80016</v>
      </c>
      <c r="Z172" s="171">
        <v>0</v>
      </c>
      <c r="AA172" s="172">
        <f>$Z$172*$K$172</f>
        <v>0</v>
      </c>
      <c r="AR172" s="114" t="s">
        <v>135</v>
      </c>
      <c r="AT172" s="114" t="s">
        <v>131</v>
      </c>
      <c r="AU172" s="114" t="s">
        <v>93</v>
      </c>
      <c r="AY172" s="114" t="s">
        <v>130</v>
      </c>
      <c r="BE172" s="173">
        <f>IF($U$172="základní",$N$172,0)</f>
        <v>0</v>
      </c>
      <c r="BF172" s="173">
        <f>IF($U$172="snížená",$N$172,0)</f>
        <v>0</v>
      </c>
      <c r="BG172" s="173">
        <f>IF($U$172="zákl. přenesená",$N$172,0)</f>
        <v>0</v>
      </c>
      <c r="BH172" s="173">
        <f>IF($U$172="sníž. přenesená",$N$172,0)</f>
        <v>0</v>
      </c>
      <c r="BI172" s="173">
        <f>IF($U$172="nulová",$N$172,0)</f>
        <v>0</v>
      </c>
      <c r="BJ172" s="114" t="s">
        <v>17</v>
      </c>
      <c r="BK172" s="173">
        <f>ROUND($L$172*$K$172,2)</f>
        <v>0</v>
      </c>
      <c r="BL172" s="114" t="s">
        <v>135</v>
      </c>
    </row>
    <row r="173" spans="2:64" s="114" customFormat="1" ht="27" customHeight="1">
      <c r="B173" s="113"/>
      <c r="C173" s="167">
        <v>59</v>
      </c>
      <c r="D173" s="167" t="s">
        <v>131</v>
      </c>
      <c r="E173" s="168" t="s">
        <v>288</v>
      </c>
      <c r="F173" s="215" t="s">
        <v>289</v>
      </c>
      <c r="G173" s="215"/>
      <c r="H173" s="215"/>
      <c r="I173" s="215"/>
      <c r="J173" s="169" t="s">
        <v>134</v>
      </c>
      <c r="K173" s="170">
        <v>1773.17</v>
      </c>
      <c r="L173" s="211"/>
      <c r="M173" s="211"/>
      <c r="N173" s="211">
        <f t="shared" si="2"/>
        <v>0</v>
      </c>
      <c r="O173" s="211"/>
      <c r="P173" s="211"/>
      <c r="Q173" s="211"/>
      <c r="R173" s="116"/>
      <c r="T173" s="184"/>
      <c r="U173" s="185" t="s">
        <v>38</v>
      </c>
      <c r="V173" s="171">
        <v>0.722</v>
      </c>
      <c r="W173" s="171">
        <f>$V$173*$K$173</f>
        <v>1280.22874</v>
      </c>
      <c r="X173" s="171">
        <v>0.00187</v>
      </c>
      <c r="Y173" s="171">
        <f>$X$173*$K$173</f>
        <v>3.3158279</v>
      </c>
      <c r="Z173" s="171">
        <v>0</v>
      </c>
      <c r="AA173" s="172">
        <f>$Z$173*$K$173</f>
        <v>0</v>
      </c>
      <c r="AR173" s="114" t="s">
        <v>135</v>
      </c>
      <c r="AT173" s="114" t="s">
        <v>131</v>
      </c>
      <c r="AU173" s="114" t="s">
        <v>93</v>
      </c>
      <c r="AY173" s="114" t="s">
        <v>130</v>
      </c>
      <c r="BE173" s="173">
        <f>IF($U$173="základní",$N$173,0)</f>
        <v>0</v>
      </c>
      <c r="BF173" s="173">
        <f>IF($U$173="snížená",$N$173,0)</f>
        <v>0</v>
      </c>
      <c r="BG173" s="173">
        <f>IF($U$173="zákl. přenesená",$N$173,0)</f>
        <v>0</v>
      </c>
      <c r="BH173" s="173">
        <f>IF($U$173="sníž. přenesená",$N$173,0)</f>
        <v>0</v>
      </c>
      <c r="BI173" s="173">
        <f>IF($U$173="nulová",$N$173,0)</f>
        <v>0</v>
      </c>
      <c r="BJ173" s="114" t="s">
        <v>17</v>
      </c>
      <c r="BK173" s="173">
        <f>ROUND($L$173*$K$173,2)</f>
        <v>0</v>
      </c>
      <c r="BL173" s="114" t="s">
        <v>135</v>
      </c>
    </row>
    <row r="174" spans="2:64" s="114" customFormat="1" ht="39" customHeight="1">
      <c r="B174" s="113"/>
      <c r="C174" s="167">
        <v>60</v>
      </c>
      <c r="D174" s="167" t="s">
        <v>131</v>
      </c>
      <c r="E174" s="168" t="s">
        <v>291</v>
      </c>
      <c r="F174" s="215" t="s">
        <v>292</v>
      </c>
      <c r="G174" s="215"/>
      <c r="H174" s="215"/>
      <c r="I174" s="215"/>
      <c r="J174" s="169" t="s">
        <v>174</v>
      </c>
      <c r="K174" s="170">
        <v>254.1</v>
      </c>
      <c r="L174" s="211"/>
      <c r="M174" s="211"/>
      <c r="N174" s="211">
        <f t="shared" si="2"/>
        <v>0</v>
      </c>
      <c r="O174" s="211"/>
      <c r="P174" s="211"/>
      <c r="Q174" s="211"/>
      <c r="R174" s="116"/>
      <c r="T174" s="184"/>
      <c r="U174" s="185" t="s">
        <v>38</v>
      </c>
      <c r="V174" s="171">
        <v>0.067</v>
      </c>
      <c r="W174" s="171">
        <f>$V$174*$K$174</f>
        <v>17.0247</v>
      </c>
      <c r="X174" s="171">
        <v>0</v>
      </c>
      <c r="Y174" s="171">
        <f>$X$174*$K$174</f>
        <v>0</v>
      </c>
      <c r="Z174" s="171">
        <v>0</v>
      </c>
      <c r="AA174" s="172">
        <f>$Z$174*$K$174</f>
        <v>0</v>
      </c>
      <c r="AR174" s="114" t="s">
        <v>135</v>
      </c>
      <c r="AT174" s="114" t="s">
        <v>131</v>
      </c>
      <c r="AU174" s="114" t="s">
        <v>93</v>
      </c>
      <c r="AY174" s="114" t="s">
        <v>130</v>
      </c>
      <c r="BE174" s="173">
        <f>IF($U$174="základní",$N$174,0)</f>
        <v>0</v>
      </c>
      <c r="BF174" s="173">
        <f>IF($U$174="snížená",$N$174,0)</f>
        <v>0</v>
      </c>
      <c r="BG174" s="173">
        <f>IF($U$174="zákl. přenesená",$N$174,0)</f>
        <v>0</v>
      </c>
      <c r="BH174" s="173">
        <f>IF($U$174="sníž. přenesená",$N$174,0)</f>
        <v>0</v>
      </c>
      <c r="BI174" s="173">
        <f>IF($U$174="nulová",$N$174,0)</f>
        <v>0</v>
      </c>
      <c r="BJ174" s="114" t="s">
        <v>17</v>
      </c>
      <c r="BK174" s="173">
        <f>ROUND($L$174*$K$174,2)</f>
        <v>0</v>
      </c>
      <c r="BL174" s="114" t="s">
        <v>135</v>
      </c>
    </row>
    <row r="175" spans="2:64" s="114" customFormat="1" ht="15.75" customHeight="1">
      <c r="B175" s="113"/>
      <c r="C175" s="167">
        <v>61</v>
      </c>
      <c r="D175" s="167" t="s">
        <v>131</v>
      </c>
      <c r="E175" s="168" t="s">
        <v>294</v>
      </c>
      <c r="F175" s="215" t="s">
        <v>295</v>
      </c>
      <c r="G175" s="215"/>
      <c r="H175" s="215"/>
      <c r="I175" s="215"/>
      <c r="J175" s="169" t="s">
        <v>174</v>
      </c>
      <c r="K175" s="170">
        <v>254.1</v>
      </c>
      <c r="L175" s="211"/>
      <c r="M175" s="211"/>
      <c r="N175" s="211">
        <f t="shared" si="2"/>
        <v>0</v>
      </c>
      <c r="O175" s="211"/>
      <c r="P175" s="211"/>
      <c r="Q175" s="211"/>
      <c r="R175" s="116"/>
      <c r="T175" s="184"/>
      <c r="U175" s="185" t="s">
        <v>38</v>
      </c>
      <c r="V175" s="171">
        <v>0.196</v>
      </c>
      <c r="W175" s="171">
        <f>$V$175*$K$175</f>
        <v>49.8036</v>
      </c>
      <c r="X175" s="171">
        <v>0</v>
      </c>
      <c r="Y175" s="171">
        <f>$X$175*$K$175</f>
        <v>0</v>
      </c>
      <c r="Z175" s="171">
        <v>0</v>
      </c>
      <c r="AA175" s="172">
        <f>$Z$175*$K$175</f>
        <v>0</v>
      </c>
      <c r="AR175" s="114" t="s">
        <v>135</v>
      </c>
      <c r="AT175" s="114" t="s">
        <v>131</v>
      </c>
      <c r="AU175" s="114" t="s">
        <v>93</v>
      </c>
      <c r="AY175" s="114" t="s">
        <v>130</v>
      </c>
      <c r="BE175" s="173">
        <f>IF($U$175="základní",$N$175,0)</f>
        <v>0</v>
      </c>
      <c r="BF175" s="173">
        <f>IF($U$175="snížená",$N$175,0)</f>
        <v>0</v>
      </c>
      <c r="BG175" s="173">
        <f>IF($U$175="zákl. přenesená",$N$175,0)</f>
        <v>0</v>
      </c>
      <c r="BH175" s="173">
        <f>IF($U$175="sníž. přenesená",$N$175,0)</f>
        <v>0</v>
      </c>
      <c r="BI175" s="173">
        <f>IF($U$175="nulová",$N$175,0)</f>
        <v>0</v>
      </c>
      <c r="BJ175" s="114" t="s">
        <v>17</v>
      </c>
      <c r="BK175" s="173">
        <f>ROUND($L$175*$K$175,2)</f>
        <v>0</v>
      </c>
      <c r="BL175" s="114" t="s">
        <v>135</v>
      </c>
    </row>
    <row r="176" spans="2:64" s="114" customFormat="1" ht="27" customHeight="1">
      <c r="B176" s="113"/>
      <c r="C176" s="167">
        <v>62</v>
      </c>
      <c r="D176" s="167" t="s">
        <v>131</v>
      </c>
      <c r="E176" s="168" t="s">
        <v>297</v>
      </c>
      <c r="F176" s="215" t="s">
        <v>298</v>
      </c>
      <c r="G176" s="215"/>
      <c r="H176" s="215"/>
      <c r="I176" s="215"/>
      <c r="J176" s="169" t="s">
        <v>174</v>
      </c>
      <c r="K176" s="170">
        <v>3234.68</v>
      </c>
      <c r="L176" s="211"/>
      <c r="M176" s="211"/>
      <c r="N176" s="211">
        <f t="shared" si="2"/>
        <v>0</v>
      </c>
      <c r="O176" s="211"/>
      <c r="P176" s="211"/>
      <c r="Q176" s="211"/>
      <c r="R176" s="116"/>
      <c r="T176" s="184"/>
      <c r="U176" s="185" t="s">
        <v>38</v>
      </c>
      <c r="V176" s="171">
        <v>0.027</v>
      </c>
      <c r="W176" s="171">
        <f>$V$176*$K$176</f>
        <v>87.33636</v>
      </c>
      <c r="X176" s="171">
        <v>0</v>
      </c>
      <c r="Y176" s="171">
        <f>$X$176*$K$176</f>
        <v>0</v>
      </c>
      <c r="Z176" s="171">
        <v>0</v>
      </c>
      <c r="AA176" s="172">
        <f>$Z$176*$K$176</f>
        <v>0</v>
      </c>
      <c r="AR176" s="114" t="s">
        <v>135</v>
      </c>
      <c r="AT176" s="114" t="s">
        <v>131</v>
      </c>
      <c r="AU176" s="114" t="s">
        <v>93</v>
      </c>
      <c r="AY176" s="114" t="s">
        <v>130</v>
      </c>
      <c r="BE176" s="173">
        <f>IF($U$176="základní",$N$176,0)</f>
        <v>0</v>
      </c>
      <c r="BF176" s="173">
        <f>IF($U$176="snížená",$N$176,0)</f>
        <v>0</v>
      </c>
      <c r="BG176" s="173">
        <f>IF($U$176="zákl. přenesená",$N$176,0)</f>
        <v>0</v>
      </c>
      <c r="BH176" s="173">
        <f>IF($U$176="sníž. přenesená",$N$176,0)</f>
        <v>0</v>
      </c>
      <c r="BI176" s="173">
        <f>IF($U$176="nulová",$N$176,0)</f>
        <v>0</v>
      </c>
      <c r="BJ176" s="114" t="s">
        <v>17</v>
      </c>
      <c r="BK176" s="173">
        <f>ROUND($L$176*$K$176,2)</f>
        <v>0</v>
      </c>
      <c r="BL176" s="114" t="s">
        <v>135</v>
      </c>
    </row>
    <row r="177" spans="2:64" s="114" customFormat="1" ht="15.75" customHeight="1">
      <c r="B177" s="113"/>
      <c r="C177" s="167">
        <v>63</v>
      </c>
      <c r="D177" s="167" t="s">
        <v>131</v>
      </c>
      <c r="E177" s="168" t="s">
        <v>299</v>
      </c>
      <c r="F177" s="215" t="s">
        <v>300</v>
      </c>
      <c r="G177" s="215"/>
      <c r="H177" s="215"/>
      <c r="I177" s="215"/>
      <c r="J177" s="169" t="s">
        <v>134</v>
      </c>
      <c r="K177" s="170">
        <v>61.1</v>
      </c>
      <c r="L177" s="211"/>
      <c r="M177" s="211"/>
      <c r="N177" s="211">
        <f t="shared" si="2"/>
        <v>0</v>
      </c>
      <c r="O177" s="211"/>
      <c r="P177" s="211"/>
      <c r="Q177" s="211"/>
      <c r="R177" s="116"/>
      <c r="T177" s="184"/>
      <c r="U177" s="185" t="s">
        <v>38</v>
      </c>
      <c r="V177" s="171">
        <v>0.013</v>
      </c>
      <c r="W177" s="171">
        <f>$V$177*$K$177</f>
        <v>0.7943</v>
      </c>
      <c r="X177" s="171">
        <v>0</v>
      </c>
      <c r="Y177" s="171">
        <f>$X$177*$K$177</f>
        <v>0</v>
      </c>
      <c r="Z177" s="171">
        <v>0</v>
      </c>
      <c r="AA177" s="172">
        <f>$Z$177*$K$177</f>
        <v>0</v>
      </c>
      <c r="AR177" s="114" t="s">
        <v>135</v>
      </c>
      <c r="AT177" s="114" t="s">
        <v>131</v>
      </c>
      <c r="AU177" s="114" t="s">
        <v>93</v>
      </c>
      <c r="AY177" s="114" t="s">
        <v>130</v>
      </c>
      <c r="BE177" s="173">
        <f>IF($U$177="základní",$N$177,0)</f>
        <v>0</v>
      </c>
      <c r="BF177" s="173">
        <f>IF($U$177="snížená",$N$177,0)</f>
        <v>0</v>
      </c>
      <c r="BG177" s="173">
        <f>IF($U$177="zákl. přenesená",$N$177,0)</f>
        <v>0</v>
      </c>
      <c r="BH177" s="173">
        <f>IF($U$177="sníž. přenesená",$N$177,0)</f>
        <v>0</v>
      </c>
      <c r="BI177" s="173">
        <f>IF($U$177="nulová",$N$177,0)</f>
        <v>0</v>
      </c>
      <c r="BJ177" s="114" t="s">
        <v>17</v>
      </c>
      <c r="BK177" s="173">
        <f>ROUND($L$177*$K$177,2)</f>
        <v>0</v>
      </c>
      <c r="BL177" s="114" t="s">
        <v>135</v>
      </c>
    </row>
    <row r="178" spans="2:64" s="114" customFormat="1" ht="27" customHeight="1">
      <c r="B178" s="113"/>
      <c r="C178" s="167">
        <v>64</v>
      </c>
      <c r="D178" s="167" t="s">
        <v>131</v>
      </c>
      <c r="E178" s="168" t="s">
        <v>301</v>
      </c>
      <c r="F178" s="215" t="s">
        <v>302</v>
      </c>
      <c r="G178" s="215"/>
      <c r="H178" s="215"/>
      <c r="I178" s="215"/>
      <c r="J178" s="169" t="s">
        <v>134</v>
      </c>
      <c r="K178" s="170">
        <v>9311.21</v>
      </c>
      <c r="L178" s="211"/>
      <c r="M178" s="211"/>
      <c r="N178" s="211">
        <f t="shared" si="2"/>
        <v>0</v>
      </c>
      <c r="O178" s="211"/>
      <c r="P178" s="211"/>
      <c r="Q178" s="211"/>
      <c r="R178" s="116"/>
      <c r="T178" s="184"/>
      <c r="U178" s="185" t="s">
        <v>38</v>
      </c>
      <c r="V178" s="171">
        <v>0.002</v>
      </c>
      <c r="W178" s="171">
        <f>$V$178*$K$178</f>
        <v>18.622419999999998</v>
      </c>
      <c r="X178" s="171">
        <v>0</v>
      </c>
      <c r="Y178" s="171">
        <f>$X$178*$K$178</f>
        <v>0</v>
      </c>
      <c r="Z178" s="171">
        <v>0</v>
      </c>
      <c r="AA178" s="172">
        <f>$Z$178*$K$178</f>
        <v>0</v>
      </c>
      <c r="AR178" s="114" t="s">
        <v>135</v>
      </c>
      <c r="AT178" s="114" t="s">
        <v>131</v>
      </c>
      <c r="AU178" s="114" t="s">
        <v>93</v>
      </c>
      <c r="AY178" s="114" t="s">
        <v>130</v>
      </c>
      <c r="BE178" s="173">
        <f>IF($U$178="základní",$N$178,0)</f>
        <v>0</v>
      </c>
      <c r="BF178" s="173">
        <f>IF($U$178="snížená",$N$178,0)</f>
        <v>0</v>
      </c>
      <c r="BG178" s="173">
        <f>IF($U$178="zákl. přenesená",$N$178,0)</f>
        <v>0</v>
      </c>
      <c r="BH178" s="173">
        <f>IF($U$178="sníž. přenesená",$N$178,0)</f>
        <v>0</v>
      </c>
      <c r="BI178" s="173">
        <f>IF($U$178="nulová",$N$178,0)</f>
        <v>0</v>
      </c>
      <c r="BJ178" s="114" t="s">
        <v>17</v>
      </c>
      <c r="BK178" s="173">
        <f>ROUND($L$178*$K$178,2)</f>
        <v>0</v>
      </c>
      <c r="BL178" s="114" t="s">
        <v>135</v>
      </c>
    </row>
    <row r="179" spans="2:64" s="114" customFormat="1" ht="15.75" customHeight="1">
      <c r="B179" s="113"/>
      <c r="C179" s="167">
        <v>65</v>
      </c>
      <c r="D179" s="167" t="s">
        <v>131</v>
      </c>
      <c r="E179" s="168" t="s">
        <v>303</v>
      </c>
      <c r="F179" s="215" t="s">
        <v>304</v>
      </c>
      <c r="G179" s="215"/>
      <c r="H179" s="215"/>
      <c r="I179" s="215"/>
      <c r="J179" s="169" t="s">
        <v>134</v>
      </c>
      <c r="K179" s="170">
        <v>1617.34</v>
      </c>
      <c r="L179" s="211"/>
      <c r="M179" s="211"/>
      <c r="N179" s="211">
        <f t="shared" si="2"/>
        <v>0</v>
      </c>
      <c r="O179" s="211"/>
      <c r="P179" s="211"/>
      <c r="Q179" s="211"/>
      <c r="R179" s="116"/>
      <c r="T179" s="184"/>
      <c r="U179" s="185" t="s">
        <v>38</v>
      </c>
      <c r="V179" s="171">
        <v>0.034</v>
      </c>
      <c r="W179" s="171">
        <f>$V$179*$K$179</f>
        <v>54.989560000000004</v>
      </c>
      <c r="X179" s="171">
        <v>0</v>
      </c>
      <c r="Y179" s="171">
        <f>$X$179*$K$179</f>
        <v>0</v>
      </c>
      <c r="Z179" s="171">
        <v>0.126</v>
      </c>
      <c r="AA179" s="172">
        <f>$Z$179*$K$179</f>
        <v>203.78484</v>
      </c>
      <c r="AR179" s="114" t="s">
        <v>135</v>
      </c>
      <c r="AT179" s="114" t="s">
        <v>131</v>
      </c>
      <c r="AU179" s="114" t="s">
        <v>93</v>
      </c>
      <c r="AY179" s="114" t="s">
        <v>130</v>
      </c>
      <c r="BE179" s="173">
        <f>IF($U$179="základní",$N$179,0)</f>
        <v>0</v>
      </c>
      <c r="BF179" s="173">
        <f>IF($U$179="snížená",$N$179,0)</f>
        <v>0</v>
      </c>
      <c r="BG179" s="173">
        <f>IF($U$179="zákl. přenesená",$N$179,0)</f>
        <v>0</v>
      </c>
      <c r="BH179" s="173">
        <f>IF($U$179="sníž. přenesená",$N$179,0)</f>
        <v>0</v>
      </c>
      <c r="BI179" s="173">
        <f>IF($U$179="nulová",$N$179,0)</f>
        <v>0</v>
      </c>
      <c r="BJ179" s="114" t="s">
        <v>17</v>
      </c>
      <c r="BK179" s="173">
        <f>ROUND($L$179*$K$179,2)</f>
        <v>0</v>
      </c>
      <c r="BL179" s="114" t="s">
        <v>135</v>
      </c>
    </row>
    <row r="180" spans="2:64" s="114" customFormat="1" ht="27" customHeight="1">
      <c r="B180" s="113"/>
      <c r="C180" s="167">
        <v>66</v>
      </c>
      <c r="D180" s="167" t="s">
        <v>131</v>
      </c>
      <c r="E180" s="168" t="s">
        <v>305</v>
      </c>
      <c r="F180" s="215" t="s">
        <v>306</v>
      </c>
      <c r="G180" s="215"/>
      <c r="H180" s="215"/>
      <c r="I180" s="215"/>
      <c r="J180" s="169" t="s">
        <v>140</v>
      </c>
      <c r="K180" s="170">
        <v>1.8</v>
      </c>
      <c r="L180" s="211"/>
      <c r="M180" s="211"/>
      <c r="N180" s="211">
        <f t="shared" si="2"/>
        <v>0</v>
      </c>
      <c r="O180" s="211"/>
      <c r="P180" s="211"/>
      <c r="Q180" s="211"/>
      <c r="R180" s="116"/>
      <c r="T180" s="184"/>
      <c r="U180" s="185" t="s">
        <v>38</v>
      </c>
      <c r="V180" s="171">
        <v>5.236</v>
      </c>
      <c r="W180" s="171">
        <f>$V$180*$K$180</f>
        <v>9.4248</v>
      </c>
      <c r="X180" s="171">
        <v>0.12</v>
      </c>
      <c r="Y180" s="171">
        <f>$X$180*$K$180</f>
        <v>0.216</v>
      </c>
      <c r="Z180" s="171">
        <v>2.2</v>
      </c>
      <c r="AA180" s="172">
        <f>$Z$180*$K$180</f>
        <v>3.9600000000000004</v>
      </c>
      <c r="AR180" s="114" t="s">
        <v>135</v>
      </c>
      <c r="AT180" s="114" t="s">
        <v>131</v>
      </c>
      <c r="AU180" s="114" t="s">
        <v>93</v>
      </c>
      <c r="AY180" s="114" t="s">
        <v>130</v>
      </c>
      <c r="BE180" s="173">
        <f>IF($U$180="základní",$N$180,0)</f>
        <v>0</v>
      </c>
      <c r="BF180" s="173">
        <f>IF($U$180="snížená",$N$180,0)</f>
        <v>0</v>
      </c>
      <c r="BG180" s="173">
        <f>IF($U$180="zákl. přenesená",$N$180,0)</f>
        <v>0</v>
      </c>
      <c r="BH180" s="173">
        <f>IF($U$180="sníž. přenesená",$N$180,0)</f>
        <v>0</v>
      </c>
      <c r="BI180" s="173">
        <f>IF($U$180="nulová",$N$180,0)</f>
        <v>0</v>
      </c>
      <c r="BJ180" s="114" t="s">
        <v>17</v>
      </c>
      <c r="BK180" s="173">
        <f>ROUND($L$180*$K$180,2)</f>
        <v>0</v>
      </c>
      <c r="BL180" s="114" t="s">
        <v>135</v>
      </c>
    </row>
    <row r="181" spans="2:63" s="158" customFormat="1" ht="30.75" customHeight="1">
      <c r="B181" s="157"/>
      <c r="D181" s="166" t="s">
        <v>109</v>
      </c>
      <c r="N181" s="213">
        <f>$BK$181</f>
        <v>0</v>
      </c>
      <c r="O181" s="213"/>
      <c r="P181" s="213"/>
      <c r="Q181" s="213"/>
      <c r="R181" s="160"/>
      <c r="T181" s="161"/>
      <c r="W181" s="162">
        <f>SUM($W$182:$W$187)</f>
        <v>280.552328</v>
      </c>
      <c r="Y181" s="162">
        <f>SUM($Y$182:$Y$187)</f>
        <v>0</v>
      </c>
      <c r="AA181" s="163">
        <f>SUM($AA$182:$AA$187)</f>
        <v>0</v>
      </c>
      <c r="AR181" s="164" t="s">
        <v>17</v>
      </c>
      <c r="AT181" s="164" t="s">
        <v>72</v>
      </c>
      <c r="AU181" s="164" t="s">
        <v>17</v>
      </c>
      <c r="AY181" s="164" t="s">
        <v>130</v>
      </c>
      <c r="BK181" s="165">
        <f>SUM($BK$182:$BK$187)</f>
        <v>0</v>
      </c>
    </row>
    <row r="182" spans="2:64" s="114" customFormat="1" ht="27" customHeight="1">
      <c r="B182" s="113"/>
      <c r="C182" s="167">
        <v>67</v>
      </c>
      <c r="D182" s="167" t="s">
        <v>131</v>
      </c>
      <c r="E182" s="168" t="s">
        <v>307</v>
      </c>
      <c r="F182" s="215" t="s">
        <v>308</v>
      </c>
      <c r="G182" s="215"/>
      <c r="H182" s="215"/>
      <c r="I182" s="215"/>
      <c r="J182" s="169" t="s">
        <v>155</v>
      </c>
      <c r="K182" s="170">
        <v>1054.708</v>
      </c>
      <c r="L182" s="211"/>
      <c r="M182" s="211"/>
      <c r="N182" s="211">
        <f>ROUND($L$182*$K$182,2)</f>
        <v>0</v>
      </c>
      <c r="O182" s="211"/>
      <c r="P182" s="211"/>
      <c r="Q182" s="211"/>
      <c r="R182" s="116"/>
      <c r="T182" s="184"/>
      <c r="U182" s="185" t="s">
        <v>38</v>
      </c>
      <c r="V182" s="171">
        <v>0.032</v>
      </c>
      <c r="W182" s="171">
        <f>$V$182*$K$182</f>
        <v>33.750656000000006</v>
      </c>
      <c r="X182" s="171">
        <v>0</v>
      </c>
      <c r="Y182" s="171">
        <f>$X$182*$K$182</f>
        <v>0</v>
      </c>
      <c r="Z182" s="171">
        <v>0</v>
      </c>
      <c r="AA182" s="172">
        <f>$Z$182*$K$182</f>
        <v>0</v>
      </c>
      <c r="AR182" s="114" t="s">
        <v>135</v>
      </c>
      <c r="AT182" s="114" t="s">
        <v>131</v>
      </c>
      <c r="AU182" s="114" t="s">
        <v>93</v>
      </c>
      <c r="AY182" s="114" t="s">
        <v>130</v>
      </c>
      <c r="BE182" s="173">
        <f>IF($U$182="základní",$N$182,0)</f>
        <v>0</v>
      </c>
      <c r="BF182" s="173">
        <f>IF($U$182="snížená",$N$182,0)</f>
        <v>0</v>
      </c>
      <c r="BG182" s="173">
        <f>IF($U$182="zákl. přenesená",$N$182,0)</f>
        <v>0</v>
      </c>
      <c r="BH182" s="173">
        <f>IF($U$182="sníž. přenesená",$N$182,0)</f>
        <v>0</v>
      </c>
      <c r="BI182" s="173">
        <f>IF($U$182="nulová",$N$182,0)</f>
        <v>0</v>
      </c>
      <c r="BJ182" s="114" t="s">
        <v>17</v>
      </c>
      <c r="BK182" s="173">
        <f>ROUND($L$182*$K$182,2)</f>
        <v>0</v>
      </c>
      <c r="BL182" s="114" t="s">
        <v>135</v>
      </c>
    </row>
    <row r="183" spans="2:64" s="114" customFormat="1" ht="27" customHeight="1">
      <c r="B183" s="113"/>
      <c r="C183" s="167">
        <v>68</v>
      </c>
      <c r="D183" s="167" t="s">
        <v>131</v>
      </c>
      <c r="E183" s="168" t="s">
        <v>309</v>
      </c>
      <c r="F183" s="215" t="s">
        <v>310</v>
      </c>
      <c r="G183" s="215"/>
      <c r="H183" s="215"/>
      <c r="I183" s="215"/>
      <c r="J183" s="169" t="s">
        <v>155</v>
      </c>
      <c r="K183" s="170">
        <v>26367.7</v>
      </c>
      <c r="L183" s="211"/>
      <c r="M183" s="211"/>
      <c r="N183" s="211">
        <f>ROUND($L$183*$K$183,2)</f>
        <v>0</v>
      </c>
      <c r="O183" s="211"/>
      <c r="P183" s="211"/>
      <c r="Q183" s="211"/>
      <c r="R183" s="116"/>
      <c r="T183" s="184"/>
      <c r="U183" s="185" t="s">
        <v>38</v>
      </c>
      <c r="V183" s="171">
        <v>0.003</v>
      </c>
      <c r="W183" s="171">
        <f>$V$183*$K$183</f>
        <v>79.1031</v>
      </c>
      <c r="X183" s="171">
        <v>0</v>
      </c>
      <c r="Y183" s="171">
        <f>$X$183*$K$183</f>
        <v>0</v>
      </c>
      <c r="Z183" s="171">
        <v>0</v>
      </c>
      <c r="AA183" s="172">
        <f>$Z$183*$K$183</f>
        <v>0</v>
      </c>
      <c r="AR183" s="114" t="s">
        <v>135</v>
      </c>
      <c r="AT183" s="114" t="s">
        <v>131</v>
      </c>
      <c r="AU183" s="114" t="s">
        <v>93</v>
      </c>
      <c r="AY183" s="114" t="s">
        <v>130</v>
      </c>
      <c r="BE183" s="173">
        <f>IF($U$183="základní",$N$183,0)</f>
        <v>0</v>
      </c>
      <c r="BF183" s="173">
        <f>IF($U$183="snížená",$N$183,0)</f>
        <v>0</v>
      </c>
      <c r="BG183" s="173">
        <f>IF($U$183="zákl. přenesená",$N$183,0)</f>
        <v>0</v>
      </c>
      <c r="BH183" s="173">
        <f>IF($U$183="sníž. přenesená",$N$183,0)</f>
        <v>0</v>
      </c>
      <c r="BI183" s="173">
        <f>IF($U$183="nulová",$N$183,0)</f>
        <v>0</v>
      </c>
      <c r="BJ183" s="114" t="s">
        <v>17</v>
      </c>
      <c r="BK183" s="173">
        <f>ROUND($L$183*$K$183,2)</f>
        <v>0</v>
      </c>
      <c r="BL183" s="114" t="s">
        <v>135</v>
      </c>
    </row>
    <row r="184" spans="2:64" s="114" customFormat="1" ht="27" customHeight="1">
      <c r="B184" s="113"/>
      <c r="C184" s="167">
        <v>69</v>
      </c>
      <c r="D184" s="167" t="s">
        <v>131</v>
      </c>
      <c r="E184" s="168" t="s">
        <v>311</v>
      </c>
      <c r="F184" s="215" t="s">
        <v>312</v>
      </c>
      <c r="G184" s="215"/>
      <c r="H184" s="215"/>
      <c r="I184" s="215"/>
      <c r="J184" s="169" t="s">
        <v>155</v>
      </c>
      <c r="K184" s="170">
        <v>1054.708</v>
      </c>
      <c r="L184" s="211"/>
      <c r="M184" s="211"/>
      <c r="N184" s="211">
        <f>ROUND($L$184*$K$184,2)</f>
        <v>0</v>
      </c>
      <c r="O184" s="211"/>
      <c r="P184" s="211"/>
      <c r="Q184" s="211"/>
      <c r="R184" s="116"/>
      <c r="T184" s="184"/>
      <c r="U184" s="185" t="s">
        <v>38</v>
      </c>
      <c r="V184" s="171">
        <v>0.159</v>
      </c>
      <c r="W184" s="171">
        <f>$V$184*$K$184</f>
        <v>167.698572</v>
      </c>
      <c r="X184" s="171">
        <v>0</v>
      </c>
      <c r="Y184" s="171">
        <f>$X$184*$K$184</f>
        <v>0</v>
      </c>
      <c r="Z184" s="171">
        <v>0</v>
      </c>
      <c r="AA184" s="172">
        <f>$Z$184*$K$184</f>
        <v>0</v>
      </c>
      <c r="AR184" s="114" t="s">
        <v>135</v>
      </c>
      <c r="AT184" s="114" t="s">
        <v>131</v>
      </c>
      <c r="AU184" s="114" t="s">
        <v>93</v>
      </c>
      <c r="AY184" s="114" t="s">
        <v>130</v>
      </c>
      <c r="BE184" s="173">
        <f>IF($U$184="základní",$N$184,0)</f>
        <v>0</v>
      </c>
      <c r="BF184" s="173">
        <f>IF($U$184="snížená",$N$184,0)</f>
        <v>0</v>
      </c>
      <c r="BG184" s="173">
        <f>IF($U$184="zákl. přenesená",$N$184,0)</f>
        <v>0</v>
      </c>
      <c r="BH184" s="173">
        <f>IF($U$184="sníž. přenesená",$N$184,0)</f>
        <v>0</v>
      </c>
      <c r="BI184" s="173">
        <f>IF($U$184="nulová",$N$184,0)</f>
        <v>0</v>
      </c>
      <c r="BJ184" s="114" t="s">
        <v>17</v>
      </c>
      <c r="BK184" s="173">
        <f>ROUND($L$184*$K$184,2)</f>
        <v>0</v>
      </c>
      <c r="BL184" s="114" t="s">
        <v>135</v>
      </c>
    </row>
    <row r="185" spans="2:64" s="114" customFormat="1" ht="27" customHeight="1">
      <c r="B185" s="113"/>
      <c r="C185" s="167">
        <v>70</v>
      </c>
      <c r="D185" s="167" t="s">
        <v>131</v>
      </c>
      <c r="E185" s="168" t="s">
        <v>313</v>
      </c>
      <c r="F185" s="215" t="s">
        <v>314</v>
      </c>
      <c r="G185" s="215"/>
      <c r="H185" s="215"/>
      <c r="I185" s="215"/>
      <c r="J185" s="169" t="s">
        <v>155</v>
      </c>
      <c r="K185" s="170">
        <v>3.96</v>
      </c>
      <c r="L185" s="211"/>
      <c r="M185" s="211"/>
      <c r="N185" s="211">
        <f>ROUND($L$185*$K$185,2)</f>
        <v>0</v>
      </c>
      <c r="O185" s="211"/>
      <c r="P185" s="211"/>
      <c r="Q185" s="211"/>
      <c r="R185" s="116"/>
      <c r="T185" s="184"/>
      <c r="U185" s="185" t="s">
        <v>38</v>
      </c>
      <c r="V185" s="171">
        <v>0</v>
      </c>
      <c r="W185" s="171">
        <f>$V$185*$K$185</f>
        <v>0</v>
      </c>
      <c r="X185" s="171">
        <v>0</v>
      </c>
      <c r="Y185" s="171">
        <f>$X$185*$K$185</f>
        <v>0</v>
      </c>
      <c r="Z185" s="171">
        <v>0</v>
      </c>
      <c r="AA185" s="172">
        <f>$Z$185*$K$185</f>
        <v>0</v>
      </c>
      <c r="AR185" s="114" t="s">
        <v>135</v>
      </c>
      <c r="AT185" s="114" t="s">
        <v>131</v>
      </c>
      <c r="AU185" s="114" t="s">
        <v>93</v>
      </c>
      <c r="AY185" s="114" t="s">
        <v>130</v>
      </c>
      <c r="BE185" s="173">
        <f>IF($U$185="základní",$N$185,0)</f>
        <v>0</v>
      </c>
      <c r="BF185" s="173">
        <f>IF($U$185="snížená",$N$185,0)</f>
        <v>0</v>
      </c>
      <c r="BG185" s="173">
        <f>IF($U$185="zákl. přenesená",$N$185,0)</f>
        <v>0</v>
      </c>
      <c r="BH185" s="173">
        <f>IF($U$185="sníž. přenesená",$N$185,0)</f>
        <v>0</v>
      </c>
      <c r="BI185" s="173">
        <f>IF($U$185="nulová",$N$185,0)</f>
        <v>0</v>
      </c>
      <c r="BJ185" s="114" t="s">
        <v>17</v>
      </c>
      <c r="BK185" s="173">
        <f>ROUND($L$185*$K$185,2)</f>
        <v>0</v>
      </c>
      <c r="BL185" s="114" t="s">
        <v>135</v>
      </c>
    </row>
    <row r="186" spans="2:64" s="114" customFormat="1" ht="6" customHeight="1">
      <c r="B186" s="113"/>
      <c r="C186" s="167"/>
      <c r="D186" s="167"/>
      <c r="E186" s="168"/>
      <c r="F186" s="215"/>
      <c r="G186" s="215"/>
      <c r="H186" s="215"/>
      <c r="I186" s="215"/>
      <c r="J186" s="169"/>
      <c r="K186" s="170"/>
      <c r="L186" s="211"/>
      <c r="M186" s="211"/>
      <c r="N186" s="211"/>
      <c r="O186" s="211"/>
      <c r="P186" s="211"/>
      <c r="Q186" s="211"/>
      <c r="R186" s="116"/>
      <c r="T186" s="184"/>
      <c r="U186" s="185" t="s">
        <v>38</v>
      </c>
      <c r="V186" s="171">
        <v>0</v>
      </c>
      <c r="W186" s="171">
        <f>$V$186*$K$186</f>
        <v>0</v>
      </c>
      <c r="X186" s="171">
        <v>0</v>
      </c>
      <c r="Y186" s="171">
        <f>$X$186*$K$186</f>
        <v>0</v>
      </c>
      <c r="Z186" s="171">
        <v>0</v>
      </c>
      <c r="AA186" s="172">
        <f>$Z$186*$K$186</f>
        <v>0</v>
      </c>
      <c r="AR186" s="114" t="s">
        <v>135</v>
      </c>
      <c r="AT186" s="114" t="s">
        <v>131</v>
      </c>
      <c r="AU186" s="114" t="s">
        <v>93</v>
      </c>
      <c r="AY186" s="114" t="s">
        <v>130</v>
      </c>
      <c r="BE186" s="173">
        <f>IF($U$186="základní",$N$186,0)</f>
        <v>0</v>
      </c>
      <c r="BF186" s="173">
        <f>IF($U$186="snížená",$N$186,0)</f>
        <v>0</v>
      </c>
      <c r="BG186" s="173">
        <f>IF($U$186="zákl. přenesená",$N$186,0)</f>
        <v>0</v>
      </c>
      <c r="BH186" s="173">
        <f>IF($U$186="sníž. přenesená",$N$186,0)</f>
        <v>0</v>
      </c>
      <c r="BI186" s="173">
        <f>IF($U$186="nulová",$N$186,0)</f>
        <v>0</v>
      </c>
      <c r="BJ186" s="114" t="s">
        <v>17</v>
      </c>
      <c r="BK186" s="173">
        <f>ROUND($L$186*$K$186,2)</f>
        <v>0</v>
      </c>
      <c r="BL186" s="114" t="s">
        <v>135</v>
      </c>
    </row>
    <row r="187" spans="2:64" s="114" customFormat="1" ht="27" customHeight="1">
      <c r="B187" s="113"/>
      <c r="C187" s="167">
        <v>71</v>
      </c>
      <c r="D187" s="167" t="s">
        <v>131</v>
      </c>
      <c r="E187" s="168" t="s">
        <v>315</v>
      </c>
      <c r="F187" s="215" t="s">
        <v>316</v>
      </c>
      <c r="G187" s="215"/>
      <c r="H187" s="215"/>
      <c r="I187" s="215"/>
      <c r="J187" s="169" t="s">
        <v>155</v>
      </c>
      <c r="K187" s="170">
        <v>333.785</v>
      </c>
      <c r="L187" s="211"/>
      <c r="M187" s="211"/>
      <c r="N187" s="211">
        <f>ROUND($L$187*$K$187,2)</f>
        <v>0</v>
      </c>
      <c r="O187" s="211"/>
      <c r="P187" s="211"/>
      <c r="Q187" s="211"/>
      <c r="R187" s="116"/>
      <c r="T187" s="184"/>
      <c r="U187" s="185" t="s">
        <v>38</v>
      </c>
      <c r="V187" s="171">
        <v>0</v>
      </c>
      <c r="W187" s="171">
        <f>$V$187*$K$187</f>
        <v>0</v>
      </c>
      <c r="X187" s="171">
        <v>0</v>
      </c>
      <c r="Y187" s="171">
        <f>$X$187*$K$187</f>
        <v>0</v>
      </c>
      <c r="Z187" s="171">
        <v>0</v>
      </c>
      <c r="AA187" s="172">
        <f>$Z$187*$K$187</f>
        <v>0</v>
      </c>
      <c r="AR187" s="114" t="s">
        <v>135</v>
      </c>
      <c r="AT187" s="114" t="s">
        <v>131</v>
      </c>
      <c r="AU187" s="114" t="s">
        <v>93</v>
      </c>
      <c r="AY187" s="114" t="s">
        <v>130</v>
      </c>
      <c r="BE187" s="173">
        <f>IF($U$187="základní",$N$187,0)</f>
        <v>0</v>
      </c>
      <c r="BF187" s="173">
        <f>IF($U$187="snížená",$N$187,0)</f>
        <v>0</v>
      </c>
      <c r="BG187" s="173">
        <f>IF($U$187="zákl. přenesená",$N$187,0)</f>
        <v>0</v>
      </c>
      <c r="BH187" s="173">
        <f>IF($U$187="sníž. přenesená",$N$187,0)</f>
        <v>0</v>
      </c>
      <c r="BI187" s="173">
        <f>IF($U$187="nulová",$N$187,0)</f>
        <v>0</v>
      </c>
      <c r="BJ187" s="114" t="s">
        <v>17</v>
      </c>
      <c r="BK187" s="173">
        <f>ROUND($L$187*$K$187,2)</f>
        <v>0</v>
      </c>
      <c r="BL187" s="114" t="s">
        <v>135</v>
      </c>
    </row>
    <row r="188" spans="2:63" s="158" customFormat="1" ht="30.75" customHeight="1">
      <c r="B188" s="157"/>
      <c r="D188" s="166" t="s">
        <v>110</v>
      </c>
      <c r="N188" s="213">
        <f>$BK$188</f>
        <v>0</v>
      </c>
      <c r="O188" s="213"/>
      <c r="P188" s="213"/>
      <c r="Q188" s="213"/>
      <c r="R188" s="160"/>
      <c r="T188" s="161"/>
      <c r="W188" s="162">
        <f>$W$189</f>
        <v>186.5721</v>
      </c>
      <c r="Y188" s="162">
        <f>$Y$189</f>
        <v>0</v>
      </c>
      <c r="AA188" s="163">
        <f>$AA$189</f>
        <v>0</v>
      </c>
      <c r="AR188" s="164" t="s">
        <v>17</v>
      </c>
      <c r="AT188" s="164" t="s">
        <v>72</v>
      </c>
      <c r="AU188" s="164" t="s">
        <v>17</v>
      </c>
      <c r="AY188" s="164" t="s">
        <v>130</v>
      </c>
      <c r="BK188" s="165">
        <f>$BK$189</f>
        <v>0</v>
      </c>
    </row>
    <row r="189" spans="2:64" s="114" customFormat="1" ht="39" customHeight="1">
      <c r="B189" s="113"/>
      <c r="C189" s="167">
        <v>72</v>
      </c>
      <c r="D189" s="167" t="s">
        <v>131</v>
      </c>
      <c r="E189" s="168" t="s">
        <v>317</v>
      </c>
      <c r="F189" s="215" t="s">
        <v>318</v>
      </c>
      <c r="G189" s="215"/>
      <c r="H189" s="215"/>
      <c r="I189" s="215"/>
      <c r="J189" s="169" t="s">
        <v>155</v>
      </c>
      <c r="K189" s="170">
        <v>2826.85</v>
      </c>
      <c r="L189" s="211"/>
      <c r="M189" s="211"/>
      <c r="N189" s="211">
        <f>ROUND($L$189*$K$189,2)</f>
        <v>0</v>
      </c>
      <c r="O189" s="211"/>
      <c r="P189" s="211"/>
      <c r="Q189" s="211"/>
      <c r="R189" s="116"/>
      <c r="T189" s="184"/>
      <c r="U189" s="185" t="s">
        <v>38</v>
      </c>
      <c r="V189" s="171">
        <v>0.066</v>
      </c>
      <c r="W189" s="171">
        <f>$V$189*$K$189</f>
        <v>186.5721</v>
      </c>
      <c r="X189" s="171">
        <v>0</v>
      </c>
      <c r="Y189" s="171">
        <f>$X$189*$K$189</f>
        <v>0</v>
      </c>
      <c r="Z189" s="171">
        <v>0</v>
      </c>
      <c r="AA189" s="172">
        <f>$Z$189*$K$189</f>
        <v>0</v>
      </c>
      <c r="AR189" s="114" t="s">
        <v>135</v>
      </c>
      <c r="AT189" s="114" t="s">
        <v>131</v>
      </c>
      <c r="AU189" s="114" t="s">
        <v>93</v>
      </c>
      <c r="AY189" s="114" t="s">
        <v>130</v>
      </c>
      <c r="BE189" s="173">
        <f>IF($U$189="základní",$N$189,0)</f>
        <v>0</v>
      </c>
      <c r="BF189" s="173">
        <f>IF($U$189="snížená",$N$189,0)</f>
        <v>0</v>
      </c>
      <c r="BG189" s="173">
        <f>IF($U$189="zákl. přenesená",$N$189,0)</f>
        <v>0</v>
      </c>
      <c r="BH189" s="173">
        <f>IF($U$189="sníž. přenesená",$N$189,0)</f>
        <v>0</v>
      </c>
      <c r="BI189" s="173">
        <f>IF($U$189="nulová",$N$189,0)</f>
        <v>0</v>
      </c>
      <c r="BJ189" s="114" t="s">
        <v>17</v>
      </c>
      <c r="BK189" s="173">
        <f>ROUND($L$189*$K$189,2)</f>
        <v>0</v>
      </c>
      <c r="BL189" s="114" t="s">
        <v>135</v>
      </c>
    </row>
    <row r="190" spans="2:63" s="158" customFormat="1" ht="37.5" customHeight="1">
      <c r="B190" s="157"/>
      <c r="D190" s="159" t="s">
        <v>111</v>
      </c>
      <c r="N190" s="212">
        <f>$BK$190</f>
        <v>0</v>
      </c>
      <c r="O190" s="212"/>
      <c r="P190" s="212"/>
      <c r="Q190" s="212"/>
      <c r="R190" s="160"/>
      <c r="T190" s="161"/>
      <c r="W190" s="162">
        <f>$W$191+$W$193</f>
        <v>0</v>
      </c>
      <c r="Y190" s="162">
        <f>$Y$191+$Y$193</f>
        <v>0</v>
      </c>
      <c r="AA190" s="163">
        <f>$AA$191+$AA$193</f>
        <v>0</v>
      </c>
      <c r="AR190" s="164" t="s">
        <v>143</v>
      </c>
      <c r="AT190" s="164" t="s">
        <v>72</v>
      </c>
      <c r="AU190" s="164" t="s">
        <v>73</v>
      </c>
      <c r="AY190" s="164" t="s">
        <v>130</v>
      </c>
      <c r="BK190" s="165">
        <f>$BK$191+$BK$193</f>
        <v>0</v>
      </c>
    </row>
    <row r="191" spans="2:63" s="158" customFormat="1" ht="21" customHeight="1">
      <c r="B191" s="157"/>
      <c r="D191" s="166" t="s">
        <v>112</v>
      </c>
      <c r="N191" s="213">
        <f>$BK$191</f>
        <v>0</v>
      </c>
      <c r="O191" s="213"/>
      <c r="P191" s="213"/>
      <c r="Q191" s="213"/>
      <c r="R191" s="160"/>
      <c r="T191" s="161"/>
      <c r="W191" s="162">
        <f>$W$192</f>
        <v>0</v>
      </c>
      <c r="Y191" s="162">
        <f>$Y$192</f>
        <v>0</v>
      </c>
      <c r="AA191" s="163">
        <f>$AA$192</f>
        <v>0</v>
      </c>
      <c r="AR191" s="164" t="s">
        <v>143</v>
      </c>
      <c r="AT191" s="164" t="s">
        <v>72</v>
      </c>
      <c r="AU191" s="164" t="s">
        <v>17</v>
      </c>
      <c r="AY191" s="164" t="s">
        <v>130</v>
      </c>
      <c r="BK191" s="165">
        <f>$BK$192</f>
        <v>0</v>
      </c>
    </row>
    <row r="192" spans="2:64" s="114" customFormat="1" ht="15.75" customHeight="1">
      <c r="B192" s="113"/>
      <c r="C192" s="167">
        <v>73</v>
      </c>
      <c r="D192" s="167" t="s">
        <v>131</v>
      </c>
      <c r="E192" s="168" t="s">
        <v>319</v>
      </c>
      <c r="F192" s="215" t="s">
        <v>320</v>
      </c>
      <c r="G192" s="215"/>
      <c r="H192" s="215"/>
      <c r="I192" s="215"/>
      <c r="J192" s="169" t="s">
        <v>321</v>
      </c>
      <c r="K192" s="170">
        <v>1</v>
      </c>
      <c r="L192" s="211"/>
      <c r="M192" s="211"/>
      <c r="N192" s="211">
        <f>ROUND($L$192*$K$192,2)</f>
        <v>0</v>
      </c>
      <c r="O192" s="211"/>
      <c r="P192" s="211"/>
      <c r="Q192" s="211"/>
      <c r="R192" s="116"/>
      <c r="T192" s="184"/>
      <c r="U192" s="185" t="s">
        <v>38</v>
      </c>
      <c r="V192" s="171">
        <v>0</v>
      </c>
      <c r="W192" s="171">
        <f>$V$192*$K$192</f>
        <v>0</v>
      </c>
      <c r="X192" s="171">
        <v>0</v>
      </c>
      <c r="Y192" s="171">
        <f>$X$192*$K$192</f>
        <v>0</v>
      </c>
      <c r="Z192" s="171">
        <v>0</v>
      </c>
      <c r="AA192" s="172">
        <f>$Z$192*$K$192</f>
        <v>0</v>
      </c>
      <c r="AR192" s="114" t="s">
        <v>322</v>
      </c>
      <c r="AT192" s="114" t="s">
        <v>131</v>
      </c>
      <c r="AU192" s="114" t="s">
        <v>93</v>
      </c>
      <c r="AY192" s="114" t="s">
        <v>130</v>
      </c>
      <c r="BE192" s="173">
        <f>IF($U$192="základní",$N$192,0)</f>
        <v>0</v>
      </c>
      <c r="BF192" s="173">
        <f>IF($U$192="snížená",$N$192,0)</f>
        <v>0</v>
      </c>
      <c r="BG192" s="173">
        <f>IF($U$192="zákl. přenesená",$N$192,0)</f>
        <v>0</v>
      </c>
      <c r="BH192" s="173">
        <f>IF($U$192="sníž. přenesená",$N$192,0)</f>
        <v>0</v>
      </c>
      <c r="BI192" s="173">
        <f>IF($U$192="nulová",$N$192,0)</f>
        <v>0</v>
      </c>
      <c r="BJ192" s="114" t="s">
        <v>17</v>
      </c>
      <c r="BK192" s="173">
        <f>ROUND($L$192*$K$192,2)</f>
        <v>0</v>
      </c>
      <c r="BL192" s="114" t="s">
        <v>322</v>
      </c>
    </row>
    <row r="193" spans="2:63" s="158" customFormat="1" ht="30.75" customHeight="1">
      <c r="B193" s="157"/>
      <c r="D193" s="166" t="s">
        <v>113</v>
      </c>
      <c r="N193" s="213">
        <f>$BK$193</f>
        <v>0</v>
      </c>
      <c r="O193" s="213"/>
      <c r="P193" s="213"/>
      <c r="Q193" s="213"/>
      <c r="R193" s="160"/>
      <c r="T193" s="161"/>
      <c r="W193" s="162">
        <f>$W$194</f>
        <v>0</v>
      </c>
      <c r="Y193" s="162">
        <f>$Y$194</f>
        <v>0</v>
      </c>
      <c r="AA193" s="163">
        <f>$AA$194</f>
        <v>0</v>
      </c>
      <c r="AR193" s="164" t="s">
        <v>143</v>
      </c>
      <c r="AT193" s="164" t="s">
        <v>72</v>
      </c>
      <c r="AU193" s="164" t="s">
        <v>17</v>
      </c>
      <c r="AY193" s="164" t="s">
        <v>130</v>
      </c>
      <c r="BK193" s="165">
        <f>$BK$194</f>
        <v>0</v>
      </c>
    </row>
    <row r="194" spans="2:64" s="114" customFormat="1" ht="15.75" customHeight="1">
      <c r="B194" s="113"/>
      <c r="C194" s="167">
        <v>74</v>
      </c>
      <c r="D194" s="167" t="s">
        <v>131</v>
      </c>
      <c r="E194" s="168" t="s">
        <v>323</v>
      </c>
      <c r="F194" s="215" t="s">
        <v>324</v>
      </c>
      <c r="G194" s="215"/>
      <c r="H194" s="215"/>
      <c r="I194" s="215"/>
      <c r="J194" s="169" t="s">
        <v>321</v>
      </c>
      <c r="K194" s="170">
        <v>1</v>
      </c>
      <c r="L194" s="211"/>
      <c r="M194" s="211"/>
      <c r="N194" s="211">
        <f>ROUND($L$194*$K$194,2)</f>
        <v>0</v>
      </c>
      <c r="O194" s="211"/>
      <c r="P194" s="211"/>
      <c r="Q194" s="211"/>
      <c r="R194" s="116"/>
      <c r="T194" s="184"/>
      <c r="U194" s="191" t="s">
        <v>38</v>
      </c>
      <c r="V194" s="172">
        <v>0</v>
      </c>
      <c r="W194" s="172">
        <f>$V$194*$K$194</f>
        <v>0</v>
      </c>
      <c r="X194" s="172">
        <v>0</v>
      </c>
      <c r="Y194" s="172">
        <f>$X$194*$K$194</f>
        <v>0</v>
      </c>
      <c r="Z194" s="172">
        <v>0</v>
      </c>
      <c r="AA194" s="172">
        <f>$Z$194*$K$194</f>
        <v>0</v>
      </c>
      <c r="AR194" s="114" t="s">
        <v>322</v>
      </c>
      <c r="AT194" s="114" t="s">
        <v>131</v>
      </c>
      <c r="AU194" s="114" t="s">
        <v>93</v>
      </c>
      <c r="AY194" s="114" t="s">
        <v>130</v>
      </c>
      <c r="BE194" s="173">
        <f>IF($U$194="základní",$N$194,0)</f>
        <v>0</v>
      </c>
      <c r="BF194" s="173">
        <f>IF($U$194="snížená",$N$194,0)</f>
        <v>0</v>
      </c>
      <c r="BG194" s="173">
        <f>IF($U$194="zákl. přenesená",$N$194,0)</f>
        <v>0</v>
      </c>
      <c r="BH194" s="173">
        <f>IF($U$194="sníž. přenesená",$N$194,0)</f>
        <v>0</v>
      </c>
      <c r="BI194" s="173">
        <f>IF($U$194="nulová",$N$194,0)</f>
        <v>0</v>
      </c>
      <c r="BJ194" s="114" t="s">
        <v>17</v>
      </c>
      <c r="BK194" s="173">
        <f>ROUND($L$194*$K$194,2)</f>
        <v>0</v>
      </c>
      <c r="BL194" s="114" t="s">
        <v>322</v>
      </c>
    </row>
    <row r="195" spans="2:18" s="114" customFormat="1" ht="7.5" customHeight="1">
      <c r="B195" s="133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5"/>
    </row>
    <row r="65533" ht="12.75" customHeight="1"/>
    <row r="65534" ht="12.75" customHeight="1"/>
    <row r="65535" ht="12.75" customHeight="1"/>
    <row r="65536" ht="12.75" customHeight="1"/>
  </sheetData>
  <sheetProtection password="CC3D" sheet="1"/>
  <protectedRanges>
    <protectedRange sqref="L112:M195" name="Oblast1"/>
  </protectedRanges>
  <mergeCells count="309">
    <mergeCell ref="N127:Q127"/>
    <mergeCell ref="S113:V113"/>
    <mergeCell ref="S114:V114"/>
    <mergeCell ref="N119:Q119"/>
    <mergeCell ref="N129:Q129"/>
    <mergeCell ref="N142:Q142"/>
    <mergeCell ref="S120:V120"/>
    <mergeCell ref="S121:V121"/>
    <mergeCell ref="S122:V122"/>
    <mergeCell ref="L166:M166"/>
    <mergeCell ref="N166:Q166"/>
    <mergeCell ref="S112:V112"/>
    <mergeCell ref="L114:M114"/>
    <mergeCell ref="L115:M115"/>
    <mergeCell ref="L164:M164"/>
    <mergeCell ref="N116:Q116"/>
    <mergeCell ref="N164:Q164"/>
    <mergeCell ref="S118:V118"/>
    <mergeCell ref="S123:V123"/>
    <mergeCell ref="F121:I121"/>
    <mergeCell ref="F118:I118"/>
    <mergeCell ref="L118:M118"/>
    <mergeCell ref="N118:Q118"/>
    <mergeCell ref="L167:M167"/>
    <mergeCell ref="N114:Q114"/>
    <mergeCell ref="N115:Q115"/>
    <mergeCell ref="L121:M121"/>
    <mergeCell ref="N121:Q121"/>
    <mergeCell ref="L119:M119"/>
    <mergeCell ref="O18:P18"/>
    <mergeCell ref="O20:P20"/>
    <mergeCell ref="O21:P21"/>
    <mergeCell ref="F114:I114"/>
    <mergeCell ref="F115:I115"/>
    <mergeCell ref="F116:I116"/>
    <mergeCell ref="L116:M116"/>
    <mergeCell ref="M24:P24"/>
    <mergeCell ref="M25:P25"/>
    <mergeCell ref="M27:P27"/>
    <mergeCell ref="H1:K1"/>
    <mergeCell ref="C2:Q2"/>
    <mergeCell ref="O12:P12"/>
    <mergeCell ref="O14:P14"/>
    <mergeCell ref="O15:P15"/>
    <mergeCell ref="O17:P17"/>
    <mergeCell ref="S2:AC2"/>
    <mergeCell ref="C4:Q4"/>
    <mergeCell ref="F6:P6"/>
    <mergeCell ref="F7:P7"/>
    <mergeCell ref="O9:P9"/>
    <mergeCell ref="O11:P11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66:Q66"/>
    <mergeCell ref="F68:P68"/>
    <mergeCell ref="F69:P69"/>
    <mergeCell ref="M71:P71"/>
    <mergeCell ref="M73:Q73"/>
    <mergeCell ref="M74:Q74"/>
    <mergeCell ref="C76:G76"/>
    <mergeCell ref="N76:Q76"/>
    <mergeCell ref="N78:Q78"/>
    <mergeCell ref="N79:Q79"/>
    <mergeCell ref="N80:Q80"/>
    <mergeCell ref="N81:Q81"/>
    <mergeCell ref="N82:Q82"/>
    <mergeCell ref="N83:Q83"/>
    <mergeCell ref="N84:Q84"/>
    <mergeCell ref="N85:Q85"/>
    <mergeCell ref="N86:Q86"/>
    <mergeCell ref="N87:Q87"/>
    <mergeCell ref="N88:Q88"/>
    <mergeCell ref="N90:Q90"/>
    <mergeCell ref="L92:Q92"/>
    <mergeCell ref="C98:Q98"/>
    <mergeCell ref="F100:P100"/>
    <mergeCell ref="F101:P101"/>
    <mergeCell ref="M103:P103"/>
    <mergeCell ref="M105:Q105"/>
    <mergeCell ref="M106:Q106"/>
    <mergeCell ref="F108:I108"/>
    <mergeCell ref="L108:M108"/>
    <mergeCell ref="N108:Q108"/>
    <mergeCell ref="N109:Q109"/>
    <mergeCell ref="N110:Q110"/>
    <mergeCell ref="N111:Q111"/>
    <mergeCell ref="F112:I112"/>
    <mergeCell ref="L112:M112"/>
    <mergeCell ref="N112:Q112"/>
    <mergeCell ref="F113:I113"/>
    <mergeCell ref="L113:M113"/>
    <mergeCell ref="N113:Q113"/>
    <mergeCell ref="F117:I117"/>
    <mergeCell ref="L117:M117"/>
    <mergeCell ref="N117:Q117"/>
    <mergeCell ref="F122:I122"/>
    <mergeCell ref="L122:M122"/>
    <mergeCell ref="N122:Q122"/>
    <mergeCell ref="F119:I119"/>
    <mergeCell ref="F120:I120"/>
    <mergeCell ref="L120:M120"/>
    <mergeCell ref="N120:Q120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8:I128"/>
    <mergeCell ref="L128:M128"/>
    <mergeCell ref="N128:Q128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5:I165"/>
    <mergeCell ref="L165:M165"/>
    <mergeCell ref="N165:Q165"/>
    <mergeCell ref="F164:I164"/>
    <mergeCell ref="F169:I169"/>
    <mergeCell ref="L169:M169"/>
    <mergeCell ref="N169:Q169"/>
    <mergeCell ref="L168:M168"/>
    <mergeCell ref="F168:I168"/>
    <mergeCell ref="F167:I167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N179:Q179"/>
    <mergeCell ref="F176:I176"/>
    <mergeCell ref="L176:M176"/>
    <mergeCell ref="N176:Q176"/>
    <mergeCell ref="F177:I177"/>
    <mergeCell ref="L177:M177"/>
    <mergeCell ref="N177:Q177"/>
    <mergeCell ref="N180:Q180"/>
    <mergeCell ref="N181:Q181"/>
    <mergeCell ref="F182:I182"/>
    <mergeCell ref="L182:M182"/>
    <mergeCell ref="N182:Q182"/>
    <mergeCell ref="F178:I178"/>
    <mergeCell ref="L178:M178"/>
    <mergeCell ref="N178:Q178"/>
    <mergeCell ref="F179:I179"/>
    <mergeCell ref="L179:M179"/>
    <mergeCell ref="N186:Q186"/>
    <mergeCell ref="F187:I187"/>
    <mergeCell ref="L187:M187"/>
    <mergeCell ref="N187:Q187"/>
    <mergeCell ref="F184:I184"/>
    <mergeCell ref="L184:M184"/>
    <mergeCell ref="N184:Q184"/>
    <mergeCell ref="F186:I186"/>
    <mergeCell ref="L186:M186"/>
    <mergeCell ref="N193:Q193"/>
    <mergeCell ref="F194:I194"/>
    <mergeCell ref="L194:M194"/>
    <mergeCell ref="N194:Q194"/>
    <mergeCell ref="N188:Q188"/>
    <mergeCell ref="F189:I189"/>
    <mergeCell ref="L189:M189"/>
    <mergeCell ref="F192:I192"/>
    <mergeCell ref="L192:M192"/>
    <mergeCell ref="N192:Q192"/>
    <mergeCell ref="N167:Q167"/>
    <mergeCell ref="N168:Q168"/>
    <mergeCell ref="F185:I185"/>
    <mergeCell ref="L185:M185"/>
    <mergeCell ref="N185:Q185"/>
    <mergeCell ref="F183:I183"/>
    <mergeCell ref="L183:M183"/>
    <mergeCell ref="N183:Q183"/>
    <mergeCell ref="F180:I180"/>
    <mergeCell ref="L180:M180"/>
    <mergeCell ref="N189:Q189"/>
    <mergeCell ref="N190:Q190"/>
    <mergeCell ref="N191:Q191"/>
    <mergeCell ref="S115:V115"/>
    <mergeCell ref="S116:V116"/>
    <mergeCell ref="S117:V117"/>
    <mergeCell ref="S124:V124"/>
    <mergeCell ref="S125:V125"/>
    <mergeCell ref="S126:V126"/>
    <mergeCell ref="S119:V119"/>
  </mergeCells>
  <printOptions/>
  <pageMargins left="0.3937007874015748" right="0.3937007874015748" top="0.4724409448818898" bottom="0.4724409448818898" header="0.5118110236220472" footer="0.5118110236220472"/>
  <pageSetup horizontalDpi="600" verticalDpi="600" orientation="portrait" paperSize="9" scale="94" r:id="rId1"/>
  <rowBreaks count="2" manualBreakCount="2">
    <brk id="62" max="255" man="1"/>
    <brk id="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BL179"/>
  <sheetViews>
    <sheetView showGridLines="0" tabSelected="1" defaultGridColor="0" zoomScalePageLayoutView="0" colorId="8" workbookViewId="0" topLeftCell="A1">
      <pane ySplit="1" topLeftCell="A95" activePane="bottomLeft" state="frozen"/>
      <selection pane="topLeft" activeCell="F164" sqref="F164:I164"/>
      <selection pane="bottomLeft" activeCell="F113" sqref="F113:I113"/>
    </sheetView>
  </sheetViews>
  <sheetFormatPr defaultColWidth="10.5" defaultRowHeight="14.25" customHeight="1"/>
  <cols>
    <col min="1" max="1" width="8.33203125" style="105" customWidth="1"/>
    <col min="2" max="2" width="1.66796875" style="105" customWidth="1"/>
    <col min="3" max="3" width="4.16015625" style="105" customWidth="1"/>
    <col min="4" max="4" width="4.33203125" style="105" customWidth="1"/>
    <col min="5" max="5" width="17.16015625" style="105" customWidth="1"/>
    <col min="6" max="7" width="11.16015625" style="105" customWidth="1"/>
    <col min="8" max="8" width="12.5" style="105" customWidth="1"/>
    <col min="9" max="9" width="7" style="105" customWidth="1"/>
    <col min="10" max="10" width="5.16015625" style="105" customWidth="1"/>
    <col min="11" max="11" width="11.5" style="105" customWidth="1"/>
    <col min="12" max="12" width="12" style="105" customWidth="1"/>
    <col min="13" max="14" width="6" style="105" customWidth="1"/>
    <col min="15" max="15" width="2" style="105" customWidth="1"/>
    <col min="16" max="16" width="12.5" style="105" customWidth="1"/>
    <col min="17" max="17" width="4.16015625" style="105" customWidth="1"/>
    <col min="18" max="18" width="1.66796875" style="105" customWidth="1"/>
    <col min="19" max="19" width="8.16015625" style="105" customWidth="1"/>
    <col min="20" max="28" width="0" style="105" hidden="1" customWidth="1"/>
    <col min="29" max="29" width="11" style="105" customWidth="1"/>
    <col min="30" max="30" width="15" style="105" customWidth="1"/>
    <col min="31" max="31" width="16.33203125" style="105" customWidth="1"/>
    <col min="32" max="43" width="10.5" style="192" customWidth="1"/>
    <col min="44" max="64" width="0" style="105" hidden="1" customWidth="1"/>
    <col min="65" max="16384" width="10.5" style="192" customWidth="1"/>
  </cols>
  <sheetData>
    <row r="1" spans="4:15" s="103" customFormat="1" ht="22.5" customHeight="1">
      <c r="D1" s="104" t="s">
        <v>1</v>
      </c>
      <c r="H1" s="240"/>
      <c r="I1" s="240"/>
      <c r="J1" s="240"/>
      <c r="K1" s="240"/>
      <c r="O1" s="104" t="s">
        <v>92</v>
      </c>
    </row>
    <row r="2" spans="3:46" s="105" customFormat="1" ht="37.5" customHeight="1"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T2" s="105" t="s">
        <v>83</v>
      </c>
    </row>
    <row r="3" spans="2:46" s="105" customFormat="1" ht="7.5" customHeight="1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8"/>
      <c r="AT3" s="105" t="s">
        <v>93</v>
      </c>
    </row>
    <row r="4" spans="2:46" s="105" customFormat="1" ht="37.5" customHeight="1">
      <c r="B4" s="109"/>
      <c r="C4" s="228" t="s">
        <v>94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110"/>
      <c r="T4" s="111" t="s">
        <v>8</v>
      </c>
      <c r="AT4" s="105" t="s">
        <v>3</v>
      </c>
    </row>
    <row r="5" spans="2:18" s="105" customFormat="1" ht="7.5" customHeight="1">
      <c r="B5" s="109"/>
      <c r="R5" s="110"/>
    </row>
    <row r="6" spans="2:18" s="105" customFormat="1" ht="30.75" customHeight="1">
      <c r="B6" s="109"/>
      <c r="D6" s="112" t="s">
        <v>12</v>
      </c>
      <c r="F6" s="229" t="str">
        <f>'Rekapitulace stavby'!$K$6</f>
        <v>II/235 Terešovksá Huť-Mlečice</v>
      </c>
      <c r="G6" s="229"/>
      <c r="H6" s="229"/>
      <c r="I6" s="229"/>
      <c r="J6" s="229"/>
      <c r="K6" s="229"/>
      <c r="L6" s="229"/>
      <c r="M6" s="229"/>
      <c r="N6" s="229"/>
      <c r="O6" s="229"/>
      <c r="P6" s="229"/>
      <c r="R6" s="110"/>
    </row>
    <row r="7" spans="2:18" s="114" customFormat="1" ht="37.5" customHeight="1">
      <c r="B7" s="113"/>
      <c r="D7" s="115" t="s">
        <v>95</v>
      </c>
      <c r="F7" s="239" t="s">
        <v>325</v>
      </c>
      <c r="G7" s="239"/>
      <c r="H7" s="239"/>
      <c r="I7" s="239"/>
      <c r="J7" s="239"/>
      <c r="K7" s="239"/>
      <c r="L7" s="239"/>
      <c r="M7" s="239"/>
      <c r="N7" s="239"/>
      <c r="O7" s="239"/>
      <c r="P7" s="239"/>
      <c r="R7" s="116"/>
    </row>
    <row r="8" spans="2:18" s="114" customFormat="1" ht="15" customHeight="1">
      <c r="B8" s="113"/>
      <c r="D8" s="112" t="s">
        <v>15</v>
      </c>
      <c r="F8" s="117"/>
      <c r="M8" s="112" t="s">
        <v>16</v>
      </c>
      <c r="O8" s="117"/>
      <c r="R8" s="116"/>
    </row>
    <row r="9" spans="2:18" s="114" customFormat="1" ht="15" customHeight="1">
      <c r="B9" s="113"/>
      <c r="D9" s="112" t="s">
        <v>18</v>
      </c>
      <c r="F9" s="117" t="s">
        <v>19</v>
      </c>
      <c r="M9" s="112" t="s">
        <v>20</v>
      </c>
      <c r="O9" s="231" t="str">
        <f>'Rekapitulace stavby'!$AN$8</f>
        <v>13.12.2015</v>
      </c>
      <c r="P9" s="231"/>
      <c r="R9" s="116"/>
    </row>
    <row r="10" spans="2:18" s="114" customFormat="1" ht="12" customHeight="1">
      <c r="B10" s="113"/>
      <c r="R10" s="116"/>
    </row>
    <row r="11" spans="2:18" s="114" customFormat="1" ht="15" customHeight="1">
      <c r="B11" s="113"/>
      <c r="D11" s="112" t="s">
        <v>24</v>
      </c>
      <c r="M11" s="112" t="s">
        <v>25</v>
      </c>
      <c r="O11" s="224">
        <f>IF('Rekapitulace stavby'!$AN$10="","",'Rekapitulace stavby'!$AN$10)</f>
      </c>
      <c r="P11" s="224"/>
      <c r="R11" s="116"/>
    </row>
    <row r="12" spans="2:18" s="114" customFormat="1" ht="18.75" customHeight="1">
      <c r="B12" s="113"/>
      <c r="E12" s="117" t="str">
        <f>IF('Rekapitulace stavby'!$E$11="","",'Rekapitulace stavby'!$E$11)</f>
        <v>Obec Terešov, Mlečice, Chlum, Zvíkovec</v>
      </c>
      <c r="M12" s="112" t="s">
        <v>27</v>
      </c>
      <c r="O12" s="224">
        <f>IF('Rekapitulace stavby'!$AN$11="","",'Rekapitulace stavby'!$AN$11)</f>
      </c>
      <c r="P12" s="224"/>
      <c r="R12" s="116"/>
    </row>
    <row r="13" spans="2:18" s="114" customFormat="1" ht="7.5" customHeight="1">
      <c r="B13" s="113"/>
      <c r="R13" s="116"/>
    </row>
    <row r="14" spans="2:18" s="114" customFormat="1" ht="15" customHeight="1">
      <c r="B14" s="113"/>
      <c r="D14" s="112" t="s">
        <v>28</v>
      </c>
      <c r="M14" s="112" t="s">
        <v>25</v>
      </c>
      <c r="O14" s="224">
        <f>IF('Rekapitulace stavby'!$AN$13="","",'Rekapitulace stavby'!$AN$13)</f>
      </c>
      <c r="P14" s="224"/>
      <c r="R14" s="116"/>
    </row>
    <row r="15" spans="2:18" s="114" customFormat="1" ht="18.75" customHeight="1">
      <c r="B15" s="113"/>
      <c r="E15" s="117" t="str">
        <f>IF('Rekapitulace stavby'!$E$14="","",'Rekapitulace stavby'!$E$14)</f>
        <v> </v>
      </c>
      <c r="M15" s="112" t="s">
        <v>27</v>
      </c>
      <c r="O15" s="224">
        <f>IF('Rekapitulace stavby'!$AN$14="","",'Rekapitulace stavby'!$AN$14)</f>
      </c>
      <c r="P15" s="224"/>
      <c r="R15" s="116"/>
    </row>
    <row r="16" spans="2:18" s="114" customFormat="1" ht="7.5" customHeight="1">
      <c r="B16" s="113"/>
      <c r="R16" s="116"/>
    </row>
    <row r="17" spans="2:18" s="114" customFormat="1" ht="15" customHeight="1">
      <c r="B17" s="113"/>
      <c r="D17" s="112" t="s">
        <v>29</v>
      </c>
      <c r="M17" s="112" t="s">
        <v>25</v>
      </c>
      <c r="O17" s="224"/>
      <c r="P17" s="224"/>
      <c r="R17" s="116"/>
    </row>
    <row r="18" spans="2:18" s="114" customFormat="1" ht="18.75" customHeight="1">
      <c r="B18" s="113"/>
      <c r="E18" s="117" t="s">
        <v>30</v>
      </c>
      <c r="M18" s="112" t="s">
        <v>27</v>
      </c>
      <c r="O18" s="224"/>
      <c r="P18" s="224"/>
      <c r="R18" s="116"/>
    </row>
    <row r="19" spans="2:18" s="114" customFormat="1" ht="7.5" customHeight="1">
      <c r="B19" s="113"/>
      <c r="R19" s="116"/>
    </row>
    <row r="20" spans="2:18" s="114" customFormat="1" ht="15" customHeight="1">
      <c r="B20" s="113"/>
      <c r="D20" s="112" t="s">
        <v>32</v>
      </c>
      <c r="M20" s="112" t="s">
        <v>25</v>
      </c>
      <c r="O20" s="224">
        <f>IF('Rekapitulace stavby'!$AN$19="","",'Rekapitulace stavby'!$AN$19)</f>
      </c>
      <c r="P20" s="224"/>
      <c r="R20" s="116"/>
    </row>
    <row r="21" spans="2:18" s="114" customFormat="1" ht="18.75" customHeight="1">
      <c r="B21" s="113"/>
      <c r="E21" s="117" t="str">
        <f>IF('Rekapitulace stavby'!$E$20="","",'Rekapitulace stavby'!$E$20)</f>
        <v>Lenka Jandová</v>
      </c>
      <c r="M21" s="112" t="s">
        <v>27</v>
      </c>
      <c r="O21" s="224">
        <f>IF('Rekapitulace stavby'!$AN$20="","",'Rekapitulace stavby'!$AN$20)</f>
      </c>
      <c r="P21" s="224"/>
      <c r="R21" s="116"/>
    </row>
    <row r="22" spans="2:18" s="114" customFormat="1" ht="7.5" customHeight="1">
      <c r="B22" s="113"/>
      <c r="R22" s="116"/>
    </row>
    <row r="23" spans="2:18" s="114" customFormat="1" ht="7.5" customHeight="1">
      <c r="B23" s="113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R23" s="116"/>
    </row>
    <row r="24" spans="2:18" s="114" customFormat="1" ht="15" customHeight="1">
      <c r="B24" s="113"/>
      <c r="D24" s="119" t="s">
        <v>97</v>
      </c>
      <c r="M24" s="242">
        <f>$N$78</f>
        <v>0</v>
      </c>
      <c r="N24" s="242"/>
      <c r="O24" s="242"/>
      <c r="P24" s="242"/>
      <c r="R24" s="116"/>
    </row>
    <row r="25" spans="2:18" s="114" customFormat="1" ht="15" customHeight="1">
      <c r="B25" s="113"/>
      <c r="D25" s="120" t="s">
        <v>98</v>
      </c>
      <c r="M25" s="242">
        <f>$N$89</f>
        <v>0</v>
      </c>
      <c r="N25" s="242"/>
      <c r="O25" s="242"/>
      <c r="P25" s="242"/>
      <c r="R25" s="116"/>
    </row>
    <row r="26" spans="2:18" s="114" customFormat="1" ht="7.5" customHeight="1">
      <c r="B26" s="113"/>
      <c r="R26" s="116"/>
    </row>
    <row r="27" spans="2:18" s="114" customFormat="1" ht="26.25" customHeight="1">
      <c r="B27" s="113"/>
      <c r="D27" s="121" t="s">
        <v>36</v>
      </c>
      <c r="M27" s="243">
        <f>ROUND($M$24+$M$25,2)</f>
        <v>0</v>
      </c>
      <c r="N27" s="243"/>
      <c r="O27" s="243"/>
      <c r="P27" s="243"/>
      <c r="R27" s="116"/>
    </row>
    <row r="28" spans="2:18" s="114" customFormat="1" ht="7.5" customHeight="1">
      <c r="B28" s="113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R28" s="116"/>
    </row>
    <row r="29" spans="2:18" s="114" customFormat="1" ht="15" customHeight="1">
      <c r="B29" s="113"/>
      <c r="D29" s="122" t="s">
        <v>37</v>
      </c>
      <c r="E29" s="122" t="s">
        <v>38</v>
      </c>
      <c r="F29" s="123">
        <v>0.21</v>
      </c>
      <c r="G29" s="124" t="s">
        <v>39</v>
      </c>
      <c r="H29" s="236">
        <f>ROUND((SUM($BE$89:$BE$90)+SUM($BE$108:$BE$178)),2)</f>
        <v>0</v>
      </c>
      <c r="I29" s="236"/>
      <c r="J29" s="236"/>
      <c r="M29" s="236">
        <f>ROUND((SUM($BE$89:$BE$90)+SUM($BE$108:$BE$178))*$F$29,2)</f>
        <v>0</v>
      </c>
      <c r="N29" s="236"/>
      <c r="O29" s="236"/>
      <c r="P29" s="236"/>
      <c r="R29" s="116"/>
    </row>
    <row r="30" spans="2:18" s="114" customFormat="1" ht="15" customHeight="1">
      <c r="B30" s="113"/>
      <c r="E30" s="122" t="s">
        <v>40</v>
      </c>
      <c r="F30" s="123">
        <v>0.15</v>
      </c>
      <c r="G30" s="124" t="s">
        <v>39</v>
      </c>
      <c r="H30" s="236">
        <f>ROUND((SUM($BF$89:$BF$90)+SUM($BF$108:$BF$178)),2)</f>
        <v>0</v>
      </c>
      <c r="I30" s="236"/>
      <c r="J30" s="236"/>
      <c r="M30" s="236">
        <f>ROUND((SUM($BF$89:$BF$90)+SUM($BF$108:$BF$178))*$F$30,2)</f>
        <v>0</v>
      </c>
      <c r="N30" s="236"/>
      <c r="O30" s="236"/>
      <c r="P30" s="236"/>
      <c r="R30" s="116"/>
    </row>
    <row r="31" spans="2:18" s="114" customFormat="1" ht="15" customHeight="1" hidden="1">
      <c r="B31" s="113"/>
      <c r="E31" s="122" t="s">
        <v>41</v>
      </c>
      <c r="F31" s="123">
        <v>0.21</v>
      </c>
      <c r="G31" s="124" t="s">
        <v>39</v>
      </c>
      <c r="H31" s="236">
        <f>ROUND((SUM($BG$89:$BG$90)+SUM($BG$108:$BG$178)),2)</f>
        <v>0</v>
      </c>
      <c r="I31" s="236"/>
      <c r="J31" s="236"/>
      <c r="M31" s="236">
        <v>0</v>
      </c>
      <c r="N31" s="236"/>
      <c r="O31" s="236"/>
      <c r="P31" s="236"/>
      <c r="R31" s="116"/>
    </row>
    <row r="32" spans="2:18" s="114" customFormat="1" ht="15" customHeight="1" hidden="1">
      <c r="B32" s="113"/>
      <c r="E32" s="122" t="s">
        <v>42</v>
      </c>
      <c r="F32" s="123">
        <v>0.15</v>
      </c>
      <c r="G32" s="124" t="s">
        <v>39</v>
      </c>
      <c r="H32" s="236">
        <f>ROUND((SUM($BH$89:$BH$90)+SUM($BH$108:$BH$178)),2)</f>
        <v>0</v>
      </c>
      <c r="I32" s="236"/>
      <c r="J32" s="236"/>
      <c r="M32" s="236">
        <v>0</v>
      </c>
      <c r="N32" s="236"/>
      <c r="O32" s="236"/>
      <c r="P32" s="236"/>
      <c r="R32" s="116"/>
    </row>
    <row r="33" spans="2:18" s="114" customFormat="1" ht="15" customHeight="1" hidden="1">
      <c r="B33" s="113"/>
      <c r="E33" s="122" t="s">
        <v>43</v>
      </c>
      <c r="F33" s="123">
        <v>0</v>
      </c>
      <c r="G33" s="124" t="s">
        <v>39</v>
      </c>
      <c r="H33" s="236">
        <f>ROUND((SUM($BI$89:$BI$90)+SUM($BI$108:$BI$178)),2)</f>
        <v>0</v>
      </c>
      <c r="I33" s="236"/>
      <c r="J33" s="236"/>
      <c r="M33" s="236">
        <v>0</v>
      </c>
      <c r="N33" s="236"/>
      <c r="O33" s="236"/>
      <c r="P33" s="236"/>
      <c r="R33" s="116"/>
    </row>
    <row r="34" spans="2:18" s="114" customFormat="1" ht="7.5" customHeight="1">
      <c r="B34" s="113"/>
      <c r="R34" s="116"/>
    </row>
    <row r="35" spans="2:18" s="114" customFormat="1" ht="26.25" customHeight="1">
      <c r="B35" s="113"/>
      <c r="C35" s="125"/>
      <c r="D35" s="126" t="s">
        <v>44</v>
      </c>
      <c r="E35" s="127"/>
      <c r="F35" s="127"/>
      <c r="G35" s="128" t="s">
        <v>45</v>
      </c>
      <c r="H35" s="129" t="s">
        <v>46</v>
      </c>
      <c r="I35" s="127"/>
      <c r="J35" s="127"/>
      <c r="K35" s="127"/>
      <c r="L35" s="237">
        <f>ROUND(SUM($M$27:$M$33),2)</f>
        <v>0</v>
      </c>
      <c r="M35" s="237"/>
      <c r="N35" s="237"/>
      <c r="O35" s="237"/>
      <c r="P35" s="237"/>
      <c r="Q35" s="125"/>
      <c r="R35" s="116"/>
    </row>
    <row r="36" spans="2:18" s="114" customFormat="1" ht="15" customHeight="1">
      <c r="B36" s="113"/>
      <c r="R36" s="116"/>
    </row>
    <row r="37" spans="2:18" s="114" customFormat="1" ht="15" customHeight="1">
      <c r="B37" s="113"/>
      <c r="R37" s="116"/>
    </row>
    <row r="38" spans="2:18" s="105" customFormat="1" ht="14.25" customHeight="1">
      <c r="B38" s="109"/>
      <c r="R38" s="110"/>
    </row>
    <row r="39" spans="2:18" s="105" customFormat="1" ht="14.25" customHeight="1">
      <c r="B39" s="109"/>
      <c r="R39" s="110"/>
    </row>
    <row r="40" spans="2:18" s="114" customFormat="1" ht="15.75" customHeight="1">
      <c r="B40" s="113"/>
      <c r="D40" s="130" t="s">
        <v>47</v>
      </c>
      <c r="E40" s="118"/>
      <c r="F40" s="118"/>
      <c r="G40" s="118"/>
      <c r="H40" s="118"/>
      <c r="J40" s="130" t="s">
        <v>48</v>
      </c>
      <c r="K40" s="118"/>
      <c r="L40" s="118"/>
      <c r="M40" s="118"/>
      <c r="N40" s="118"/>
      <c r="O40" s="118"/>
      <c r="P40" s="118"/>
      <c r="R40" s="116"/>
    </row>
    <row r="41" spans="2:18" s="105" customFormat="1" ht="14.25" customHeight="1">
      <c r="B41" s="109"/>
      <c r="D41" s="131"/>
      <c r="H41" s="131"/>
      <c r="J41" s="131"/>
      <c r="P41" s="131"/>
      <c r="R41" s="110"/>
    </row>
    <row r="42" spans="2:18" s="105" customFormat="1" ht="14.25" customHeight="1">
      <c r="B42" s="109"/>
      <c r="D42" s="131"/>
      <c r="H42" s="131"/>
      <c r="J42" s="131"/>
      <c r="P42" s="131"/>
      <c r="R42" s="110"/>
    </row>
    <row r="43" spans="2:18" s="105" customFormat="1" ht="14.25" customHeight="1">
      <c r="B43" s="109"/>
      <c r="D43" s="131"/>
      <c r="H43" s="131"/>
      <c r="J43" s="131"/>
      <c r="P43" s="131"/>
      <c r="R43" s="110"/>
    </row>
    <row r="44" spans="2:18" s="105" customFormat="1" ht="14.25" customHeight="1">
      <c r="B44" s="109"/>
      <c r="D44" s="131"/>
      <c r="H44" s="131"/>
      <c r="J44" s="131"/>
      <c r="P44" s="131"/>
      <c r="R44" s="110"/>
    </row>
    <row r="45" spans="2:18" s="105" customFormat="1" ht="14.25" customHeight="1">
      <c r="B45" s="109"/>
      <c r="D45" s="131"/>
      <c r="H45" s="131"/>
      <c r="J45" s="131"/>
      <c r="P45" s="131"/>
      <c r="R45" s="110"/>
    </row>
    <row r="46" spans="2:18" s="105" customFormat="1" ht="14.25" customHeight="1">
      <c r="B46" s="109"/>
      <c r="D46" s="131"/>
      <c r="H46" s="131"/>
      <c r="J46" s="131"/>
      <c r="P46" s="131"/>
      <c r="R46" s="110"/>
    </row>
    <row r="47" spans="2:18" s="105" customFormat="1" ht="14.25" customHeight="1">
      <c r="B47" s="109"/>
      <c r="D47" s="131"/>
      <c r="H47" s="131"/>
      <c r="J47" s="131"/>
      <c r="P47" s="131"/>
      <c r="R47" s="110"/>
    </row>
    <row r="48" spans="2:18" s="105" customFormat="1" ht="14.25" customHeight="1">
      <c r="B48" s="109"/>
      <c r="D48" s="131"/>
      <c r="H48" s="131"/>
      <c r="J48" s="131"/>
      <c r="P48" s="131"/>
      <c r="R48" s="110"/>
    </row>
    <row r="49" spans="2:18" s="114" customFormat="1" ht="15.75" customHeight="1">
      <c r="B49" s="113"/>
      <c r="D49" s="132" t="s">
        <v>49</v>
      </c>
      <c r="E49" s="118"/>
      <c r="F49" s="118"/>
      <c r="G49" s="132" t="s">
        <v>50</v>
      </c>
      <c r="H49" s="118"/>
      <c r="J49" s="132" t="s">
        <v>49</v>
      </c>
      <c r="K49" s="118"/>
      <c r="L49" s="118"/>
      <c r="M49" s="118"/>
      <c r="N49" s="132" t="s">
        <v>50</v>
      </c>
      <c r="O49" s="118"/>
      <c r="P49" s="118"/>
      <c r="R49" s="116"/>
    </row>
    <row r="50" spans="2:18" s="105" customFormat="1" ht="14.25" customHeight="1">
      <c r="B50" s="109"/>
      <c r="R50" s="110"/>
    </row>
    <row r="51" spans="2:18" s="114" customFormat="1" ht="15.75" customHeight="1">
      <c r="B51" s="113"/>
      <c r="D51" s="130" t="s">
        <v>51</v>
      </c>
      <c r="E51" s="118"/>
      <c r="F51" s="118"/>
      <c r="G51" s="118"/>
      <c r="H51" s="118"/>
      <c r="J51" s="130" t="s">
        <v>52</v>
      </c>
      <c r="K51" s="118"/>
      <c r="L51" s="118"/>
      <c r="M51" s="118"/>
      <c r="N51" s="118"/>
      <c r="O51" s="118"/>
      <c r="P51" s="118"/>
      <c r="R51" s="116"/>
    </row>
    <row r="52" spans="2:18" s="105" customFormat="1" ht="14.25" customHeight="1">
      <c r="B52" s="109"/>
      <c r="D52" s="131"/>
      <c r="H52" s="131"/>
      <c r="J52" s="131"/>
      <c r="P52" s="131"/>
      <c r="R52" s="110"/>
    </row>
    <row r="53" spans="2:18" s="105" customFormat="1" ht="14.25" customHeight="1">
      <c r="B53" s="109"/>
      <c r="D53" s="131"/>
      <c r="H53" s="131"/>
      <c r="J53" s="131"/>
      <c r="P53" s="131"/>
      <c r="R53" s="110"/>
    </row>
    <row r="54" spans="2:18" s="105" customFormat="1" ht="14.25" customHeight="1">
      <c r="B54" s="109"/>
      <c r="D54" s="131"/>
      <c r="H54" s="131"/>
      <c r="J54" s="131"/>
      <c r="P54" s="131"/>
      <c r="R54" s="110"/>
    </row>
    <row r="55" spans="2:18" s="105" customFormat="1" ht="14.25" customHeight="1">
      <c r="B55" s="109"/>
      <c r="D55" s="131"/>
      <c r="H55" s="131"/>
      <c r="J55" s="131"/>
      <c r="P55" s="131"/>
      <c r="R55" s="110"/>
    </row>
    <row r="56" spans="2:18" s="105" customFormat="1" ht="14.25" customHeight="1">
      <c r="B56" s="109"/>
      <c r="D56" s="131"/>
      <c r="H56" s="131"/>
      <c r="J56" s="131"/>
      <c r="P56" s="131"/>
      <c r="R56" s="110"/>
    </row>
    <row r="57" spans="2:18" s="105" customFormat="1" ht="14.25" customHeight="1">
      <c r="B57" s="109"/>
      <c r="D57" s="131"/>
      <c r="H57" s="131"/>
      <c r="J57" s="131"/>
      <c r="P57" s="131"/>
      <c r="R57" s="110"/>
    </row>
    <row r="58" spans="2:18" s="105" customFormat="1" ht="14.25" customHeight="1">
      <c r="B58" s="109"/>
      <c r="D58" s="131"/>
      <c r="H58" s="131"/>
      <c r="J58" s="131"/>
      <c r="P58" s="131"/>
      <c r="R58" s="110"/>
    </row>
    <row r="59" spans="2:18" s="105" customFormat="1" ht="14.25" customHeight="1">
      <c r="B59" s="109"/>
      <c r="D59" s="131"/>
      <c r="H59" s="131"/>
      <c r="J59" s="131"/>
      <c r="P59" s="131"/>
      <c r="R59" s="110"/>
    </row>
    <row r="60" spans="2:18" s="114" customFormat="1" ht="15.75" customHeight="1">
      <c r="B60" s="113"/>
      <c r="D60" s="132" t="s">
        <v>49</v>
      </c>
      <c r="E60" s="118"/>
      <c r="F60" s="118"/>
      <c r="G60" s="132" t="s">
        <v>50</v>
      </c>
      <c r="H60" s="118"/>
      <c r="J60" s="132" t="s">
        <v>49</v>
      </c>
      <c r="K60" s="118"/>
      <c r="L60" s="118"/>
      <c r="M60" s="118"/>
      <c r="N60" s="132" t="s">
        <v>50</v>
      </c>
      <c r="O60" s="118"/>
      <c r="P60" s="118"/>
      <c r="R60" s="116"/>
    </row>
    <row r="61" spans="2:18" s="114" customFormat="1" ht="15" customHeight="1">
      <c r="B61" s="133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5"/>
    </row>
    <row r="65" spans="2:18" s="114" customFormat="1" ht="7.5" customHeight="1">
      <c r="B65" s="136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8"/>
    </row>
    <row r="66" spans="2:18" s="114" customFormat="1" ht="37.5" customHeight="1">
      <c r="B66" s="113"/>
      <c r="C66" s="228" t="s">
        <v>99</v>
      </c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116"/>
    </row>
    <row r="67" spans="2:18" s="114" customFormat="1" ht="7.5" customHeight="1">
      <c r="B67" s="113"/>
      <c r="R67" s="116"/>
    </row>
    <row r="68" spans="2:18" s="114" customFormat="1" ht="30.75" customHeight="1">
      <c r="B68" s="113"/>
      <c r="C68" s="112" t="s">
        <v>12</v>
      </c>
      <c r="F68" s="229" t="str">
        <f>$F$6</f>
        <v>II/235 Terešovksá Huť-Mlečice</v>
      </c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R68" s="116"/>
    </row>
    <row r="69" spans="2:18" s="114" customFormat="1" ht="37.5" customHeight="1">
      <c r="B69" s="113"/>
      <c r="C69" s="139" t="s">
        <v>95</v>
      </c>
      <c r="F69" s="230" t="str">
        <f>$F$7</f>
        <v>SO 102 - II/235 a II/233 Mlečice-Chlum</v>
      </c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R69" s="116"/>
    </row>
    <row r="70" spans="2:18" s="114" customFormat="1" ht="7.5" customHeight="1">
      <c r="B70" s="113"/>
      <c r="R70" s="116"/>
    </row>
    <row r="71" spans="2:18" s="114" customFormat="1" ht="18.75" customHeight="1">
      <c r="B71" s="113"/>
      <c r="C71" s="112" t="s">
        <v>18</v>
      </c>
      <c r="F71" s="117" t="str">
        <f>$F$9</f>
        <v> </v>
      </c>
      <c r="K71" s="112" t="s">
        <v>20</v>
      </c>
      <c r="M71" s="231" t="str">
        <f>IF($O$9="","",$O$9)</f>
        <v>13.12.2015</v>
      </c>
      <c r="N71" s="231"/>
      <c r="O71" s="231"/>
      <c r="P71" s="231"/>
      <c r="R71" s="116"/>
    </row>
    <row r="72" spans="2:18" s="114" customFormat="1" ht="7.5" customHeight="1">
      <c r="B72" s="113"/>
      <c r="R72" s="116"/>
    </row>
    <row r="73" spans="2:18" s="114" customFormat="1" ht="15.75" customHeight="1">
      <c r="B73" s="113"/>
      <c r="C73" s="112" t="s">
        <v>24</v>
      </c>
      <c r="F73" s="117" t="str">
        <f>$E$12</f>
        <v>Obec Terešov, Mlečice, Chlum, Zvíkovec</v>
      </c>
      <c r="K73" s="112" t="s">
        <v>29</v>
      </c>
      <c r="M73" s="224" t="str">
        <f>$E$18</f>
        <v>ing. Kamil Hrbek</v>
      </c>
      <c r="N73" s="224"/>
      <c r="O73" s="224"/>
      <c r="P73" s="224"/>
      <c r="Q73" s="224"/>
      <c r="R73" s="116"/>
    </row>
    <row r="74" spans="2:18" s="114" customFormat="1" ht="15" customHeight="1">
      <c r="B74" s="113"/>
      <c r="C74" s="112" t="s">
        <v>28</v>
      </c>
      <c r="F74" s="117" t="str">
        <f>IF($E$15="","",$E$15)</f>
        <v> </v>
      </c>
      <c r="K74" s="112" t="s">
        <v>32</v>
      </c>
      <c r="M74" s="224" t="str">
        <f>$E$21</f>
        <v>Lenka Jandová</v>
      </c>
      <c r="N74" s="224"/>
      <c r="O74" s="224"/>
      <c r="P74" s="224"/>
      <c r="Q74" s="224"/>
      <c r="R74" s="116"/>
    </row>
    <row r="75" spans="2:18" s="114" customFormat="1" ht="11.25" customHeight="1">
      <c r="B75" s="113"/>
      <c r="R75" s="116"/>
    </row>
    <row r="76" spans="2:18" s="114" customFormat="1" ht="30" customHeight="1">
      <c r="B76" s="113"/>
      <c r="C76" s="235" t="s">
        <v>100</v>
      </c>
      <c r="D76" s="235"/>
      <c r="E76" s="235"/>
      <c r="F76" s="235"/>
      <c r="G76" s="235"/>
      <c r="H76" s="125"/>
      <c r="I76" s="125"/>
      <c r="J76" s="125"/>
      <c r="K76" s="125"/>
      <c r="L76" s="125"/>
      <c r="M76" s="125"/>
      <c r="N76" s="235" t="s">
        <v>101</v>
      </c>
      <c r="O76" s="235"/>
      <c r="P76" s="235"/>
      <c r="Q76" s="235"/>
      <c r="R76" s="116"/>
    </row>
    <row r="77" spans="2:18" s="114" customFormat="1" ht="11.25" customHeight="1">
      <c r="B77" s="113"/>
      <c r="R77" s="116"/>
    </row>
    <row r="78" spans="2:47" s="114" customFormat="1" ht="30" customHeight="1">
      <c r="B78" s="113"/>
      <c r="C78" s="140" t="s">
        <v>102</v>
      </c>
      <c r="N78" s="234">
        <f>ROUND($N$108,2)</f>
        <v>0</v>
      </c>
      <c r="O78" s="234"/>
      <c r="P78" s="234"/>
      <c r="Q78" s="234"/>
      <c r="R78" s="116"/>
      <c r="AU78" s="114" t="s">
        <v>103</v>
      </c>
    </row>
    <row r="79" spans="2:18" s="142" customFormat="1" ht="25.5" customHeight="1">
      <c r="B79" s="141"/>
      <c r="D79" s="143" t="s">
        <v>104</v>
      </c>
      <c r="N79" s="233">
        <f>ROUND($N$109,2)</f>
        <v>0</v>
      </c>
      <c r="O79" s="233"/>
      <c r="P79" s="233"/>
      <c r="Q79" s="233"/>
      <c r="R79" s="144"/>
    </row>
    <row r="80" spans="2:18" s="119" customFormat="1" ht="21" customHeight="1">
      <c r="B80" s="145"/>
      <c r="D80" s="146" t="s">
        <v>105</v>
      </c>
      <c r="N80" s="232">
        <f>ROUND($N$110,2)</f>
        <v>0</v>
      </c>
      <c r="O80" s="232"/>
      <c r="P80" s="232"/>
      <c r="Q80" s="232"/>
      <c r="R80" s="147"/>
    </row>
    <row r="81" spans="2:18" s="119" customFormat="1" ht="21" customHeight="1">
      <c r="B81" s="145"/>
      <c r="D81" s="146" t="s">
        <v>107</v>
      </c>
      <c r="N81" s="232">
        <f>ROUND($N$118,2)</f>
        <v>0</v>
      </c>
      <c r="O81" s="232"/>
      <c r="P81" s="232"/>
      <c r="Q81" s="232"/>
      <c r="R81" s="147"/>
    </row>
    <row r="82" spans="2:18" s="119" customFormat="1" ht="21" customHeight="1">
      <c r="B82" s="145"/>
      <c r="D82" s="146" t="s">
        <v>108</v>
      </c>
      <c r="N82" s="232">
        <f>ROUND($N$131,2)</f>
        <v>0</v>
      </c>
      <c r="O82" s="232"/>
      <c r="P82" s="232"/>
      <c r="Q82" s="232"/>
      <c r="R82" s="147"/>
    </row>
    <row r="83" spans="2:18" s="119" customFormat="1" ht="21" customHeight="1">
      <c r="B83" s="145"/>
      <c r="D83" s="146" t="s">
        <v>109</v>
      </c>
      <c r="N83" s="232">
        <f>ROUND($N$165,2)</f>
        <v>0</v>
      </c>
      <c r="O83" s="232"/>
      <c r="P83" s="232"/>
      <c r="Q83" s="232"/>
      <c r="R83" s="147"/>
    </row>
    <row r="84" spans="2:18" s="119" customFormat="1" ht="21" customHeight="1">
      <c r="B84" s="145"/>
      <c r="D84" s="146" t="s">
        <v>110</v>
      </c>
      <c r="N84" s="232">
        <f>ROUND($N$172,2)</f>
        <v>0</v>
      </c>
      <c r="O84" s="232"/>
      <c r="P84" s="232"/>
      <c r="Q84" s="232"/>
      <c r="R84" s="147"/>
    </row>
    <row r="85" spans="2:18" s="142" customFormat="1" ht="25.5" customHeight="1">
      <c r="B85" s="141"/>
      <c r="D85" s="143" t="s">
        <v>111</v>
      </c>
      <c r="N85" s="233">
        <f>ROUND($N$174,2)</f>
        <v>0</v>
      </c>
      <c r="O85" s="233"/>
      <c r="P85" s="233"/>
      <c r="Q85" s="233"/>
      <c r="R85" s="144"/>
    </row>
    <row r="86" spans="2:18" s="119" customFormat="1" ht="21" customHeight="1">
      <c r="B86" s="145"/>
      <c r="D86" s="146" t="s">
        <v>112</v>
      </c>
      <c r="N86" s="232">
        <f>ROUND($N$175,2)</f>
        <v>0</v>
      </c>
      <c r="O86" s="232"/>
      <c r="P86" s="232"/>
      <c r="Q86" s="232"/>
      <c r="R86" s="147"/>
    </row>
    <row r="87" spans="2:18" s="119" customFormat="1" ht="21" customHeight="1">
      <c r="B87" s="145"/>
      <c r="D87" s="146" t="s">
        <v>113</v>
      </c>
      <c r="N87" s="232">
        <f>ROUND($N$177,2)</f>
        <v>0</v>
      </c>
      <c r="O87" s="232"/>
      <c r="P87" s="232"/>
      <c r="Q87" s="232"/>
      <c r="R87" s="147"/>
    </row>
    <row r="88" spans="2:18" s="114" customFormat="1" ht="22.5" customHeight="1">
      <c r="B88" s="113"/>
      <c r="R88" s="116"/>
    </row>
    <row r="89" spans="2:21" s="114" customFormat="1" ht="30" customHeight="1">
      <c r="B89" s="113"/>
      <c r="C89" s="140" t="s">
        <v>114</v>
      </c>
      <c r="N89" s="234">
        <v>0</v>
      </c>
      <c r="O89" s="234"/>
      <c r="P89" s="234"/>
      <c r="Q89" s="234"/>
      <c r="R89" s="116"/>
      <c r="T89" s="118"/>
      <c r="U89" s="148" t="s">
        <v>37</v>
      </c>
    </row>
    <row r="90" spans="2:18" s="114" customFormat="1" ht="18.75" customHeight="1">
      <c r="B90" s="113"/>
      <c r="R90" s="116"/>
    </row>
    <row r="91" spans="2:18" s="114" customFormat="1" ht="30" customHeight="1">
      <c r="B91" s="113"/>
      <c r="C91" s="149" t="s">
        <v>91</v>
      </c>
      <c r="D91" s="125"/>
      <c r="E91" s="125"/>
      <c r="F91" s="125"/>
      <c r="G91" s="125"/>
      <c r="H91" s="125"/>
      <c r="I91" s="125"/>
      <c r="J91" s="125"/>
      <c r="K91" s="125"/>
      <c r="L91" s="227">
        <f>ROUND(SUM($N$78+$N$89),2)</f>
        <v>0</v>
      </c>
      <c r="M91" s="227"/>
      <c r="N91" s="227"/>
      <c r="O91" s="227"/>
      <c r="P91" s="227"/>
      <c r="Q91" s="227"/>
      <c r="R91" s="116"/>
    </row>
    <row r="92" spans="2:18" s="114" customFormat="1" ht="7.5" customHeight="1">
      <c r="B92" s="133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5"/>
    </row>
    <row r="96" spans="2:18" s="114" customFormat="1" ht="7.5" customHeight="1">
      <c r="B96" s="136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8"/>
    </row>
    <row r="97" spans="2:18" s="114" customFormat="1" ht="37.5" customHeight="1">
      <c r="B97" s="113"/>
      <c r="C97" s="228" t="s">
        <v>115</v>
      </c>
      <c r="D97" s="228"/>
      <c r="E97" s="228"/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8"/>
      <c r="Q97" s="228"/>
      <c r="R97" s="116"/>
    </row>
    <row r="98" spans="2:18" s="114" customFormat="1" ht="7.5" customHeight="1">
      <c r="B98" s="113"/>
      <c r="R98" s="116"/>
    </row>
    <row r="99" spans="2:18" s="114" customFormat="1" ht="30.75" customHeight="1">
      <c r="B99" s="113"/>
      <c r="C99" s="112" t="s">
        <v>12</v>
      </c>
      <c r="F99" s="229" t="str">
        <f>$F$6</f>
        <v>II/235 Terešovksá Huť-Mlečice</v>
      </c>
      <c r="G99" s="229"/>
      <c r="H99" s="229"/>
      <c r="I99" s="229"/>
      <c r="J99" s="229"/>
      <c r="K99" s="229"/>
      <c r="L99" s="229"/>
      <c r="M99" s="229"/>
      <c r="N99" s="229"/>
      <c r="O99" s="229"/>
      <c r="P99" s="229"/>
      <c r="R99" s="116"/>
    </row>
    <row r="100" spans="2:18" s="114" customFormat="1" ht="37.5" customHeight="1">
      <c r="B100" s="113"/>
      <c r="C100" s="139" t="s">
        <v>95</v>
      </c>
      <c r="F100" s="230" t="str">
        <f>$F$7</f>
        <v>SO 102 - II/235 a II/233 Mlečice-Chlum</v>
      </c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R100" s="116"/>
    </row>
    <row r="101" spans="2:18" s="114" customFormat="1" ht="7.5" customHeight="1">
      <c r="B101" s="113"/>
      <c r="R101" s="116"/>
    </row>
    <row r="102" spans="2:18" s="114" customFormat="1" ht="18.75" customHeight="1">
      <c r="B102" s="113"/>
      <c r="C102" s="112" t="s">
        <v>18</v>
      </c>
      <c r="F102" s="117" t="str">
        <f>$F$9</f>
        <v> </v>
      </c>
      <c r="K102" s="112" t="s">
        <v>20</v>
      </c>
      <c r="M102" s="231" t="str">
        <f>IF($O$9="","",$O$9)</f>
        <v>13.12.2015</v>
      </c>
      <c r="N102" s="231"/>
      <c r="O102" s="231"/>
      <c r="P102" s="231"/>
      <c r="R102" s="116"/>
    </row>
    <row r="103" spans="2:18" s="114" customFormat="1" ht="7.5" customHeight="1">
      <c r="B103" s="113"/>
      <c r="R103" s="116"/>
    </row>
    <row r="104" spans="2:18" s="114" customFormat="1" ht="15.75" customHeight="1">
      <c r="B104" s="113"/>
      <c r="C104" s="112" t="s">
        <v>24</v>
      </c>
      <c r="F104" s="117" t="str">
        <f>$E$12</f>
        <v>Obec Terešov, Mlečice, Chlum, Zvíkovec</v>
      </c>
      <c r="K104" s="112" t="s">
        <v>29</v>
      </c>
      <c r="M104" s="224" t="str">
        <f>$E$18</f>
        <v>ing. Kamil Hrbek</v>
      </c>
      <c r="N104" s="224"/>
      <c r="O104" s="224"/>
      <c r="P104" s="224"/>
      <c r="Q104" s="224"/>
      <c r="R104" s="116"/>
    </row>
    <row r="105" spans="2:18" s="114" customFormat="1" ht="15" customHeight="1">
      <c r="B105" s="113"/>
      <c r="C105" s="112" t="s">
        <v>28</v>
      </c>
      <c r="F105" s="117" t="str">
        <f>IF($E$15="","",$E$15)</f>
        <v> </v>
      </c>
      <c r="K105" s="112" t="s">
        <v>32</v>
      </c>
      <c r="M105" s="224" t="str">
        <f>$E$21</f>
        <v>Lenka Jandová</v>
      </c>
      <c r="N105" s="224"/>
      <c r="O105" s="224"/>
      <c r="P105" s="224"/>
      <c r="Q105" s="224"/>
      <c r="R105" s="116"/>
    </row>
    <row r="106" spans="2:18" s="114" customFormat="1" ht="11.25" customHeight="1">
      <c r="B106" s="113"/>
      <c r="R106" s="116"/>
    </row>
    <row r="107" spans="2:27" s="153" customFormat="1" ht="30" customHeight="1">
      <c r="B107" s="150"/>
      <c r="C107" s="151" t="s">
        <v>116</v>
      </c>
      <c r="D107" s="151" t="s">
        <v>117</v>
      </c>
      <c r="E107" s="151" t="s">
        <v>55</v>
      </c>
      <c r="F107" s="225" t="s">
        <v>118</v>
      </c>
      <c r="G107" s="225"/>
      <c r="H107" s="225"/>
      <c r="I107" s="225"/>
      <c r="J107" s="151" t="s">
        <v>119</v>
      </c>
      <c r="K107" s="151" t="s">
        <v>120</v>
      </c>
      <c r="L107" s="225" t="s">
        <v>121</v>
      </c>
      <c r="M107" s="225"/>
      <c r="N107" s="225" t="s">
        <v>122</v>
      </c>
      <c r="O107" s="225"/>
      <c r="P107" s="225"/>
      <c r="Q107" s="225"/>
      <c r="R107" s="152"/>
      <c r="T107" s="154" t="s">
        <v>123</v>
      </c>
      <c r="U107" s="154" t="s">
        <v>37</v>
      </c>
      <c r="V107" s="154" t="s">
        <v>124</v>
      </c>
      <c r="W107" s="154" t="s">
        <v>125</v>
      </c>
      <c r="X107" s="154" t="s">
        <v>126</v>
      </c>
      <c r="Y107" s="154" t="s">
        <v>127</v>
      </c>
      <c r="Z107" s="154" t="s">
        <v>128</v>
      </c>
      <c r="AA107" s="154" t="s">
        <v>129</v>
      </c>
    </row>
    <row r="108" spans="2:63" s="114" customFormat="1" ht="30" customHeight="1">
      <c r="B108" s="113"/>
      <c r="C108" s="140" t="s">
        <v>97</v>
      </c>
      <c r="N108" s="226">
        <f>$BK$108</f>
        <v>0</v>
      </c>
      <c r="O108" s="226"/>
      <c r="P108" s="226"/>
      <c r="Q108" s="226"/>
      <c r="R108" s="116"/>
      <c r="T108" s="118"/>
      <c r="U108" s="118"/>
      <c r="V108" s="118"/>
      <c r="W108" s="155">
        <f>$W$109+$W$174</f>
        <v>4235.74998</v>
      </c>
      <c r="X108" s="118"/>
      <c r="Y108" s="155">
        <f>$Y$109+$Y$174</f>
        <v>4852.801163099999</v>
      </c>
      <c r="Z108" s="118"/>
      <c r="AA108" s="155">
        <f>$AA$109+$AA$174</f>
        <v>1574.89419</v>
      </c>
      <c r="AT108" s="114" t="s">
        <v>72</v>
      </c>
      <c r="AU108" s="114" t="s">
        <v>103</v>
      </c>
      <c r="BK108" s="156">
        <f>$BK$109+$BK$174</f>
        <v>0</v>
      </c>
    </row>
    <row r="109" spans="2:63" s="158" customFormat="1" ht="37.5" customHeight="1">
      <c r="B109" s="157"/>
      <c r="D109" s="159" t="s">
        <v>104</v>
      </c>
      <c r="N109" s="212">
        <f>$BK$109</f>
        <v>0</v>
      </c>
      <c r="O109" s="212"/>
      <c r="P109" s="212"/>
      <c r="Q109" s="212"/>
      <c r="R109" s="160"/>
      <c r="T109" s="161"/>
      <c r="W109" s="162">
        <f>$W$110+$W$118+$W$131+$W$165+$W$172</f>
        <v>4235.74998</v>
      </c>
      <c r="Y109" s="162">
        <f>$Y$110+$Y$118+$Y$131+$Y$165+$Y$172</f>
        <v>4852.801163099999</v>
      </c>
      <c r="AA109" s="163">
        <f>$AA$110+$AA$118+$AA$131+$AA$165+$AA$172</f>
        <v>1574.89419</v>
      </c>
      <c r="AR109" s="164" t="s">
        <v>17</v>
      </c>
      <c r="AT109" s="164" t="s">
        <v>72</v>
      </c>
      <c r="AU109" s="164" t="s">
        <v>73</v>
      </c>
      <c r="AY109" s="164" t="s">
        <v>130</v>
      </c>
      <c r="BK109" s="165">
        <f>$BK$110+$BK$118+$BK$131+$BK$165+$BK$172</f>
        <v>0</v>
      </c>
    </row>
    <row r="110" spans="2:63" s="158" customFormat="1" ht="21" customHeight="1">
      <c r="B110" s="157"/>
      <c r="D110" s="166" t="s">
        <v>105</v>
      </c>
      <c r="N110" s="213">
        <f>$BK$110</f>
        <v>0</v>
      </c>
      <c r="O110" s="213"/>
      <c r="P110" s="213"/>
      <c r="Q110" s="213"/>
      <c r="R110" s="160"/>
      <c r="T110" s="161"/>
      <c r="W110" s="162">
        <f>SUM($W$111:$W$117)</f>
        <v>568.4535</v>
      </c>
      <c r="Y110" s="162">
        <f>SUM($Y$111:$Y$117)</f>
        <v>378.5818761</v>
      </c>
      <c r="AA110" s="163">
        <f>SUM($AA$111:$AA$117)</f>
        <v>1353.98199</v>
      </c>
      <c r="AR110" s="164" t="s">
        <v>17</v>
      </c>
      <c r="AT110" s="164" t="s">
        <v>72</v>
      </c>
      <c r="AU110" s="164" t="s">
        <v>17</v>
      </c>
      <c r="AY110" s="164" t="s">
        <v>130</v>
      </c>
      <c r="BK110" s="165">
        <f>SUM($BK$111:$BK$117)</f>
        <v>0</v>
      </c>
    </row>
    <row r="111" spans="2:64" s="114" customFormat="1" ht="27" customHeight="1">
      <c r="B111" s="113"/>
      <c r="C111" s="167" t="s">
        <v>17</v>
      </c>
      <c r="D111" s="167" t="s">
        <v>131</v>
      </c>
      <c r="E111" s="168" t="s">
        <v>132</v>
      </c>
      <c r="F111" s="215" t="s">
        <v>133</v>
      </c>
      <c r="G111" s="215"/>
      <c r="H111" s="215"/>
      <c r="I111" s="215"/>
      <c r="J111" s="169" t="s">
        <v>134</v>
      </c>
      <c r="K111" s="170">
        <v>1261</v>
      </c>
      <c r="L111" s="211"/>
      <c r="M111" s="211"/>
      <c r="N111" s="211">
        <f>ROUND($L$111*$K$111,2)</f>
        <v>0</v>
      </c>
      <c r="O111" s="211"/>
      <c r="P111" s="211"/>
      <c r="Q111" s="211"/>
      <c r="R111" s="116"/>
      <c r="T111" s="184"/>
      <c r="U111" s="185" t="s">
        <v>38</v>
      </c>
      <c r="V111" s="171">
        <v>0.078</v>
      </c>
      <c r="W111" s="171">
        <f>$V$111*$K$111</f>
        <v>98.358</v>
      </c>
      <c r="X111" s="171">
        <v>0</v>
      </c>
      <c r="Y111" s="171">
        <f>$X$111*$K$111</f>
        <v>0</v>
      </c>
      <c r="Z111" s="171">
        <v>0.5</v>
      </c>
      <c r="AA111" s="172">
        <f>$Z$111*$K$111</f>
        <v>630.5</v>
      </c>
      <c r="AR111" s="114" t="s">
        <v>135</v>
      </c>
      <c r="AT111" s="114" t="s">
        <v>131</v>
      </c>
      <c r="AU111" s="114" t="s">
        <v>93</v>
      </c>
      <c r="AY111" s="114" t="s">
        <v>130</v>
      </c>
      <c r="BE111" s="173">
        <f>IF($U$111="základní",$N$111,0)</f>
        <v>0</v>
      </c>
      <c r="BF111" s="173">
        <f>IF($U$111="snížená",$N$111,0)</f>
        <v>0</v>
      </c>
      <c r="BG111" s="173">
        <f>IF($U$111="zákl. přenesená",$N$111,0)</f>
        <v>0</v>
      </c>
      <c r="BH111" s="173">
        <f>IF($U$111="sníž. přenesená",$N$111,0)</f>
        <v>0</v>
      </c>
      <c r="BI111" s="173">
        <f>IF($U$111="nulová",$N$111,0)</f>
        <v>0</v>
      </c>
      <c r="BJ111" s="114" t="s">
        <v>17</v>
      </c>
      <c r="BK111" s="173">
        <f>ROUND($L$111*$K$111,2)</f>
        <v>0</v>
      </c>
      <c r="BL111" s="114" t="s">
        <v>135</v>
      </c>
    </row>
    <row r="112" spans="2:64" s="114" customFormat="1" ht="41.25" customHeight="1">
      <c r="B112" s="113"/>
      <c r="C112" s="167" t="s">
        <v>93</v>
      </c>
      <c r="D112" s="167" t="s">
        <v>131</v>
      </c>
      <c r="E112" s="168" t="s">
        <v>326</v>
      </c>
      <c r="F112" s="216" t="s">
        <v>406</v>
      </c>
      <c r="G112" s="216"/>
      <c r="H112" s="216"/>
      <c r="I112" s="216"/>
      <c r="J112" s="169" t="s">
        <v>134</v>
      </c>
      <c r="K112" s="170">
        <v>9395.87</v>
      </c>
      <c r="L112" s="211"/>
      <c r="M112" s="211"/>
      <c r="N112" s="211">
        <f>ROUND($L$112*$K$112,2)</f>
        <v>0</v>
      </c>
      <c r="O112" s="211"/>
      <c r="P112" s="211"/>
      <c r="Q112" s="211"/>
      <c r="R112" s="116"/>
      <c r="T112" s="184"/>
      <c r="U112" s="185" t="s">
        <v>38</v>
      </c>
      <c r="V112" s="171">
        <v>0.012</v>
      </c>
      <c r="W112" s="171">
        <f>$V$112*$K$112</f>
        <v>112.75044000000001</v>
      </c>
      <c r="X112" s="171">
        <v>3E-05</v>
      </c>
      <c r="Y112" s="171">
        <f>$X$112*$K$112</f>
        <v>0.2818761</v>
      </c>
      <c r="Z112" s="171">
        <v>0.077</v>
      </c>
      <c r="AA112" s="172">
        <f>$Z$112*$K$112</f>
        <v>723.48199</v>
      </c>
      <c r="AR112" s="114" t="s">
        <v>135</v>
      </c>
      <c r="AT112" s="114" t="s">
        <v>131</v>
      </c>
      <c r="AU112" s="114" t="s">
        <v>93</v>
      </c>
      <c r="AY112" s="114" t="s">
        <v>130</v>
      </c>
      <c r="BE112" s="173">
        <f>IF($U$112="základní",$N$112,0)</f>
        <v>0</v>
      </c>
      <c r="BF112" s="173">
        <f>IF($U$112="snížená",$N$112,0)</f>
        <v>0</v>
      </c>
      <c r="BG112" s="173">
        <f>IF($U$112="zákl. přenesená",$N$112,0)</f>
        <v>0</v>
      </c>
      <c r="BH112" s="173">
        <f>IF($U$112="sníž. přenesená",$N$112,0)</f>
        <v>0</v>
      </c>
      <c r="BI112" s="173">
        <f>IF($U$112="nulová",$N$112,0)</f>
        <v>0</v>
      </c>
      <c r="BJ112" s="114" t="s">
        <v>17</v>
      </c>
      <c r="BK112" s="173">
        <f>ROUND($L$112*$K$112,2)</f>
        <v>0</v>
      </c>
      <c r="BL112" s="114" t="s">
        <v>135</v>
      </c>
    </row>
    <row r="113" spans="2:64" s="114" customFormat="1" ht="27" customHeight="1">
      <c r="B113" s="113"/>
      <c r="C113" s="167" t="s">
        <v>137</v>
      </c>
      <c r="D113" s="167" t="s">
        <v>131</v>
      </c>
      <c r="E113" s="168" t="s">
        <v>141</v>
      </c>
      <c r="F113" s="215" t="s">
        <v>142</v>
      </c>
      <c r="G113" s="215"/>
      <c r="H113" s="215"/>
      <c r="I113" s="215"/>
      <c r="J113" s="169" t="s">
        <v>140</v>
      </c>
      <c r="K113" s="170">
        <v>378.3</v>
      </c>
      <c r="L113" s="211"/>
      <c r="M113" s="211"/>
      <c r="N113" s="211">
        <f>ROUND($L$113*$K$113,2)</f>
        <v>0</v>
      </c>
      <c r="O113" s="211"/>
      <c r="P113" s="211"/>
      <c r="Q113" s="211"/>
      <c r="R113" s="116"/>
      <c r="T113" s="184"/>
      <c r="U113" s="185" t="s">
        <v>38</v>
      </c>
      <c r="V113" s="171">
        <v>0.083</v>
      </c>
      <c r="W113" s="171">
        <f>$V$113*$K$113</f>
        <v>31.3989</v>
      </c>
      <c r="X113" s="171">
        <v>0</v>
      </c>
      <c r="Y113" s="171">
        <f>$X$113*$K$113</f>
        <v>0</v>
      </c>
      <c r="Z113" s="171">
        <v>0</v>
      </c>
      <c r="AA113" s="172">
        <f>$Z$113*$K$113</f>
        <v>0</v>
      </c>
      <c r="AR113" s="114" t="s">
        <v>135</v>
      </c>
      <c r="AT113" s="114" t="s">
        <v>131</v>
      </c>
      <c r="AU113" s="114" t="s">
        <v>93</v>
      </c>
      <c r="AY113" s="114" t="s">
        <v>130</v>
      </c>
      <c r="BE113" s="173">
        <f>IF($U$113="základní",$N$113,0)</f>
        <v>0</v>
      </c>
      <c r="BF113" s="173">
        <f>IF($U$113="snížená",$N$113,0)</f>
        <v>0</v>
      </c>
      <c r="BG113" s="173">
        <f>IF($U$113="zákl. přenesená",$N$113,0)</f>
        <v>0</v>
      </c>
      <c r="BH113" s="173">
        <f>IF($U$113="sníž. přenesená",$N$113,0)</f>
        <v>0</v>
      </c>
      <c r="BI113" s="173">
        <f>IF($U$113="nulová",$N$113,0)</f>
        <v>0</v>
      </c>
      <c r="BJ113" s="114" t="s">
        <v>17</v>
      </c>
      <c r="BK113" s="173">
        <f>ROUND($L$113*$K$113,2)</f>
        <v>0</v>
      </c>
      <c r="BL113" s="114" t="s">
        <v>135</v>
      </c>
    </row>
    <row r="114" spans="2:64" s="114" customFormat="1" ht="39" customHeight="1">
      <c r="B114" s="113"/>
      <c r="C114" s="167" t="s">
        <v>135</v>
      </c>
      <c r="D114" s="167" t="s">
        <v>131</v>
      </c>
      <c r="E114" s="168" t="s">
        <v>144</v>
      </c>
      <c r="F114" s="215" t="s">
        <v>145</v>
      </c>
      <c r="G114" s="215"/>
      <c r="H114" s="215"/>
      <c r="I114" s="215"/>
      <c r="J114" s="169" t="s">
        <v>140</v>
      </c>
      <c r="K114" s="170">
        <v>6052.8</v>
      </c>
      <c r="L114" s="211"/>
      <c r="M114" s="211"/>
      <c r="N114" s="211">
        <f>ROUND($L$114*$K$114,2)</f>
        <v>0</v>
      </c>
      <c r="O114" s="211"/>
      <c r="P114" s="211"/>
      <c r="Q114" s="211"/>
      <c r="R114" s="116"/>
      <c r="T114" s="184"/>
      <c r="U114" s="185" t="s">
        <v>38</v>
      </c>
      <c r="V114" s="171">
        <v>0.004</v>
      </c>
      <c r="W114" s="171">
        <f>$V$114*$K$114</f>
        <v>24.2112</v>
      </c>
      <c r="X114" s="171">
        <v>0</v>
      </c>
      <c r="Y114" s="171">
        <f>$X$114*$K$114</f>
        <v>0</v>
      </c>
      <c r="Z114" s="171">
        <v>0</v>
      </c>
      <c r="AA114" s="172">
        <f>$Z$114*$K$114</f>
        <v>0</v>
      </c>
      <c r="AR114" s="114" t="s">
        <v>135</v>
      </c>
      <c r="AT114" s="114" t="s">
        <v>131</v>
      </c>
      <c r="AU114" s="114" t="s">
        <v>93</v>
      </c>
      <c r="AY114" s="114" t="s">
        <v>130</v>
      </c>
      <c r="BE114" s="173">
        <f>IF($U$114="základní",$N$114,0)</f>
        <v>0</v>
      </c>
      <c r="BF114" s="173">
        <f>IF($U$114="snížená",$N$114,0)</f>
        <v>0</v>
      </c>
      <c r="BG114" s="173">
        <f>IF($U$114="zákl. přenesená",$N$114,0)</f>
        <v>0</v>
      </c>
      <c r="BH114" s="173">
        <f>IF($U$114="sníž. přenesená",$N$114,0)</f>
        <v>0</v>
      </c>
      <c r="BI114" s="173">
        <f>IF($U$114="nulová",$N$114,0)</f>
        <v>0</v>
      </c>
      <c r="BJ114" s="114" t="s">
        <v>17</v>
      </c>
      <c r="BK114" s="173">
        <f>ROUND($L$114*$K$114,2)</f>
        <v>0</v>
      </c>
      <c r="BL114" s="114" t="s">
        <v>135</v>
      </c>
    </row>
    <row r="115" spans="2:64" s="114" customFormat="1" ht="27" customHeight="1">
      <c r="B115" s="113"/>
      <c r="C115" s="167" t="s">
        <v>143</v>
      </c>
      <c r="D115" s="167" t="s">
        <v>131</v>
      </c>
      <c r="E115" s="168" t="s">
        <v>157</v>
      </c>
      <c r="F115" s="215" t="s">
        <v>158</v>
      </c>
      <c r="G115" s="215"/>
      <c r="H115" s="215"/>
      <c r="I115" s="215"/>
      <c r="J115" s="169" t="s">
        <v>140</v>
      </c>
      <c r="K115" s="170">
        <v>378.3</v>
      </c>
      <c r="L115" s="211"/>
      <c r="M115" s="211"/>
      <c r="N115" s="211">
        <f>ROUND($L$115*$K$115,2)</f>
        <v>0</v>
      </c>
      <c r="O115" s="211"/>
      <c r="P115" s="211"/>
      <c r="Q115" s="211"/>
      <c r="R115" s="116"/>
      <c r="T115" s="184"/>
      <c r="U115" s="185" t="s">
        <v>38</v>
      </c>
      <c r="V115" s="171">
        <v>0.299</v>
      </c>
      <c r="W115" s="171">
        <f>$V$115*$K$115</f>
        <v>113.1117</v>
      </c>
      <c r="X115" s="171">
        <v>0</v>
      </c>
      <c r="Y115" s="171">
        <f>$X$115*$K$115</f>
        <v>0</v>
      </c>
      <c r="Z115" s="171">
        <v>0</v>
      </c>
      <c r="AA115" s="172">
        <f>$Z$115*$K$115</f>
        <v>0</v>
      </c>
      <c r="AR115" s="114" t="s">
        <v>135</v>
      </c>
      <c r="AT115" s="114" t="s">
        <v>131</v>
      </c>
      <c r="AU115" s="114" t="s">
        <v>93</v>
      </c>
      <c r="AY115" s="114" t="s">
        <v>130</v>
      </c>
      <c r="BE115" s="173">
        <f>IF($U$115="základní",$N$115,0)</f>
        <v>0</v>
      </c>
      <c r="BF115" s="173">
        <f>IF($U$115="snížená",$N$115,0)</f>
        <v>0</v>
      </c>
      <c r="BG115" s="173">
        <f>IF($U$115="zákl. přenesená",$N$115,0)</f>
        <v>0</v>
      </c>
      <c r="BH115" s="173">
        <f>IF($U$115="sníž. přenesená",$N$115,0)</f>
        <v>0</v>
      </c>
      <c r="BI115" s="173">
        <f>IF($U$115="nulová",$N$115,0)</f>
        <v>0</v>
      </c>
      <c r="BJ115" s="114" t="s">
        <v>17</v>
      </c>
      <c r="BK115" s="173">
        <f>ROUND($L$115*$K$115,2)</f>
        <v>0</v>
      </c>
      <c r="BL115" s="114" t="s">
        <v>135</v>
      </c>
    </row>
    <row r="116" spans="2:64" s="114" customFormat="1" ht="15.75" customHeight="1">
      <c r="B116" s="113"/>
      <c r="C116" s="178" t="s">
        <v>146</v>
      </c>
      <c r="D116" s="178" t="s">
        <v>159</v>
      </c>
      <c r="E116" s="186" t="s">
        <v>160</v>
      </c>
      <c r="F116" s="216" t="s">
        <v>161</v>
      </c>
      <c r="G116" s="216"/>
      <c r="H116" s="216"/>
      <c r="I116" s="216"/>
      <c r="J116" s="187" t="s">
        <v>140</v>
      </c>
      <c r="K116" s="188">
        <v>378.3</v>
      </c>
      <c r="L116" s="217"/>
      <c r="M116" s="217"/>
      <c r="N116" s="217">
        <f>ROUND($L$116*$K$116,2)</f>
        <v>0</v>
      </c>
      <c r="O116" s="217"/>
      <c r="P116" s="217"/>
      <c r="Q116" s="217"/>
      <c r="R116" s="116"/>
      <c r="T116" s="184"/>
      <c r="U116" s="185" t="s">
        <v>38</v>
      </c>
      <c r="V116" s="171">
        <v>0</v>
      </c>
      <c r="W116" s="171">
        <f>$V$116*$K$116</f>
        <v>0</v>
      </c>
      <c r="X116" s="171">
        <v>1</v>
      </c>
      <c r="Y116" s="171">
        <f>$X$116*$K$116</f>
        <v>378.3</v>
      </c>
      <c r="Z116" s="171">
        <v>0</v>
      </c>
      <c r="AA116" s="172">
        <f>$Z$116*$K$116</f>
        <v>0</v>
      </c>
      <c r="AR116" s="114" t="s">
        <v>152</v>
      </c>
      <c r="AT116" s="114" t="s">
        <v>159</v>
      </c>
      <c r="AU116" s="114" t="s">
        <v>93</v>
      </c>
      <c r="AY116" s="114" t="s">
        <v>130</v>
      </c>
      <c r="BE116" s="173">
        <f>IF($U$116="základní",$N$116,0)</f>
        <v>0</v>
      </c>
      <c r="BF116" s="173">
        <f>IF($U$116="snížená",$N$116,0)</f>
        <v>0</v>
      </c>
      <c r="BG116" s="173">
        <f>IF($U$116="zákl. přenesená",$N$116,0)</f>
        <v>0</v>
      </c>
      <c r="BH116" s="173">
        <f>IF($U$116="sníž. přenesená",$N$116,0)</f>
        <v>0</v>
      </c>
      <c r="BI116" s="173">
        <f>IF($U$116="nulová",$N$116,0)</f>
        <v>0</v>
      </c>
      <c r="BJ116" s="114" t="s">
        <v>17</v>
      </c>
      <c r="BK116" s="173">
        <f>ROUND($L$116*$K$116,2)</f>
        <v>0</v>
      </c>
      <c r="BL116" s="114" t="s">
        <v>135</v>
      </c>
    </row>
    <row r="117" spans="2:64" s="114" customFormat="1" ht="15.75" customHeight="1">
      <c r="B117" s="113"/>
      <c r="C117" s="167" t="s">
        <v>149</v>
      </c>
      <c r="D117" s="167" t="s">
        <v>131</v>
      </c>
      <c r="E117" s="168" t="s">
        <v>169</v>
      </c>
      <c r="F117" s="215" t="s">
        <v>170</v>
      </c>
      <c r="G117" s="215"/>
      <c r="H117" s="215"/>
      <c r="I117" s="215"/>
      <c r="J117" s="169" t="s">
        <v>134</v>
      </c>
      <c r="K117" s="170">
        <v>10479.07</v>
      </c>
      <c r="L117" s="211"/>
      <c r="M117" s="211"/>
      <c r="N117" s="211">
        <f>ROUND($L$117*$K$117,2)</f>
        <v>0</v>
      </c>
      <c r="O117" s="211"/>
      <c r="P117" s="211"/>
      <c r="Q117" s="211"/>
      <c r="R117" s="116"/>
      <c r="T117" s="184"/>
      <c r="U117" s="185" t="s">
        <v>38</v>
      </c>
      <c r="V117" s="171">
        <v>0.018</v>
      </c>
      <c r="W117" s="171">
        <f>$V$117*$K$117</f>
        <v>188.62326</v>
      </c>
      <c r="X117" s="171">
        <v>0</v>
      </c>
      <c r="Y117" s="171">
        <f>$X$117*$K$117</f>
        <v>0</v>
      </c>
      <c r="Z117" s="171">
        <v>0</v>
      </c>
      <c r="AA117" s="172">
        <f>$Z$117*$K$117</f>
        <v>0</v>
      </c>
      <c r="AR117" s="114" t="s">
        <v>135</v>
      </c>
      <c r="AT117" s="114" t="s">
        <v>131</v>
      </c>
      <c r="AU117" s="114" t="s">
        <v>93</v>
      </c>
      <c r="AY117" s="114" t="s">
        <v>130</v>
      </c>
      <c r="BE117" s="173">
        <f>IF($U$117="základní",$N$117,0)</f>
        <v>0</v>
      </c>
      <c r="BF117" s="173">
        <f>IF($U$117="snížená",$N$117,0)</f>
        <v>0</v>
      </c>
      <c r="BG117" s="173">
        <f>IF($U$117="zákl. přenesená",$N$117,0)</f>
        <v>0</v>
      </c>
      <c r="BH117" s="173">
        <f>IF($U$117="sníž. přenesená",$N$117,0)</f>
        <v>0</v>
      </c>
      <c r="BI117" s="173">
        <f>IF($U$117="nulová",$N$117,0)</f>
        <v>0</v>
      </c>
      <c r="BJ117" s="114" t="s">
        <v>17</v>
      </c>
      <c r="BK117" s="173">
        <f>ROUND($L$117*$K$117,2)</f>
        <v>0</v>
      </c>
      <c r="BL117" s="114" t="s">
        <v>135</v>
      </c>
    </row>
    <row r="118" spans="2:63" s="158" customFormat="1" ht="30.75" customHeight="1">
      <c r="B118" s="157"/>
      <c r="D118" s="166" t="s">
        <v>107</v>
      </c>
      <c r="N118" s="213">
        <f>$BK$118</f>
        <v>0</v>
      </c>
      <c r="O118" s="213"/>
      <c r="P118" s="213"/>
      <c r="Q118" s="213"/>
      <c r="R118" s="160"/>
      <c r="T118" s="161"/>
      <c r="W118" s="162">
        <f>SUM($W$119:$W$130)</f>
        <v>1006.9775699999999</v>
      </c>
      <c r="Y118" s="162">
        <f>SUM($Y$119:$Y$130)</f>
        <v>4442.134504299999</v>
      </c>
      <c r="AA118" s="163">
        <f>SUM($AA$119:$AA$130)</f>
        <v>0</v>
      </c>
      <c r="AR118" s="164" t="s">
        <v>17</v>
      </c>
      <c r="AT118" s="164" t="s">
        <v>72</v>
      </c>
      <c r="AU118" s="164" t="s">
        <v>17</v>
      </c>
      <c r="AY118" s="164" t="s">
        <v>130</v>
      </c>
      <c r="BK118" s="165">
        <f>SUM($BK$119:$BK$130)</f>
        <v>0</v>
      </c>
    </row>
    <row r="119" spans="2:64" s="114" customFormat="1" ht="15.75" customHeight="1">
      <c r="B119" s="113"/>
      <c r="C119" s="167" t="s">
        <v>152</v>
      </c>
      <c r="D119" s="167" t="s">
        <v>131</v>
      </c>
      <c r="E119" s="168" t="s">
        <v>175</v>
      </c>
      <c r="F119" s="215" t="s">
        <v>176</v>
      </c>
      <c r="G119" s="215"/>
      <c r="H119" s="215"/>
      <c r="I119" s="215"/>
      <c r="J119" s="169" t="s">
        <v>134</v>
      </c>
      <c r="K119" s="170">
        <v>151.6</v>
      </c>
      <c r="L119" s="211"/>
      <c r="M119" s="211"/>
      <c r="N119" s="211">
        <f>ROUND($L$119*$K$119,2)</f>
        <v>0</v>
      </c>
      <c r="O119" s="211"/>
      <c r="P119" s="211"/>
      <c r="Q119" s="211"/>
      <c r="R119" s="116"/>
      <c r="T119" s="184"/>
      <c r="U119" s="185" t="s">
        <v>38</v>
      </c>
      <c r="V119" s="171">
        <v>0.023</v>
      </c>
      <c r="W119" s="171">
        <f>$V$119*$K$119</f>
        <v>3.4867999999999997</v>
      </c>
      <c r="X119" s="171">
        <v>0.18907</v>
      </c>
      <c r="Y119" s="171">
        <f>$X$119*$K$119</f>
        <v>28.663012</v>
      </c>
      <c r="Z119" s="171">
        <v>0</v>
      </c>
      <c r="AA119" s="172">
        <f>$Z$119*$K$119</f>
        <v>0</v>
      </c>
      <c r="AR119" s="114" t="s">
        <v>135</v>
      </c>
      <c r="AT119" s="114" t="s">
        <v>131</v>
      </c>
      <c r="AU119" s="114" t="s">
        <v>93</v>
      </c>
      <c r="AY119" s="114" t="s">
        <v>130</v>
      </c>
      <c r="BE119" s="173">
        <f>IF($U$119="základní",$N$119,0)</f>
        <v>0</v>
      </c>
      <c r="BF119" s="173">
        <f>IF($U$119="snížená",$N$119,0)</f>
        <v>0</v>
      </c>
      <c r="BG119" s="173">
        <f>IF($U$119="zákl. přenesená",$N$119,0)</f>
        <v>0</v>
      </c>
      <c r="BH119" s="173">
        <f>IF($U$119="sníž. přenesená",$N$119,0)</f>
        <v>0</v>
      </c>
      <c r="BI119" s="173">
        <f>IF($U$119="nulová",$N$119,0)</f>
        <v>0</v>
      </c>
      <c r="BJ119" s="114" t="s">
        <v>17</v>
      </c>
      <c r="BK119" s="173">
        <f>ROUND($L$119*$K$119,2)</f>
        <v>0</v>
      </c>
      <c r="BL119" s="114" t="s">
        <v>135</v>
      </c>
    </row>
    <row r="120" spans="2:64" s="114" customFormat="1" ht="15.75" customHeight="1">
      <c r="B120" s="113"/>
      <c r="C120" s="167" t="s">
        <v>156</v>
      </c>
      <c r="D120" s="167" t="s">
        <v>131</v>
      </c>
      <c r="E120" s="168" t="s">
        <v>178</v>
      </c>
      <c r="F120" s="215" t="s">
        <v>179</v>
      </c>
      <c r="G120" s="215"/>
      <c r="H120" s="215"/>
      <c r="I120" s="215"/>
      <c r="J120" s="169" t="s">
        <v>134</v>
      </c>
      <c r="K120" s="170">
        <v>2522</v>
      </c>
      <c r="L120" s="211"/>
      <c r="M120" s="211"/>
      <c r="N120" s="211">
        <f>ROUND($L$120*$K$120,2)</f>
        <v>0</v>
      </c>
      <c r="O120" s="211"/>
      <c r="P120" s="211"/>
      <c r="Q120" s="211"/>
      <c r="R120" s="116"/>
      <c r="T120" s="184"/>
      <c r="U120" s="185" t="s">
        <v>38</v>
      </c>
      <c r="V120" s="171">
        <v>0.026</v>
      </c>
      <c r="W120" s="171">
        <f>$V$120*$K$120</f>
        <v>65.572</v>
      </c>
      <c r="X120" s="171">
        <v>0.27994</v>
      </c>
      <c r="Y120" s="171">
        <f>$X$120*$K$120</f>
        <v>706.00868</v>
      </c>
      <c r="Z120" s="171">
        <v>0</v>
      </c>
      <c r="AA120" s="172">
        <f>$Z$120*$K$120</f>
        <v>0</v>
      </c>
      <c r="AR120" s="114" t="s">
        <v>135</v>
      </c>
      <c r="AT120" s="114" t="s">
        <v>131</v>
      </c>
      <c r="AU120" s="114" t="s">
        <v>93</v>
      </c>
      <c r="AY120" s="114" t="s">
        <v>130</v>
      </c>
      <c r="BE120" s="173">
        <f>IF($U$120="základní",$N$120,0)</f>
        <v>0</v>
      </c>
      <c r="BF120" s="173">
        <f>IF($U$120="snížená",$N$120,0)</f>
        <v>0</v>
      </c>
      <c r="BG120" s="173">
        <f>IF($U$120="zákl. přenesená",$N$120,0)</f>
        <v>0</v>
      </c>
      <c r="BH120" s="173">
        <f>IF($U$120="sníž. přenesená",$N$120,0)</f>
        <v>0</v>
      </c>
      <c r="BI120" s="173">
        <f>IF($U$120="nulová",$N$120,0)</f>
        <v>0</v>
      </c>
      <c r="BJ120" s="114" t="s">
        <v>17</v>
      </c>
      <c r="BK120" s="173">
        <f>ROUND($L$120*$K$120,2)</f>
        <v>0</v>
      </c>
      <c r="BL120" s="114" t="s">
        <v>135</v>
      </c>
    </row>
    <row r="121" spans="2:64" s="114" customFormat="1" ht="27" customHeight="1">
      <c r="B121" s="113"/>
      <c r="C121" s="167" t="s">
        <v>22</v>
      </c>
      <c r="D121" s="167" t="s">
        <v>131</v>
      </c>
      <c r="E121" s="168" t="s">
        <v>181</v>
      </c>
      <c r="F121" s="215" t="s">
        <v>182</v>
      </c>
      <c r="G121" s="215"/>
      <c r="H121" s="215"/>
      <c r="I121" s="215"/>
      <c r="J121" s="169" t="s">
        <v>134</v>
      </c>
      <c r="K121" s="170">
        <v>4026.42</v>
      </c>
      <c r="L121" s="211"/>
      <c r="M121" s="211"/>
      <c r="N121" s="211">
        <f>ROUND($L$121*$K$121,2)</f>
        <v>0</v>
      </c>
      <c r="O121" s="211"/>
      <c r="P121" s="211"/>
      <c r="Q121" s="211"/>
      <c r="R121" s="116"/>
      <c r="T121" s="184"/>
      <c r="U121" s="185" t="s">
        <v>38</v>
      </c>
      <c r="V121" s="171">
        <v>0.048</v>
      </c>
      <c r="W121" s="171">
        <f>$V$121*$K$121</f>
        <v>193.26816</v>
      </c>
      <c r="X121" s="171">
        <v>0.13188</v>
      </c>
      <c r="Y121" s="171">
        <f>$X$121*$K$121</f>
        <v>531.0042696</v>
      </c>
      <c r="Z121" s="171">
        <v>0</v>
      </c>
      <c r="AA121" s="172">
        <f>$Z$121*$K$121</f>
        <v>0</v>
      </c>
      <c r="AR121" s="114" t="s">
        <v>135</v>
      </c>
      <c r="AT121" s="114" t="s">
        <v>131</v>
      </c>
      <c r="AU121" s="114" t="s">
        <v>93</v>
      </c>
      <c r="AY121" s="114" t="s">
        <v>130</v>
      </c>
      <c r="BE121" s="173">
        <f>IF($U$121="základní",$N$121,0)</f>
        <v>0</v>
      </c>
      <c r="BF121" s="173">
        <f>IF($U$121="snížená",$N$121,0)</f>
        <v>0</v>
      </c>
      <c r="BG121" s="173">
        <f>IF($U$121="zákl. přenesená",$N$121,0)</f>
        <v>0</v>
      </c>
      <c r="BH121" s="173">
        <f>IF($U$121="sníž. přenesená",$N$121,0)</f>
        <v>0</v>
      </c>
      <c r="BI121" s="173">
        <f>IF($U$121="nulová",$N$121,0)</f>
        <v>0</v>
      </c>
      <c r="BJ121" s="114" t="s">
        <v>17</v>
      </c>
      <c r="BK121" s="173">
        <f>ROUND($L$121*$K$121,2)</f>
        <v>0</v>
      </c>
      <c r="BL121" s="114" t="s">
        <v>135</v>
      </c>
    </row>
    <row r="122" spans="2:64" s="114" customFormat="1" ht="38.25" customHeight="1">
      <c r="B122" s="113"/>
      <c r="C122" s="167" t="s">
        <v>162</v>
      </c>
      <c r="D122" s="167" t="s">
        <v>131</v>
      </c>
      <c r="E122" s="168" t="s">
        <v>184</v>
      </c>
      <c r="F122" s="215" t="s">
        <v>403</v>
      </c>
      <c r="G122" s="215"/>
      <c r="H122" s="215"/>
      <c r="I122" s="215"/>
      <c r="J122" s="169" t="s">
        <v>134</v>
      </c>
      <c r="K122" s="170">
        <v>1684.3</v>
      </c>
      <c r="L122" s="211"/>
      <c r="M122" s="211"/>
      <c r="N122" s="211">
        <f>ROUND($L$122*$K$122,2)</f>
        <v>0</v>
      </c>
      <c r="O122" s="211"/>
      <c r="P122" s="211"/>
      <c r="Q122" s="211"/>
      <c r="R122" s="116"/>
      <c r="T122" s="184"/>
      <c r="U122" s="185" t="s">
        <v>38</v>
      </c>
      <c r="V122" s="171">
        <v>0.054</v>
      </c>
      <c r="W122" s="171">
        <f>$V$122*$K$122</f>
        <v>90.95219999999999</v>
      </c>
      <c r="X122" s="171">
        <v>0.22385</v>
      </c>
      <c r="Y122" s="171">
        <f>$X$122*$K$122</f>
        <v>377.030555</v>
      </c>
      <c r="Z122" s="171">
        <v>0</v>
      </c>
      <c r="AA122" s="172">
        <f>$Z$122*$K$122</f>
        <v>0</v>
      </c>
      <c r="AR122" s="114" t="s">
        <v>135</v>
      </c>
      <c r="AT122" s="114" t="s">
        <v>131</v>
      </c>
      <c r="AU122" s="114" t="s">
        <v>93</v>
      </c>
      <c r="AY122" s="114" t="s">
        <v>130</v>
      </c>
      <c r="BE122" s="173">
        <f>IF($U$122="základní",$N$122,0)</f>
        <v>0</v>
      </c>
      <c r="BF122" s="173">
        <f>IF($U$122="snížená",$N$122,0)</f>
        <v>0</v>
      </c>
      <c r="BG122" s="173">
        <f>IF($U$122="zákl. přenesená",$N$122,0)</f>
        <v>0</v>
      </c>
      <c r="BH122" s="173">
        <f>IF($U$122="sníž. přenesená",$N$122,0)</f>
        <v>0</v>
      </c>
      <c r="BI122" s="173">
        <f>IF($U$122="nulová",$N$122,0)</f>
        <v>0</v>
      </c>
      <c r="BJ122" s="114" t="s">
        <v>17</v>
      </c>
      <c r="BK122" s="173">
        <f>ROUND($L$122*$K$122,2)</f>
        <v>0</v>
      </c>
      <c r="BL122" s="114" t="s">
        <v>135</v>
      </c>
    </row>
    <row r="123" spans="2:64" s="114" customFormat="1" ht="27" customHeight="1">
      <c r="B123" s="113"/>
      <c r="C123" s="167" t="s">
        <v>165</v>
      </c>
      <c r="D123" s="167" t="s">
        <v>131</v>
      </c>
      <c r="E123" s="168" t="s">
        <v>186</v>
      </c>
      <c r="F123" s="215" t="s">
        <v>187</v>
      </c>
      <c r="G123" s="215"/>
      <c r="H123" s="215"/>
      <c r="I123" s="215"/>
      <c r="J123" s="169" t="s">
        <v>174</v>
      </c>
      <c r="K123" s="170">
        <v>2431</v>
      </c>
      <c r="L123" s="211"/>
      <c r="M123" s="211"/>
      <c r="N123" s="211">
        <f>ROUND($L$123*$K$123,2)</f>
        <v>0</v>
      </c>
      <c r="O123" s="211"/>
      <c r="P123" s="211"/>
      <c r="Q123" s="211"/>
      <c r="R123" s="116"/>
      <c r="T123" s="184"/>
      <c r="U123" s="185" t="s">
        <v>38</v>
      </c>
      <c r="V123" s="171">
        <v>0.084</v>
      </c>
      <c r="W123" s="171">
        <f>$V$123*$K$123</f>
        <v>204.204</v>
      </c>
      <c r="X123" s="171">
        <v>0.00353</v>
      </c>
      <c r="Y123" s="171">
        <f>$X$123*$K$123</f>
        <v>8.581430000000001</v>
      </c>
      <c r="Z123" s="171">
        <v>0</v>
      </c>
      <c r="AA123" s="172">
        <f>$Z$123*$K$123</f>
        <v>0</v>
      </c>
      <c r="AR123" s="114" t="s">
        <v>135</v>
      </c>
      <c r="AT123" s="114" t="s">
        <v>131</v>
      </c>
      <c r="AU123" s="114" t="s">
        <v>93</v>
      </c>
      <c r="AY123" s="114" t="s">
        <v>130</v>
      </c>
      <c r="BE123" s="173">
        <f>IF($U$123="základní",$N$123,0)</f>
        <v>0</v>
      </c>
      <c r="BF123" s="173">
        <f>IF($U$123="snížená",$N$123,0)</f>
        <v>0</v>
      </c>
      <c r="BG123" s="173">
        <f>IF($U$123="zákl. přenesená",$N$123,0)</f>
        <v>0</v>
      </c>
      <c r="BH123" s="173">
        <f>IF($U$123="sníž. přenesená",$N$123,0)</f>
        <v>0</v>
      </c>
      <c r="BI123" s="173">
        <f>IF($U$123="nulová",$N$123,0)</f>
        <v>0</v>
      </c>
      <c r="BJ123" s="114" t="s">
        <v>17</v>
      </c>
      <c r="BK123" s="173">
        <f>ROUND($L$123*$K$123,2)</f>
        <v>0</v>
      </c>
      <c r="BL123" s="114" t="s">
        <v>135</v>
      </c>
    </row>
    <row r="124" spans="2:64" s="114" customFormat="1" ht="27" customHeight="1">
      <c r="B124" s="113"/>
      <c r="C124" s="167" t="s">
        <v>168</v>
      </c>
      <c r="D124" s="167" t="s">
        <v>131</v>
      </c>
      <c r="E124" s="168" t="s">
        <v>189</v>
      </c>
      <c r="F124" s="215" t="s">
        <v>192</v>
      </c>
      <c r="G124" s="215"/>
      <c r="H124" s="215"/>
      <c r="I124" s="215"/>
      <c r="J124" s="169" t="s">
        <v>134</v>
      </c>
      <c r="K124" s="170">
        <v>10479.07</v>
      </c>
      <c r="L124" s="211"/>
      <c r="M124" s="211"/>
      <c r="N124" s="211">
        <f>ROUND($L$124*$K$124,2)</f>
        <v>0</v>
      </c>
      <c r="O124" s="211"/>
      <c r="P124" s="211"/>
      <c r="Q124" s="211"/>
      <c r="R124" s="116"/>
      <c r="T124" s="184"/>
      <c r="U124" s="185" t="s">
        <v>38</v>
      </c>
      <c r="V124" s="171">
        <v>0.002</v>
      </c>
      <c r="W124" s="171">
        <f>$V$124*$K$124</f>
        <v>20.95814</v>
      </c>
      <c r="X124" s="171">
        <v>0.00071</v>
      </c>
      <c r="Y124" s="171">
        <f>$X$124*$K$124</f>
        <v>7.4401397</v>
      </c>
      <c r="Z124" s="171">
        <v>0</v>
      </c>
      <c r="AA124" s="172">
        <f>$Z$124*$K$124</f>
        <v>0</v>
      </c>
      <c r="AR124" s="114" t="s">
        <v>135</v>
      </c>
      <c r="AT124" s="114" t="s">
        <v>131</v>
      </c>
      <c r="AU124" s="114" t="s">
        <v>93</v>
      </c>
      <c r="AY124" s="114" t="s">
        <v>130</v>
      </c>
      <c r="BE124" s="173">
        <f>IF($U$124="základní",$N$124,0)</f>
        <v>0</v>
      </c>
      <c r="BF124" s="173">
        <f>IF($U$124="snížená",$N$124,0)</f>
        <v>0</v>
      </c>
      <c r="BG124" s="173">
        <f>IF($U$124="zákl. přenesená",$N$124,0)</f>
        <v>0</v>
      </c>
      <c r="BH124" s="173">
        <f>IF($U$124="sníž. přenesená",$N$124,0)</f>
        <v>0</v>
      </c>
      <c r="BI124" s="173">
        <f>IF($U$124="nulová",$N$124,0)</f>
        <v>0</v>
      </c>
      <c r="BJ124" s="114" t="s">
        <v>17</v>
      </c>
      <c r="BK124" s="173">
        <f>ROUND($L$124*$K$124,2)</f>
        <v>0</v>
      </c>
      <c r="BL124" s="114" t="s">
        <v>135</v>
      </c>
    </row>
    <row r="125" spans="2:64" s="114" customFormat="1" ht="27" customHeight="1">
      <c r="B125" s="113"/>
      <c r="C125" s="167" t="s">
        <v>171</v>
      </c>
      <c r="D125" s="167" t="s">
        <v>131</v>
      </c>
      <c r="E125" s="168" t="s">
        <v>191</v>
      </c>
      <c r="F125" s="215" t="s">
        <v>190</v>
      </c>
      <c r="G125" s="215"/>
      <c r="H125" s="215"/>
      <c r="I125" s="215"/>
      <c r="J125" s="169" t="s">
        <v>134</v>
      </c>
      <c r="K125" s="170">
        <v>10479.07</v>
      </c>
      <c r="L125" s="211"/>
      <c r="M125" s="211"/>
      <c r="N125" s="211">
        <f>ROUND($L$125*$K$125,2)</f>
        <v>0</v>
      </c>
      <c r="O125" s="211"/>
      <c r="P125" s="211"/>
      <c r="Q125" s="211"/>
      <c r="R125" s="116"/>
      <c r="T125" s="184"/>
      <c r="U125" s="185" t="s">
        <v>38</v>
      </c>
      <c r="V125" s="171">
        <v>0.002</v>
      </c>
      <c r="W125" s="171">
        <f>$V$125*$K$125</f>
        <v>20.95814</v>
      </c>
      <c r="X125" s="171">
        <v>0.00071</v>
      </c>
      <c r="Y125" s="171">
        <f>$X$125*$K$125</f>
        <v>7.4401397</v>
      </c>
      <c r="Z125" s="171">
        <v>0</v>
      </c>
      <c r="AA125" s="172">
        <f>$Z$125*$K$125</f>
        <v>0</v>
      </c>
      <c r="AR125" s="114" t="s">
        <v>135</v>
      </c>
      <c r="AT125" s="114" t="s">
        <v>131</v>
      </c>
      <c r="AU125" s="114" t="s">
        <v>93</v>
      </c>
      <c r="AY125" s="114" t="s">
        <v>130</v>
      </c>
      <c r="BE125" s="173">
        <f>IF($U$125="základní",$N$125,0)</f>
        <v>0</v>
      </c>
      <c r="BF125" s="173">
        <f>IF($U$125="snížená",$N$125,0)</f>
        <v>0</v>
      </c>
      <c r="BG125" s="173">
        <f>IF($U$125="zákl. přenesená",$N$125,0)</f>
        <v>0</v>
      </c>
      <c r="BH125" s="173">
        <f>IF($U$125="sníž. přenesená",$N$125,0)</f>
        <v>0</v>
      </c>
      <c r="BI125" s="173">
        <f>IF($U$125="nulová",$N$125,0)</f>
        <v>0</v>
      </c>
      <c r="BJ125" s="114" t="s">
        <v>17</v>
      </c>
      <c r="BK125" s="173">
        <f>ROUND($L$125*$K$125,2)</f>
        <v>0</v>
      </c>
      <c r="BL125" s="114" t="s">
        <v>135</v>
      </c>
    </row>
    <row r="126" spans="2:64" s="114" customFormat="1" ht="27" customHeight="1">
      <c r="B126" s="113"/>
      <c r="C126" s="167" t="s">
        <v>6</v>
      </c>
      <c r="D126" s="167" t="s">
        <v>131</v>
      </c>
      <c r="E126" s="168" t="s">
        <v>194</v>
      </c>
      <c r="F126" s="215" t="s">
        <v>195</v>
      </c>
      <c r="G126" s="215"/>
      <c r="H126" s="215"/>
      <c r="I126" s="215"/>
      <c r="J126" s="169" t="s">
        <v>134</v>
      </c>
      <c r="K126" s="170">
        <v>2021.41</v>
      </c>
      <c r="L126" s="211"/>
      <c r="M126" s="211"/>
      <c r="N126" s="211">
        <f>ROUND($L$126*$K$126,2)</f>
        <v>0</v>
      </c>
      <c r="O126" s="211"/>
      <c r="P126" s="211"/>
      <c r="Q126" s="211"/>
      <c r="R126" s="116"/>
      <c r="T126" s="184"/>
      <c r="U126" s="185" t="s">
        <v>38</v>
      </c>
      <c r="V126" s="171">
        <v>0.002</v>
      </c>
      <c r="W126" s="171">
        <f>$V$126*$K$126</f>
        <v>4.04282</v>
      </c>
      <c r="X126" s="171">
        <v>0.00071</v>
      </c>
      <c r="Y126" s="171">
        <f>$X$126*$K$126</f>
        <v>1.4352011</v>
      </c>
      <c r="Z126" s="171">
        <v>0</v>
      </c>
      <c r="AA126" s="172">
        <f>$Z$126*$K$126</f>
        <v>0</v>
      </c>
      <c r="AR126" s="114" t="s">
        <v>135</v>
      </c>
      <c r="AT126" s="114" t="s">
        <v>131</v>
      </c>
      <c r="AU126" s="114" t="s">
        <v>93</v>
      </c>
      <c r="AY126" s="114" t="s">
        <v>130</v>
      </c>
      <c r="BE126" s="173">
        <f>IF($U$126="základní",$N$126,0)</f>
        <v>0</v>
      </c>
      <c r="BF126" s="173">
        <f>IF($U$126="snížená",$N$126,0)</f>
        <v>0</v>
      </c>
      <c r="BG126" s="173">
        <f>IF($U$126="zákl. přenesená",$N$126,0)</f>
        <v>0</v>
      </c>
      <c r="BH126" s="173">
        <f>IF($U$126="sníž. přenesená",$N$126,0)</f>
        <v>0</v>
      </c>
      <c r="BI126" s="173">
        <f>IF($U$126="nulová",$N$126,0)</f>
        <v>0</v>
      </c>
      <c r="BJ126" s="114" t="s">
        <v>17</v>
      </c>
      <c r="BK126" s="173">
        <f>ROUND($L$126*$K$126,2)</f>
        <v>0</v>
      </c>
      <c r="BL126" s="114" t="s">
        <v>135</v>
      </c>
    </row>
    <row r="127" spans="2:64" s="114" customFormat="1" ht="39" customHeight="1">
      <c r="B127" s="113"/>
      <c r="C127" s="167" t="s">
        <v>177</v>
      </c>
      <c r="D127" s="167" t="s">
        <v>131</v>
      </c>
      <c r="E127" s="168" t="s">
        <v>197</v>
      </c>
      <c r="F127" s="215" t="s">
        <v>198</v>
      </c>
      <c r="G127" s="215"/>
      <c r="H127" s="215"/>
      <c r="I127" s="215"/>
      <c r="J127" s="169" t="s">
        <v>134</v>
      </c>
      <c r="K127" s="170">
        <v>10479.07</v>
      </c>
      <c r="L127" s="211"/>
      <c r="M127" s="211"/>
      <c r="N127" s="211">
        <f>ROUND($L$127*$K$127,2)</f>
        <v>0</v>
      </c>
      <c r="O127" s="211"/>
      <c r="P127" s="211"/>
      <c r="Q127" s="211"/>
      <c r="R127" s="116"/>
      <c r="T127" s="184"/>
      <c r="U127" s="185" t="s">
        <v>38</v>
      </c>
      <c r="V127" s="171">
        <v>0.016</v>
      </c>
      <c r="W127" s="171">
        <f>$V$127*$K$127</f>
        <v>167.66512</v>
      </c>
      <c r="X127" s="171">
        <v>0.12966</v>
      </c>
      <c r="Y127" s="171">
        <f>$X$127*$K$127</f>
        <v>1358.7162162</v>
      </c>
      <c r="Z127" s="171">
        <v>0</v>
      </c>
      <c r="AA127" s="172">
        <f>$Z$127*$K$127</f>
        <v>0</v>
      </c>
      <c r="AR127" s="114" t="s">
        <v>135</v>
      </c>
      <c r="AT127" s="114" t="s">
        <v>131</v>
      </c>
      <c r="AU127" s="114" t="s">
        <v>93</v>
      </c>
      <c r="AY127" s="114" t="s">
        <v>130</v>
      </c>
      <c r="BE127" s="173">
        <f>IF($U$127="základní",$N$127,0)</f>
        <v>0</v>
      </c>
      <c r="BF127" s="173">
        <f>IF($U$127="snížená",$N$127,0)</f>
        <v>0</v>
      </c>
      <c r="BG127" s="173">
        <f>IF($U$127="zákl. přenesená",$N$127,0)</f>
        <v>0</v>
      </c>
      <c r="BH127" s="173">
        <f>IF($U$127="sníž. přenesená",$N$127,0)</f>
        <v>0</v>
      </c>
      <c r="BI127" s="173">
        <f>IF($U$127="nulová",$N$127,0)</f>
        <v>0</v>
      </c>
      <c r="BJ127" s="114" t="s">
        <v>17</v>
      </c>
      <c r="BK127" s="173">
        <f>ROUND($L$127*$K$127,2)</f>
        <v>0</v>
      </c>
      <c r="BL127" s="114" t="s">
        <v>135</v>
      </c>
    </row>
    <row r="128" spans="2:64" s="114" customFormat="1" ht="27" customHeight="1">
      <c r="B128" s="113"/>
      <c r="C128" s="167" t="s">
        <v>180</v>
      </c>
      <c r="D128" s="167" t="s">
        <v>131</v>
      </c>
      <c r="E128" s="168" t="s">
        <v>200</v>
      </c>
      <c r="F128" s="215" t="s">
        <v>201</v>
      </c>
      <c r="G128" s="215"/>
      <c r="H128" s="215"/>
      <c r="I128" s="215"/>
      <c r="J128" s="169" t="s">
        <v>134</v>
      </c>
      <c r="K128" s="170">
        <v>177.8</v>
      </c>
      <c r="L128" s="211"/>
      <c r="M128" s="211"/>
      <c r="N128" s="211">
        <f>ROUND($L$128*$K$128,2)</f>
        <v>0</v>
      </c>
      <c r="O128" s="211"/>
      <c r="P128" s="211"/>
      <c r="Q128" s="211"/>
      <c r="R128" s="116"/>
      <c r="T128" s="184"/>
      <c r="U128" s="185" t="s">
        <v>38</v>
      </c>
      <c r="V128" s="171">
        <v>0.071</v>
      </c>
      <c r="W128" s="171">
        <f>$V$128*$K$128</f>
        <v>12.6238</v>
      </c>
      <c r="X128" s="171">
        <v>0.12966</v>
      </c>
      <c r="Y128" s="171">
        <f>$X$128*$K$128</f>
        <v>23.053548</v>
      </c>
      <c r="Z128" s="171">
        <v>0</v>
      </c>
      <c r="AA128" s="172">
        <f>$Z$128*$K$128</f>
        <v>0</v>
      </c>
      <c r="AR128" s="114" t="s">
        <v>135</v>
      </c>
      <c r="AT128" s="114" t="s">
        <v>131</v>
      </c>
      <c r="AU128" s="114" t="s">
        <v>93</v>
      </c>
      <c r="AY128" s="114" t="s">
        <v>130</v>
      </c>
      <c r="BE128" s="173">
        <f>IF($U$128="základní",$N$128,0)</f>
        <v>0</v>
      </c>
      <c r="BF128" s="173">
        <f>IF($U$128="snížená",$N$128,0)</f>
        <v>0</v>
      </c>
      <c r="BG128" s="173">
        <f>IF($U$128="zákl. přenesená",$N$128,0)</f>
        <v>0</v>
      </c>
      <c r="BH128" s="173">
        <f>IF($U$128="sníž. přenesená",$N$128,0)</f>
        <v>0</v>
      </c>
      <c r="BI128" s="173">
        <f>IF($U$128="nulová",$N$128,0)</f>
        <v>0</v>
      </c>
      <c r="BJ128" s="114" t="s">
        <v>17</v>
      </c>
      <c r="BK128" s="173">
        <f>ROUND($L$128*$K$128,2)</f>
        <v>0</v>
      </c>
      <c r="BL128" s="114" t="s">
        <v>135</v>
      </c>
    </row>
    <row r="129" spans="2:64" s="114" customFormat="1" ht="27" customHeight="1">
      <c r="B129" s="113"/>
      <c r="C129" s="167" t="s">
        <v>183</v>
      </c>
      <c r="D129" s="167" t="s">
        <v>131</v>
      </c>
      <c r="E129" s="168" t="s">
        <v>203</v>
      </c>
      <c r="F129" s="215" t="s">
        <v>204</v>
      </c>
      <c r="G129" s="215"/>
      <c r="H129" s="215"/>
      <c r="I129" s="215"/>
      <c r="J129" s="169" t="s">
        <v>134</v>
      </c>
      <c r="K129" s="170">
        <v>10479.07</v>
      </c>
      <c r="L129" s="211"/>
      <c r="M129" s="211"/>
      <c r="N129" s="211">
        <f>ROUND($L$129*$K$129,2)</f>
        <v>0</v>
      </c>
      <c r="O129" s="211"/>
      <c r="P129" s="211"/>
      <c r="Q129" s="211"/>
      <c r="R129" s="116"/>
      <c r="T129" s="184"/>
      <c r="U129" s="185" t="s">
        <v>38</v>
      </c>
      <c r="V129" s="171">
        <v>0.017</v>
      </c>
      <c r="W129" s="171">
        <f>$V$129*$K$129</f>
        <v>178.14419</v>
      </c>
      <c r="X129" s="171">
        <v>0.12966</v>
      </c>
      <c r="Y129" s="171">
        <f>$X$129*$K$129</f>
        <v>1358.7162162</v>
      </c>
      <c r="Z129" s="171">
        <v>0</v>
      </c>
      <c r="AA129" s="172">
        <f>$Z$129*$K$129</f>
        <v>0</v>
      </c>
      <c r="AR129" s="114" t="s">
        <v>135</v>
      </c>
      <c r="AT129" s="114" t="s">
        <v>131</v>
      </c>
      <c r="AU129" s="114" t="s">
        <v>93</v>
      </c>
      <c r="AY129" s="114" t="s">
        <v>130</v>
      </c>
      <c r="BE129" s="173">
        <f>IF($U$129="základní",$N$129,0)</f>
        <v>0</v>
      </c>
      <c r="BF129" s="173">
        <f>IF($U$129="snížená",$N$129,0)</f>
        <v>0</v>
      </c>
      <c r="BG129" s="173">
        <f>IF($U$129="zákl. přenesená",$N$129,0)</f>
        <v>0</v>
      </c>
      <c r="BH129" s="173">
        <f>IF($U$129="sníž. přenesená",$N$129,0)</f>
        <v>0</v>
      </c>
      <c r="BI129" s="173">
        <f>IF($U$129="nulová",$N$129,0)</f>
        <v>0</v>
      </c>
      <c r="BJ129" s="114" t="s">
        <v>17</v>
      </c>
      <c r="BK129" s="173">
        <f>ROUND($L$129*$K$129,2)</f>
        <v>0</v>
      </c>
      <c r="BL129" s="114" t="s">
        <v>135</v>
      </c>
    </row>
    <row r="130" spans="2:64" s="114" customFormat="1" ht="27" customHeight="1">
      <c r="B130" s="113"/>
      <c r="C130" s="167" t="s">
        <v>185</v>
      </c>
      <c r="D130" s="167" t="s">
        <v>131</v>
      </c>
      <c r="E130" s="168" t="s">
        <v>206</v>
      </c>
      <c r="F130" s="215" t="s">
        <v>207</v>
      </c>
      <c r="G130" s="215"/>
      <c r="H130" s="215"/>
      <c r="I130" s="215"/>
      <c r="J130" s="169" t="s">
        <v>134</v>
      </c>
      <c r="K130" s="170">
        <v>54.34</v>
      </c>
      <c r="L130" s="211"/>
      <c r="M130" s="211"/>
      <c r="N130" s="211">
        <f>ROUND($L$130*$K$130,2)</f>
        <v>0</v>
      </c>
      <c r="O130" s="211"/>
      <c r="P130" s="211"/>
      <c r="Q130" s="211"/>
      <c r="R130" s="116"/>
      <c r="T130" s="184"/>
      <c r="U130" s="185" t="s">
        <v>38</v>
      </c>
      <c r="V130" s="171">
        <v>0.83</v>
      </c>
      <c r="W130" s="171">
        <f>$V$130*$K$130</f>
        <v>45.1022</v>
      </c>
      <c r="X130" s="171">
        <v>0.62652</v>
      </c>
      <c r="Y130" s="171">
        <f>$X$130*$K$130</f>
        <v>34.0450968</v>
      </c>
      <c r="Z130" s="171">
        <v>0</v>
      </c>
      <c r="AA130" s="172">
        <f>$Z$130*$K$130</f>
        <v>0</v>
      </c>
      <c r="AR130" s="114" t="s">
        <v>135</v>
      </c>
      <c r="AT130" s="114" t="s">
        <v>131</v>
      </c>
      <c r="AU130" s="114" t="s">
        <v>93</v>
      </c>
      <c r="AY130" s="114" t="s">
        <v>130</v>
      </c>
      <c r="BE130" s="173">
        <f>IF($U$130="základní",$N$130,0)</f>
        <v>0</v>
      </c>
      <c r="BF130" s="173">
        <f>IF($U$130="snížená",$N$130,0)</f>
        <v>0</v>
      </c>
      <c r="BG130" s="173">
        <f>IF($U$130="zákl. přenesená",$N$130,0)</f>
        <v>0</v>
      </c>
      <c r="BH130" s="173">
        <f>IF($U$130="sníž. přenesená",$N$130,0)</f>
        <v>0</v>
      </c>
      <c r="BI130" s="173">
        <f>IF($U$130="nulová",$N$130,0)</f>
        <v>0</v>
      </c>
      <c r="BJ130" s="114" t="s">
        <v>17</v>
      </c>
      <c r="BK130" s="173">
        <f>ROUND($L$130*$K$130,2)</f>
        <v>0</v>
      </c>
      <c r="BL130" s="114" t="s">
        <v>135</v>
      </c>
    </row>
    <row r="131" spans="2:63" s="158" customFormat="1" ht="30.75" customHeight="1">
      <c r="B131" s="157"/>
      <c r="D131" s="166" t="s">
        <v>108</v>
      </c>
      <c r="N131" s="213">
        <f>$BK$131</f>
        <v>0</v>
      </c>
      <c r="O131" s="213"/>
      <c r="P131" s="213"/>
      <c r="Q131" s="213"/>
      <c r="R131" s="160"/>
      <c r="T131" s="161"/>
      <c r="W131" s="162">
        <f>SUM($W$132:$W$164)</f>
        <v>1968.88436</v>
      </c>
      <c r="Y131" s="162">
        <f>SUM($Y$132:$Y$164)</f>
        <v>32.0847827</v>
      </c>
      <c r="AA131" s="163">
        <f>SUM($AA$132:$AA$164)</f>
        <v>220.9122</v>
      </c>
      <c r="AR131" s="164" t="s">
        <v>17</v>
      </c>
      <c r="AT131" s="164" t="s">
        <v>72</v>
      </c>
      <c r="AU131" s="164" t="s">
        <v>17</v>
      </c>
      <c r="AY131" s="164" t="s">
        <v>130</v>
      </c>
      <c r="BK131" s="165">
        <f>SUM($BK$132:$BK$164)</f>
        <v>0</v>
      </c>
    </row>
    <row r="132" spans="2:64" s="114" customFormat="1" ht="27" customHeight="1">
      <c r="B132" s="113"/>
      <c r="C132" s="167" t="s">
        <v>188</v>
      </c>
      <c r="D132" s="167" t="s">
        <v>131</v>
      </c>
      <c r="E132" s="168" t="s">
        <v>327</v>
      </c>
      <c r="F132" s="244" t="s">
        <v>400</v>
      </c>
      <c r="G132" s="215"/>
      <c r="H132" s="215"/>
      <c r="I132" s="215"/>
      <c r="J132" s="169" t="s">
        <v>174</v>
      </c>
      <c r="K132" s="170">
        <v>149</v>
      </c>
      <c r="L132" s="211"/>
      <c r="M132" s="211"/>
      <c r="N132" s="211">
        <f>ROUND($L$132*$K$132,2)</f>
        <v>0</v>
      </c>
      <c r="O132" s="211"/>
      <c r="P132" s="211"/>
      <c r="Q132" s="211"/>
      <c r="R132" s="116"/>
      <c r="T132" s="184"/>
      <c r="U132" s="185" t="s">
        <v>38</v>
      </c>
      <c r="V132" s="171">
        <v>0.442</v>
      </c>
      <c r="W132" s="171">
        <f>$V$132*$K$132</f>
        <v>65.858</v>
      </c>
      <c r="X132" s="171">
        <v>0.0775</v>
      </c>
      <c r="Y132" s="171">
        <f>$X$132*$K$132</f>
        <v>11.5475</v>
      </c>
      <c r="Z132" s="171">
        <v>0</v>
      </c>
      <c r="AA132" s="172">
        <f>$Z$132*$K$132</f>
        <v>0</v>
      </c>
      <c r="AR132" s="114" t="s">
        <v>135</v>
      </c>
      <c r="AT132" s="114" t="s">
        <v>131</v>
      </c>
      <c r="AU132" s="114" t="s">
        <v>93</v>
      </c>
      <c r="AY132" s="114" t="s">
        <v>130</v>
      </c>
      <c r="BE132" s="173">
        <f>IF($U$132="základní",$N$132,0)</f>
        <v>0</v>
      </c>
      <c r="BF132" s="173">
        <f>IF($U$132="snížená",$N$132,0)</f>
        <v>0</v>
      </c>
      <c r="BG132" s="173">
        <f>IF($U$132="zákl. přenesená",$N$132,0)</f>
        <v>0</v>
      </c>
      <c r="BH132" s="173">
        <f>IF($U$132="sníž. přenesená",$N$132,0)</f>
        <v>0</v>
      </c>
      <c r="BI132" s="173">
        <f>IF($U$132="nulová",$N$132,0)</f>
        <v>0</v>
      </c>
      <c r="BJ132" s="114" t="s">
        <v>17</v>
      </c>
      <c r="BK132" s="173">
        <f>ROUND($L$132*$K$132,2)</f>
        <v>0</v>
      </c>
      <c r="BL132" s="114" t="s">
        <v>135</v>
      </c>
    </row>
    <row r="133" spans="2:64" s="114" customFormat="1" ht="27" customHeight="1">
      <c r="B133" s="113"/>
      <c r="C133" s="167" t="s">
        <v>5</v>
      </c>
      <c r="D133" s="167" t="s">
        <v>131</v>
      </c>
      <c r="E133" s="168" t="s">
        <v>209</v>
      </c>
      <c r="F133" s="215" t="s">
        <v>210</v>
      </c>
      <c r="G133" s="215"/>
      <c r="H133" s="215"/>
      <c r="I133" s="215"/>
      <c r="J133" s="169" t="s">
        <v>211</v>
      </c>
      <c r="K133" s="170">
        <v>112</v>
      </c>
      <c r="L133" s="211"/>
      <c r="M133" s="211"/>
      <c r="N133" s="211">
        <f>ROUND($L$133*$K$133,2)</f>
        <v>0</v>
      </c>
      <c r="O133" s="211"/>
      <c r="P133" s="211"/>
      <c r="Q133" s="211"/>
      <c r="R133" s="116"/>
      <c r="T133" s="184"/>
      <c r="U133" s="185" t="s">
        <v>38</v>
      </c>
      <c r="V133" s="171">
        <v>0.226</v>
      </c>
      <c r="W133" s="171">
        <f>$V$133*$K$133</f>
        <v>25.312</v>
      </c>
      <c r="X133" s="171">
        <v>0</v>
      </c>
      <c r="Y133" s="171">
        <f>$X$133*$K$133</f>
        <v>0</v>
      </c>
      <c r="Z133" s="171">
        <v>0</v>
      </c>
      <c r="AA133" s="172">
        <f>$Z$133*$K$133</f>
        <v>0</v>
      </c>
      <c r="AR133" s="114" t="s">
        <v>135</v>
      </c>
      <c r="AT133" s="114" t="s">
        <v>131</v>
      </c>
      <c r="AU133" s="114" t="s">
        <v>93</v>
      </c>
      <c r="AY133" s="114" t="s">
        <v>130</v>
      </c>
      <c r="BE133" s="173">
        <f>IF($U$133="základní",$N$133,0)</f>
        <v>0</v>
      </c>
      <c r="BF133" s="173">
        <f>IF($U$133="snížená",$N$133,0)</f>
        <v>0</v>
      </c>
      <c r="BG133" s="173">
        <f>IF($U$133="zákl. přenesená",$N$133,0)</f>
        <v>0</v>
      </c>
      <c r="BH133" s="173">
        <f>IF($U$133="sníž. přenesená",$N$133,0)</f>
        <v>0</v>
      </c>
      <c r="BI133" s="173">
        <f>IF($U$133="nulová",$N$133,0)</f>
        <v>0</v>
      </c>
      <c r="BJ133" s="114" t="s">
        <v>17</v>
      </c>
      <c r="BK133" s="173">
        <f>ROUND($L$133*$K$133,2)</f>
        <v>0</v>
      </c>
      <c r="BL133" s="114" t="s">
        <v>135</v>
      </c>
    </row>
    <row r="134" spans="2:64" s="114" customFormat="1" ht="15.75" customHeight="1">
      <c r="B134" s="113"/>
      <c r="C134" s="178" t="s">
        <v>193</v>
      </c>
      <c r="D134" s="178" t="s">
        <v>159</v>
      </c>
      <c r="E134" s="186" t="s">
        <v>213</v>
      </c>
      <c r="F134" s="216" t="s">
        <v>214</v>
      </c>
      <c r="G134" s="216"/>
      <c r="H134" s="216"/>
      <c r="I134" s="216"/>
      <c r="J134" s="187" t="s">
        <v>211</v>
      </c>
      <c r="K134" s="188">
        <v>92</v>
      </c>
      <c r="L134" s="217"/>
      <c r="M134" s="217"/>
      <c r="N134" s="217">
        <f>ROUND($L$134*$K$134,2)</f>
        <v>0</v>
      </c>
      <c r="O134" s="217"/>
      <c r="P134" s="217"/>
      <c r="Q134" s="217"/>
      <c r="R134" s="116"/>
      <c r="T134" s="184"/>
      <c r="U134" s="185" t="s">
        <v>38</v>
      </c>
      <c r="V134" s="171">
        <v>0</v>
      </c>
      <c r="W134" s="171">
        <f>$V$134*$K$134</f>
        <v>0</v>
      </c>
      <c r="X134" s="171">
        <v>0.0022</v>
      </c>
      <c r="Y134" s="171">
        <f>$X$134*$K$134</f>
        <v>0.20240000000000002</v>
      </c>
      <c r="Z134" s="171">
        <v>0</v>
      </c>
      <c r="AA134" s="172">
        <f>$Z$134*$K$134</f>
        <v>0</v>
      </c>
      <c r="AR134" s="114" t="s">
        <v>152</v>
      </c>
      <c r="AT134" s="114" t="s">
        <v>159</v>
      </c>
      <c r="AU134" s="114" t="s">
        <v>93</v>
      </c>
      <c r="AY134" s="114" t="s">
        <v>130</v>
      </c>
      <c r="BE134" s="173">
        <f>IF($U$134="základní",$N$134,0)</f>
        <v>0</v>
      </c>
      <c r="BF134" s="173">
        <f>IF($U$134="snížená",$N$134,0)</f>
        <v>0</v>
      </c>
      <c r="BG134" s="173">
        <f>IF($U$134="zákl. přenesená",$N$134,0)</f>
        <v>0</v>
      </c>
      <c r="BH134" s="173">
        <f>IF($U$134="sníž. přenesená",$N$134,0)</f>
        <v>0</v>
      </c>
      <c r="BI134" s="173">
        <f>IF($U$134="nulová",$N$134,0)</f>
        <v>0</v>
      </c>
      <c r="BJ134" s="114" t="s">
        <v>17</v>
      </c>
      <c r="BK134" s="173">
        <f>ROUND($L$134*$K$134,2)</f>
        <v>0</v>
      </c>
      <c r="BL134" s="114" t="s">
        <v>135</v>
      </c>
    </row>
    <row r="135" spans="2:64" s="114" customFormat="1" ht="15.75" customHeight="1">
      <c r="B135" s="113"/>
      <c r="C135" s="178" t="s">
        <v>196</v>
      </c>
      <c r="D135" s="178" t="s">
        <v>159</v>
      </c>
      <c r="E135" s="186" t="s">
        <v>216</v>
      </c>
      <c r="F135" s="216" t="s">
        <v>217</v>
      </c>
      <c r="G135" s="216"/>
      <c r="H135" s="216"/>
      <c r="I135" s="216"/>
      <c r="J135" s="187" t="s">
        <v>211</v>
      </c>
      <c r="K135" s="188">
        <v>20</v>
      </c>
      <c r="L135" s="217"/>
      <c r="M135" s="217"/>
      <c r="N135" s="217">
        <f>ROUND($L$135*$K$135,2)</f>
        <v>0</v>
      </c>
      <c r="O135" s="217"/>
      <c r="P135" s="217"/>
      <c r="Q135" s="217"/>
      <c r="R135" s="116"/>
      <c r="T135" s="184"/>
      <c r="U135" s="185" t="s">
        <v>38</v>
      </c>
      <c r="V135" s="171">
        <v>0</v>
      </c>
      <c r="W135" s="171">
        <f>$V$135*$K$135</f>
        <v>0</v>
      </c>
      <c r="X135" s="171">
        <v>0.0022</v>
      </c>
      <c r="Y135" s="171">
        <f>$X$135*$K$135</f>
        <v>0.044000000000000004</v>
      </c>
      <c r="Z135" s="171">
        <v>0</v>
      </c>
      <c r="AA135" s="172">
        <f>$Z$135*$K$135</f>
        <v>0</v>
      </c>
      <c r="AR135" s="114" t="s">
        <v>152</v>
      </c>
      <c r="AT135" s="114" t="s">
        <v>159</v>
      </c>
      <c r="AU135" s="114" t="s">
        <v>93</v>
      </c>
      <c r="AY135" s="114" t="s">
        <v>130</v>
      </c>
      <c r="BE135" s="173">
        <f>IF($U$135="základní",$N$135,0)</f>
        <v>0</v>
      </c>
      <c r="BF135" s="173">
        <f>IF($U$135="snížená",$N$135,0)</f>
        <v>0</v>
      </c>
      <c r="BG135" s="173">
        <f>IF($U$135="zákl. přenesená",$N$135,0)</f>
        <v>0</v>
      </c>
      <c r="BH135" s="173">
        <f>IF($U$135="sníž. přenesená",$N$135,0)</f>
        <v>0</v>
      </c>
      <c r="BI135" s="173">
        <f>IF($U$135="nulová",$N$135,0)</f>
        <v>0</v>
      </c>
      <c r="BJ135" s="114" t="s">
        <v>17</v>
      </c>
      <c r="BK135" s="173">
        <f>ROUND($L$135*$K$135,2)</f>
        <v>0</v>
      </c>
      <c r="BL135" s="114" t="s">
        <v>135</v>
      </c>
    </row>
    <row r="136" spans="2:64" s="114" customFormat="1" ht="27" customHeight="1">
      <c r="B136" s="113"/>
      <c r="C136" s="167" t="s">
        <v>199</v>
      </c>
      <c r="D136" s="167" t="s">
        <v>131</v>
      </c>
      <c r="E136" s="168" t="s">
        <v>219</v>
      </c>
      <c r="F136" s="215" t="s">
        <v>220</v>
      </c>
      <c r="G136" s="215"/>
      <c r="H136" s="215"/>
      <c r="I136" s="215"/>
      <c r="J136" s="169" t="s">
        <v>211</v>
      </c>
      <c r="K136" s="170">
        <v>23</v>
      </c>
      <c r="L136" s="211"/>
      <c r="M136" s="211"/>
      <c r="N136" s="211">
        <f>ROUND($L$136*$K$136,2)</f>
        <v>0</v>
      </c>
      <c r="O136" s="211"/>
      <c r="P136" s="211"/>
      <c r="Q136" s="211"/>
      <c r="R136" s="116"/>
      <c r="T136" s="184"/>
      <c r="U136" s="185" t="s">
        <v>38</v>
      </c>
      <c r="V136" s="171">
        <v>0.2</v>
      </c>
      <c r="W136" s="171">
        <f>$V$136*$K$136</f>
        <v>4.6000000000000005</v>
      </c>
      <c r="X136" s="171">
        <v>0.0007</v>
      </c>
      <c r="Y136" s="171">
        <f>$X$136*$K$136</f>
        <v>0.0161</v>
      </c>
      <c r="Z136" s="171">
        <v>0</v>
      </c>
      <c r="AA136" s="172">
        <f>$Z$136*$K$136</f>
        <v>0</v>
      </c>
      <c r="AR136" s="114" t="s">
        <v>135</v>
      </c>
      <c r="AT136" s="114" t="s">
        <v>131</v>
      </c>
      <c r="AU136" s="114" t="s">
        <v>93</v>
      </c>
      <c r="AY136" s="114" t="s">
        <v>130</v>
      </c>
      <c r="BE136" s="173">
        <f>IF($U$136="základní",$N$136,0)</f>
        <v>0</v>
      </c>
      <c r="BF136" s="173">
        <f>IF($U$136="snížená",$N$136,0)</f>
        <v>0</v>
      </c>
      <c r="BG136" s="173">
        <f>IF($U$136="zákl. přenesená",$N$136,0)</f>
        <v>0</v>
      </c>
      <c r="BH136" s="173">
        <f>IF($U$136="sníž. přenesená",$N$136,0)</f>
        <v>0</v>
      </c>
      <c r="BI136" s="173">
        <f>IF($U$136="nulová",$N$136,0)</f>
        <v>0</v>
      </c>
      <c r="BJ136" s="114" t="s">
        <v>17</v>
      </c>
      <c r="BK136" s="173">
        <f>ROUND($L$136*$K$136,2)</f>
        <v>0</v>
      </c>
      <c r="BL136" s="114" t="s">
        <v>135</v>
      </c>
    </row>
    <row r="137" spans="2:64" s="114" customFormat="1" ht="15.75" customHeight="1">
      <c r="B137" s="113"/>
      <c r="C137" s="178" t="s">
        <v>202</v>
      </c>
      <c r="D137" s="178" t="s">
        <v>159</v>
      </c>
      <c r="E137" s="186" t="s">
        <v>222</v>
      </c>
      <c r="F137" s="216" t="s">
        <v>223</v>
      </c>
      <c r="G137" s="216"/>
      <c r="H137" s="216"/>
      <c r="I137" s="216"/>
      <c r="J137" s="187" t="s">
        <v>211</v>
      </c>
      <c r="K137" s="188">
        <v>1</v>
      </c>
      <c r="L137" s="217"/>
      <c r="M137" s="217"/>
      <c r="N137" s="217">
        <f>ROUND($L$137*$K$137,2)</f>
        <v>0</v>
      </c>
      <c r="O137" s="217"/>
      <c r="P137" s="217"/>
      <c r="Q137" s="217"/>
      <c r="R137" s="116"/>
      <c r="T137" s="184"/>
      <c r="U137" s="185" t="s">
        <v>38</v>
      </c>
      <c r="V137" s="171">
        <v>0</v>
      </c>
      <c r="W137" s="171">
        <f>$V$137*$K$137</f>
        <v>0</v>
      </c>
      <c r="X137" s="171">
        <v>0.004</v>
      </c>
      <c r="Y137" s="171">
        <f>$X$137*$K$137</f>
        <v>0.004</v>
      </c>
      <c r="Z137" s="171">
        <v>0</v>
      </c>
      <c r="AA137" s="172">
        <f>$Z$137*$K$137</f>
        <v>0</v>
      </c>
      <c r="AR137" s="114" t="s">
        <v>152</v>
      </c>
      <c r="AT137" s="114" t="s">
        <v>159</v>
      </c>
      <c r="AU137" s="114" t="s">
        <v>93</v>
      </c>
      <c r="AY137" s="114" t="s">
        <v>130</v>
      </c>
      <c r="BE137" s="173">
        <f>IF($U$137="základní",$N$137,0)</f>
        <v>0</v>
      </c>
      <c r="BF137" s="173">
        <f>IF($U$137="snížená",$N$137,0)</f>
        <v>0</v>
      </c>
      <c r="BG137" s="173">
        <f>IF($U$137="zákl. přenesená",$N$137,0)</f>
        <v>0</v>
      </c>
      <c r="BH137" s="173">
        <f>IF($U$137="sníž. přenesená",$N$137,0)</f>
        <v>0</v>
      </c>
      <c r="BI137" s="173">
        <f>IF($U$137="nulová",$N$137,0)</f>
        <v>0</v>
      </c>
      <c r="BJ137" s="114" t="s">
        <v>17</v>
      </c>
      <c r="BK137" s="173">
        <f>ROUND($L$137*$K$137,2)</f>
        <v>0</v>
      </c>
      <c r="BL137" s="114" t="s">
        <v>135</v>
      </c>
    </row>
    <row r="138" spans="2:64" s="114" customFormat="1" ht="15.75" customHeight="1">
      <c r="B138" s="113"/>
      <c r="C138" s="178" t="s">
        <v>205</v>
      </c>
      <c r="D138" s="178" t="s">
        <v>159</v>
      </c>
      <c r="E138" s="186" t="s">
        <v>225</v>
      </c>
      <c r="F138" s="216" t="s">
        <v>226</v>
      </c>
      <c r="G138" s="216"/>
      <c r="H138" s="216"/>
      <c r="I138" s="216"/>
      <c r="J138" s="187" t="s">
        <v>211</v>
      </c>
      <c r="K138" s="188">
        <v>1</v>
      </c>
      <c r="L138" s="217"/>
      <c r="M138" s="217"/>
      <c r="N138" s="217">
        <f>ROUND($L$138*$K$138,2)</f>
        <v>0</v>
      </c>
      <c r="O138" s="217"/>
      <c r="P138" s="217"/>
      <c r="Q138" s="217"/>
      <c r="R138" s="116"/>
      <c r="T138" s="184"/>
      <c r="U138" s="185" t="s">
        <v>38</v>
      </c>
      <c r="V138" s="171">
        <v>0</v>
      </c>
      <c r="W138" s="171">
        <f>$V$138*$K$138</f>
        <v>0</v>
      </c>
      <c r="X138" s="171">
        <v>0.004</v>
      </c>
      <c r="Y138" s="171">
        <f>$X$138*$K$138</f>
        <v>0.004</v>
      </c>
      <c r="Z138" s="171">
        <v>0</v>
      </c>
      <c r="AA138" s="172">
        <f>$Z$138*$K$138</f>
        <v>0</v>
      </c>
      <c r="AR138" s="114" t="s">
        <v>152</v>
      </c>
      <c r="AT138" s="114" t="s">
        <v>159</v>
      </c>
      <c r="AU138" s="114" t="s">
        <v>93</v>
      </c>
      <c r="AY138" s="114" t="s">
        <v>130</v>
      </c>
      <c r="BE138" s="173">
        <f>IF($U$138="základní",$N$138,0)</f>
        <v>0</v>
      </c>
      <c r="BF138" s="173">
        <f>IF($U$138="snížená",$N$138,0)</f>
        <v>0</v>
      </c>
      <c r="BG138" s="173">
        <f>IF($U$138="zákl. přenesená",$N$138,0)</f>
        <v>0</v>
      </c>
      <c r="BH138" s="173">
        <f>IF($U$138="sníž. přenesená",$N$138,0)</f>
        <v>0</v>
      </c>
      <c r="BI138" s="173">
        <f>IF($U$138="nulová",$N$138,0)</f>
        <v>0</v>
      </c>
      <c r="BJ138" s="114" t="s">
        <v>17</v>
      </c>
      <c r="BK138" s="173">
        <f>ROUND($L$138*$K$138,2)</f>
        <v>0</v>
      </c>
      <c r="BL138" s="114" t="s">
        <v>135</v>
      </c>
    </row>
    <row r="139" spans="2:64" s="114" customFormat="1" ht="15.75" customHeight="1">
      <c r="B139" s="113"/>
      <c r="C139" s="178" t="s">
        <v>208</v>
      </c>
      <c r="D139" s="178" t="s">
        <v>159</v>
      </c>
      <c r="E139" s="186" t="s">
        <v>231</v>
      </c>
      <c r="F139" s="216" t="s">
        <v>232</v>
      </c>
      <c r="G139" s="216"/>
      <c r="H139" s="216"/>
      <c r="I139" s="216"/>
      <c r="J139" s="187" t="s">
        <v>211</v>
      </c>
      <c r="K139" s="188">
        <v>3</v>
      </c>
      <c r="L139" s="217"/>
      <c r="M139" s="217"/>
      <c r="N139" s="217">
        <f>ROUND($L$139*$K$139,2)</f>
        <v>0</v>
      </c>
      <c r="O139" s="217"/>
      <c r="P139" s="217"/>
      <c r="Q139" s="217"/>
      <c r="R139" s="116"/>
      <c r="T139" s="184"/>
      <c r="U139" s="185" t="s">
        <v>38</v>
      </c>
      <c r="V139" s="171">
        <v>0</v>
      </c>
      <c r="W139" s="171">
        <f>$V$139*$K$139</f>
        <v>0</v>
      </c>
      <c r="X139" s="171">
        <v>0.004</v>
      </c>
      <c r="Y139" s="171">
        <f>$X$139*$K$139</f>
        <v>0.012</v>
      </c>
      <c r="Z139" s="171">
        <v>0</v>
      </c>
      <c r="AA139" s="172">
        <f>$Z$139*$K$139</f>
        <v>0</v>
      </c>
      <c r="AR139" s="114" t="s">
        <v>152</v>
      </c>
      <c r="AT139" s="114" t="s">
        <v>159</v>
      </c>
      <c r="AU139" s="114" t="s">
        <v>93</v>
      </c>
      <c r="AY139" s="114" t="s">
        <v>130</v>
      </c>
      <c r="BE139" s="173">
        <f>IF($U$139="základní",$N$139,0)</f>
        <v>0</v>
      </c>
      <c r="BF139" s="173">
        <f>IF($U$139="snížená",$N$139,0)</f>
        <v>0</v>
      </c>
      <c r="BG139" s="173">
        <f>IF($U$139="zákl. přenesená",$N$139,0)</f>
        <v>0</v>
      </c>
      <c r="BH139" s="173">
        <f>IF($U$139="sníž. přenesená",$N$139,0)</f>
        <v>0</v>
      </c>
      <c r="BI139" s="173">
        <f>IF($U$139="nulová",$N$139,0)</f>
        <v>0</v>
      </c>
      <c r="BJ139" s="114" t="s">
        <v>17</v>
      </c>
      <c r="BK139" s="173">
        <f>ROUND($L$139*$K$139,2)</f>
        <v>0</v>
      </c>
      <c r="BL139" s="114" t="s">
        <v>135</v>
      </c>
    </row>
    <row r="140" spans="2:64" s="114" customFormat="1" ht="15.75" customHeight="1">
      <c r="B140" s="113"/>
      <c r="C140" s="178" t="s">
        <v>212</v>
      </c>
      <c r="D140" s="178" t="s">
        <v>159</v>
      </c>
      <c r="E140" s="186" t="s">
        <v>234</v>
      </c>
      <c r="F140" s="216" t="s">
        <v>235</v>
      </c>
      <c r="G140" s="216"/>
      <c r="H140" s="216"/>
      <c r="I140" s="216"/>
      <c r="J140" s="187" t="s">
        <v>211</v>
      </c>
      <c r="K140" s="188">
        <v>3</v>
      </c>
      <c r="L140" s="217"/>
      <c r="M140" s="217"/>
      <c r="N140" s="217">
        <f>ROUND($L$140*$K$140,2)</f>
        <v>0</v>
      </c>
      <c r="O140" s="217"/>
      <c r="P140" s="217"/>
      <c r="Q140" s="217"/>
      <c r="R140" s="116"/>
      <c r="T140" s="184"/>
      <c r="U140" s="185" t="s">
        <v>38</v>
      </c>
      <c r="V140" s="171">
        <v>0</v>
      </c>
      <c r="W140" s="171">
        <f>$V$140*$K$140</f>
        <v>0</v>
      </c>
      <c r="X140" s="171">
        <v>0.004</v>
      </c>
      <c r="Y140" s="171">
        <f>$X$140*$K$140</f>
        <v>0.012</v>
      </c>
      <c r="Z140" s="171">
        <v>0</v>
      </c>
      <c r="AA140" s="172">
        <f>$Z$140*$K$140</f>
        <v>0</v>
      </c>
      <c r="AR140" s="114" t="s">
        <v>152</v>
      </c>
      <c r="AT140" s="114" t="s">
        <v>159</v>
      </c>
      <c r="AU140" s="114" t="s">
        <v>93</v>
      </c>
      <c r="AY140" s="114" t="s">
        <v>130</v>
      </c>
      <c r="BE140" s="173">
        <f>IF($U$140="základní",$N$140,0)</f>
        <v>0</v>
      </c>
      <c r="BF140" s="173">
        <f>IF($U$140="snížená",$N$140,0)</f>
        <v>0</v>
      </c>
      <c r="BG140" s="173">
        <f>IF($U$140="zákl. přenesená",$N$140,0)</f>
        <v>0</v>
      </c>
      <c r="BH140" s="173">
        <f>IF($U$140="sníž. přenesená",$N$140,0)</f>
        <v>0</v>
      </c>
      <c r="BI140" s="173">
        <f>IF($U$140="nulová",$N$140,0)</f>
        <v>0</v>
      </c>
      <c r="BJ140" s="114" t="s">
        <v>17</v>
      </c>
      <c r="BK140" s="173">
        <f>ROUND($L$140*$K$140,2)</f>
        <v>0</v>
      </c>
      <c r="BL140" s="114" t="s">
        <v>135</v>
      </c>
    </row>
    <row r="141" spans="2:64" s="114" customFormat="1" ht="15.75" customHeight="1">
      <c r="B141" s="113"/>
      <c r="C141" s="178" t="s">
        <v>215</v>
      </c>
      <c r="D141" s="178" t="s">
        <v>159</v>
      </c>
      <c r="E141" s="186" t="s">
        <v>237</v>
      </c>
      <c r="F141" s="216" t="s">
        <v>238</v>
      </c>
      <c r="G141" s="216"/>
      <c r="H141" s="216"/>
      <c r="I141" s="216"/>
      <c r="J141" s="187" t="s">
        <v>211</v>
      </c>
      <c r="K141" s="188">
        <v>3</v>
      </c>
      <c r="L141" s="217"/>
      <c r="M141" s="217"/>
      <c r="N141" s="217">
        <f>ROUND($L$141*$K$141,2)</f>
        <v>0</v>
      </c>
      <c r="O141" s="217"/>
      <c r="P141" s="217"/>
      <c r="Q141" s="217"/>
      <c r="R141" s="116"/>
      <c r="T141" s="184"/>
      <c r="U141" s="185" t="s">
        <v>38</v>
      </c>
      <c r="V141" s="171">
        <v>0</v>
      </c>
      <c r="W141" s="171">
        <f>$V$141*$K$141</f>
        <v>0</v>
      </c>
      <c r="X141" s="171">
        <v>0.004</v>
      </c>
      <c r="Y141" s="171">
        <f>$X$141*$K$141</f>
        <v>0.012</v>
      </c>
      <c r="Z141" s="171">
        <v>0</v>
      </c>
      <c r="AA141" s="172">
        <f>$Z$141*$K$141</f>
        <v>0</v>
      </c>
      <c r="AR141" s="114" t="s">
        <v>152</v>
      </c>
      <c r="AT141" s="114" t="s">
        <v>159</v>
      </c>
      <c r="AU141" s="114" t="s">
        <v>93</v>
      </c>
      <c r="AY141" s="114" t="s">
        <v>130</v>
      </c>
      <c r="BE141" s="173">
        <f>IF($U$141="základní",$N$141,0)</f>
        <v>0</v>
      </c>
      <c r="BF141" s="173">
        <f>IF($U$141="snížená",$N$141,0)</f>
        <v>0</v>
      </c>
      <c r="BG141" s="173">
        <f>IF($U$141="zákl. přenesená",$N$141,0)</f>
        <v>0</v>
      </c>
      <c r="BH141" s="173">
        <f>IF($U$141="sníž. přenesená",$N$141,0)</f>
        <v>0</v>
      </c>
      <c r="BI141" s="173">
        <f>IF($U$141="nulová",$N$141,0)</f>
        <v>0</v>
      </c>
      <c r="BJ141" s="114" t="s">
        <v>17</v>
      </c>
      <c r="BK141" s="173">
        <f>ROUND($L$141*$K$141,2)</f>
        <v>0</v>
      </c>
      <c r="BL141" s="114" t="s">
        <v>135</v>
      </c>
    </row>
    <row r="142" spans="2:64" s="114" customFormat="1" ht="15.75" customHeight="1">
      <c r="B142" s="113"/>
      <c r="C142" s="178" t="s">
        <v>218</v>
      </c>
      <c r="D142" s="178" t="s">
        <v>159</v>
      </c>
      <c r="E142" s="186" t="s">
        <v>240</v>
      </c>
      <c r="F142" s="216" t="s">
        <v>241</v>
      </c>
      <c r="G142" s="216"/>
      <c r="H142" s="216"/>
      <c r="I142" s="216"/>
      <c r="J142" s="187" t="s">
        <v>211</v>
      </c>
      <c r="K142" s="188">
        <v>2</v>
      </c>
      <c r="L142" s="217"/>
      <c r="M142" s="217"/>
      <c r="N142" s="217">
        <f>ROUND($L$142*$K$142,2)</f>
        <v>0</v>
      </c>
      <c r="O142" s="217"/>
      <c r="P142" s="217"/>
      <c r="Q142" s="217"/>
      <c r="R142" s="116"/>
      <c r="T142" s="184"/>
      <c r="U142" s="185" t="s">
        <v>38</v>
      </c>
      <c r="V142" s="171">
        <v>0</v>
      </c>
      <c r="W142" s="171">
        <f>$V$142*$K$142</f>
        <v>0</v>
      </c>
      <c r="X142" s="171">
        <v>0.004</v>
      </c>
      <c r="Y142" s="171">
        <f>$X$142*$K$142</f>
        <v>0.008</v>
      </c>
      <c r="Z142" s="171">
        <v>0</v>
      </c>
      <c r="AA142" s="172">
        <f>$Z$142*$K$142</f>
        <v>0</v>
      </c>
      <c r="AR142" s="114" t="s">
        <v>152</v>
      </c>
      <c r="AT142" s="114" t="s">
        <v>159</v>
      </c>
      <c r="AU142" s="114" t="s">
        <v>93</v>
      </c>
      <c r="AY142" s="114" t="s">
        <v>130</v>
      </c>
      <c r="BE142" s="173">
        <f>IF($U$142="základní",$N$142,0)</f>
        <v>0</v>
      </c>
      <c r="BF142" s="173">
        <f>IF($U$142="snížená",$N$142,0)</f>
        <v>0</v>
      </c>
      <c r="BG142" s="173">
        <f>IF($U$142="zákl. přenesená",$N$142,0)</f>
        <v>0</v>
      </c>
      <c r="BH142" s="173">
        <f>IF($U$142="sníž. přenesená",$N$142,0)</f>
        <v>0</v>
      </c>
      <c r="BI142" s="173">
        <f>IF($U$142="nulová",$N$142,0)</f>
        <v>0</v>
      </c>
      <c r="BJ142" s="114" t="s">
        <v>17</v>
      </c>
      <c r="BK142" s="173">
        <f>ROUND($L$142*$K$142,2)</f>
        <v>0</v>
      </c>
      <c r="BL142" s="114" t="s">
        <v>135</v>
      </c>
    </row>
    <row r="143" spans="2:64" s="114" customFormat="1" ht="15.75" customHeight="1">
      <c r="B143" s="113"/>
      <c r="C143" s="178" t="s">
        <v>221</v>
      </c>
      <c r="D143" s="178" t="s">
        <v>159</v>
      </c>
      <c r="E143" s="186" t="s">
        <v>246</v>
      </c>
      <c r="F143" s="216" t="s">
        <v>247</v>
      </c>
      <c r="G143" s="216"/>
      <c r="H143" s="216"/>
      <c r="I143" s="216"/>
      <c r="J143" s="187" t="s">
        <v>211</v>
      </c>
      <c r="K143" s="188">
        <v>4</v>
      </c>
      <c r="L143" s="217"/>
      <c r="M143" s="217"/>
      <c r="N143" s="217">
        <f>ROUND($L$143*$K$143,2)</f>
        <v>0</v>
      </c>
      <c r="O143" s="217"/>
      <c r="P143" s="217"/>
      <c r="Q143" s="217"/>
      <c r="R143" s="116"/>
      <c r="T143" s="184"/>
      <c r="U143" s="185" t="s">
        <v>38</v>
      </c>
      <c r="V143" s="171">
        <v>0</v>
      </c>
      <c r="W143" s="171">
        <f>$V$143*$K$143</f>
        <v>0</v>
      </c>
      <c r="X143" s="171">
        <v>0.004</v>
      </c>
      <c r="Y143" s="171">
        <f>$X$143*$K$143</f>
        <v>0.016</v>
      </c>
      <c r="Z143" s="171">
        <v>0</v>
      </c>
      <c r="AA143" s="172">
        <f>$Z$143*$K$143</f>
        <v>0</v>
      </c>
      <c r="AR143" s="114" t="s">
        <v>152</v>
      </c>
      <c r="AT143" s="114" t="s">
        <v>159</v>
      </c>
      <c r="AU143" s="114" t="s">
        <v>93</v>
      </c>
      <c r="AY143" s="114" t="s">
        <v>130</v>
      </c>
      <c r="BE143" s="173">
        <f>IF($U$143="základní",$N$143,0)</f>
        <v>0</v>
      </c>
      <c r="BF143" s="173">
        <f>IF($U$143="snížená",$N$143,0)</f>
        <v>0</v>
      </c>
      <c r="BG143" s="173">
        <f>IF($U$143="zákl. přenesená",$N$143,0)</f>
        <v>0</v>
      </c>
      <c r="BH143" s="173">
        <f>IF($U$143="sníž. přenesená",$N$143,0)</f>
        <v>0</v>
      </c>
      <c r="BI143" s="173">
        <f>IF($U$143="nulová",$N$143,0)</f>
        <v>0</v>
      </c>
      <c r="BJ143" s="114" t="s">
        <v>17</v>
      </c>
      <c r="BK143" s="173">
        <f>ROUND($L$143*$K$143,2)</f>
        <v>0</v>
      </c>
      <c r="BL143" s="114" t="s">
        <v>135</v>
      </c>
    </row>
    <row r="144" spans="2:64" s="114" customFormat="1" ht="15.75" customHeight="1">
      <c r="B144" s="113"/>
      <c r="C144" s="178" t="s">
        <v>224</v>
      </c>
      <c r="D144" s="178" t="s">
        <v>159</v>
      </c>
      <c r="E144" s="186" t="s">
        <v>243</v>
      </c>
      <c r="F144" s="216" t="s">
        <v>244</v>
      </c>
      <c r="G144" s="216"/>
      <c r="H144" s="216"/>
      <c r="I144" s="216"/>
      <c r="J144" s="187" t="s">
        <v>211</v>
      </c>
      <c r="K144" s="188">
        <v>2</v>
      </c>
      <c r="L144" s="217"/>
      <c r="M144" s="217"/>
      <c r="N144" s="217">
        <f>ROUND($L$144*$K$144,2)</f>
        <v>0</v>
      </c>
      <c r="O144" s="217"/>
      <c r="P144" s="217"/>
      <c r="Q144" s="217"/>
      <c r="R144" s="116"/>
      <c r="T144" s="184"/>
      <c r="U144" s="185" t="s">
        <v>38</v>
      </c>
      <c r="V144" s="171">
        <v>0</v>
      </c>
      <c r="W144" s="171">
        <f>$V$144*$K$144</f>
        <v>0</v>
      </c>
      <c r="X144" s="171">
        <v>0.004</v>
      </c>
      <c r="Y144" s="171">
        <f>$X$144*$K$144</f>
        <v>0.008</v>
      </c>
      <c r="Z144" s="171">
        <v>0</v>
      </c>
      <c r="AA144" s="172">
        <f>$Z$144*$K$144</f>
        <v>0</v>
      </c>
      <c r="AR144" s="114" t="s">
        <v>152</v>
      </c>
      <c r="AT144" s="114" t="s">
        <v>159</v>
      </c>
      <c r="AU144" s="114" t="s">
        <v>93</v>
      </c>
      <c r="AY144" s="114" t="s">
        <v>130</v>
      </c>
      <c r="BE144" s="173">
        <f>IF($U$144="základní",$N$144,0)</f>
        <v>0</v>
      </c>
      <c r="BF144" s="173">
        <f>IF($U$144="snížená",$N$144,0)</f>
        <v>0</v>
      </c>
      <c r="BG144" s="173">
        <f>IF($U$144="zákl. přenesená",$N$144,0)</f>
        <v>0</v>
      </c>
      <c r="BH144" s="173">
        <f>IF($U$144="sníž. přenesená",$N$144,0)</f>
        <v>0</v>
      </c>
      <c r="BI144" s="173">
        <f>IF($U$144="nulová",$N$144,0)</f>
        <v>0</v>
      </c>
      <c r="BJ144" s="114" t="s">
        <v>17</v>
      </c>
      <c r="BK144" s="173">
        <f>ROUND($L$144*$K$144,2)</f>
        <v>0</v>
      </c>
      <c r="BL144" s="114" t="s">
        <v>135</v>
      </c>
    </row>
    <row r="145" spans="2:64" s="114" customFormat="1" ht="15.75" customHeight="1">
      <c r="B145" s="113"/>
      <c r="C145" s="178" t="s">
        <v>227</v>
      </c>
      <c r="D145" s="178" t="s">
        <v>159</v>
      </c>
      <c r="E145" s="186" t="s">
        <v>252</v>
      </c>
      <c r="F145" s="216" t="s">
        <v>328</v>
      </c>
      <c r="G145" s="216"/>
      <c r="H145" s="216"/>
      <c r="I145" s="216"/>
      <c r="J145" s="187" t="s">
        <v>211</v>
      </c>
      <c r="K145" s="188">
        <v>4</v>
      </c>
      <c r="L145" s="217"/>
      <c r="M145" s="217"/>
      <c r="N145" s="217">
        <f>ROUND($L$145*$K$145,2)</f>
        <v>0</v>
      </c>
      <c r="O145" s="217"/>
      <c r="P145" s="217"/>
      <c r="Q145" s="217"/>
      <c r="R145" s="116"/>
      <c r="T145" s="184"/>
      <c r="U145" s="185" t="s">
        <v>38</v>
      </c>
      <c r="V145" s="171">
        <v>0</v>
      </c>
      <c r="W145" s="171">
        <f>$V$145*$K$145</f>
        <v>0</v>
      </c>
      <c r="X145" s="171">
        <v>0.004</v>
      </c>
      <c r="Y145" s="171">
        <f>$X$145*$K$145</f>
        <v>0.016</v>
      </c>
      <c r="Z145" s="171">
        <v>0</v>
      </c>
      <c r="AA145" s="172">
        <f>$Z$145*$K$145</f>
        <v>0</v>
      </c>
      <c r="AR145" s="114" t="s">
        <v>152</v>
      </c>
      <c r="AT145" s="114" t="s">
        <v>159</v>
      </c>
      <c r="AU145" s="114" t="s">
        <v>93</v>
      </c>
      <c r="AY145" s="114" t="s">
        <v>130</v>
      </c>
      <c r="BE145" s="173">
        <f>IF($U$145="základní",$N$145,0)</f>
        <v>0</v>
      </c>
      <c r="BF145" s="173">
        <f>IF($U$145="snížená",$N$145,0)</f>
        <v>0</v>
      </c>
      <c r="BG145" s="173">
        <f>IF($U$145="zákl. přenesená",$N$145,0)</f>
        <v>0</v>
      </c>
      <c r="BH145" s="173">
        <f>IF($U$145="sníž. přenesená",$N$145,0)</f>
        <v>0</v>
      </c>
      <c r="BI145" s="173">
        <f>IF($U$145="nulová",$N$145,0)</f>
        <v>0</v>
      </c>
      <c r="BJ145" s="114" t="s">
        <v>17</v>
      </c>
      <c r="BK145" s="173">
        <f>ROUND($L$145*$K$145,2)</f>
        <v>0</v>
      </c>
      <c r="BL145" s="114" t="s">
        <v>135</v>
      </c>
    </row>
    <row r="146" spans="2:64" s="114" customFormat="1" ht="27" customHeight="1">
      <c r="B146" s="113"/>
      <c r="C146" s="167" t="s">
        <v>230</v>
      </c>
      <c r="D146" s="167" t="s">
        <v>131</v>
      </c>
      <c r="E146" s="168" t="s">
        <v>258</v>
      </c>
      <c r="F146" s="215" t="s">
        <v>259</v>
      </c>
      <c r="G146" s="215"/>
      <c r="H146" s="215"/>
      <c r="I146" s="215"/>
      <c r="J146" s="169" t="s">
        <v>211</v>
      </c>
      <c r="K146" s="170">
        <v>13</v>
      </c>
      <c r="L146" s="211"/>
      <c r="M146" s="211"/>
      <c r="N146" s="211">
        <f>ROUND($L$146*$K$146,2)</f>
        <v>0</v>
      </c>
      <c r="O146" s="211"/>
      <c r="P146" s="211"/>
      <c r="Q146" s="211"/>
      <c r="R146" s="116"/>
      <c r="T146" s="184"/>
      <c r="U146" s="185" t="s">
        <v>38</v>
      </c>
      <c r="V146" s="171">
        <v>0.549</v>
      </c>
      <c r="W146" s="171">
        <f>$V$146*$K$146</f>
        <v>7.1370000000000005</v>
      </c>
      <c r="X146" s="171">
        <v>0.11241</v>
      </c>
      <c r="Y146" s="171">
        <f>$X$146*$K$146</f>
        <v>1.46133</v>
      </c>
      <c r="Z146" s="171">
        <v>0</v>
      </c>
      <c r="AA146" s="172">
        <f>$Z$146*$K$146</f>
        <v>0</v>
      </c>
      <c r="AR146" s="114" t="s">
        <v>135</v>
      </c>
      <c r="AT146" s="114" t="s">
        <v>131</v>
      </c>
      <c r="AU146" s="114" t="s">
        <v>93</v>
      </c>
      <c r="AY146" s="114" t="s">
        <v>130</v>
      </c>
      <c r="BE146" s="173">
        <f>IF($U$146="základní",$N$146,0)</f>
        <v>0</v>
      </c>
      <c r="BF146" s="173">
        <f>IF($U$146="snížená",$N$146,0)</f>
        <v>0</v>
      </c>
      <c r="BG146" s="173">
        <f>IF($U$146="zákl. přenesená",$N$146,0)</f>
        <v>0</v>
      </c>
      <c r="BH146" s="173">
        <f>IF($U$146="sníž. přenesená",$N$146,0)</f>
        <v>0</v>
      </c>
      <c r="BI146" s="173">
        <f>IF($U$146="nulová",$N$146,0)</f>
        <v>0</v>
      </c>
      <c r="BJ146" s="114" t="s">
        <v>17</v>
      </c>
      <c r="BK146" s="173">
        <f>ROUND($L$146*$K$146,2)</f>
        <v>0</v>
      </c>
      <c r="BL146" s="114" t="s">
        <v>135</v>
      </c>
    </row>
    <row r="147" spans="2:64" s="114" customFormat="1" ht="15.75" customHeight="1">
      <c r="B147" s="113"/>
      <c r="C147" s="178" t="s">
        <v>233</v>
      </c>
      <c r="D147" s="178" t="s">
        <v>159</v>
      </c>
      <c r="E147" s="186" t="s">
        <v>261</v>
      </c>
      <c r="F147" s="216" t="s">
        <v>262</v>
      </c>
      <c r="G147" s="216"/>
      <c r="H147" s="216"/>
      <c r="I147" s="216"/>
      <c r="J147" s="187" t="s">
        <v>211</v>
      </c>
      <c r="K147" s="188">
        <v>13</v>
      </c>
      <c r="L147" s="217"/>
      <c r="M147" s="217"/>
      <c r="N147" s="217">
        <f>ROUND($L$147*$K$147,2)</f>
        <v>0</v>
      </c>
      <c r="O147" s="217"/>
      <c r="P147" s="217"/>
      <c r="Q147" s="217"/>
      <c r="R147" s="116"/>
      <c r="T147" s="184"/>
      <c r="U147" s="185" t="s">
        <v>38</v>
      </c>
      <c r="V147" s="171">
        <v>0</v>
      </c>
      <c r="W147" s="171">
        <f>$V$147*$K$147</f>
        <v>0</v>
      </c>
      <c r="X147" s="171">
        <v>0.0061</v>
      </c>
      <c r="Y147" s="171">
        <f>$X$147*$K$147</f>
        <v>0.07930000000000001</v>
      </c>
      <c r="Z147" s="171">
        <v>0</v>
      </c>
      <c r="AA147" s="172">
        <f>$Z$147*$K$147</f>
        <v>0</v>
      </c>
      <c r="AR147" s="114" t="s">
        <v>152</v>
      </c>
      <c r="AT147" s="114" t="s">
        <v>159</v>
      </c>
      <c r="AU147" s="114" t="s">
        <v>93</v>
      </c>
      <c r="AY147" s="114" t="s">
        <v>130</v>
      </c>
      <c r="BE147" s="173">
        <f>IF($U$147="základní",$N$147,0)</f>
        <v>0</v>
      </c>
      <c r="BF147" s="173">
        <f>IF($U$147="snížená",$N$147,0)</f>
        <v>0</v>
      </c>
      <c r="BG147" s="173">
        <f>IF($U$147="zákl. přenesená",$N$147,0)</f>
        <v>0</v>
      </c>
      <c r="BH147" s="173">
        <f>IF($U$147="sníž. přenesená",$N$147,0)</f>
        <v>0</v>
      </c>
      <c r="BI147" s="173">
        <f>IF($U$147="nulová",$N$147,0)</f>
        <v>0</v>
      </c>
      <c r="BJ147" s="114" t="s">
        <v>17</v>
      </c>
      <c r="BK147" s="173">
        <f>ROUND($L$147*$K$147,2)</f>
        <v>0</v>
      </c>
      <c r="BL147" s="114" t="s">
        <v>135</v>
      </c>
    </row>
    <row r="148" spans="2:64" s="114" customFormat="1" ht="15.75" customHeight="1">
      <c r="B148" s="113"/>
      <c r="C148" s="178" t="s">
        <v>236</v>
      </c>
      <c r="D148" s="178" t="s">
        <v>159</v>
      </c>
      <c r="E148" s="186" t="s">
        <v>264</v>
      </c>
      <c r="F148" s="216" t="s">
        <v>265</v>
      </c>
      <c r="G148" s="216"/>
      <c r="H148" s="216"/>
      <c r="I148" s="216"/>
      <c r="J148" s="187" t="s">
        <v>211</v>
      </c>
      <c r="K148" s="188">
        <v>13</v>
      </c>
      <c r="L148" s="217"/>
      <c r="M148" s="217"/>
      <c r="N148" s="217">
        <f>ROUND($L$148*$K$148,2)</f>
        <v>0</v>
      </c>
      <c r="O148" s="217"/>
      <c r="P148" s="217"/>
      <c r="Q148" s="217"/>
      <c r="R148" s="116"/>
      <c r="T148" s="184"/>
      <c r="U148" s="185" t="s">
        <v>38</v>
      </c>
      <c r="V148" s="171">
        <v>0</v>
      </c>
      <c r="W148" s="171">
        <f>$V$148*$K$148</f>
        <v>0</v>
      </c>
      <c r="X148" s="171">
        <v>0.003</v>
      </c>
      <c r="Y148" s="171">
        <f>$X$148*$K$148</f>
        <v>0.039</v>
      </c>
      <c r="Z148" s="171">
        <v>0</v>
      </c>
      <c r="AA148" s="172">
        <f>$Z$148*$K$148</f>
        <v>0</v>
      </c>
      <c r="AR148" s="114" t="s">
        <v>152</v>
      </c>
      <c r="AT148" s="114" t="s">
        <v>159</v>
      </c>
      <c r="AU148" s="114" t="s">
        <v>93</v>
      </c>
      <c r="AY148" s="114" t="s">
        <v>130</v>
      </c>
      <c r="BE148" s="173">
        <f>IF($U$148="základní",$N$148,0)</f>
        <v>0</v>
      </c>
      <c r="BF148" s="173">
        <f>IF($U$148="snížená",$N$148,0)</f>
        <v>0</v>
      </c>
      <c r="BG148" s="173">
        <f>IF($U$148="zákl. přenesená",$N$148,0)</f>
        <v>0</v>
      </c>
      <c r="BH148" s="173">
        <f>IF($U$148="sníž. přenesená",$N$148,0)</f>
        <v>0</v>
      </c>
      <c r="BI148" s="173">
        <f>IF($U$148="nulová",$N$148,0)</f>
        <v>0</v>
      </c>
      <c r="BJ148" s="114" t="s">
        <v>17</v>
      </c>
      <c r="BK148" s="173">
        <f>ROUND($L$148*$K$148,2)</f>
        <v>0</v>
      </c>
      <c r="BL148" s="114" t="s">
        <v>135</v>
      </c>
    </row>
    <row r="149" spans="2:64" s="114" customFormat="1" ht="15.75" customHeight="1">
      <c r="B149" s="113"/>
      <c r="C149" s="178" t="s">
        <v>239</v>
      </c>
      <c r="D149" s="178" t="s">
        <v>159</v>
      </c>
      <c r="E149" s="186" t="s">
        <v>267</v>
      </c>
      <c r="F149" s="216" t="s">
        <v>268</v>
      </c>
      <c r="G149" s="216"/>
      <c r="H149" s="216"/>
      <c r="I149" s="216"/>
      <c r="J149" s="187" t="s">
        <v>211</v>
      </c>
      <c r="K149" s="188">
        <v>13</v>
      </c>
      <c r="L149" s="217"/>
      <c r="M149" s="217"/>
      <c r="N149" s="217">
        <f>ROUND($L$149*$K$149,2)</f>
        <v>0</v>
      </c>
      <c r="O149" s="217"/>
      <c r="P149" s="217"/>
      <c r="Q149" s="217"/>
      <c r="R149" s="116"/>
      <c r="T149" s="184"/>
      <c r="U149" s="185" t="s">
        <v>38</v>
      </c>
      <c r="V149" s="171">
        <v>0</v>
      </c>
      <c r="W149" s="171">
        <f>$V$149*$K$149</f>
        <v>0</v>
      </c>
      <c r="X149" s="171">
        <v>0.0001</v>
      </c>
      <c r="Y149" s="171">
        <f>$X$149*$K$149</f>
        <v>0.0013000000000000002</v>
      </c>
      <c r="Z149" s="171">
        <v>0</v>
      </c>
      <c r="AA149" s="172">
        <f>$Z$149*$K$149</f>
        <v>0</v>
      </c>
      <c r="AR149" s="114" t="s">
        <v>152</v>
      </c>
      <c r="AT149" s="114" t="s">
        <v>159</v>
      </c>
      <c r="AU149" s="114" t="s">
        <v>93</v>
      </c>
      <c r="AY149" s="114" t="s">
        <v>130</v>
      </c>
      <c r="BE149" s="173">
        <f>IF($U$149="základní",$N$149,0)</f>
        <v>0</v>
      </c>
      <c r="BF149" s="173">
        <f>IF($U$149="snížená",$N$149,0)</f>
        <v>0</v>
      </c>
      <c r="BG149" s="173">
        <f>IF($U$149="zákl. přenesená",$N$149,0)</f>
        <v>0</v>
      </c>
      <c r="BH149" s="173">
        <f>IF($U$149="sníž. přenesená",$N$149,0)</f>
        <v>0</v>
      </c>
      <c r="BI149" s="173">
        <f>IF($U$149="nulová",$N$149,0)</f>
        <v>0</v>
      </c>
      <c r="BJ149" s="114" t="s">
        <v>17</v>
      </c>
      <c r="BK149" s="173">
        <f>ROUND($L$149*$K$149,2)</f>
        <v>0</v>
      </c>
      <c r="BL149" s="114" t="s">
        <v>135</v>
      </c>
    </row>
    <row r="150" spans="2:64" s="114" customFormat="1" ht="27" customHeight="1">
      <c r="B150" s="113"/>
      <c r="C150" s="167" t="s">
        <v>242</v>
      </c>
      <c r="D150" s="167" t="s">
        <v>131</v>
      </c>
      <c r="E150" s="168" t="s">
        <v>270</v>
      </c>
      <c r="F150" s="215" t="s">
        <v>271</v>
      </c>
      <c r="G150" s="215"/>
      <c r="H150" s="215"/>
      <c r="I150" s="215"/>
      <c r="J150" s="169" t="s">
        <v>174</v>
      </c>
      <c r="K150" s="170">
        <v>3368.6</v>
      </c>
      <c r="L150" s="211"/>
      <c r="M150" s="211"/>
      <c r="N150" s="211">
        <f>ROUND($L$150*$K$150,2)</f>
        <v>0</v>
      </c>
      <c r="O150" s="211"/>
      <c r="P150" s="211"/>
      <c r="Q150" s="211"/>
      <c r="R150" s="116"/>
      <c r="T150" s="184"/>
      <c r="U150" s="185" t="s">
        <v>38</v>
      </c>
      <c r="V150" s="171">
        <v>0.003</v>
      </c>
      <c r="W150" s="171">
        <f>$V$150*$K$150</f>
        <v>10.1058</v>
      </c>
      <c r="X150" s="171">
        <v>0.00033</v>
      </c>
      <c r="Y150" s="171">
        <f>$X$150*$K$150</f>
        <v>1.111638</v>
      </c>
      <c r="Z150" s="171">
        <v>0</v>
      </c>
      <c r="AA150" s="172">
        <f>$Z$150*$K$150</f>
        <v>0</v>
      </c>
      <c r="AR150" s="114" t="s">
        <v>135</v>
      </c>
      <c r="AT150" s="114" t="s">
        <v>131</v>
      </c>
      <c r="AU150" s="114" t="s">
        <v>93</v>
      </c>
      <c r="AY150" s="114" t="s">
        <v>130</v>
      </c>
      <c r="BE150" s="173">
        <f>IF($U$150="základní",$N$150,0)</f>
        <v>0</v>
      </c>
      <c r="BF150" s="173">
        <f>IF($U$150="snížená",$N$150,0)</f>
        <v>0</v>
      </c>
      <c r="BG150" s="173">
        <f>IF($U$150="zákl. přenesená",$N$150,0)</f>
        <v>0</v>
      </c>
      <c r="BH150" s="173">
        <f>IF($U$150="sníž. přenesená",$N$150,0)</f>
        <v>0</v>
      </c>
      <c r="BI150" s="173">
        <f>IF($U$150="nulová",$N$150,0)</f>
        <v>0</v>
      </c>
      <c r="BJ150" s="114" t="s">
        <v>17</v>
      </c>
      <c r="BK150" s="173">
        <f>ROUND($L$150*$K$150,2)</f>
        <v>0</v>
      </c>
      <c r="BL150" s="114" t="s">
        <v>135</v>
      </c>
    </row>
    <row r="151" spans="2:64" s="114" customFormat="1" ht="15.75" customHeight="1">
      <c r="B151" s="113"/>
      <c r="C151" s="167" t="s">
        <v>245</v>
      </c>
      <c r="D151" s="167" t="s">
        <v>131</v>
      </c>
      <c r="E151" s="168" t="s">
        <v>273</v>
      </c>
      <c r="F151" s="215" t="s">
        <v>274</v>
      </c>
      <c r="G151" s="215"/>
      <c r="H151" s="215"/>
      <c r="I151" s="215"/>
      <c r="J151" s="169" t="s">
        <v>174</v>
      </c>
      <c r="K151" s="170">
        <v>6737.2</v>
      </c>
      <c r="L151" s="211"/>
      <c r="M151" s="211"/>
      <c r="N151" s="211">
        <f>ROUND($L$151*$K$151,2)</f>
        <v>0</v>
      </c>
      <c r="O151" s="211"/>
      <c r="P151" s="211"/>
      <c r="Q151" s="211"/>
      <c r="R151" s="116"/>
      <c r="T151" s="184"/>
      <c r="U151" s="185" t="s">
        <v>38</v>
      </c>
      <c r="V151" s="171">
        <v>0.016</v>
      </c>
      <c r="W151" s="171">
        <f>$V$151*$K$151</f>
        <v>107.7952</v>
      </c>
      <c r="X151" s="171">
        <v>0</v>
      </c>
      <c r="Y151" s="171">
        <f>$X$151*$K$151</f>
        <v>0</v>
      </c>
      <c r="Z151" s="171">
        <v>0</v>
      </c>
      <c r="AA151" s="172">
        <f>$Z$151*$K$151</f>
        <v>0</v>
      </c>
      <c r="AR151" s="114" t="s">
        <v>135</v>
      </c>
      <c r="AT151" s="114" t="s">
        <v>131</v>
      </c>
      <c r="AU151" s="114" t="s">
        <v>93</v>
      </c>
      <c r="AY151" s="114" t="s">
        <v>130</v>
      </c>
      <c r="BE151" s="173">
        <f>IF($U$151="základní",$N$151,0)</f>
        <v>0</v>
      </c>
      <c r="BF151" s="173">
        <f>IF($U$151="snížená",$N$151,0)</f>
        <v>0</v>
      </c>
      <c r="BG151" s="173">
        <f>IF($U$151="zákl. přenesená",$N$151,0)</f>
        <v>0</v>
      </c>
      <c r="BH151" s="173">
        <f>IF($U$151="sníž. přenesená",$N$151,0)</f>
        <v>0</v>
      </c>
      <c r="BI151" s="173">
        <f>IF($U$151="nulová",$N$151,0)</f>
        <v>0</v>
      </c>
      <c r="BJ151" s="114" t="s">
        <v>17</v>
      </c>
      <c r="BK151" s="173">
        <f>ROUND($L$151*$K$151,2)</f>
        <v>0</v>
      </c>
      <c r="BL151" s="114" t="s">
        <v>135</v>
      </c>
    </row>
    <row r="152" spans="2:64" s="114" customFormat="1" ht="27" customHeight="1">
      <c r="B152" s="113"/>
      <c r="C152" s="167" t="s">
        <v>248</v>
      </c>
      <c r="D152" s="167" t="s">
        <v>131</v>
      </c>
      <c r="E152" s="168" t="s">
        <v>276</v>
      </c>
      <c r="F152" s="215" t="s">
        <v>277</v>
      </c>
      <c r="G152" s="215"/>
      <c r="H152" s="215"/>
      <c r="I152" s="215"/>
      <c r="J152" s="169" t="s">
        <v>174</v>
      </c>
      <c r="K152" s="170">
        <v>157.5</v>
      </c>
      <c r="L152" s="211"/>
      <c r="M152" s="211"/>
      <c r="N152" s="211">
        <f>ROUND($L$152*$K$152,2)</f>
        <v>0</v>
      </c>
      <c r="O152" s="211"/>
      <c r="P152" s="211"/>
      <c r="Q152" s="211"/>
      <c r="R152" s="116"/>
      <c r="T152" s="184"/>
      <c r="U152" s="185" t="s">
        <v>38</v>
      </c>
      <c r="V152" s="171">
        <v>0.124</v>
      </c>
      <c r="W152" s="171">
        <f>$V$152*$K$152</f>
        <v>19.53</v>
      </c>
      <c r="X152" s="171">
        <v>0</v>
      </c>
      <c r="Y152" s="171">
        <f>$X$152*$K$152</f>
        <v>0</v>
      </c>
      <c r="Z152" s="171">
        <v>0</v>
      </c>
      <c r="AA152" s="172">
        <f>$Z$152*$K$152</f>
        <v>0</v>
      </c>
      <c r="AR152" s="114" t="s">
        <v>135</v>
      </c>
      <c r="AT152" s="114" t="s">
        <v>131</v>
      </c>
      <c r="AU152" s="114" t="s">
        <v>93</v>
      </c>
      <c r="AY152" s="114" t="s">
        <v>130</v>
      </c>
      <c r="BE152" s="173">
        <f>IF($U$152="základní",$N$152,0)</f>
        <v>0</v>
      </c>
      <c r="BF152" s="173">
        <f>IF($U$152="snížená",$N$152,0)</f>
        <v>0</v>
      </c>
      <c r="BG152" s="173">
        <f>IF($U$152="zákl. přenesená",$N$152,0)</f>
        <v>0</v>
      </c>
      <c r="BH152" s="173">
        <f>IF($U$152="sníž. přenesená",$N$152,0)</f>
        <v>0</v>
      </c>
      <c r="BI152" s="173">
        <f>IF($U$152="nulová",$N$152,0)</f>
        <v>0</v>
      </c>
      <c r="BJ152" s="114" t="s">
        <v>17</v>
      </c>
      <c r="BK152" s="173">
        <f>ROUND($L$152*$K$152,2)</f>
        <v>0</v>
      </c>
      <c r="BL152" s="114" t="s">
        <v>135</v>
      </c>
    </row>
    <row r="153" spans="2:64" s="114" customFormat="1" ht="27" customHeight="1">
      <c r="B153" s="113"/>
      <c r="C153" s="167" t="s">
        <v>251</v>
      </c>
      <c r="D153" s="167" t="s">
        <v>131</v>
      </c>
      <c r="E153" s="168" t="s">
        <v>329</v>
      </c>
      <c r="F153" s="215" t="s">
        <v>330</v>
      </c>
      <c r="G153" s="215"/>
      <c r="H153" s="215"/>
      <c r="I153" s="215"/>
      <c r="J153" s="169" t="s">
        <v>174</v>
      </c>
      <c r="K153" s="170">
        <v>7.5</v>
      </c>
      <c r="L153" s="211"/>
      <c r="M153" s="211"/>
      <c r="N153" s="211">
        <f>ROUND($L$153*$K$153,2)</f>
        <v>0</v>
      </c>
      <c r="O153" s="211"/>
      <c r="P153" s="211"/>
      <c r="Q153" s="211"/>
      <c r="R153" s="116"/>
      <c r="T153" s="184"/>
      <c r="U153" s="185" t="s">
        <v>38</v>
      </c>
      <c r="V153" s="171">
        <v>1.615</v>
      </c>
      <c r="W153" s="171">
        <f>$V$153*$K$153</f>
        <v>12.1125</v>
      </c>
      <c r="X153" s="171">
        <v>0.61348</v>
      </c>
      <c r="Y153" s="171">
        <f>$X$153*$K$153</f>
        <v>4.601100000000001</v>
      </c>
      <c r="Z153" s="171">
        <v>0</v>
      </c>
      <c r="AA153" s="172">
        <f>$Z$153*$K$153</f>
        <v>0</v>
      </c>
      <c r="AR153" s="114" t="s">
        <v>135</v>
      </c>
      <c r="AT153" s="114" t="s">
        <v>131</v>
      </c>
      <c r="AU153" s="114" t="s">
        <v>93</v>
      </c>
      <c r="AY153" s="114" t="s">
        <v>130</v>
      </c>
      <c r="BE153" s="173">
        <f>IF($U$153="základní",$N$153,0)</f>
        <v>0</v>
      </c>
      <c r="BF153" s="173">
        <f>IF($U$153="snížená",$N$153,0)</f>
        <v>0</v>
      </c>
      <c r="BG153" s="173">
        <f>IF($U$153="zákl. přenesená",$N$153,0)</f>
        <v>0</v>
      </c>
      <c r="BH153" s="173">
        <f>IF($U$153="sníž. přenesená",$N$153,0)</f>
        <v>0</v>
      </c>
      <c r="BI153" s="173">
        <f>IF($U$153="nulová",$N$153,0)</f>
        <v>0</v>
      </c>
      <c r="BJ153" s="114" t="s">
        <v>17</v>
      </c>
      <c r="BK153" s="173">
        <f>ROUND($L$153*$K$153,2)</f>
        <v>0</v>
      </c>
      <c r="BL153" s="114" t="s">
        <v>135</v>
      </c>
    </row>
    <row r="154" spans="2:64" s="114" customFormat="1" ht="27" customHeight="1">
      <c r="B154" s="113"/>
      <c r="C154" s="178" t="s">
        <v>254</v>
      </c>
      <c r="D154" s="178" t="s">
        <v>159</v>
      </c>
      <c r="E154" s="186" t="s">
        <v>331</v>
      </c>
      <c r="F154" s="216" t="s">
        <v>332</v>
      </c>
      <c r="G154" s="216"/>
      <c r="H154" s="216"/>
      <c r="I154" s="216"/>
      <c r="J154" s="187" t="s">
        <v>174</v>
      </c>
      <c r="K154" s="188">
        <v>7.5</v>
      </c>
      <c r="L154" s="217"/>
      <c r="M154" s="217"/>
      <c r="N154" s="217">
        <f>ROUND($L$154*$K$154,2)</f>
        <v>0</v>
      </c>
      <c r="O154" s="217"/>
      <c r="P154" s="217"/>
      <c r="Q154" s="217"/>
      <c r="R154" s="116"/>
      <c r="T154" s="184"/>
      <c r="U154" s="185" t="s">
        <v>38</v>
      </c>
      <c r="V154" s="171">
        <v>0</v>
      </c>
      <c r="W154" s="171">
        <f>$V$154*$K$154</f>
        <v>0</v>
      </c>
      <c r="X154" s="171">
        <v>0.32</v>
      </c>
      <c r="Y154" s="171">
        <f>$X$154*$K$154</f>
        <v>2.4</v>
      </c>
      <c r="Z154" s="171">
        <v>0</v>
      </c>
      <c r="AA154" s="172">
        <f>$Z$154*$K$154</f>
        <v>0</v>
      </c>
      <c r="AR154" s="114" t="s">
        <v>152</v>
      </c>
      <c r="AT154" s="114" t="s">
        <v>159</v>
      </c>
      <c r="AU154" s="114" t="s">
        <v>93</v>
      </c>
      <c r="AY154" s="114" t="s">
        <v>130</v>
      </c>
      <c r="BE154" s="173">
        <f>IF($U$154="základní",$N$154,0)</f>
        <v>0</v>
      </c>
      <c r="BF154" s="173">
        <f>IF($U$154="snížená",$N$154,0)</f>
        <v>0</v>
      </c>
      <c r="BG154" s="173">
        <f>IF($U$154="zákl. přenesená",$N$154,0)</f>
        <v>0</v>
      </c>
      <c r="BH154" s="173">
        <f>IF($U$154="sníž. přenesená",$N$154,0)</f>
        <v>0</v>
      </c>
      <c r="BI154" s="173">
        <f>IF($U$154="nulová",$N$154,0)</f>
        <v>0</v>
      </c>
      <c r="BJ154" s="114" t="s">
        <v>17</v>
      </c>
      <c r="BK154" s="173">
        <f>ROUND($L$154*$K$154,2)</f>
        <v>0</v>
      </c>
      <c r="BL154" s="114" t="s">
        <v>135</v>
      </c>
    </row>
    <row r="155" spans="2:64" s="114" customFormat="1" ht="27" customHeight="1">
      <c r="B155" s="113"/>
      <c r="C155" s="167" t="s">
        <v>257</v>
      </c>
      <c r="D155" s="167" t="s">
        <v>131</v>
      </c>
      <c r="E155" s="168" t="s">
        <v>285</v>
      </c>
      <c r="F155" s="215" t="s">
        <v>286</v>
      </c>
      <c r="G155" s="215"/>
      <c r="H155" s="215"/>
      <c r="I155" s="215"/>
      <c r="J155" s="169" t="s">
        <v>140</v>
      </c>
      <c r="K155" s="170">
        <v>3</v>
      </c>
      <c r="L155" s="211"/>
      <c r="M155" s="211"/>
      <c r="N155" s="211">
        <f>ROUND($L$155*$K$155,2)</f>
        <v>0</v>
      </c>
      <c r="O155" s="211"/>
      <c r="P155" s="211"/>
      <c r="Q155" s="211"/>
      <c r="R155" s="116"/>
      <c r="T155" s="184"/>
      <c r="U155" s="185" t="s">
        <v>38</v>
      </c>
      <c r="V155" s="171">
        <v>3.644</v>
      </c>
      <c r="W155" s="171">
        <f>$V$155*$K$155</f>
        <v>10.932</v>
      </c>
      <c r="X155" s="171">
        <v>2.26672</v>
      </c>
      <c r="Y155" s="171">
        <f>$X$155*$K$155</f>
        <v>6.80016</v>
      </c>
      <c r="Z155" s="171">
        <v>0</v>
      </c>
      <c r="AA155" s="172">
        <f>$Z$155*$K$155</f>
        <v>0</v>
      </c>
      <c r="AR155" s="114" t="s">
        <v>135</v>
      </c>
      <c r="AT155" s="114" t="s">
        <v>131</v>
      </c>
      <c r="AU155" s="114" t="s">
        <v>93</v>
      </c>
      <c r="AY155" s="114" t="s">
        <v>130</v>
      </c>
      <c r="BE155" s="173">
        <f>IF($U$155="základní",$N$155,0)</f>
        <v>0</v>
      </c>
      <c r="BF155" s="173">
        <f>IF($U$155="snížená",$N$155,0)</f>
        <v>0</v>
      </c>
      <c r="BG155" s="173">
        <f>IF($U$155="zákl. přenesená",$N$155,0)</f>
        <v>0</v>
      </c>
      <c r="BH155" s="173">
        <f>IF($U$155="sníž. přenesená",$N$155,0)</f>
        <v>0</v>
      </c>
      <c r="BI155" s="173">
        <f>IF($U$155="nulová",$N$155,0)</f>
        <v>0</v>
      </c>
      <c r="BJ155" s="114" t="s">
        <v>17</v>
      </c>
      <c r="BK155" s="173">
        <f>ROUND($L$155*$K$155,2)</f>
        <v>0</v>
      </c>
      <c r="BL155" s="114" t="s">
        <v>135</v>
      </c>
    </row>
    <row r="156" spans="2:64" s="114" customFormat="1" ht="27" customHeight="1">
      <c r="B156" s="113"/>
      <c r="C156" s="167" t="s">
        <v>260</v>
      </c>
      <c r="D156" s="167" t="s">
        <v>131</v>
      </c>
      <c r="E156" s="168" t="s">
        <v>288</v>
      </c>
      <c r="F156" s="215" t="s">
        <v>289</v>
      </c>
      <c r="G156" s="215"/>
      <c r="H156" s="215"/>
      <c r="I156" s="215"/>
      <c r="J156" s="169" t="s">
        <v>134</v>
      </c>
      <c r="K156" s="170">
        <v>1843.61</v>
      </c>
      <c r="L156" s="211"/>
      <c r="M156" s="211"/>
      <c r="N156" s="211">
        <f>ROUND($L$156*$K$156,2)</f>
        <v>0</v>
      </c>
      <c r="O156" s="211"/>
      <c r="P156" s="211"/>
      <c r="Q156" s="211"/>
      <c r="R156" s="116"/>
      <c r="T156" s="184"/>
      <c r="U156" s="185" t="s">
        <v>38</v>
      </c>
      <c r="V156" s="171">
        <v>0.722</v>
      </c>
      <c r="W156" s="171">
        <f>$V$156*$K$156</f>
        <v>1331.0864199999999</v>
      </c>
      <c r="X156" s="171">
        <v>0.00187</v>
      </c>
      <c r="Y156" s="171">
        <f>$X$156*$K$156</f>
        <v>3.4475507</v>
      </c>
      <c r="Z156" s="171">
        <v>0</v>
      </c>
      <c r="AA156" s="172">
        <f>$Z$156*$K$156</f>
        <v>0</v>
      </c>
      <c r="AR156" s="114" t="s">
        <v>135</v>
      </c>
      <c r="AT156" s="114" t="s">
        <v>131</v>
      </c>
      <c r="AU156" s="114" t="s">
        <v>93</v>
      </c>
      <c r="AY156" s="114" t="s">
        <v>130</v>
      </c>
      <c r="BE156" s="173">
        <f>IF($U$156="základní",$N$156,0)</f>
        <v>0</v>
      </c>
      <c r="BF156" s="173">
        <f>IF($U$156="snížená",$N$156,0)</f>
        <v>0</v>
      </c>
      <c r="BG156" s="173">
        <f>IF($U$156="zákl. přenesená",$N$156,0)</f>
        <v>0</v>
      </c>
      <c r="BH156" s="173">
        <f>IF($U$156="sníž. přenesená",$N$156,0)</f>
        <v>0</v>
      </c>
      <c r="BI156" s="173">
        <f>IF($U$156="nulová",$N$156,0)</f>
        <v>0</v>
      </c>
      <c r="BJ156" s="114" t="s">
        <v>17</v>
      </c>
      <c r="BK156" s="173">
        <f>ROUND($L$156*$K$156,2)</f>
        <v>0</v>
      </c>
      <c r="BL156" s="114" t="s">
        <v>135</v>
      </c>
    </row>
    <row r="157" spans="2:64" s="114" customFormat="1" ht="39" customHeight="1">
      <c r="B157" s="113"/>
      <c r="C157" s="167" t="s">
        <v>263</v>
      </c>
      <c r="D157" s="167" t="s">
        <v>131</v>
      </c>
      <c r="E157" s="168" t="s">
        <v>291</v>
      </c>
      <c r="F157" s="215" t="s">
        <v>292</v>
      </c>
      <c r="G157" s="215"/>
      <c r="H157" s="215"/>
      <c r="I157" s="215"/>
      <c r="J157" s="169" t="s">
        <v>174</v>
      </c>
      <c r="K157" s="170">
        <v>157.2</v>
      </c>
      <c r="L157" s="211"/>
      <c r="M157" s="211"/>
      <c r="N157" s="211">
        <f>ROUND($L$157*$K$157,2)</f>
        <v>0</v>
      </c>
      <c r="O157" s="211"/>
      <c r="P157" s="211"/>
      <c r="Q157" s="211"/>
      <c r="R157" s="116"/>
      <c r="T157" s="184"/>
      <c r="U157" s="185" t="s">
        <v>38</v>
      </c>
      <c r="V157" s="171">
        <v>0.067</v>
      </c>
      <c r="W157" s="171">
        <f>$V$157*$K$157</f>
        <v>10.532399999999999</v>
      </c>
      <c r="X157" s="171">
        <v>0</v>
      </c>
      <c r="Y157" s="171">
        <f>$X$157*$K$157</f>
        <v>0</v>
      </c>
      <c r="Z157" s="171">
        <v>0</v>
      </c>
      <c r="AA157" s="172">
        <f>$Z$157*$K$157</f>
        <v>0</v>
      </c>
      <c r="AR157" s="114" t="s">
        <v>135</v>
      </c>
      <c r="AT157" s="114" t="s">
        <v>131</v>
      </c>
      <c r="AU157" s="114" t="s">
        <v>93</v>
      </c>
      <c r="AY157" s="114" t="s">
        <v>130</v>
      </c>
      <c r="BE157" s="173">
        <f>IF($U$157="základní",$N$157,0)</f>
        <v>0</v>
      </c>
      <c r="BF157" s="173">
        <f>IF($U$157="snížená",$N$157,0)</f>
        <v>0</v>
      </c>
      <c r="BG157" s="173">
        <f>IF($U$157="zákl. přenesená",$N$157,0)</f>
        <v>0</v>
      </c>
      <c r="BH157" s="173">
        <f>IF($U$157="sníž. přenesená",$N$157,0)</f>
        <v>0</v>
      </c>
      <c r="BI157" s="173">
        <f>IF($U$157="nulová",$N$157,0)</f>
        <v>0</v>
      </c>
      <c r="BJ157" s="114" t="s">
        <v>17</v>
      </c>
      <c r="BK157" s="173">
        <f>ROUND($L$157*$K$157,2)</f>
        <v>0</v>
      </c>
      <c r="BL157" s="114" t="s">
        <v>135</v>
      </c>
    </row>
    <row r="158" spans="2:64" s="114" customFormat="1" ht="15.75" customHeight="1">
      <c r="B158" s="113"/>
      <c r="C158" s="167" t="s">
        <v>266</v>
      </c>
      <c r="D158" s="167" t="s">
        <v>131</v>
      </c>
      <c r="E158" s="168" t="s">
        <v>294</v>
      </c>
      <c r="F158" s="215" t="s">
        <v>295</v>
      </c>
      <c r="G158" s="215"/>
      <c r="H158" s="215"/>
      <c r="I158" s="215"/>
      <c r="J158" s="169" t="s">
        <v>174</v>
      </c>
      <c r="K158" s="170">
        <v>157.2</v>
      </c>
      <c r="L158" s="211"/>
      <c r="M158" s="211"/>
      <c r="N158" s="211">
        <f>ROUND($L$158*$K$158,2)</f>
        <v>0</v>
      </c>
      <c r="O158" s="211"/>
      <c r="P158" s="211"/>
      <c r="Q158" s="211"/>
      <c r="R158" s="116"/>
      <c r="T158" s="184"/>
      <c r="U158" s="185" t="s">
        <v>38</v>
      </c>
      <c r="V158" s="171">
        <v>0.196</v>
      </c>
      <c r="W158" s="171">
        <f>$V$158*$K$158</f>
        <v>30.8112</v>
      </c>
      <c r="X158" s="171">
        <v>0</v>
      </c>
      <c r="Y158" s="171">
        <f>$X$158*$K$158</f>
        <v>0</v>
      </c>
      <c r="Z158" s="171">
        <v>0</v>
      </c>
      <c r="AA158" s="172">
        <f>$Z$158*$K$158</f>
        <v>0</v>
      </c>
      <c r="AR158" s="114" t="s">
        <v>135</v>
      </c>
      <c r="AT158" s="114" t="s">
        <v>131</v>
      </c>
      <c r="AU158" s="114" t="s">
        <v>93</v>
      </c>
      <c r="AY158" s="114" t="s">
        <v>130</v>
      </c>
      <c r="BE158" s="173">
        <f>IF($U$158="základní",$N$158,0)</f>
        <v>0</v>
      </c>
      <c r="BF158" s="173">
        <f>IF($U$158="snížená",$N$158,0)</f>
        <v>0</v>
      </c>
      <c r="BG158" s="173">
        <f>IF($U$158="zákl. přenesená",$N$158,0)</f>
        <v>0</v>
      </c>
      <c r="BH158" s="173">
        <f>IF($U$158="sníž. přenesená",$N$158,0)</f>
        <v>0</v>
      </c>
      <c r="BI158" s="173">
        <f>IF($U$158="nulová",$N$158,0)</f>
        <v>0</v>
      </c>
      <c r="BJ158" s="114" t="s">
        <v>17</v>
      </c>
      <c r="BK158" s="173">
        <f>ROUND($L$158*$K$158,2)</f>
        <v>0</v>
      </c>
      <c r="BL158" s="114" t="s">
        <v>135</v>
      </c>
    </row>
    <row r="159" spans="2:64" s="114" customFormat="1" ht="27" customHeight="1">
      <c r="B159" s="113"/>
      <c r="C159" s="167" t="s">
        <v>269</v>
      </c>
      <c r="D159" s="167" t="s">
        <v>131</v>
      </c>
      <c r="E159" s="168" t="s">
        <v>297</v>
      </c>
      <c r="F159" s="215" t="s">
        <v>298</v>
      </c>
      <c r="G159" s="215"/>
      <c r="H159" s="215"/>
      <c r="I159" s="215"/>
      <c r="J159" s="169" t="s">
        <v>174</v>
      </c>
      <c r="K159" s="170">
        <v>3368.6</v>
      </c>
      <c r="L159" s="211"/>
      <c r="M159" s="211"/>
      <c r="N159" s="211">
        <f>ROUND($L$159*$K$159,2)</f>
        <v>0</v>
      </c>
      <c r="O159" s="211"/>
      <c r="P159" s="211"/>
      <c r="Q159" s="211"/>
      <c r="R159" s="116"/>
      <c r="T159" s="184"/>
      <c r="U159" s="185" t="s">
        <v>38</v>
      </c>
      <c r="V159" s="171">
        <v>0.027</v>
      </c>
      <c r="W159" s="171">
        <f>$V$159*$K$159</f>
        <v>90.95219999999999</v>
      </c>
      <c r="X159" s="171">
        <v>0</v>
      </c>
      <c r="Y159" s="171">
        <f>$X$159*$K$159</f>
        <v>0</v>
      </c>
      <c r="Z159" s="171">
        <v>0</v>
      </c>
      <c r="AA159" s="172">
        <f>$Z$159*$K$159</f>
        <v>0</v>
      </c>
      <c r="AR159" s="114" t="s">
        <v>135</v>
      </c>
      <c r="AT159" s="114" t="s">
        <v>131</v>
      </c>
      <c r="AU159" s="114" t="s">
        <v>93</v>
      </c>
      <c r="AY159" s="114" t="s">
        <v>130</v>
      </c>
      <c r="BE159" s="173">
        <f>IF($U$159="základní",$N$159,0)</f>
        <v>0</v>
      </c>
      <c r="BF159" s="173">
        <f>IF($U$159="snížená",$N$159,0)</f>
        <v>0</v>
      </c>
      <c r="BG159" s="173">
        <f>IF($U$159="zákl. přenesená",$N$159,0)</f>
        <v>0</v>
      </c>
      <c r="BH159" s="173">
        <f>IF($U$159="sníž. přenesená",$N$159,0)</f>
        <v>0</v>
      </c>
      <c r="BI159" s="173">
        <f>IF($U$159="nulová",$N$159,0)</f>
        <v>0</v>
      </c>
      <c r="BJ159" s="114" t="s">
        <v>17</v>
      </c>
      <c r="BK159" s="173">
        <f>ROUND($L$159*$K$159,2)</f>
        <v>0</v>
      </c>
      <c r="BL159" s="114" t="s">
        <v>135</v>
      </c>
    </row>
    <row r="160" spans="2:64" s="114" customFormat="1" ht="15.75" customHeight="1">
      <c r="B160" s="113"/>
      <c r="C160" s="167" t="s">
        <v>272</v>
      </c>
      <c r="D160" s="167" t="s">
        <v>131</v>
      </c>
      <c r="E160" s="168" t="s">
        <v>333</v>
      </c>
      <c r="F160" s="215" t="s">
        <v>334</v>
      </c>
      <c r="G160" s="215"/>
      <c r="H160" s="215"/>
      <c r="I160" s="215"/>
      <c r="J160" s="169" t="s">
        <v>134</v>
      </c>
      <c r="K160" s="170">
        <v>101.7</v>
      </c>
      <c r="L160" s="211"/>
      <c r="M160" s="211"/>
      <c r="N160" s="211">
        <f>ROUND($L$160*$K$160,2)</f>
        <v>0</v>
      </c>
      <c r="O160" s="211"/>
      <c r="P160" s="211"/>
      <c r="Q160" s="211"/>
      <c r="R160" s="116"/>
      <c r="T160" s="184"/>
      <c r="U160" s="185" t="s">
        <v>38</v>
      </c>
      <c r="V160" s="171">
        <v>0.013</v>
      </c>
      <c r="W160" s="171">
        <f>$V$160*$K$160</f>
        <v>1.3221</v>
      </c>
      <c r="X160" s="171">
        <v>0</v>
      </c>
      <c r="Y160" s="171">
        <f>$X$160*$K$160</f>
        <v>0</v>
      </c>
      <c r="Z160" s="171">
        <v>0</v>
      </c>
      <c r="AA160" s="172">
        <f>$Z$160*$K$160</f>
        <v>0</v>
      </c>
      <c r="AR160" s="114" t="s">
        <v>135</v>
      </c>
      <c r="AT160" s="114" t="s">
        <v>131</v>
      </c>
      <c r="AU160" s="114" t="s">
        <v>93</v>
      </c>
      <c r="AY160" s="114" t="s">
        <v>130</v>
      </c>
      <c r="BE160" s="173">
        <f>IF($U$160="základní",$N$160,0)</f>
        <v>0</v>
      </c>
      <c r="BF160" s="173">
        <f>IF($U$160="snížená",$N$160,0)</f>
        <v>0</v>
      </c>
      <c r="BG160" s="173">
        <f>IF($U$160="zákl. přenesená",$N$160,0)</f>
        <v>0</v>
      </c>
      <c r="BH160" s="173">
        <f>IF($U$160="sníž. přenesená",$N$160,0)</f>
        <v>0</v>
      </c>
      <c r="BI160" s="173">
        <f>IF($U$160="nulová",$N$160,0)</f>
        <v>0</v>
      </c>
      <c r="BJ160" s="114" t="s">
        <v>17</v>
      </c>
      <c r="BK160" s="173">
        <f>ROUND($L$160*$K$160,2)</f>
        <v>0</v>
      </c>
      <c r="BL160" s="114" t="s">
        <v>135</v>
      </c>
    </row>
    <row r="161" spans="2:64" s="114" customFormat="1" ht="27" customHeight="1">
      <c r="B161" s="113"/>
      <c r="C161" s="167" t="s">
        <v>275</v>
      </c>
      <c r="D161" s="167" t="s">
        <v>131</v>
      </c>
      <c r="E161" s="168" t="s">
        <v>301</v>
      </c>
      <c r="F161" s="215" t="s">
        <v>302</v>
      </c>
      <c r="G161" s="215"/>
      <c r="H161" s="215"/>
      <c r="I161" s="215"/>
      <c r="J161" s="169" t="s">
        <v>134</v>
      </c>
      <c r="K161" s="170">
        <v>9395.87</v>
      </c>
      <c r="L161" s="211"/>
      <c r="M161" s="211"/>
      <c r="N161" s="211">
        <f>ROUND($L$161*$K$161,2)</f>
        <v>0</v>
      </c>
      <c r="O161" s="211"/>
      <c r="P161" s="211"/>
      <c r="Q161" s="211"/>
      <c r="R161" s="116"/>
      <c r="T161" s="184"/>
      <c r="U161" s="185" t="s">
        <v>38</v>
      </c>
      <c r="V161" s="171">
        <v>0.002</v>
      </c>
      <c r="W161" s="171">
        <f>$V$161*$K$161</f>
        <v>18.79174</v>
      </c>
      <c r="X161" s="171">
        <v>0</v>
      </c>
      <c r="Y161" s="171">
        <f>$X$161*$K$161</f>
        <v>0</v>
      </c>
      <c r="Z161" s="171">
        <v>0</v>
      </c>
      <c r="AA161" s="172">
        <f>$Z$161*$K$161</f>
        <v>0</v>
      </c>
      <c r="AR161" s="114" t="s">
        <v>135</v>
      </c>
      <c r="AT161" s="114" t="s">
        <v>131</v>
      </c>
      <c r="AU161" s="114" t="s">
        <v>93</v>
      </c>
      <c r="AY161" s="114" t="s">
        <v>130</v>
      </c>
      <c r="BE161" s="173">
        <f>IF($U$161="základní",$N$161,0)</f>
        <v>0</v>
      </c>
      <c r="BF161" s="173">
        <f>IF($U$161="snížená",$N$161,0)</f>
        <v>0</v>
      </c>
      <c r="BG161" s="173">
        <f>IF($U$161="zákl. přenesená",$N$161,0)</f>
        <v>0</v>
      </c>
      <c r="BH161" s="173">
        <f>IF($U$161="sníž. přenesená",$N$161,0)</f>
        <v>0</v>
      </c>
      <c r="BI161" s="173">
        <f>IF($U$161="nulová",$N$161,0)</f>
        <v>0</v>
      </c>
      <c r="BJ161" s="114" t="s">
        <v>17</v>
      </c>
      <c r="BK161" s="173">
        <f>ROUND($L$161*$K$161,2)</f>
        <v>0</v>
      </c>
      <c r="BL161" s="114" t="s">
        <v>135</v>
      </c>
    </row>
    <row r="162" spans="2:64" s="114" customFormat="1" ht="15.75" customHeight="1">
      <c r="B162" s="113"/>
      <c r="C162" s="167" t="s">
        <v>278</v>
      </c>
      <c r="D162" s="167" t="s">
        <v>131</v>
      </c>
      <c r="E162" s="168" t="s">
        <v>303</v>
      </c>
      <c r="F162" s="215" t="s">
        <v>304</v>
      </c>
      <c r="G162" s="215"/>
      <c r="H162" s="215"/>
      <c r="I162" s="215"/>
      <c r="J162" s="169" t="s">
        <v>134</v>
      </c>
      <c r="K162" s="170">
        <v>1684.3</v>
      </c>
      <c r="L162" s="211"/>
      <c r="M162" s="211"/>
      <c r="N162" s="211">
        <f>ROUND($L$162*$K$162,2)</f>
        <v>0</v>
      </c>
      <c r="O162" s="211"/>
      <c r="P162" s="211"/>
      <c r="Q162" s="211"/>
      <c r="R162" s="116"/>
      <c r="T162" s="184"/>
      <c r="U162" s="185" t="s">
        <v>38</v>
      </c>
      <c r="V162" s="171">
        <v>0.034</v>
      </c>
      <c r="W162" s="171">
        <f>$V$162*$K$162</f>
        <v>57.266200000000005</v>
      </c>
      <c r="X162" s="171">
        <v>0</v>
      </c>
      <c r="Y162" s="171">
        <f>$X$162*$K$162</f>
        <v>0</v>
      </c>
      <c r="Z162" s="171">
        <v>0.126</v>
      </c>
      <c r="AA162" s="172">
        <f>$Z$162*$K$162</f>
        <v>212.2218</v>
      </c>
      <c r="AR162" s="114" t="s">
        <v>135</v>
      </c>
      <c r="AT162" s="114" t="s">
        <v>131</v>
      </c>
      <c r="AU162" s="114" t="s">
        <v>93</v>
      </c>
      <c r="AY162" s="114" t="s">
        <v>130</v>
      </c>
      <c r="BE162" s="173">
        <f>IF($U$162="základní",$N$162,0)</f>
        <v>0</v>
      </c>
      <c r="BF162" s="173">
        <f>IF($U$162="snížená",$N$162,0)</f>
        <v>0</v>
      </c>
      <c r="BG162" s="173">
        <f>IF($U$162="zákl. přenesená",$N$162,0)</f>
        <v>0</v>
      </c>
      <c r="BH162" s="173">
        <f>IF($U$162="sníž. přenesená",$N$162,0)</f>
        <v>0</v>
      </c>
      <c r="BI162" s="173">
        <f>IF($U$162="nulová",$N$162,0)</f>
        <v>0</v>
      </c>
      <c r="BJ162" s="114" t="s">
        <v>17</v>
      </c>
      <c r="BK162" s="173">
        <f>ROUND($L$162*$K$162,2)</f>
        <v>0</v>
      </c>
      <c r="BL162" s="114" t="s">
        <v>135</v>
      </c>
    </row>
    <row r="163" spans="2:64" s="114" customFormat="1" ht="27" customHeight="1">
      <c r="B163" s="113"/>
      <c r="C163" s="167" t="s">
        <v>281</v>
      </c>
      <c r="D163" s="167" t="s">
        <v>131</v>
      </c>
      <c r="E163" s="168" t="s">
        <v>305</v>
      </c>
      <c r="F163" s="215" t="s">
        <v>306</v>
      </c>
      <c r="G163" s="215"/>
      <c r="H163" s="215"/>
      <c r="I163" s="215"/>
      <c r="J163" s="169" t="s">
        <v>140</v>
      </c>
      <c r="K163" s="170">
        <v>1.8</v>
      </c>
      <c r="L163" s="211"/>
      <c r="M163" s="211"/>
      <c r="N163" s="211">
        <f>ROUND($L$163*$K$163,2)</f>
        <v>0</v>
      </c>
      <c r="O163" s="211"/>
      <c r="P163" s="211"/>
      <c r="Q163" s="211"/>
      <c r="R163" s="116"/>
      <c r="T163" s="184"/>
      <c r="U163" s="185" t="s">
        <v>38</v>
      </c>
      <c r="V163" s="171">
        <v>5.236</v>
      </c>
      <c r="W163" s="171">
        <f>$V$163*$K$163</f>
        <v>9.4248</v>
      </c>
      <c r="X163" s="171">
        <v>0.12</v>
      </c>
      <c r="Y163" s="171">
        <f>$X$163*$K$163</f>
        <v>0.216</v>
      </c>
      <c r="Z163" s="171">
        <v>2.2</v>
      </c>
      <c r="AA163" s="172">
        <f>$Z$163*$K$163</f>
        <v>3.9600000000000004</v>
      </c>
      <c r="AR163" s="114" t="s">
        <v>135</v>
      </c>
      <c r="AT163" s="114" t="s">
        <v>131</v>
      </c>
      <c r="AU163" s="114" t="s">
        <v>93</v>
      </c>
      <c r="AY163" s="114" t="s">
        <v>130</v>
      </c>
      <c r="BE163" s="173">
        <f>IF($U$163="základní",$N$163,0)</f>
        <v>0</v>
      </c>
      <c r="BF163" s="173">
        <f>IF($U$163="snížená",$N$163,0)</f>
        <v>0</v>
      </c>
      <c r="BG163" s="173">
        <f>IF($U$163="zákl. přenesená",$N$163,0)</f>
        <v>0</v>
      </c>
      <c r="BH163" s="173">
        <f>IF($U$163="sníž. přenesená",$N$163,0)</f>
        <v>0</v>
      </c>
      <c r="BI163" s="173">
        <f>IF($U$163="nulová",$N$163,0)</f>
        <v>0</v>
      </c>
      <c r="BJ163" s="114" t="s">
        <v>17</v>
      </c>
      <c r="BK163" s="173">
        <f>ROUND($L$163*$K$163,2)</f>
        <v>0</v>
      </c>
      <c r="BL163" s="114" t="s">
        <v>135</v>
      </c>
    </row>
    <row r="164" spans="2:64" s="114" customFormat="1" ht="15.75" customHeight="1">
      <c r="B164" s="113"/>
      <c r="C164" s="167" t="s">
        <v>284</v>
      </c>
      <c r="D164" s="167" t="s">
        <v>131</v>
      </c>
      <c r="E164" s="168" t="s">
        <v>335</v>
      </c>
      <c r="F164" s="215" t="s">
        <v>336</v>
      </c>
      <c r="G164" s="215"/>
      <c r="H164" s="215"/>
      <c r="I164" s="215"/>
      <c r="J164" s="169" t="s">
        <v>174</v>
      </c>
      <c r="K164" s="170">
        <v>87.6</v>
      </c>
      <c r="L164" s="211"/>
      <c r="M164" s="211"/>
      <c r="N164" s="211">
        <f>ROUND($L$164*$K$164,2)</f>
        <v>0</v>
      </c>
      <c r="O164" s="211"/>
      <c r="P164" s="211"/>
      <c r="Q164" s="211"/>
      <c r="R164" s="116"/>
      <c r="T164" s="184"/>
      <c r="U164" s="185" t="s">
        <v>38</v>
      </c>
      <c r="V164" s="171">
        <v>1.773</v>
      </c>
      <c r="W164" s="171">
        <f>$V$164*$K$164</f>
        <v>155.3148</v>
      </c>
      <c r="X164" s="171">
        <v>0.00029</v>
      </c>
      <c r="Y164" s="171">
        <f>$X$164*$K$164</f>
        <v>0.025404</v>
      </c>
      <c r="Z164" s="171">
        <v>0.054</v>
      </c>
      <c r="AA164" s="172">
        <f>$Z$164*$K$164</f>
        <v>4.7303999999999995</v>
      </c>
      <c r="AR164" s="114" t="s">
        <v>135</v>
      </c>
      <c r="AT164" s="114" t="s">
        <v>131</v>
      </c>
      <c r="AU164" s="114" t="s">
        <v>93</v>
      </c>
      <c r="AY164" s="114" t="s">
        <v>130</v>
      </c>
      <c r="BE164" s="173">
        <f>IF($U$164="základní",$N$164,0)</f>
        <v>0</v>
      </c>
      <c r="BF164" s="173">
        <f>IF($U$164="snížená",$N$164,0)</f>
        <v>0</v>
      </c>
      <c r="BG164" s="173">
        <f>IF($U$164="zákl. přenesená",$N$164,0)</f>
        <v>0</v>
      </c>
      <c r="BH164" s="173">
        <f>IF($U$164="sníž. přenesená",$N$164,0)</f>
        <v>0</v>
      </c>
      <c r="BI164" s="173">
        <f>IF($U$164="nulová",$N$164,0)</f>
        <v>0</v>
      </c>
      <c r="BJ164" s="114" t="s">
        <v>17</v>
      </c>
      <c r="BK164" s="173">
        <f>ROUND($L$164*$K$164,2)</f>
        <v>0</v>
      </c>
      <c r="BL164" s="114" t="s">
        <v>135</v>
      </c>
    </row>
    <row r="165" spans="2:63" s="158" customFormat="1" ht="30.75" customHeight="1">
      <c r="B165" s="157"/>
      <c r="D165" s="166" t="s">
        <v>109</v>
      </c>
      <c r="N165" s="213">
        <f>$BK$165</f>
        <v>0</v>
      </c>
      <c r="O165" s="213"/>
      <c r="P165" s="213"/>
      <c r="Q165" s="213"/>
      <c r="R165" s="160"/>
      <c r="T165" s="161"/>
      <c r="W165" s="162">
        <f>SUM($W$166:$W$171)</f>
        <v>418.921804</v>
      </c>
      <c r="Y165" s="162">
        <f>SUM($Y$166:$Y$171)</f>
        <v>0</v>
      </c>
      <c r="AA165" s="163">
        <f>SUM($AA$166:$AA$171)</f>
        <v>0</v>
      </c>
      <c r="AR165" s="164" t="s">
        <v>17</v>
      </c>
      <c r="AT165" s="164" t="s">
        <v>72</v>
      </c>
      <c r="AU165" s="164" t="s">
        <v>17</v>
      </c>
      <c r="AY165" s="164" t="s">
        <v>130</v>
      </c>
      <c r="BK165" s="165">
        <f>SUM($BK$166:$BK$171)</f>
        <v>0</v>
      </c>
    </row>
    <row r="166" spans="2:64" s="114" customFormat="1" ht="27" customHeight="1">
      <c r="B166" s="113"/>
      <c r="C166" s="167" t="s">
        <v>287</v>
      </c>
      <c r="D166" s="167" t="s">
        <v>131</v>
      </c>
      <c r="E166" s="168" t="s">
        <v>307</v>
      </c>
      <c r="F166" s="215" t="s">
        <v>308</v>
      </c>
      <c r="G166" s="215"/>
      <c r="H166" s="215"/>
      <c r="I166" s="215"/>
      <c r="J166" s="169" t="s">
        <v>155</v>
      </c>
      <c r="K166" s="170">
        <v>1574.894</v>
      </c>
      <c r="L166" s="211"/>
      <c r="M166" s="211"/>
      <c r="N166" s="211">
        <f>ROUND($L$166*$K$166,2)</f>
        <v>0</v>
      </c>
      <c r="O166" s="211"/>
      <c r="P166" s="211"/>
      <c r="Q166" s="211"/>
      <c r="R166" s="116"/>
      <c r="T166" s="184"/>
      <c r="U166" s="185" t="s">
        <v>38</v>
      </c>
      <c r="V166" s="171">
        <v>0.032</v>
      </c>
      <c r="W166" s="171">
        <f>$V$166*$K$166</f>
        <v>50.396608</v>
      </c>
      <c r="X166" s="171">
        <v>0</v>
      </c>
      <c r="Y166" s="171">
        <f>$X$166*$K$166</f>
        <v>0</v>
      </c>
      <c r="Z166" s="171">
        <v>0</v>
      </c>
      <c r="AA166" s="172">
        <f>$Z$166*$K$166</f>
        <v>0</v>
      </c>
      <c r="AR166" s="114" t="s">
        <v>135</v>
      </c>
      <c r="AT166" s="114" t="s">
        <v>131</v>
      </c>
      <c r="AU166" s="114" t="s">
        <v>93</v>
      </c>
      <c r="AY166" s="114" t="s">
        <v>130</v>
      </c>
      <c r="BE166" s="173">
        <f>IF($U$166="základní",$N$166,0)</f>
        <v>0</v>
      </c>
      <c r="BF166" s="173">
        <f>IF($U$166="snížená",$N$166,0)</f>
        <v>0</v>
      </c>
      <c r="BG166" s="173">
        <f>IF($U$166="zákl. přenesená",$N$166,0)</f>
        <v>0</v>
      </c>
      <c r="BH166" s="173">
        <f>IF($U$166="sníž. přenesená",$N$166,0)</f>
        <v>0</v>
      </c>
      <c r="BI166" s="173">
        <f>IF($U$166="nulová",$N$166,0)</f>
        <v>0</v>
      </c>
      <c r="BJ166" s="114" t="s">
        <v>17</v>
      </c>
      <c r="BK166" s="173">
        <f>ROUND($L$166*$K$166,2)</f>
        <v>0</v>
      </c>
      <c r="BL166" s="114" t="s">
        <v>135</v>
      </c>
    </row>
    <row r="167" spans="2:64" s="114" customFormat="1" ht="27" customHeight="1">
      <c r="B167" s="113"/>
      <c r="C167" s="167" t="s">
        <v>290</v>
      </c>
      <c r="D167" s="167" t="s">
        <v>131</v>
      </c>
      <c r="E167" s="168" t="s">
        <v>309</v>
      </c>
      <c r="F167" s="215" t="s">
        <v>310</v>
      </c>
      <c r="G167" s="215"/>
      <c r="H167" s="215"/>
      <c r="I167" s="215"/>
      <c r="J167" s="169" t="s">
        <v>155</v>
      </c>
      <c r="K167" s="170">
        <v>39372.35</v>
      </c>
      <c r="L167" s="211"/>
      <c r="M167" s="211"/>
      <c r="N167" s="211">
        <f>ROUND($L$167*$K$167,2)</f>
        <v>0</v>
      </c>
      <c r="O167" s="211"/>
      <c r="P167" s="211"/>
      <c r="Q167" s="211"/>
      <c r="R167" s="116"/>
      <c r="T167" s="184"/>
      <c r="U167" s="185" t="s">
        <v>38</v>
      </c>
      <c r="V167" s="171">
        <v>0.003</v>
      </c>
      <c r="W167" s="171">
        <f>$V$167*$K$167</f>
        <v>118.11704999999999</v>
      </c>
      <c r="X167" s="171">
        <v>0</v>
      </c>
      <c r="Y167" s="171">
        <f>$X$167*$K$167</f>
        <v>0</v>
      </c>
      <c r="Z167" s="171">
        <v>0</v>
      </c>
      <c r="AA167" s="172">
        <f>$Z$167*$K$167</f>
        <v>0</v>
      </c>
      <c r="AR167" s="114" t="s">
        <v>135</v>
      </c>
      <c r="AT167" s="114" t="s">
        <v>131</v>
      </c>
      <c r="AU167" s="114" t="s">
        <v>93</v>
      </c>
      <c r="AY167" s="114" t="s">
        <v>130</v>
      </c>
      <c r="BE167" s="173">
        <f>IF($U$167="základní",$N$167,0)</f>
        <v>0</v>
      </c>
      <c r="BF167" s="173">
        <f>IF($U$167="snížená",$N$167,0)</f>
        <v>0</v>
      </c>
      <c r="BG167" s="173">
        <f>IF($U$167="zákl. přenesená",$N$167,0)</f>
        <v>0</v>
      </c>
      <c r="BH167" s="173">
        <f>IF($U$167="sníž. přenesená",$N$167,0)</f>
        <v>0</v>
      </c>
      <c r="BI167" s="173">
        <f>IF($U$167="nulová",$N$167,0)</f>
        <v>0</v>
      </c>
      <c r="BJ167" s="114" t="s">
        <v>17</v>
      </c>
      <c r="BK167" s="173">
        <f>ROUND($L$167*$K$167,2)</f>
        <v>0</v>
      </c>
      <c r="BL167" s="114" t="s">
        <v>135</v>
      </c>
    </row>
    <row r="168" spans="2:64" s="114" customFormat="1" ht="27" customHeight="1">
      <c r="B168" s="113"/>
      <c r="C168" s="167" t="s">
        <v>293</v>
      </c>
      <c r="D168" s="167" t="s">
        <v>131</v>
      </c>
      <c r="E168" s="168" t="s">
        <v>311</v>
      </c>
      <c r="F168" s="215" t="s">
        <v>312</v>
      </c>
      <c r="G168" s="215"/>
      <c r="H168" s="215"/>
      <c r="I168" s="215"/>
      <c r="J168" s="169" t="s">
        <v>155</v>
      </c>
      <c r="K168" s="170">
        <v>1574.894</v>
      </c>
      <c r="L168" s="211"/>
      <c r="M168" s="211"/>
      <c r="N168" s="211">
        <f>ROUND($L$168*$K$168,2)</f>
        <v>0</v>
      </c>
      <c r="O168" s="211"/>
      <c r="P168" s="211"/>
      <c r="Q168" s="211"/>
      <c r="R168" s="116"/>
      <c r="T168" s="184"/>
      <c r="U168" s="185" t="s">
        <v>38</v>
      </c>
      <c r="V168" s="171">
        <v>0.159</v>
      </c>
      <c r="W168" s="171">
        <f>$V$168*$K$168</f>
        <v>250.40814600000002</v>
      </c>
      <c r="X168" s="171">
        <v>0</v>
      </c>
      <c r="Y168" s="171">
        <f>$X$168*$K$168</f>
        <v>0</v>
      </c>
      <c r="Z168" s="171">
        <v>0</v>
      </c>
      <c r="AA168" s="172">
        <f>$Z$168*$K$168</f>
        <v>0</v>
      </c>
      <c r="AR168" s="114" t="s">
        <v>135</v>
      </c>
      <c r="AT168" s="114" t="s">
        <v>131</v>
      </c>
      <c r="AU168" s="114" t="s">
        <v>93</v>
      </c>
      <c r="AY168" s="114" t="s">
        <v>130</v>
      </c>
      <c r="BE168" s="173">
        <f>IF($U$168="základní",$N$168,0)</f>
        <v>0</v>
      </c>
      <c r="BF168" s="173">
        <f>IF($U$168="snížená",$N$168,0)</f>
        <v>0</v>
      </c>
      <c r="BG168" s="173">
        <f>IF($U$168="zákl. přenesená",$N$168,0)</f>
        <v>0</v>
      </c>
      <c r="BH168" s="173">
        <f>IF($U$168="sníž. přenesená",$N$168,0)</f>
        <v>0</v>
      </c>
      <c r="BI168" s="173">
        <f>IF($U$168="nulová",$N$168,0)</f>
        <v>0</v>
      </c>
      <c r="BJ168" s="114" t="s">
        <v>17</v>
      </c>
      <c r="BK168" s="173">
        <f>ROUND($L$168*$K$168,2)</f>
        <v>0</v>
      </c>
      <c r="BL168" s="114" t="s">
        <v>135</v>
      </c>
    </row>
    <row r="169" spans="2:64" s="114" customFormat="1" ht="27" customHeight="1">
      <c r="B169" s="113"/>
      <c r="C169" s="167" t="s">
        <v>296</v>
      </c>
      <c r="D169" s="167" t="s">
        <v>131</v>
      </c>
      <c r="E169" s="168" t="s">
        <v>313</v>
      </c>
      <c r="F169" s="215" t="s">
        <v>314</v>
      </c>
      <c r="G169" s="215"/>
      <c r="H169" s="215"/>
      <c r="I169" s="215"/>
      <c r="J169" s="169" t="s">
        <v>155</v>
      </c>
      <c r="K169" s="170">
        <v>3.96</v>
      </c>
      <c r="L169" s="211"/>
      <c r="M169" s="211"/>
      <c r="N169" s="211">
        <f>ROUND($L$169*$K$169,2)</f>
        <v>0</v>
      </c>
      <c r="O169" s="211"/>
      <c r="P169" s="211"/>
      <c r="Q169" s="211"/>
      <c r="R169" s="116"/>
      <c r="T169" s="184"/>
      <c r="U169" s="185" t="s">
        <v>38</v>
      </c>
      <c r="V169" s="171">
        <v>0</v>
      </c>
      <c r="W169" s="171">
        <f>$V$169*$K$169</f>
        <v>0</v>
      </c>
      <c r="X169" s="171">
        <v>0</v>
      </c>
      <c r="Y169" s="171">
        <f>$X$169*$K$169</f>
        <v>0</v>
      </c>
      <c r="Z169" s="171">
        <v>0</v>
      </c>
      <c r="AA169" s="172">
        <f>$Z$169*$K$169</f>
        <v>0</v>
      </c>
      <c r="AR169" s="114" t="s">
        <v>135</v>
      </c>
      <c r="AT169" s="114" t="s">
        <v>131</v>
      </c>
      <c r="AU169" s="114" t="s">
        <v>93</v>
      </c>
      <c r="AY169" s="114" t="s">
        <v>130</v>
      </c>
      <c r="BE169" s="173">
        <f>IF($U$169="základní",$N$169,0)</f>
        <v>0</v>
      </c>
      <c r="BF169" s="173">
        <f>IF($U$169="snížená",$N$169,0)</f>
        <v>0</v>
      </c>
      <c r="BG169" s="173">
        <f>IF($U$169="zákl. přenesená",$N$169,0)</f>
        <v>0</v>
      </c>
      <c r="BH169" s="173">
        <f>IF($U$169="sníž. přenesená",$N$169,0)</f>
        <v>0</v>
      </c>
      <c r="BI169" s="173">
        <f>IF($U$169="nulová",$N$169,0)</f>
        <v>0</v>
      </c>
      <c r="BJ169" s="114" t="s">
        <v>17</v>
      </c>
      <c r="BK169" s="173">
        <f>ROUND($L$169*$K$169,2)</f>
        <v>0</v>
      </c>
      <c r="BL169" s="114" t="s">
        <v>135</v>
      </c>
    </row>
    <row r="170" spans="2:64" s="114" customFormat="1" ht="9" customHeight="1">
      <c r="B170" s="113"/>
      <c r="C170" s="167"/>
      <c r="D170" s="167"/>
      <c r="E170" s="168"/>
      <c r="F170" s="215"/>
      <c r="G170" s="215"/>
      <c r="H170" s="215"/>
      <c r="I170" s="215"/>
      <c r="J170" s="169"/>
      <c r="K170" s="170"/>
      <c r="L170" s="211"/>
      <c r="M170" s="211"/>
      <c r="N170" s="211"/>
      <c r="O170" s="211"/>
      <c r="P170" s="211"/>
      <c r="Q170" s="211"/>
      <c r="R170" s="116"/>
      <c r="T170" s="184"/>
      <c r="U170" s="185" t="s">
        <v>38</v>
      </c>
      <c r="V170" s="171">
        <v>0</v>
      </c>
      <c r="W170" s="171">
        <f>$V$170*$K$170</f>
        <v>0</v>
      </c>
      <c r="X170" s="171">
        <v>0</v>
      </c>
      <c r="Y170" s="171">
        <f>$X$170*$K$170</f>
        <v>0</v>
      </c>
      <c r="Z170" s="171">
        <v>0</v>
      </c>
      <c r="AA170" s="172">
        <f>$Z$170*$K$170</f>
        <v>0</v>
      </c>
      <c r="AR170" s="114" t="s">
        <v>135</v>
      </c>
      <c r="AT170" s="114" t="s">
        <v>131</v>
      </c>
      <c r="AU170" s="114" t="s">
        <v>93</v>
      </c>
      <c r="AY170" s="114" t="s">
        <v>130</v>
      </c>
      <c r="BE170" s="173">
        <f>IF($U$170="základní",$N$170,0)</f>
        <v>0</v>
      </c>
      <c r="BF170" s="173">
        <f>IF($U$170="snížená",$N$170,0)</f>
        <v>0</v>
      </c>
      <c r="BG170" s="173">
        <f>IF($U$170="zákl. přenesená",$N$170,0)</f>
        <v>0</v>
      </c>
      <c r="BH170" s="173">
        <f>IF($U$170="sníž. přenesená",$N$170,0)</f>
        <v>0</v>
      </c>
      <c r="BI170" s="173">
        <f>IF($U$170="nulová",$N$170,0)</f>
        <v>0</v>
      </c>
      <c r="BJ170" s="114" t="s">
        <v>17</v>
      </c>
      <c r="BK170" s="173">
        <f>ROUND($L$170*$K$170,2)</f>
        <v>0</v>
      </c>
      <c r="BL170" s="114" t="s">
        <v>135</v>
      </c>
    </row>
    <row r="171" spans="2:64" s="114" customFormat="1" ht="27" customHeight="1">
      <c r="B171" s="113"/>
      <c r="C171" s="167">
        <v>57</v>
      </c>
      <c r="D171" s="167" t="s">
        <v>131</v>
      </c>
      <c r="E171" s="168" t="s">
        <v>315</v>
      </c>
      <c r="F171" s="215" t="s">
        <v>316</v>
      </c>
      <c r="G171" s="215"/>
      <c r="H171" s="215"/>
      <c r="I171" s="215"/>
      <c r="J171" s="169" t="s">
        <v>155</v>
      </c>
      <c r="K171" s="170">
        <v>847.45</v>
      </c>
      <c r="L171" s="211"/>
      <c r="M171" s="211"/>
      <c r="N171" s="211">
        <f>ROUND($L$171*$K$171,2)</f>
        <v>0</v>
      </c>
      <c r="O171" s="211"/>
      <c r="P171" s="211"/>
      <c r="Q171" s="211"/>
      <c r="R171" s="116"/>
      <c r="T171" s="184"/>
      <c r="U171" s="185" t="s">
        <v>38</v>
      </c>
      <c r="V171" s="171">
        <v>0</v>
      </c>
      <c r="W171" s="171">
        <f>$V$171*$K$171</f>
        <v>0</v>
      </c>
      <c r="X171" s="171">
        <v>0</v>
      </c>
      <c r="Y171" s="171">
        <f>$X$171*$K$171</f>
        <v>0</v>
      </c>
      <c r="Z171" s="171">
        <v>0</v>
      </c>
      <c r="AA171" s="172">
        <f>$Z$171*$K$171</f>
        <v>0</v>
      </c>
      <c r="AR171" s="114" t="s">
        <v>135</v>
      </c>
      <c r="AT171" s="114" t="s">
        <v>131</v>
      </c>
      <c r="AU171" s="114" t="s">
        <v>93</v>
      </c>
      <c r="AY171" s="114" t="s">
        <v>130</v>
      </c>
      <c r="BE171" s="173">
        <f>IF($U$171="základní",$N$171,0)</f>
        <v>0</v>
      </c>
      <c r="BF171" s="173">
        <f>IF($U$171="snížená",$N$171,0)</f>
        <v>0</v>
      </c>
      <c r="BG171" s="173">
        <f>IF($U$171="zákl. přenesená",$N$171,0)</f>
        <v>0</v>
      </c>
      <c r="BH171" s="173">
        <f>IF($U$171="sníž. přenesená",$N$171,0)</f>
        <v>0</v>
      </c>
      <c r="BI171" s="173">
        <f>IF($U$171="nulová",$N$171,0)</f>
        <v>0</v>
      </c>
      <c r="BJ171" s="114" t="s">
        <v>17</v>
      </c>
      <c r="BK171" s="173">
        <f>ROUND($L$171*$K$171,2)</f>
        <v>0</v>
      </c>
      <c r="BL171" s="114" t="s">
        <v>135</v>
      </c>
    </row>
    <row r="172" spans="2:63" s="158" customFormat="1" ht="30.75" customHeight="1">
      <c r="B172" s="157"/>
      <c r="D172" s="166" t="s">
        <v>110</v>
      </c>
      <c r="N172" s="213">
        <f>$BK$172</f>
        <v>0</v>
      </c>
      <c r="O172" s="213"/>
      <c r="P172" s="213"/>
      <c r="Q172" s="213"/>
      <c r="R172" s="160"/>
      <c r="T172" s="161"/>
      <c r="W172" s="162">
        <f>$W$173</f>
        <v>272.512746</v>
      </c>
      <c r="Y172" s="162">
        <f>$Y$173</f>
        <v>0</v>
      </c>
      <c r="AA172" s="163">
        <f>$AA$173</f>
        <v>0</v>
      </c>
      <c r="AR172" s="164" t="s">
        <v>17</v>
      </c>
      <c r="AT172" s="164" t="s">
        <v>72</v>
      </c>
      <c r="AU172" s="164" t="s">
        <v>17</v>
      </c>
      <c r="AY172" s="164" t="s">
        <v>130</v>
      </c>
      <c r="BK172" s="165">
        <f>$BK$173</f>
        <v>0</v>
      </c>
    </row>
    <row r="173" spans="2:64" s="114" customFormat="1" ht="39" customHeight="1">
      <c r="B173" s="113"/>
      <c r="C173" s="167">
        <v>58</v>
      </c>
      <c r="D173" s="167" t="s">
        <v>131</v>
      </c>
      <c r="E173" s="168" t="s">
        <v>317</v>
      </c>
      <c r="F173" s="215" t="s">
        <v>318</v>
      </c>
      <c r="G173" s="215"/>
      <c r="H173" s="215"/>
      <c r="I173" s="215"/>
      <c r="J173" s="169" t="s">
        <v>155</v>
      </c>
      <c r="K173" s="170">
        <v>4128.981</v>
      </c>
      <c r="L173" s="211"/>
      <c r="M173" s="211"/>
      <c r="N173" s="211">
        <f>ROUND($L$173*$K$173,2)</f>
        <v>0</v>
      </c>
      <c r="O173" s="211"/>
      <c r="P173" s="211"/>
      <c r="Q173" s="211"/>
      <c r="R173" s="116"/>
      <c r="T173" s="184"/>
      <c r="U173" s="185" t="s">
        <v>38</v>
      </c>
      <c r="V173" s="171">
        <v>0.066</v>
      </c>
      <c r="W173" s="171">
        <f>$V$173*$K$173</f>
        <v>272.512746</v>
      </c>
      <c r="X173" s="171">
        <v>0</v>
      </c>
      <c r="Y173" s="171">
        <f>$X$173*$K$173</f>
        <v>0</v>
      </c>
      <c r="Z173" s="171">
        <v>0</v>
      </c>
      <c r="AA173" s="172">
        <f>$Z$173*$K$173</f>
        <v>0</v>
      </c>
      <c r="AR173" s="114" t="s">
        <v>135</v>
      </c>
      <c r="AT173" s="114" t="s">
        <v>131</v>
      </c>
      <c r="AU173" s="114" t="s">
        <v>93</v>
      </c>
      <c r="AY173" s="114" t="s">
        <v>130</v>
      </c>
      <c r="BE173" s="173">
        <f>IF($U$173="základní",$N$173,0)</f>
        <v>0</v>
      </c>
      <c r="BF173" s="173">
        <f>IF($U$173="snížená",$N$173,0)</f>
        <v>0</v>
      </c>
      <c r="BG173" s="173">
        <f>IF($U$173="zákl. přenesená",$N$173,0)</f>
        <v>0</v>
      </c>
      <c r="BH173" s="173">
        <f>IF($U$173="sníž. přenesená",$N$173,0)</f>
        <v>0</v>
      </c>
      <c r="BI173" s="173">
        <f>IF($U$173="nulová",$N$173,0)</f>
        <v>0</v>
      </c>
      <c r="BJ173" s="114" t="s">
        <v>17</v>
      </c>
      <c r="BK173" s="173">
        <f>ROUND($L$173*$K$173,2)</f>
        <v>0</v>
      </c>
      <c r="BL173" s="114" t="s">
        <v>135</v>
      </c>
    </row>
    <row r="174" spans="2:63" s="158" customFormat="1" ht="37.5" customHeight="1">
      <c r="B174" s="157"/>
      <c r="D174" s="159" t="s">
        <v>111</v>
      </c>
      <c r="N174" s="212">
        <f>$BK$174</f>
        <v>0</v>
      </c>
      <c r="O174" s="212"/>
      <c r="P174" s="212"/>
      <c r="Q174" s="212"/>
      <c r="R174" s="160"/>
      <c r="T174" s="161"/>
      <c r="W174" s="162">
        <f>$W$175+$W$177</f>
        <v>0</v>
      </c>
      <c r="Y174" s="162">
        <f>$Y$175+$Y$177</f>
        <v>0</v>
      </c>
      <c r="AA174" s="163">
        <f>$AA$175+$AA$177</f>
        <v>0</v>
      </c>
      <c r="AR174" s="164" t="s">
        <v>143</v>
      </c>
      <c r="AT174" s="164" t="s">
        <v>72</v>
      </c>
      <c r="AU174" s="164" t="s">
        <v>73</v>
      </c>
      <c r="AY174" s="164" t="s">
        <v>130</v>
      </c>
      <c r="BK174" s="165">
        <f>$BK$175+$BK$177</f>
        <v>0</v>
      </c>
    </row>
    <row r="175" spans="2:63" s="158" customFormat="1" ht="21" customHeight="1">
      <c r="B175" s="157"/>
      <c r="D175" s="166" t="s">
        <v>112</v>
      </c>
      <c r="N175" s="213">
        <f>$BK$175</f>
        <v>0</v>
      </c>
      <c r="O175" s="213"/>
      <c r="P175" s="213"/>
      <c r="Q175" s="213"/>
      <c r="R175" s="160"/>
      <c r="T175" s="161"/>
      <c r="W175" s="162">
        <f>$W$176</f>
        <v>0</v>
      </c>
      <c r="Y175" s="162">
        <f>$Y$176</f>
        <v>0</v>
      </c>
      <c r="AA175" s="163">
        <f>$AA$176</f>
        <v>0</v>
      </c>
      <c r="AR175" s="164" t="s">
        <v>143</v>
      </c>
      <c r="AT175" s="164" t="s">
        <v>72</v>
      </c>
      <c r="AU175" s="164" t="s">
        <v>17</v>
      </c>
      <c r="AY175" s="164" t="s">
        <v>130</v>
      </c>
      <c r="BK175" s="165">
        <f>$BK$176</f>
        <v>0</v>
      </c>
    </row>
    <row r="176" spans="2:64" s="114" customFormat="1" ht="15.75" customHeight="1">
      <c r="B176" s="113"/>
      <c r="C176" s="167">
        <v>59</v>
      </c>
      <c r="D176" s="167" t="s">
        <v>131</v>
      </c>
      <c r="E176" s="168" t="s">
        <v>319</v>
      </c>
      <c r="F176" s="215" t="s">
        <v>320</v>
      </c>
      <c r="G176" s="215"/>
      <c r="H176" s="215"/>
      <c r="I176" s="215"/>
      <c r="J176" s="169" t="s">
        <v>321</v>
      </c>
      <c r="K176" s="170">
        <v>1</v>
      </c>
      <c r="L176" s="211"/>
      <c r="M176" s="211"/>
      <c r="N176" s="211">
        <f>ROUND($L$176*$K$176,2)</f>
        <v>0</v>
      </c>
      <c r="O176" s="211"/>
      <c r="P176" s="211"/>
      <c r="Q176" s="211"/>
      <c r="R176" s="116"/>
      <c r="T176" s="184"/>
      <c r="U176" s="185" t="s">
        <v>38</v>
      </c>
      <c r="V176" s="171">
        <v>0</v>
      </c>
      <c r="W176" s="171">
        <f>$V$176*$K$176</f>
        <v>0</v>
      </c>
      <c r="X176" s="171">
        <v>0</v>
      </c>
      <c r="Y176" s="171">
        <f>$X$176*$K$176</f>
        <v>0</v>
      </c>
      <c r="Z176" s="171">
        <v>0</v>
      </c>
      <c r="AA176" s="172">
        <f>$Z$176*$K$176</f>
        <v>0</v>
      </c>
      <c r="AR176" s="114" t="s">
        <v>322</v>
      </c>
      <c r="AT176" s="114" t="s">
        <v>131</v>
      </c>
      <c r="AU176" s="114" t="s">
        <v>93</v>
      </c>
      <c r="AY176" s="114" t="s">
        <v>130</v>
      </c>
      <c r="BE176" s="173">
        <f>IF($U$176="základní",$N$176,0)</f>
        <v>0</v>
      </c>
      <c r="BF176" s="173">
        <f>IF($U$176="snížená",$N$176,0)</f>
        <v>0</v>
      </c>
      <c r="BG176" s="173">
        <f>IF($U$176="zákl. přenesená",$N$176,0)</f>
        <v>0</v>
      </c>
      <c r="BH176" s="173">
        <f>IF($U$176="sníž. přenesená",$N$176,0)</f>
        <v>0</v>
      </c>
      <c r="BI176" s="173">
        <f>IF($U$176="nulová",$N$176,0)</f>
        <v>0</v>
      </c>
      <c r="BJ176" s="114" t="s">
        <v>17</v>
      </c>
      <c r="BK176" s="173">
        <f>ROUND($L$176*$K$176,2)</f>
        <v>0</v>
      </c>
      <c r="BL176" s="114" t="s">
        <v>322</v>
      </c>
    </row>
    <row r="177" spans="2:63" s="158" customFormat="1" ht="30.75" customHeight="1">
      <c r="B177" s="157"/>
      <c r="D177" s="166" t="s">
        <v>113</v>
      </c>
      <c r="N177" s="213">
        <f>$BK$177</f>
        <v>0</v>
      </c>
      <c r="O177" s="213"/>
      <c r="P177" s="213"/>
      <c r="Q177" s="213"/>
      <c r="R177" s="160"/>
      <c r="T177" s="161"/>
      <c r="W177" s="162">
        <f>$W$178</f>
        <v>0</v>
      </c>
      <c r="Y177" s="162">
        <f>$Y$178</f>
        <v>0</v>
      </c>
      <c r="AA177" s="163">
        <f>$AA$178</f>
        <v>0</v>
      </c>
      <c r="AR177" s="164" t="s">
        <v>143</v>
      </c>
      <c r="AT177" s="164" t="s">
        <v>72</v>
      </c>
      <c r="AU177" s="164" t="s">
        <v>17</v>
      </c>
      <c r="AY177" s="164" t="s">
        <v>130</v>
      </c>
      <c r="BK177" s="165">
        <f>$BK$178</f>
        <v>0</v>
      </c>
    </row>
    <row r="178" spans="2:64" s="114" customFormat="1" ht="15.75" customHeight="1">
      <c r="B178" s="113"/>
      <c r="C178" s="167">
        <v>60</v>
      </c>
      <c r="D178" s="167" t="s">
        <v>131</v>
      </c>
      <c r="E178" s="168" t="s">
        <v>323</v>
      </c>
      <c r="F178" s="215" t="s">
        <v>324</v>
      </c>
      <c r="G178" s="215"/>
      <c r="H178" s="215"/>
      <c r="I178" s="215"/>
      <c r="J178" s="169" t="s">
        <v>321</v>
      </c>
      <c r="K178" s="170">
        <v>1</v>
      </c>
      <c r="L178" s="211"/>
      <c r="M178" s="211"/>
      <c r="N178" s="211">
        <f>ROUND($L$178*$K$178,2)</f>
        <v>0</v>
      </c>
      <c r="O178" s="211"/>
      <c r="P178" s="211"/>
      <c r="Q178" s="211"/>
      <c r="R178" s="116"/>
      <c r="T178" s="184"/>
      <c r="U178" s="191" t="s">
        <v>38</v>
      </c>
      <c r="V178" s="172">
        <v>0</v>
      </c>
      <c r="W178" s="172">
        <f>$V$178*$K$178</f>
        <v>0</v>
      </c>
      <c r="X178" s="172">
        <v>0</v>
      </c>
      <c r="Y178" s="172">
        <f>$X$178*$K$178</f>
        <v>0</v>
      </c>
      <c r="Z178" s="172">
        <v>0</v>
      </c>
      <c r="AA178" s="172">
        <f>$Z$178*$K$178</f>
        <v>0</v>
      </c>
      <c r="AR178" s="114" t="s">
        <v>322</v>
      </c>
      <c r="AT178" s="114" t="s">
        <v>131</v>
      </c>
      <c r="AU178" s="114" t="s">
        <v>93</v>
      </c>
      <c r="AY178" s="114" t="s">
        <v>130</v>
      </c>
      <c r="BE178" s="173">
        <f>IF($U$178="základní",$N$178,0)</f>
        <v>0</v>
      </c>
      <c r="BF178" s="173">
        <f>IF($U$178="snížená",$N$178,0)</f>
        <v>0</v>
      </c>
      <c r="BG178" s="173">
        <f>IF($U$178="zákl. přenesená",$N$178,0)</f>
        <v>0</v>
      </c>
      <c r="BH178" s="173">
        <f>IF($U$178="sníž. přenesená",$N$178,0)</f>
        <v>0</v>
      </c>
      <c r="BI178" s="173">
        <f>IF($U$178="nulová",$N$178,0)</f>
        <v>0</v>
      </c>
      <c r="BJ178" s="114" t="s">
        <v>17</v>
      </c>
      <c r="BK178" s="173">
        <f>ROUND($L$178*$K$178,2)</f>
        <v>0</v>
      </c>
      <c r="BL178" s="114" t="s">
        <v>322</v>
      </c>
    </row>
    <row r="179" spans="2:18" s="114" customFormat="1" ht="7.5" customHeight="1">
      <c r="B179" s="133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5"/>
    </row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CC3D" sheet="1"/>
  <protectedRanges>
    <protectedRange sqref="L111:M179" name="Oblast1"/>
  </protectedRanges>
  <mergeCells count="251"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66:Q66"/>
    <mergeCell ref="F68:P68"/>
    <mergeCell ref="F69:P69"/>
    <mergeCell ref="M71:P71"/>
    <mergeCell ref="M73:Q73"/>
    <mergeCell ref="M74:Q74"/>
    <mergeCell ref="C76:G76"/>
    <mergeCell ref="N76:Q76"/>
    <mergeCell ref="N78:Q78"/>
    <mergeCell ref="N79:Q79"/>
    <mergeCell ref="N80:Q80"/>
    <mergeCell ref="N81:Q81"/>
    <mergeCell ref="N82:Q82"/>
    <mergeCell ref="N83:Q83"/>
    <mergeCell ref="N84:Q84"/>
    <mergeCell ref="N85:Q85"/>
    <mergeCell ref="N86:Q86"/>
    <mergeCell ref="N87:Q87"/>
    <mergeCell ref="N89:Q89"/>
    <mergeCell ref="L91:Q91"/>
    <mergeCell ref="C97:Q97"/>
    <mergeCell ref="F99:P99"/>
    <mergeCell ref="F100:P100"/>
    <mergeCell ref="M102:P102"/>
    <mergeCell ref="M104:Q104"/>
    <mergeCell ref="M105:Q105"/>
    <mergeCell ref="F107:I107"/>
    <mergeCell ref="L107:M107"/>
    <mergeCell ref="N107:Q107"/>
    <mergeCell ref="N108:Q108"/>
    <mergeCell ref="N109:Q109"/>
    <mergeCell ref="N110:Q110"/>
    <mergeCell ref="F111:I111"/>
    <mergeCell ref="L111:M111"/>
    <mergeCell ref="N111:Q111"/>
    <mergeCell ref="F112:I112"/>
    <mergeCell ref="L112:M112"/>
    <mergeCell ref="N112:Q112"/>
    <mergeCell ref="F113:I113"/>
    <mergeCell ref="L113:M113"/>
    <mergeCell ref="N113:Q113"/>
    <mergeCell ref="F114:I114"/>
    <mergeCell ref="L114:M114"/>
    <mergeCell ref="N114:Q114"/>
    <mergeCell ref="F115:I115"/>
    <mergeCell ref="L115:M115"/>
    <mergeCell ref="N115:Q115"/>
    <mergeCell ref="F116:I116"/>
    <mergeCell ref="L116:M116"/>
    <mergeCell ref="N116:Q116"/>
    <mergeCell ref="F117:I117"/>
    <mergeCell ref="L117:M117"/>
    <mergeCell ref="N117:Q117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N172:Q172"/>
    <mergeCell ref="F173:I173"/>
    <mergeCell ref="L173:M173"/>
    <mergeCell ref="N173:Q173"/>
    <mergeCell ref="N174:Q174"/>
    <mergeCell ref="N175:Q175"/>
    <mergeCell ref="F176:I176"/>
    <mergeCell ref="L176:M176"/>
    <mergeCell ref="N176:Q176"/>
    <mergeCell ref="N177:Q177"/>
    <mergeCell ref="F178:I178"/>
    <mergeCell ref="L178:M178"/>
    <mergeCell ref="N178:Q178"/>
  </mergeCells>
  <printOptions/>
  <pageMargins left="0.3937007874015748" right="0.3937007874015748" top="0.4724409448818898" bottom="0.4724409448818898" header="0.5118110236220472" footer="0.5118110236220472"/>
  <pageSetup horizontalDpi="600" verticalDpi="600" orientation="portrait" paperSize="9" scale="94" r:id="rId1"/>
  <rowBreaks count="2" manualBreakCount="2">
    <brk id="62" max="255" man="1"/>
    <brk id="9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BL126"/>
  <sheetViews>
    <sheetView showGridLines="0" defaultGridColor="0" zoomScalePageLayoutView="0" colorId="8" workbookViewId="0" topLeftCell="A1">
      <pane ySplit="1" topLeftCell="A86" activePane="bottomLeft" state="frozen"/>
      <selection pane="topLeft" activeCell="F164" sqref="F164:I164"/>
      <selection pane="bottomLeft" activeCell="K103" sqref="K103"/>
    </sheetView>
  </sheetViews>
  <sheetFormatPr defaultColWidth="10.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7.16015625" style="1" customWidth="1"/>
    <col min="6" max="7" width="11.16015625" style="1" customWidth="1"/>
    <col min="8" max="8" width="12.5" style="1" customWidth="1"/>
    <col min="9" max="9" width="7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12.5" style="1" customWidth="1"/>
    <col min="17" max="17" width="4.16015625" style="1" customWidth="1"/>
    <col min="18" max="18" width="1.66796875" style="1" customWidth="1"/>
    <col min="19" max="19" width="8.16015625" style="1" customWidth="1"/>
    <col min="20" max="28" width="0" style="1" hidden="1" customWidth="1"/>
    <col min="29" max="29" width="11" style="1" customWidth="1"/>
    <col min="30" max="30" width="15" style="1" customWidth="1"/>
    <col min="31" max="31" width="16.33203125" style="1" customWidth="1"/>
    <col min="32" max="43" width="10.5" style="2" customWidth="1"/>
    <col min="44" max="64" width="0" style="1" hidden="1" customWidth="1"/>
    <col min="65" max="16384" width="10.5" style="2" customWidth="1"/>
  </cols>
  <sheetData>
    <row r="1" spans="4:15" s="4" customFormat="1" ht="22.5" customHeight="1">
      <c r="D1" s="5" t="s">
        <v>1</v>
      </c>
      <c r="H1" s="258"/>
      <c r="I1" s="258"/>
      <c r="J1" s="258"/>
      <c r="K1" s="258"/>
      <c r="O1" s="5" t="s">
        <v>92</v>
      </c>
    </row>
    <row r="2" spans="3:46" s="1" customFormat="1" ht="37.5" customHeight="1"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T2" s="1" t="s">
        <v>84</v>
      </c>
    </row>
    <row r="3" spans="2:46" s="1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1" t="s">
        <v>93</v>
      </c>
    </row>
    <row r="4" spans="2:46" s="1" customFormat="1" ht="37.5" customHeight="1">
      <c r="B4" s="10"/>
      <c r="C4" s="205" t="s">
        <v>94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11"/>
      <c r="T4" s="12" t="s">
        <v>8</v>
      </c>
      <c r="AT4" s="1" t="s">
        <v>3</v>
      </c>
    </row>
    <row r="5" spans="2:18" s="1" customFormat="1" ht="7.5" customHeight="1">
      <c r="B5" s="10"/>
      <c r="R5" s="11"/>
    </row>
    <row r="6" spans="2:18" s="1" customFormat="1" ht="30.75" customHeight="1">
      <c r="B6" s="10"/>
      <c r="D6" s="15" t="s">
        <v>12</v>
      </c>
      <c r="F6" s="253" t="str">
        <f>'Rekapitulace stavby'!$K$6</f>
        <v>II/235 Terešovksá Huť-Mlečice</v>
      </c>
      <c r="G6" s="253"/>
      <c r="H6" s="253"/>
      <c r="I6" s="253"/>
      <c r="J6" s="253"/>
      <c r="K6" s="253"/>
      <c r="L6" s="253"/>
      <c r="M6" s="253"/>
      <c r="N6" s="253"/>
      <c r="O6" s="253"/>
      <c r="P6" s="253"/>
      <c r="R6" s="11"/>
    </row>
    <row r="7" spans="2:18" s="6" customFormat="1" ht="37.5" customHeight="1">
      <c r="B7" s="19"/>
      <c r="D7" s="14" t="s">
        <v>95</v>
      </c>
      <c r="F7" s="210" t="s">
        <v>337</v>
      </c>
      <c r="G7" s="210"/>
      <c r="H7" s="210"/>
      <c r="I7" s="210"/>
      <c r="J7" s="210"/>
      <c r="K7" s="210"/>
      <c r="L7" s="210"/>
      <c r="M7" s="210"/>
      <c r="N7" s="210"/>
      <c r="O7" s="210"/>
      <c r="P7" s="210"/>
      <c r="R7" s="20"/>
    </row>
    <row r="8" spans="2:18" s="6" customFormat="1" ht="15" customHeight="1">
      <c r="B8" s="19"/>
      <c r="D8" s="15" t="s">
        <v>15</v>
      </c>
      <c r="F8" s="16"/>
      <c r="M8" s="15" t="s">
        <v>16</v>
      </c>
      <c r="O8" s="16"/>
      <c r="R8" s="20"/>
    </row>
    <row r="9" spans="2:18" s="6" customFormat="1" ht="15" customHeight="1">
      <c r="B9" s="19"/>
      <c r="D9" s="15" t="s">
        <v>18</v>
      </c>
      <c r="F9" s="16" t="s">
        <v>19</v>
      </c>
      <c r="M9" s="15" t="s">
        <v>20</v>
      </c>
      <c r="O9" s="254" t="str">
        <f>'Rekapitulace stavby'!$AN$8</f>
        <v>13.12.2015</v>
      </c>
      <c r="P9" s="254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5" t="s">
        <v>24</v>
      </c>
      <c r="M11" s="15" t="s">
        <v>25</v>
      </c>
      <c r="O11" s="198">
        <f>IF('Rekapitulace stavby'!$AN$10="","",'Rekapitulace stavby'!$AN$10)</f>
      </c>
      <c r="P11" s="198"/>
      <c r="R11" s="20"/>
    </row>
    <row r="12" spans="2:18" s="6" customFormat="1" ht="18.75" customHeight="1">
      <c r="B12" s="19"/>
      <c r="E12" s="16" t="str">
        <f>IF('Rekapitulace stavby'!$E$11="","",'Rekapitulace stavby'!$E$11)</f>
        <v>Obec Terešov, Mlečice, Chlum, Zvíkovec</v>
      </c>
      <c r="M12" s="15" t="s">
        <v>27</v>
      </c>
      <c r="O12" s="198">
        <f>IF('Rekapitulace stavby'!$AN$11="","",'Rekapitulace stavby'!$AN$11)</f>
      </c>
      <c r="P12" s="198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5" t="s">
        <v>28</v>
      </c>
      <c r="M14" s="15" t="s">
        <v>25</v>
      </c>
      <c r="O14" s="198">
        <f>IF('Rekapitulace stavby'!$AN$13="","",'Rekapitulace stavby'!$AN$13)</f>
      </c>
      <c r="P14" s="198"/>
      <c r="R14" s="20"/>
    </row>
    <row r="15" spans="2:18" s="6" customFormat="1" ht="18.75" customHeight="1">
      <c r="B15" s="19"/>
      <c r="E15" s="16" t="str">
        <f>IF('Rekapitulace stavby'!$E$14="","",'Rekapitulace stavby'!$E$14)</f>
        <v> </v>
      </c>
      <c r="M15" s="15" t="s">
        <v>27</v>
      </c>
      <c r="O15" s="198">
        <f>IF('Rekapitulace stavby'!$AN$14="","",'Rekapitulace stavby'!$AN$14)</f>
      </c>
      <c r="P15" s="198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5" t="s">
        <v>29</v>
      </c>
      <c r="M17" s="15" t="s">
        <v>25</v>
      </c>
      <c r="O17" s="198"/>
      <c r="P17" s="198"/>
      <c r="R17" s="20"/>
    </row>
    <row r="18" spans="2:18" s="6" customFormat="1" ht="18.75" customHeight="1">
      <c r="B18" s="19"/>
      <c r="E18" s="16" t="s">
        <v>30</v>
      </c>
      <c r="M18" s="15" t="s">
        <v>27</v>
      </c>
      <c r="O18" s="198"/>
      <c r="P18" s="198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5" t="s">
        <v>32</v>
      </c>
      <c r="M20" s="15" t="s">
        <v>25</v>
      </c>
      <c r="O20" s="198">
        <f>IF('Rekapitulace stavby'!$AN$19="","",'Rekapitulace stavby'!$AN$19)</f>
      </c>
      <c r="P20" s="198"/>
      <c r="R20" s="20"/>
    </row>
    <row r="21" spans="2:18" s="6" customFormat="1" ht="18.75" customHeight="1">
      <c r="B21" s="19"/>
      <c r="E21" s="16" t="str">
        <f>IF('Rekapitulace stavby'!$E$20="","",'Rekapitulace stavby'!$E$20)</f>
        <v>Lenka Jandová</v>
      </c>
      <c r="M21" s="15" t="s">
        <v>27</v>
      </c>
      <c r="O21" s="198">
        <f>IF('Rekapitulace stavby'!$AN$20="","",'Rekapitulace stavby'!$AN$20)</f>
      </c>
      <c r="P21" s="198"/>
      <c r="R21" s="20"/>
    </row>
    <row r="22" spans="2:18" s="6" customFormat="1" ht="7.5" customHeight="1">
      <c r="B22" s="19"/>
      <c r="R22" s="20"/>
    </row>
    <row r="23" spans="2:18" s="6" customFormat="1" ht="7.5" customHeight="1">
      <c r="B23" s="19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R23" s="20"/>
    </row>
    <row r="24" spans="2:18" s="6" customFormat="1" ht="15" customHeight="1">
      <c r="B24" s="19"/>
      <c r="D24" s="62" t="s">
        <v>97</v>
      </c>
      <c r="M24" s="206">
        <f>$N$78</f>
        <v>0</v>
      </c>
      <c r="N24" s="206"/>
      <c r="O24" s="206"/>
      <c r="P24" s="206"/>
      <c r="R24" s="20"/>
    </row>
    <row r="25" spans="2:18" s="6" customFormat="1" ht="15" customHeight="1">
      <c r="B25" s="19"/>
      <c r="D25" s="18" t="s">
        <v>98</v>
      </c>
      <c r="M25" s="206">
        <f>$N$83</f>
        <v>0</v>
      </c>
      <c r="N25" s="206"/>
      <c r="O25" s="206"/>
      <c r="P25" s="206"/>
      <c r="R25" s="20"/>
    </row>
    <row r="26" spans="2:18" s="6" customFormat="1" ht="7.5" customHeight="1">
      <c r="B26" s="19"/>
      <c r="R26" s="20"/>
    </row>
    <row r="27" spans="2:18" s="6" customFormat="1" ht="26.25" customHeight="1">
      <c r="B27" s="19"/>
      <c r="D27" s="63" t="s">
        <v>36</v>
      </c>
      <c r="M27" s="207">
        <f>ROUND($M$24+$M$25,2)</f>
        <v>0</v>
      </c>
      <c r="N27" s="207"/>
      <c r="O27" s="207"/>
      <c r="P27" s="207"/>
      <c r="R27" s="20"/>
    </row>
    <row r="28" spans="2:18" s="6" customFormat="1" ht="7.5" customHeight="1">
      <c r="B28" s="19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R28" s="20"/>
    </row>
    <row r="29" spans="2:18" s="6" customFormat="1" ht="15" customHeight="1">
      <c r="B29" s="19"/>
      <c r="D29" s="24" t="s">
        <v>37</v>
      </c>
      <c r="E29" s="24" t="s">
        <v>38</v>
      </c>
      <c r="F29" s="64">
        <v>0.21</v>
      </c>
      <c r="G29" s="65" t="s">
        <v>39</v>
      </c>
      <c r="H29" s="257">
        <f>M27</f>
        <v>0</v>
      </c>
      <c r="I29" s="257"/>
      <c r="J29" s="257"/>
      <c r="M29" s="257">
        <f>H29*0.21</f>
        <v>0</v>
      </c>
      <c r="N29" s="257"/>
      <c r="O29" s="257"/>
      <c r="P29" s="257"/>
      <c r="R29" s="20"/>
    </row>
    <row r="30" spans="2:18" s="6" customFormat="1" ht="15" customHeight="1">
      <c r="B30" s="19"/>
      <c r="E30" s="24" t="s">
        <v>40</v>
      </c>
      <c r="F30" s="64">
        <v>0.15</v>
      </c>
      <c r="G30" s="65" t="s">
        <v>39</v>
      </c>
      <c r="H30" s="257">
        <v>0</v>
      </c>
      <c r="I30" s="257"/>
      <c r="J30" s="257"/>
      <c r="M30" s="257">
        <f>H30*0.15</f>
        <v>0</v>
      </c>
      <c r="N30" s="257"/>
      <c r="O30" s="257"/>
      <c r="P30" s="257"/>
      <c r="R30" s="20"/>
    </row>
    <row r="31" spans="2:18" s="6" customFormat="1" ht="15" customHeight="1" hidden="1">
      <c r="B31" s="19"/>
      <c r="E31" s="24" t="s">
        <v>41</v>
      </c>
      <c r="F31" s="64">
        <v>0.21</v>
      </c>
      <c r="G31" s="65" t="s">
        <v>39</v>
      </c>
      <c r="H31" s="257">
        <f>ROUND((SUM($BG$83:$BG$84)+SUM($BG$102:$BG$125)),2)</f>
        <v>0</v>
      </c>
      <c r="I31" s="257"/>
      <c r="J31" s="257"/>
      <c r="M31" s="257">
        <v>0</v>
      </c>
      <c r="N31" s="257"/>
      <c r="O31" s="257"/>
      <c r="P31" s="257"/>
      <c r="R31" s="20"/>
    </row>
    <row r="32" spans="2:18" s="6" customFormat="1" ht="15" customHeight="1" hidden="1">
      <c r="B32" s="19"/>
      <c r="E32" s="24" t="s">
        <v>42</v>
      </c>
      <c r="F32" s="64">
        <v>0.15</v>
      </c>
      <c r="G32" s="65" t="s">
        <v>39</v>
      </c>
      <c r="H32" s="257">
        <f>ROUND((SUM($BH$83:$BH$84)+SUM($BH$102:$BH$125)),2)</f>
        <v>0</v>
      </c>
      <c r="I32" s="257"/>
      <c r="J32" s="257"/>
      <c r="M32" s="257">
        <v>0</v>
      </c>
      <c r="N32" s="257"/>
      <c r="O32" s="257"/>
      <c r="P32" s="257"/>
      <c r="R32" s="20"/>
    </row>
    <row r="33" spans="2:18" s="6" customFormat="1" ht="15" customHeight="1" hidden="1">
      <c r="B33" s="19"/>
      <c r="E33" s="24" t="s">
        <v>43</v>
      </c>
      <c r="F33" s="64">
        <v>0</v>
      </c>
      <c r="G33" s="65" t="s">
        <v>39</v>
      </c>
      <c r="H33" s="257">
        <f>ROUND((SUM($BI$83:$BI$84)+SUM($BI$102:$BI$125)),2)</f>
        <v>0</v>
      </c>
      <c r="I33" s="257"/>
      <c r="J33" s="257"/>
      <c r="M33" s="257">
        <v>0</v>
      </c>
      <c r="N33" s="257"/>
      <c r="O33" s="257"/>
      <c r="P33" s="257"/>
      <c r="R33" s="20"/>
    </row>
    <row r="34" spans="2:18" s="6" customFormat="1" ht="7.5" customHeight="1">
      <c r="B34" s="19"/>
      <c r="R34" s="20"/>
    </row>
    <row r="35" spans="2:18" s="6" customFormat="1" ht="26.25" customHeight="1">
      <c r="B35" s="19"/>
      <c r="C35" s="27"/>
      <c r="D35" s="28" t="s">
        <v>44</v>
      </c>
      <c r="E35" s="29"/>
      <c r="F35" s="29"/>
      <c r="G35" s="66" t="s">
        <v>45</v>
      </c>
      <c r="H35" s="30" t="s">
        <v>46</v>
      </c>
      <c r="I35" s="29"/>
      <c r="J35" s="29"/>
      <c r="K35" s="29"/>
      <c r="L35" s="204">
        <f>ROUND(SUM($M$27:$M$33),2)</f>
        <v>0</v>
      </c>
      <c r="M35" s="204"/>
      <c r="N35" s="204"/>
      <c r="O35" s="204"/>
      <c r="P35" s="204"/>
      <c r="Q35" s="27"/>
      <c r="R35" s="20"/>
    </row>
    <row r="36" spans="2:18" s="6" customFormat="1" ht="15" customHeight="1">
      <c r="B36" s="19"/>
      <c r="R36" s="20"/>
    </row>
    <row r="37" spans="2:18" s="6" customFormat="1" ht="15" customHeight="1">
      <c r="B37" s="19"/>
      <c r="R37" s="20"/>
    </row>
    <row r="38" spans="2:18" s="1" customFormat="1" ht="14.25" customHeight="1">
      <c r="B38" s="10"/>
      <c r="R38" s="11"/>
    </row>
    <row r="39" spans="2:18" s="1" customFormat="1" ht="14.25" customHeight="1">
      <c r="B39" s="10"/>
      <c r="R39" s="11"/>
    </row>
    <row r="40" spans="2:18" s="6" customFormat="1" ht="15.75" customHeight="1">
      <c r="B40" s="19"/>
      <c r="D40" s="31" t="s">
        <v>47</v>
      </c>
      <c r="E40" s="22"/>
      <c r="F40" s="22"/>
      <c r="G40" s="22"/>
      <c r="H40" s="22"/>
      <c r="J40" s="31" t="s">
        <v>48</v>
      </c>
      <c r="K40" s="22"/>
      <c r="L40" s="22"/>
      <c r="M40" s="22"/>
      <c r="N40" s="22"/>
      <c r="O40" s="22"/>
      <c r="P40" s="22"/>
      <c r="R40" s="20"/>
    </row>
    <row r="41" spans="2:18" s="1" customFormat="1" ht="14.25" customHeight="1">
      <c r="B41" s="10"/>
      <c r="D41" s="17"/>
      <c r="H41" s="17"/>
      <c r="J41" s="17"/>
      <c r="P41" s="17"/>
      <c r="R41" s="11"/>
    </row>
    <row r="42" spans="2:18" s="1" customFormat="1" ht="14.25" customHeight="1">
      <c r="B42" s="10"/>
      <c r="D42" s="17"/>
      <c r="H42" s="17"/>
      <c r="J42" s="17"/>
      <c r="P42" s="17"/>
      <c r="R42" s="11"/>
    </row>
    <row r="43" spans="2:18" s="1" customFormat="1" ht="14.25" customHeight="1">
      <c r="B43" s="10"/>
      <c r="D43" s="17"/>
      <c r="H43" s="17"/>
      <c r="J43" s="17"/>
      <c r="P43" s="17"/>
      <c r="R43" s="11"/>
    </row>
    <row r="44" spans="2:18" s="1" customFormat="1" ht="14.25" customHeight="1">
      <c r="B44" s="10"/>
      <c r="D44" s="17"/>
      <c r="H44" s="17"/>
      <c r="J44" s="17"/>
      <c r="P44" s="17"/>
      <c r="R44" s="11"/>
    </row>
    <row r="45" spans="2:18" s="1" customFormat="1" ht="14.25" customHeight="1">
      <c r="B45" s="10"/>
      <c r="D45" s="17"/>
      <c r="H45" s="17"/>
      <c r="J45" s="17"/>
      <c r="P45" s="17"/>
      <c r="R45" s="11"/>
    </row>
    <row r="46" spans="2:18" s="1" customFormat="1" ht="14.25" customHeight="1">
      <c r="B46" s="10"/>
      <c r="D46" s="17"/>
      <c r="H46" s="17"/>
      <c r="J46" s="17"/>
      <c r="P46" s="17"/>
      <c r="R46" s="11"/>
    </row>
    <row r="47" spans="2:18" s="1" customFormat="1" ht="14.25" customHeight="1">
      <c r="B47" s="10"/>
      <c r="D47" s="17"/>
      <c r="H47" s="17"/>
      <c r="J47" s="17"/>
      <c r="P47" s="17"/>
      <c r="R47" s="11"/>
    </row>
    <row r="48" spans="2:18" s="1" customFormat="1" ht="14.25" customHeight="1">
      <c r="B48" s="10"/>
      <c r="D48" s="17"/>
      <c r="H48" s="17"/>
      <c r="J48" s="17"/>
      <c r="P48" s="17"/>
      <c r="R48" s="11"/>
    </row>
    <row r="49" spans="2:18" s="6" customFormat="1" ht="15.75" customHeight="1">
      <c r="B49" s="19"/>
      <c r="D49" s="32" t="s">
        <v>49</v>
      </c>
      <c r="E49" s="22"/>
      <c r="F49" s="22"/>
      <c r="G49" s="32" t="s">
        <v>50</v>
      </c>
      <c r="H49" s="22"/>
      <c r="J49" s="32" t="s">
        <v>49</v>
      </c>
      <c r="K49" s="22"/>
      <c r="L49" s="22"/>
      <c r="M49" s="22"/>
      <c r="N49" s="32" t="s">
        <v>50</v>
      </c>
      <c r="O49" s="22"/>
      <c r="P49" s="22"/>
      <c r="R49" s="20"/>
    </row>
    <row r="50" spans="2:18" s="1" customFormat="1" ht="14.25" customHeight="1">
      <c r="B50" s="10"/>
      <c r="R50" s="11"/>
    </row>
    <row r="51" spans="2:18" s="6" customFormat="1" ht="15.75" customHeight="1">
      <c r="B51" s="19"/>
      <c r="D51" s="31" t="s">
        <v>51</v>
      </c>
      <c r="E51" s="22"/>
      <c r="F51" s="22"/>
      <c r="G51" s="22"/>
      <c r="H51" s="22"/>
      <c r="J51" s="31" t="s">
        <v>52</v>
      </c>
      <c r="K51" s="22"/>
      <c r="L51" s="22"/>
      <c r="M51" s="22"/>
      <c r="N51" s="22"/>
      <c r="O51" s="22"/>
      <c r="P51" s="22"/>
      <c r="R51" s="20"/>
    </row>
    <row r="52" spans="2:18" s="1" customFormat="1" ht="14.25" customHeight="1">
      <c r="B52" s="10"/>
      <c r="D52" s="17"/>
      <c r="H52" s="17"/>
      <c r="J52" s="17"/>
      <c r="P52" s="17"/>
      <c r="R52" s="11"/>
    </row>
    <row r="53" spans="2:18" s="1" customFormat="1" ht="14.25" customHeight="1">
      <c r="B53" s="10"/>
      <c r="D53" s="17"/>
      <c r="H53" s="17"/>
      <c r="J53" s="17"/>
      <c r="P53" s="17"/>
      <c r="R53" s="11"/>
    </row>
    <row r="54" spans="2:18" s="1" customFormat="1" ht="14.25" customHeight="1">
      <c r="B54" s="10"/>
      <c r="D54" s="17"/>
      <c r="H54" s="17"/>
      <c r="J54" s="17"/>
      <c r="P54" s="17"/>
      <c r="R54" s="11"/>
    </row>
    <row r="55" spans="2:18" s="1" customFormat="1" ht="14.25" customHeight="1">
      <c r="B55" s="10"/>
      <c r="D55" s="17"/>
      <c r="H55" s="17"/>
      <c r="J55" s="17"/>
      <c r="P55" s="17"/>
      <c r="R55" s="11"/>
    </row>
    <row r="56" spans="2:18" s="1" customFormat="1" ht="14.25" customHeight="1">
      <c r="B56" s="10"/>
      <c r="D56" s="17"/>
      <c r="H56" s="17"/>
      <c r="J56" s="17"/>
      <c r="P56" s="17"/>
      <c r="R56" s="11"/>
    </row>
    <row r="57" spans="2:18" s="1" customFormat="1" ht="14.25" customHeight="1">
      <c r="B57" s="10"/>
      <c r="D57" s="17"/>
      <c r="H57" s="17"/>
      <c r="J57" s="17"/>
      <c r="P57" s="17"/>
      <c r="R57" s="11"/>
    </row>
    <row r="58" spans="2:18" s="1" customFormat="1" ht="14.25" customHeight="1">
      <c r="B58" s="10"/>
      <c r="D58" s="17"/>
      <c r="H58" s="17"/>
      <c r="J58" s="17"/>
      <c r="P58" s="17"/>
      <c r="R58" s="11"/>
    </row>
    <row r="59" spans="2:18" s="1" customFormat="1" ht="14.25" customHeight="1">
      <c r="B59" s="10"/>
      <c r="D59" s="17"/>
      <c r="H59" s="17"/>
      <c r="J59" s="17"/>
      <c r="P59" s="17"/>
      <c r="R59" s="11"/>
    </row>
    <row r="60" spans="2:18" s="6" customFormat="1" ht="15.75" customHeight="1">
      <c r="B60" s="19"/>
      <c r="D60" s="32" t="s">
        <v>49</v>
      </c>
      <c r="E60" s="22"/>
      <c r="F60" s="22"/>
      <c r="G60" s="32" t="s">
        <v>50</v>
      </c>
      <c r="H60" s="22"/>
      <c r="J60" s="32" t="s">
        <v>49</v>
      </c>
      <c r="K60" s="22"/>
      <c r="L60" s="22"/>
      <c r="M60" s="22"/>
      <c r="N60" s="32" t="s">
        <v>50</v>
      </c>
      <c r="O60" s="22"/>
      <c r="P60" s="22"/>
      <c r="R60" s="20"/>
    </row>
    <row r="61" spans="2:18" s="6" customFormat="1" ht="15" customHeight="1">
      <c r="B61" s="33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5"/>
    </row>
    <row r="65" spans="2:18" s="6" customFormat="1" ht="7.5" customHeight="1"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8"/>
    </row>
    <row r="66" spans="2:18" s="6" customFormat="1" ht="37.5" customHeight="1">
      <c r="B66" s="19"/>
      <c r="C66" s="205" t="s">
        <v>99</v>
      </c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"/>
    </row>
    <row r="67" spans="2:18" s="6" customFormat="1" ht="7.5" customHeight="1">
      <c r="B67" s="19"/>
      <c r="R67" s="20"/>
    </row>
    <row r="68" spans="2:18" s="6" customFormat="1" ht="30.75" customHeight="1">
      <c r="B68" s="19"/>
      <c r="C68" s="15" t="s">
        <v>12</v>
      </c>
      <c r="F68" s="253" t="str">
        <f>$F$6</f>
        <v>II/235 Terešovksá Huť-Mlečice</v>
      </c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R68" s="20"/>
    </row>
    <row r="69" spans="2:18" s="6" customFormat="1" ht="37.5" customHeight="1">
      <c r="B69" s="19"/>
      <c r="C69" s="41" t="s">
        <v>95</v>
      </c>
      <c r="F69" s="197" t="str">
        <f>$F$7</f>
        <v>SO 103 - BUS zastávky - Terešovská huť</v>
      </c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R69" s="20"/>
    </row>
    <row r="70" spans="2:18" s="6" customFormat="1" ht="7.5" customHeight="1">
      <c r="B70" s="19"/>
      <c r="R70" s="20"/>
    </row>
    <row r="71" spans="2:18" s="6" customFormat="1" ht="18.75" customHeight="1">
      <c r="B71" s="19"/>
      <c r="C71" s="15" t="s">
        <v>18</v>
      </c>
      <c r="F71" s="16" t="str">
        <f>$F$9</f>
        <v> </v>
      </c>
      <c r="K71" s="15" t="s">
        <v>20</v>
      </c>
      <c r="M71" s="254" t="str">
        <f>IF($O$9="","",$O$9)</f>
        <v>13.12.2015</v>
      </c>
      <c r="N71" s="254"/>
      <c r="O71" s="254"/>
      <c r="P71" s="254"/>
      <c r="R71" s="20"/>
    </row>
    <row r="72" spans="2:18" s="6" customFormat="1" ht="7.5" customHeight="1">
      <c r="B72" s="19"/>
      <c r="R72" s="20"/>
    </row>
    <row r="73" spans="2:18" s="6" customFormat="1" ht="15.75" customHeight="1">
      <c r="B73" s="19"/>
      <c r="C73" s="15" t="s">
        <v>24</v>
      </c>
      <c r="F73" s="16" t="str">
        <f>$E$12</f>
        <v>Obec Terešov, Mlečice, Chlum, Zvíkovec</v>
      </c>
      <c r="K73" s="15" t="s">
        <v>29</v>
      </c>
      <c r="M73" s="198" t="str">
        <f>$E$18</f>
        <v>ing. Kamil Hrbek</v>
      </c>
      <c r="N73" s="198"/>
      <c r="O73" s="198"/>
      <c r="P73" s="198"/>
      <c r="Q73" s="198"/>
      <c r="R73" s="20"/>
    </row>
    <row r="74" spans="2:18" s="6" customFormat="1" ht="15" customHeight="1">
      <c r="B74" s="19"/>
      <c r="C74" s="15" t="s">
        <v>28</v>
      </c>
      <c r="F74" s="16" t="str">
        <f>IF($E$15="","",$E$15)</f>
        <v> </v>
      </c>
      <c r="K74" s="15" t="s">
        <v>32</v>
      </c>
      <c r="M74" s="198" t="str">
        <f>$E$21</f>
        <v>Lenka Jandová</v>
      </c>
      <c r="N74" s="198"/>
      <c r="O74" s="198"/>
      <c r="P74" s="198"/>
      <c r="Q74" s="198"/>
      <c r="R74" s="20"/>
    </row>
    <row r="75" spans="2:18" s="6" customFormat="1" ht="11.25" customHeight="1">
      <c r="B75" s="19"/>
      <c r="R75" s="20"/>
    </row>
    <row r="76" spans="2:18" s="6" customFormat="1" ht="30" customHeight="1">
      <c r="B76" s="19"/>
      <c r="C76" s="200" t="s">
        <v>100</v>
      </c>
      <c r="D76" s="200"/>
      <c r="E76" s="200"/>
      <c r="F76" s="200"/>
      <c r="G76" s="200"/>
      <c r="H76" s="27"/>
      <c r="I76" s="27"/>
      <c r="J76" s="27"/>
      <c r="K76" s="27"/>
      <c r="L76" s="27"/>
      <c r="M76" s="27"/>
      <c r="N76" s="200" t="s">
        <v>101</v>
      </c>
      <c r="O76" s="200"/>
      <c r="P76" s="200"/>
      <c r="Q76" s="200"/>
      <c r="R76" s="20"/>
    </row>
    <row r="77" spans="2:18" s="6" customFormat="1" ht="11.25" customHeight="1">
      <c r="B77" s="19"/>
      <c r="R77" s="20"/>
    </row>
    <row r="78" spans="2:47" s="6" customFormat="1" ht="30" customHeight="1">
      <c r="B78" s="19"/>
      <c r="C78" s="48" t="s">
        <v>102</v>
      </c>
      <c r="N78" s="196">
        <f>ROUND($N$102,2)</f>
        <v>0</v>
      </c>
      <c r="O78" s="196"/>
      <c r="P78" s="196"/>
      <c r="Q78" s="196"/>
      <c r="R78" s="20"/>
      <c r="AU78" s="6" t="s">
        <v>103</v>
      </c>
    </row>
    <row r="79" spans="2:18" s="52" customFormat="1" ht="25.5" customHeight="1">
      <c r="B79" s="67"/>
      <c r="D79" s="68" t="s">
        <v>104</v>
      </c>
      <c r="N79" s="255">
        <f>ROUND($N$103,2)</f>
        <v>0</v>
      </c>
      <c r="O79" s="255"/>
      <c r="P79" s="255"/>
      <c r="Q79" s="255"/>
      <c r="R79" s="69"/>
    </row>
    <row r="80" spans="2:18" s="62" customFormat="1" ht="21" customHeight="1">
      <c r="B80" s="70"/>
      <c r="D80" s="71" t="s">
        <v>107</v>
      </c>
      <c r="N80" s="256">
        <f>ROUND($N$104,2)</f>
        <v>0</v>
      </c>
      <c r="O80" s="256"/>
      <c r="P80" s="256"/>
      <c r="Q80" s="256"/>
      <c r="R80" s="72"/>
    </row>
    <row r="81" spans="2:18" s="62" customFormat="1" ht="21" customHeight="1">
      <c r="B81" s="70"/>
      <c r="D81" s="71" t="s">
        <v>108</v>
      </c>
      <c r="N81" s="256">
        <f>ROUND($N$112,2)</f>
        <v>0</v>
      </c>
      <c r="O81" s="256"/>
      <c r="P81" s="256"/>
      <c r="Q81" s="256"/>
      <c r="R81" s="72"/>
    </row>
    <row r="82" spans="2:18" s="6" customFormat="1" ht="22.5" customHeight="1">
      <c r="B82" s="19"/>
      <c r="R82" s="20"/>
    </row>
    <row r="83" spans="2:21" s="6" customFormat="1" ht="30" customHeight="1">
      <c r="B83" s="19"/>
      <c r="C83" s="48" t="s">
        <v>114</v>
      </c>
      <c r="N83" s="196">
        <v>0</v>
      </c>
      <c r="O83" s="196"/>
      <c r="P83" s="196"/>
      <c r="Q83" s="196"/>
      <c r="R83" s="20"/>
      <c r="T83" s="22"/>
      <c r="U83" s="73" t="s">
        <v>37</v>
      </c>
    </row>
    <row r="84" spans="2:18" s="6" customFormat="1" ht="18.75" customHeight="1">
      <c r="B84" s="19"/>
      <c r="R84" s="20"/>
    </row>
    <row r="85" spans="2:18" s="6" customFormat="1" ht="30" customHeight="1">
      <c r="B85" s="19"/>
      <c r="C85" s="61" t="s">
        <v>91</v>
      </c>
      <c r="D85" s="27"/>
      <c r="E85" s="27"/>
      <c r="F85" s="27"/>
      <c r="G85" s="27"/>
      <c r="H85" s="27"/>
      <c r="I85" s="27"/>
      <c r="J85" s="27"/>
      <c r="K85" s="27"/>
      <c r="L85" s="193">
        <f>ROUND(SUM($N$78+$N$83),2)</f>
        <v>0</v>
      </c>
      <c r="M85" s="193"/>
      <c r="N85" s="193"/>
      <c r="O85" s="193"/>
      <c r="P85" s="193"/>
      <c r="Q85" s="193"/>
      <c r="R85" s="20"/>
    </row>
    <row r="86" spans="2:18" s="6" customFormat="1" ht="7.5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5"/>
    </row>
    <row r="90" spans="2:18" s="6" customFormat="1" ht="7.5" customHeight="1"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8"/>
    </row>
    <row r="91" spans="2:18" s="6" customFormat="1" ht="37.5" customHeight="1">
      <c r="B91" s="19"/>
      <c r="C91" s="205" t="s">
        <v>115</v>
      </c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205"/>
      <c r="R91" s="20"/>
    </row>
    <row r="92" spans="2:18" s="6" customFormat="1" ht="7.5" customHeight="1">
      <c r="B92" s="19"/>
      <c r="R92" s="20"/>
    </row>
    <row r="93" spans="2:18" s="6" customFormat="1" ht="30.75" customHeight="1">
      <c r="B93" s="19"/>
      <c r="C93" s="15" t="s">
        <v>12</v>
      </c>
      <c r="F93" s="253" t="str">
        <f>$F$6</f>
        <v>II/235 Terešovksá Huť-Mlečice</v>
      </c>
      <c r="G93" s="253"/>
      <c r="H93" s="253"/>
      <c r="I93" s="253"/>
      <c r="J93" s="253"/>
      <c r="K93" s="253"/>
      <c r="L93" s="253"/>
      <c r="M93" s="253"/>
      <c r="N93" s="253"/>
      <c r="O93" s="253"/>
      <c r="P93" s="253"/>
      <c r="R93" s="20"/>
    </row>
    <row r="94" spans="2:18" s="6" customFormat="1" ht="37.5" customHeight="1">
      <c r="B94" s="19"/>
      <c r="C94" s="41" t="s">
        <v>95</v>
      </c>
      <c r="F94" s="197" t="str">
        <f>$F$7</f>
        <v>SO 103 - BUS zastávky - Terešovská huť</v>
      </c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R94" s="20"/>
    </row>
    <row r="95" spans="2:18" s="6" customFormat="1" ht="7.5" customHeight="1">
      <c r="B95" s="19"/>
      <c r="R95" s="20"/>
    </row>
    <row r="96" spans="2:18" s="6" customFormat="1" ht="18.75" customHeight="1">
      <c r="B96" s="19"/>
      <c r="C96" s="15" t="s">
        <v>18</v>
      </c>
      <c r="F96" s="16" t="str">
        <f>$F$9</f>
        <v> </v>
      </c>
      <c r="K96" s="15" t="s">
        <v>20</v>
      </c>
      <c r="M96" s="254" t="str">
        <f>IF($O$9="","",$O$9)</f>
        <v>13.12.2015</v>
      </c>
      <c r="N96" s="254"/>
      <c r="O96" s="254"/>
      <c r="P96" s="254"/>
      <c r="R96" s="20"/>
    </row>
    <row r="97" spans="2:18" s="6" customFormat="1" ht="7.5" customHeight="1">
      <c r="B97" s="19"/>
      <c r="R97" s="20"/>
    </row>
    <row r="98" spans="2:18" s="6" customFormat="1" ht="15.75" customHeight="1">
      <c r="B98" s="19"/>
      <c r="C98" s="15" t="s">
        <v>24</v>
      </c>
      <c r="F98" s="16" t="str">
        <f>$E$12</f>
        <v>Obec Terešov, Mlečice, Chlum, Zvíkovec</v>
      </c>
      <c r="K98" s="15" t="s">
        <v>29</v>
      </c>
      <c r="M98" s="198" t="str">
        <f>$E$18</f>
        <v>ing. Kamil Hrbek</v>
      </c>
      <c r="N98" s="198"/>
      <c r="O98" s="198"/>
      <c r="P98" s="198"/>
      <c r="Q98" s="198"/>
      <c r="R98" s="20"/>
    </row>
    <row r="99" spans="2:18" s="6" customFormat="1" ht="15" customHeight="1">
      <c r="B99" s="19"/>
      <c r="C99" s="15" t="s">
        <v>28</v>
      </c>
      <c r="F99" s="16" t="str">
        <f>IF($E$15="","",$E$15)</f>
        <v> </v>
      </c>
      <c r="K99" s="15" t="s">
        <v>32</v>
      </c>
      <c r="M99" s="198" t="str">
        <f>$E$21</f>
        <v>Lenka Jandová</v>
      </c>
      <c r="N99" s="198"/>
      <c r="O99" s="198"/>
      <c r="P99" s="198"/>
      <c r="Q99" s="198"/>
      <c r="R99" s="20"/>
    </row>
    <row r="100" spans="2:18" s="6" customFormat="1" ht="11.25" customHeight="1">
      <c r="B100" s="19"/>
      <c r="R100" s="20"/>
    </row>
    <row r="101" spans="2:27" s="74" customFormat="1" ht="30" customHeight="1">
      <c r="B101" s="75"/>
      <c r="C101" s="76" t="s">
        <v>116</v>
      </c>
      <c r="D101" s="76" t="s">
        <v>117</v>
      </c>
      <c r="E101" s="76" t="s">
        <v>55</v>
      </c>
      <c r="F101" s="250" t="s">
        <v>118</v>
      </c>
      <c r="G101" s="250"/>
      <c r="H101" s="250"/>
      <c r="I101" s="250"/>
      <c r="J101" s="76" t="s">
        <v>119</v>
      </c>
      <c r="K101" s="76" t="s">
        <v>120</v>
      </c>
      <c r="L101" s="250" t="s">
        <v>121</v>
      </c>
      <c r="M101" s="250"/>
      <c r="N101" s="250" t="s">
        <v>122</v>
      </c>
      <c r="O101" s="250"/>
      <c r="P101" s="250"/>
      <c r="Q101" s="250"/>
      <c r="R101" s="77"/>
      <c r="T101" s="46" t="s">
        <v>123</v>
      </c>
      <c r="U101" s="46" t="s">
        <v>37</v>
      </c>
      <c r="V101" s="46" t="s">
        <v>124</v>
      </c>
      <c r="W101" s="46" t="s">
        <v>125</v>
      </c>
      <c r="X101" s="46" t="s">
        <v>126</v>
      </c>
      <c r="Y101" s="46" t="s">
        <v>127</v>
      </c>
      <c r="Z101" s="46" t="s">
        <v>128</v>
      </c>
      <c r="AA101" s="46" t="s">
        <v>129</v>
      </c>
    </row>
    <row r="102" spans="2:63" s="6" customFormat="1" ht="30" customHeight="1">
      <c r="B102" s="19"/>
      <c r="C102" s="48" t="s">
        <v>97</v>
      </c>
      <c r="N102" s="251">
        <f>N103</f>
        <v>0</v>
      </c>
      <c r="O102" s="251"/>
      <c r="P102" s="251"/>
      <c r="Q102" s="251"/>
      <c r="R102" s="20"/>
      <c r="T102" s="22"/>
      <c r="U102" s="22"/>
      <c r="V102" s="22"/>
      <c r="W102" s="78" t="e">
        <f>$W$103</f>
        <v>#REF!</v>
      </c>
      <c r="X102" s="22"/>
      <c r="Y102" s="78" t="e">
        <f>$Y$103</f>
        <v>#REF!</v>
      </c>
      <c r="Z102" s="22"/>
      <c r="AA102" s="78" t="e">
        <f>$AA$103</f>
        <v>#REF!</v>
      </c>
      <c r="AT102" s="6" t="s">
        <v>72</v>
      </c>
      <c r="AU102" s="6" t="s">
        <v>103</v>
      </c>
      <c r="BK102" s="79" t="e">
        <f>$BK$103</f>
        <v>#REF!</v>
      </c>
    </row>
    <row r="103" spans="2:63" s="80" customFormat="1" ht="37.5" customHeight="1">
      <c r="B103" s="81"/>
      <c r="D103" s="82" t="s">
        <v>104</v>
      </c>
      <c r="N103" s="252">
        <f>N104+N112</f>
        <v>0</v>
      </c>
      <c r="O103" s="252"/>
      <c r="P103" s="252"/>
      <c r="Q103" s="252"/>
      <c r="R103" s="83"/>
      <c r="T103" s="84"/>
      <c r="W103" s="85" t="e">
        <f>#REF!+$W$111+$W$119</f>
        <v>#REF!</v>
      </c>
      <c r="Y103" s="85" t="e">
        <f>#REF!+$Y$111+$Y$119</f>
        <v>#REF!</v>
      </c>
      <c r="AA103" s="86" t="e">
        <f>#REF!+$AA$111+$AA$119</f>
        <v>#REF!</v>
      </c>
      <c r="AR103" s="87" t="s">
        <v>17</v>
      </c>
      <c r="AT103" s="87" t="s">
        <v>72</v>
      </c>
      <c r="AU103" s="87" t="s">
        <v>73</v>
      </c>
      <c r="AY103" s="87" t="s">
        <v>130</v>
      </c>
      <c r="BK103" s="88" t="e">
        <f>#REF!+$BK$111+$BK$119</f>
        <v>#REF!</v>
      </c>
    </row>
    <row r="104" spans="2:64" s="6" customFormat="1" ht="27" customHeight="1">
      <c r="B104" s="19"/>
      <c r="C104" s="80"/>
      <c r="D104" s="89" t="s">
        <v>107</v>
      </c>
      <c r="E104" s="80"/>
      <c r="F104" s="80"/>
      <c r="G104" s="80"/>
      <c r="H104" s="80"/>
      <c r="I104" s="80"/>
      <c r="J104" s="80"/>
      <c r="K104" s="80"/>
      <c r="L104" s="80"/>
      <c r="M104" s="80"/>
      <c r="N104" s="247">
        <f>N105+N106+N107+N108+N109+N110+N111</f>
        <v>0</v>
      </c>
      <c r="O104" s="247"/>
      <c r="P104" s="247"/>
      <c r="Q104" s="247"/>
      <c r="R104" s="20"/>
      <c r="T104" s="94"/>
      <c r="U104" s="25" t="s">
        <v>38</v>
      </c>
      <c r="V104" s="95">
        <v>2.32</v>
      </c>
      <c r="W104" s="95" t="e">
        <f>$V$104*#REF!</f>
        <v>#REF!</v>
      </c>
      <c r="X104" s="95">
        <v>0</v>
      </c>
      <c r="Y104" s="95" t="e">
        <f>$X$104*#REF!</f>
        <v>#REF!</v>
      </c>
      <c r="Z104" s="95">
        <v>0</v>
      </c>
      <c r="AA104" s="96" t="e">
        <f>$Z$104*#REF!</f>
        <v>#REF!</v>
      </c>
      <c r="AR104" s="6" t="s">
        <v>135</v>
      </c>
      <c r="AT104" s="6" t="s">
        <v>131</v>
      </c>
      <c r="AU104" s="6" t="s">
        <v>93</v>
      </c>
      <c r="AY104" s="6" t="s">
        <v>130</v>
      </c>
      <c r="BE104" s="97" t="e">
        <f>IF($U$104="základní",#REF!,0)</f>
        <v>#REF!</v>
      </c>
      <c r="BF104" s="97">
        <f>IF($U$104="snížená",#REF!,0)</f>
        <v>0</v>
      </c>
      <c r="BG104" s="97">
        <f>IF($U$104="zákl. přenesená",#REF!,0)</f>
        <v>0</v>
      </c>
      <c r="BH104" s="97">
        <f>IF($U$104="sníž. přenesená",#REF!,0)</f>
        <v>0</v>
      </c>
      <c r="BI104" s="97">
        <f>IF($U$104="nulová",#REF!,0)</f>
        <v>0</v>
      </c>
      <c r="BJ104" s="6" t="s">
        <v>17</v>
      </c>
      <c r="BK104" s="97" t="e">
        <f>ROUND(#REF!*#REF!,2)</f>
        <v>#REF!</v>
      </c>
      <c r="BL104" s="6" t="s">
        <v>135</v>
      </c>
    </row>
    <row r="105" spans="2:64" s="6" customFormat="1" ht="27" customHeight="1">
      <c r="B105" s="19"/>
      <c r="C105" s="90">
        <v>1</v>
      </c>
      <c r="D105" s="90" t="s">
        <v>131</v>
      </c>
      <c r="E105" s="91" t="s">
        <v>178</v>
      </c>
      <c r="F105" s="248" t="s">
        <v>179</v>
      </c>
      <c r="G105" s="248"/>
      <c r="H105" s="248"/>
      <c r="I105" s="248"/>
      <c r="J105" s="92" t="s">
        <v>134</v>
      </c>
      <c r="K105" s="93">
        <v>53.19</v>
      </c>
      <c r="L105" s="249"/>
      <c r="M105" s="249"/>
      <c r="N105" s="249">
        <f>ROUND($L$105*$K$105,2)</f>
        <v>0</v>
      </c>
      <c r="O105" s="249"/>
      <c r="P105" s="249"/>
      <c r="Q105" s="249"/>
      <c r="R105" s="20"/>
      <c r="T105" s="94"/>
      <c r="U105" s="25" t="s">
        <v>38</v>
      </c>
      <c r="V105" s="95">
        <v>0.083</v>
      </c>
      <c r="W105" s="95" t="e">
        <f>$V$105*#REF!</f>
        <v>#REF!</v>
      </c>
      <c r="X105" s="95">
        <v>0</v>
      </c>
      <c r="Y105" s="95" t="e">
        <f>$X$105*#REF!</f>
        <v>#REF!</v>
      </c>
      <c r="Z105" s="95">
        <v>0</v>
      </c>
      <c r="AA105" s="96" t="e">
        <f>$Z$105*#REF!</f>
        <v>#REF!</v>
      </c>
      <c r="AR105" s="6" t="s">
        <v>135</v>
      </c>
      <c r="AT105" s="6" t="s">
        <v>131</v>
      </c>
      <c r="AU105" s="6" t="s">
        <v>93</v>
      </c>
      <c r="AY105" s="6" t="s">
        <v>130</v>
      </c>
      <c r="BE105" s="97" t="e">
        <f>IF($U$105="základní",#REF!,0)</f>
        <v>#REF!</v>
      </c>
      <c r="BF105" s="97">
        <f>IF($U$105="snížená",#REF!,0)</f>
        <v>0</v>
      </c>
      <c r="BG105" s="97">
        <f>IF($U$105="zákl. přenesená",#REF!,0)</f>
        <v>0</v>
      </c>
      <c r="BH105" s="97">
        <f>IF($U$105="sníž. přenesená",#REF!,0)</f>
        <v>0</v>
      </c>
      <c r="BI105" s="97">
        <f>IF($U$105="nulová",#REF!,0)</f>
        <v>0</v>
      </c>
      <c r="BJ105" s="6" t="s">
        <v>17</v>
      </c>
      <c r="BK105" s="97" t="e">
        <f>ROUND(#REF!*#REF!,2)</f>
        <v>#REF!</v>
      </c>
      <c r="BL105" s="6" t="s">
        <v>135</v>
      </c>
    </row>
    <row r="106" spans="2:64" s="6" customFormat="1" ht="39" customHeight="1">
      <c r="B106" s="19"/>
      <c r="C106" s="90">
        <v>2</v>
      </c>
      <c r="D106" s="90" t="s">
        <v>131</v>
      </c>
      <c r="E106" s="91" t="s">
        <v>341</v>
      </c>
      <c r="F106" s="248" t="s">
        <v>342</v>
      </c>
      <c r="G106" s="248"/>
      <c r="H106" s="248"/>
      <c r="I106" s="248"/>
      <c r="J106" s="92" t="s">
        <v>134</v>
      </c>
      <c r="K106" s="93">
        <v>10.76</v>
      </c>
      <c r="L106" s="249"/>
      <c r="M106" s="249"/>
      <c r="N106" s="249">
        <f>ROUND($L$106*$K$106,2)</f>
        <v>0</v>
      </c>
      <c r="O106" s="249"/>
      <c r="P106" s="249"/>
      <c r="Q106" s="249"/>
      <c r="R106" s="20"/>
      <c r="T106" s="94"/>
      <c r="U106" s="25" t="s">
        <v>38</v>
      </c>
      <c r="V106" s="95">
        <v>0.004</v>
      </c>
      <c r="W106" s="95" t="e">
        <f>$V$106*#REF!</f>
        <v>#REF!</v>
      </c>
      <c r="X106" s="95">
        <v>0</v>
      </c>
      <c r="Y106" s="95" t="e">
        <f>$X$106*#REF!</f>
        <v>#REF!</v>
      </c>
      <c r="Z106" s="95">
        <v>0</v>
      </c>
      <c r="AA106" s="96" t="e">
        <f>$Z$106*#REF!</f>
        <v>#REF!</v>
      </c>
      <c r="AR106" s="6" t="s">
        <v>135</v>
      </c>
      <c r="AT106" s="6" t="s">
        <v>131</v>
      </c>
      <c r="AU106" s="6" t="s">
        <v>93</v>
      </c>
      <c r="AY106" s="6" t="s">
        <v>130</v>
      </c>
      <c r="BE106" s="97" t="e">
        <f>IF($U$106="základní",#REF!,0)</f>
        <v>#REF!</v>
      </c>
      <c r="BF106" s="97">
        <f>IF($U$106="snížená",#REF!,0)</f>
        <v>0</v>
      </c>
      <c r="BG106" s="97">
        <f>IF($U$106="zákl. přenesená",#REF!,0)</f>
        <v>0</v>
      </c>
      <c r="BH106" s="97">
        <f>IF($U$106="sníž. přenesená",#REF!,0)</f>
        <v>0</v>
      </c>
      <c r="BI106" s="97">
        <f>IF($U$106="nulová",#REF!,0)</f>
        <v>0</v>
      </c>
      <c r="BJ106" s="6" t="s">
        <v>17</v>
      </c>
      <c r="BK106" s="97" t="e">
        <f>ROUND(#REF!*#REF!,2)</f>
        <v>#REF!</v>
      </c>
      <c r="BL106" s="6" t="s">
        <v>135</v>
      </c>
    </row>
    <row r="107" spans="2:64" s="6" customFormat="1" ht="22.5" customHeight="1">
      <c r="B107" s="19"/>
      <c r="C107" s="90">
        <v>3</v>
      </c>
      <c r="D107" s="90" t="s">
        <v>131</v>
      </c>
      <c r="E107" s="91" t="s">
        <v>343</v>
      </c>
      <c r="F107" s="248" t="s">
        <v>344</v>
      </c>
      <c r="G107" s="248"/>
      <c r="H107" s="248"/>
      <c r="I107" s="248"/>
      <c r="J107" s="92" t="s">
        <v>134</v>
      </c>
      <c r="K107" s="93">
        <v>53.19</v>
      </c>
      <c r="L107" s="249"/>
      <c r="M107" s="249"/>
      <c r="N107" s="249">
        <f>ROUND($L$107*$K$107,2)</f>
        <v>0</v>
      </c>
      <c r="O107" s="249"/>
      <c r="P107" s="249"/>
      <c r="Q107" s="249"/>
      <c r="R107" s="20"/>
      <c r="T107" s="94"/>
      <c r="U107" s="25" t="s">
        <v>38</v>
      </c>
      <c r="V107" s="95">
        <v>0.652</v>
      </c>
      <c r="W107" s="95" t="e">
        <f>$V$107*#REF!</f>
        <v>#REF!</v>
      </c>
      <c r="X107" s="95">
        <v>0</v>
      </c>
      <c r="Y107" s="95" t="e">
        <f>$X$107*#REF!</f>
        <v>#REF!</v>
      </c>
      <c r="Z107" s="95">
        <v>0</v>
      </c>
      <c r="AA107" s="96" t="e">
        <f>$Z$107*#REF!</f>
        <v>#REF!</v>
      </c>
      <c r="AR107" s="6" t="s">
        <v>135</v>
      </c>
      <c r="AT107" s="6" t="s">
        <v>131</v>
      </c>
      <c r="AU107" s="6" t="s">
        <v>93</v>
      </c>
      <c r="AY107" s="6" t="s">
        <v>130</v>
      </c>
      <c r="BE107" s="97" t="e">
        <f>IF($U$107="základní",#REF!,0)</f>
        <v>#REF!</v>
      </c>
      <c r="BF107" s="97">
        <f>IF($U$107="snížená",#REF!,0)</f>
        <v>0</v>
      </c>
      <c r="BG107" s="97">
        <f>IF($U$107="zákl. přenesená",#REF!,0)</f>
        <v>0</v>
      </c>
      <c r="BH107" s="97">
        <f>IF($U$107="sníž. přenesená",#REF!,0)</f>
        <v>0</v>
      </c>
      <c r="BI107" s="97">
        <f>IF($U$107="nulová",#REF!,0)</f>
        <v>0</v>
      </c>
      <c r="BJ107" s="6" t="s">
        <v>17</v>
      </c>
      <c r="BK107" s="97" t="e">
        <f>ROUND(#REF!*#REF!,2)</f>
        <v>#REF!</v>
      </c>
      <c r="BL107" s="6" t="s">
        <v>135</v>
      </c>
    </row>
    <row r="108" spans="2:64" s="6" customFormat="1" ht="27" customHeight="1">
      <c r="B108" s="19"/>
      <c r="C108" s="98">
        <v>4</v>
      </c>
      <c r="D108" s="98" t="s">
        <v>159</v>
      </c>
      <c r="E108" s="99" t="s">
        <v>345</v>
      </c>
      <c r="F108" s="245" t="s">
        <v>346</v>
      </c>
      <c r="G108" s="245"/>
      <c r="H108" s="245"/>
      <c r="I108" s="245"/>
      <c r="J108" s="100" t="s">
        <v>134</v>
      </c>
      <c r="K108" s="101">
        <v>53</v>
      </c>
      <c r="L108" s="246"/>
      <c r="M108" s="246"/>
      <c r="N108" s="246">
        <f>ROUND($L$108*$K$108,2)</f>
        <v>0</v>
      </c>
      <c r="O108" s="246"/>
      <c r="P108" s="246"/>
      <c r="Q108" s="246"/>
      <c r="R108" s="20"/>
      <c r="T108" s="94"/>
      <c r="U108" s="25" t="s">
        <v>38</v>
      </c>
      <c r="V108" s="95">
        <v>0.009</v>
      </c>
      <c r="W108" s="95" t="e">
        <f>$V$108*#REF!</f>
        <v>#REF!</v>
      </c>
      <c r="X108" s="95">
        <v>0</v>
      </c>
      <c r="Y108" s="95" t="e">
        <f>$X$108*#REF!</f>
        <v>#REF!</v>
      </c>
      <c r="Z108" s="95">
        <v>0</v>
      </c>
      <c r="AA108" s="96" t="e">
        <f>$Z$108*#REF!</f>
        <v>#REF!</v>
      </c>
      <c r="AR108" s="6" t="s">
        <v>135</v>
      </c>
      <c r="AT108" s="6" t="s">
        <v>131</v>
      </c>
      <c r="AU108" s="6" t="s">
        <v>93</v>
      </c>
      <c r="AY108" s="6" t="s">
        <v>130</v>
      </c>
      <c r="BE108" s="97" t="e">
        <f>IF($U$108="základní",#REF!,0)</f>
        <v>#REF!</v>
      </c>
      <c r="BF108" s="97">
        <f>IF($U$108="snížená",#REF!,0)</f>
        <v>0</v>
      </c>
      <c r="BG108" s="97">
        <f>IF($U$108="zákl. přenesená",#REF!,0)</f>
        <v>0</v>
      </c>
      <c r="BH108" s="97">
        <f>IF($U$108="sníž. přenesená",#REF!,0)</f>
        <v>0</v>
      </c>
      <c r="BI108" s="97">
        <f>IF($U$108="nulová",#REF!,0)</f>
        <v>0</v>
      </c>
      <c r="BJ108" s="6" t="s">
        <v>17</v>
      </c>
      <c r="BK108" s="97" t="e">
        <f>ROUND(#REF!*#REF!,2)</f>
        <v>#REF!</v>
      </c>
      <c r="BL108" s="6" t="s">
        <v>135</v>
      </c>
    </row>
    <row r="109" spans="2:64" s="6" customFormat="1" ht="27" customHeight="1">
      <c r="B109" s="19"/>
      <c r="C109" s="98">
        <v>5</v>
      </c>
      <c r="D109" s="98" t="s">
        <v>159</v>
      </c>
      <c r="E109" s="99" t="s">
        <v>347</v>
      </c>
      <c r="F109" s="245" t="s">
        <v>348</v>
      </c>
      <c r="G109" s="245"/>
      <c r="H109" s="245"/>
      <c r="I109" s="245"/>
      <c r="J109" s="100" t="s">
        <v>134</v>
      </c>
      <c r="K109" s="101">
        <v>1.5</v>
      </c>
      <c r="L109" s="246"/>
      <c r="M109" s="246"/>
      <c r="N109" s="246">
        <f>ROUND($L$109*$K$109,2)</f>
        <v>0</v>
      </c>
      <c r="O109" s="246"/>
      <c r="P109" s="246"/>
      <c r="Q109" s="246"/>
      <c r="R109" s="20"/>
      <c r="T109" s="94"/>
      <c r="U109" s="25" t="s">
        <v>38</v>
      </c>
      <c r="V109" s="95">
        <v>0</v>
      </c>
      <c r="W109" s="95" t="e">
        <f>$V$109*#REF!</f>
        <v>#REF!</v>
      </c>
      <c r="X109" s="95">
        <v>0</v>
      </c>
      <c r="Y109" s="95" t="e">
        <f>$X$109*#REF!</f>
        <v>#REF!</v>
      </c>
      <c r="Z109" s="95">
        <v>0</v>
      </c>
      <c r="AA109" s="96" t="e">
        <f>$Z$109*#REF!</f>
        <v>#REF!</v>
      </c>
      <c r="AR109" s="6" t="s">
        <v>135</v>
      </c>
      <c r="AT109" s="6" t="s">
        <v>131</v>
      </c>
      <c r="AU109" s="6" t="s">
        <v>93</v>
      </c>
      <c r="AY109" s="6" t="s">
        <v>130</v>
      </c>
      <c r="BE109" s="97" t="e">
        <f>IF($U$109="základní",#REF!,0)</f>
        <v>#REF!</v>
      </c>
      <c r="BF109" s="97">
        <f>IF($U$109="snížená",#REF!,0)</f>
        <v>0</v>
      </c>
      <c r="BG109" s="97">
        <f>IF($U$109="zákl. přenesená",#REF!,0)</f>
        <v>0</v>
      </c>
      <c r="BH109" s="97">
        <f>IF($U$109="sníž. přenesená",#REF!,0)</f>
        <v>0</v>
      </c>
      <c r="BI109" s="97">
        <f>IF($U$109="nulová",#REF!,0)</f>
        <v>0</v>
      </c>
      <c r="BJ109" s="6" t="s">
        <v>17</v>
      </c>
      <c r="BK109" s="97" t="e">
        <f>ROUND(#REF!*#REF!,2)</f>
        <v>#REF!</v>
      </c>
      <c r="BL109" s="6" t="s">
        <v>135</v>
      </c>
    </row>
    <row r="110" spans="2:64" s="6" customFormat="1" ht="26.25" customHeight="1">
      <c r="B110" s="19"/>
      <c r="C110" s="90">
        <v>6</v>
      </c>
      <c r="D110" s="90" t="s">
        <v>131</v>
      </c>
      <c r="E110" s="91" t="s">
        <v>349</v>
      </c>
      <c r="F110" s="248" t="s">
        <v>350</v>
      </c>
      <c r="G110" s="248"/>
      <c r="H110" s="248"/>
      <c r="I110" s="248"/>
      <c r="J110" s="92" t="s">
        <v>134</v>
      </c>
      <c r="K110" s="93">
        <v>10.76</v>
      </c>
      <c r="L110" s="249"/>
      <c r="M110" s="249"/>
      <c r="N110" s="249">
        <f>ROUND($L$110*$K$110,2)</f>
        <v>0</v>
      </c>
      <c r="O110" s="249"/>
      <c r="P110" s="249"/>
      <c r="Q110" s="249"/>
      <c r="R110" s="20"/>
      <c r="T110" s="94"/>
      <c r="U110" s="25" t="s">
        <v>38</v>
      </c>
      <c r="V110" s="95">
        <v>0.018</v>
      </c>
      <c r="W110" s="95" t="e">
        <f>$V$110*#REF!</f>
        <v>#REF!</v>
      </c>
      <c r="X110" s="95">
        <v>0</v>
      </c>
      <c r="Y110" s="95" t="e">
        <f>$X$110*#REF!</f>
        <v>#REF!</v>
      </c>
      <c r="Z110" s="95">
        <v>0</v>
      </c>
      <c r="AA110" s="96" t="e">
        <f>$Z$110*#REF!</f>
        <v>#REF!</v>
      </c>
      <c r="AR110" s="6" t="s">
        <v>135</v>
      </c>
      <c r="AT110" s="6" t="s">
        <v>131</v>
      </c>
      <c r="AU110" s="6" t="s">
        <v>93</v>
      </c>
      <c r="AY110" s="6" t="s">
        <v>130</v>
      </c>
      <c r="BE110" s="97" t="e">
        <f>IF($U$110="základní",#REF!,0)</f>
        <v>#REF!</v>
      </c>
      <c r="BF110" s="97">
        <f>IF($U$110="snížená",#REF!,0)</f>
        <v>0</v>
      </c>
      <c r="BG110" s="97">
        <f>IF($U$110="zákl. přenesená",#REF!,0)</f>
        <v>0</v>
      </c>
      <c r="BH110" s="97">
        <f>IF($U$110="sníž. přenesená",#REF!,0)</f>
        <v>0</v>
      </c>
      <c r="BI110" s="97">
        <f>IF($U$110="nulová",#REF!,0)</f>
        <v>0</v>
      </c>
      <c r="BJ110" s="6" t="s">
        <v>17</v>
      </c>
      <c r="BK110" s="97" t="e">
        <f>ROUND(#REF!*#REF!,2)</f>
        <v>#REF!</v>
      </c>
      <c r="BL110" s="6" t="s">
        <v>135</v>
      </c>
    </row>
    <row r="111" spans="2:63" s="80" customFormat="1" ht="30.75" customHeight="1">
      <c r="B111" s="81"/>
      <c r="C111" s="98">
        <v>7</v>
      </c>
      <c r="D111" s="98" t="s">
        <v>159</v>
      </c>
      <c r="E111" s="99" t="s">
        <v>351</v>
      </c>
      <c r="F111" s="245" t="s">
        <v>352</v>
      </c>
      <c r="G111" s="245"/>
      <c r="H111" s="245"/>
      <c r="I111" s="245"/>
      <c r="J111" s="100" t="s">
        <v>134</v>
      </c>
      <c r="K111" s="101">
        <v>11</v>
      </c>
      <c r="L111" s="246"/>
      <c r="M111" s="246"/>
      <c r="N111" s="246">
        <f>ROUND($L$111*$K$111,2)</f>
        <v>0</v>
      </c>
      <c r="O111" s="246"/>
      <c r="P111" s="246"/>
      <c r="Q111" s="246"/>
      <c r="R111" s="83"/>
      <c r="T111" s="84"/>
      <c r="W111" s="85">
        <f>SUM($W$112:$W$118)</f>
        <v>39.60518</v>
      </c>
      <c r="Y111" s="85">
        <f>SUM($Y$112:$Y$118)</f>
        <v>33.6843037</v>
      </c>
      <c r="AA111" s="86">
        <f>SUM($AA$112:$AA$118)</f>
        <v>0</v>
      </c>
      <c r="AR111" s="87" t="s">
        <v>17</v>
      </c>
      <c r="AT111" s="87" t="s">
        <v>72</v>
      </c>
      <c r="AU111" s="87" t="s">
        <v>17</v>
      </c>
      <c r="AY111" s="87" t="s">
        <v>130</v>
      </c>
      <c r="BK111" s="88">
        <f>SUM($BK$112:$BK$118)</f>
        <v>0</v>
      </c>
    </row>
    <row r="112" spans="2:64" s="6" customFormat="1" ht="15.75" customHeight="1">
      <c r="B112" s="19"/>
      <c r="C112" s="80"/>
      <c r="D112" s="89" t="s">
        <v>108</v>
      </c>
      <c r="E112" s="80"/>
      <c r="F112" s="80"/>
      <c r="G112" s="80"/>
      <c r="H112" s="80"/>
      <c r="I112" s="80"/>
      <c r="J112" s="80"/>
      <c r="K112" s="80"/>
      <c r="L112" s="80"/>
      <c r="M112" s="80"/>
      <c r="N112" s="247">
        <f>N113+N114</f>
        <v>0</v>
      </c>
      <c r="O112" s="247"/>
      <c r="P112" s="247"/>
      <c r="Q112" s="247"/>
      <c r="R112" s="20"/>
      <c r="T112" s="94"/>
      <c r="U112" s="25" t="s">
        <v>38</v>
      </c>
      <c r="V112" s="95">
        <v>0.026</v>
      </c>
      <c r="W112" s="95">
        <f>$V$112*$K$105</f>
        <v>1.3829399999999998</v>
      </c>
      <c r="X112" s="95">
        <v>0.27994</v>
      </c>
      <c r="Y112" s="95">
        <f>$X$112*$K$105</f>
        <v>14.8900086</v>
      </c>
      <c r="Z112" s="95">
        <v>0</v>
      </c>
      <c r="AA112" s="96">
        <f>$Z$112*$K$105</f>
        <v>0</v>
      </c>
      <c r="AR112" s="6" t="s">
        <v>135</v>
      </c>
      <c r="AT112" s="6" t="s">
        <v>131</v>
      </c>
      <c r="AU112" s="6" t="s">
        <v>93</v>
      </c>
      <c r="AY112" s="6" t="s">
        <v>130</v>
      </c>
      <c r="BE112" s="97">
        <f>IF($U$112="základní",$N$105,0)</f>
        <v>0</v>
      </c>
      <c r="BF112" s="97">
        <f>IF($U$112="snížená",$N$105,0)</f>
        <v>0</v>
      </c>
      <c r="BG112" s="97">
        <f>IF($U$112="zákl. přenesená",$N$105,0)</f>
        <v>0</v>
      </c>
      <c r="BH112" s="97">
        <f>IF($U$112="sníž. přenesená",$N$105,0)</f>
        <v>0</v>
      </c>
      <c r="BI112" s="97">
        <f>IF($U$112="nulová",$N$105,0)</f>
        <v>0</v>
      </c>
      <c r="BJ112" s="6" t="s">
        <v>17</v>
      </c>
      <c r="BK112" s="97">
        <f>ROUND($L$105*$K$105,2)</f>
        <v>0</v>
      </c>
      <c r="BL112" s="6" t="s">
        <v>135</v>
      </c>
    </row>
    <row r="113" spans="2:64" s="6" customFormat="1" ht="27" customHeight="1">
      <c r="B113" s="19"/>
      <c r="C113" s="90">
        <v>8</v>
      </c>
      <c r="D113" s="90" t="s">
        <v>131</v>
      </c>
      <c r="E113" s="91" t="s">
        <v>360</v>
      </c>
      <c r="F113" s="248" t="s">
        <v>361</v>
      </c>
      <c r="G113" s="248"/>
      <c r="H113" s="248"/>
      <c r="I113" s="248"/>
      <c r="J113" s="92" t="s">
        <v>174</v>
      </c>
      <c r="K113" s="93">
        <v>38</v>
      </c>
      <c r="L113" s="249"/>
      <c r="M113" s="249"/>
      <c r="N113" s="249">
        <f>ROUND($L$113*$K$113,2)</f>
        <v>0</v>
      </c>
      <c r="O113" s="249"/>
      <c r="P113" s="249"/>
      <c r="Q113" s="249"/>
      <c r="R113" s="20"/>
      <c r="T113" s="94"/>
      <c r="U113" s="25" t="s">
        <v>38</v>
      </c>
      <c r="V113" s="95">
        <v>0.027</v>
      </c>
      <c r="W113" s="95">
        <f>$V$113*$K$106</f>
        <v>0.29052</v>
      </c>
      <c r="X113" s="95">
        <v>0.38314</v>
      </c>
      <c r="Y113" s="95">
        <f>$X$113*$K$106</f>
        <v>4.122586399999999</v>
      </c>
      <c r="Z113" s="95">
        <v>0</v>
      </c>
      <c r="AA113" s="96">
        <f>$Z$113*$K$106</f>
        <v>0</v>
      </c>
      <c r="AR113" s="6" t="s">
        <v>135</v>
      </c>
      <c r="AT113" s="6" t="s">
        <v>131</v>
      </c>
      <c r="AU113" s="6" t="s">
        <v>93</v>
      </c>
      <c r="AY113" s="6" t="s">
        <v>130</v>
      </c>
      <c r="BE113" s="97">
        <f>IF($U$113="základní",$N$106,0)</f>
        <v>0</v>
      </c>
      <c r="BF113" s="97">
        <f>IF($U$113="snížená",$N$106,0)</f>
        <v>0</v>
      </c>
      <c r="BG113" s="97">
        <f>IF($U$113="zákl. přenesená",$N$106,0)</f>
        <v>0</v>
      </c>
      <c r="BH113" s="97">
        <f>IF($U$113="sníž. přenesená",$N$106,0)</f>
        <v>0</v>
      </c>
      <c r="BI113" s="97">
        <f>IF($U$113="nulová",$N$106,0)</f>
        <v>0</v>
      </c>
      <c r="BJ113" s="6" t="s">
        <v>17</v>
      </c>
      <c r="BK113" s="97">
        <f>ROUND($L$106*$K$106,2)</f>
        <v>0</v>
      </c>
      <c r="BL113" s="6" t="s">
        <v>135</v>
      </c>
    </row>
    <row r="114" spans="2:64" s="6" customFormat="1" ht="27" customHeight="1">
      <c r="B114" s="19"/>
      <c r="C114" s="98">
        <v>9</v>
      </c>
      <c r="D114" s="98" t="s">
        <v>159</v>
      </c>
      <c r="E114" s="99" t="s">
        <v>362</v>
      </c>
      <c r="F114" s="245" t="s">
        <v>363</v>
      </c>
      <c r="G114" s="245"/>
      <c r="H114" s="245"/>
      <c r="I114" s="245"/>
      <c r="J114" s="100" t="s">
        <v>174</v>
      </c>
      <c r="K114" s="101">
        <v>39</v>
      </c>
      <c r="L114" s="246"/>
      <c r="M114" s="246"/>
      <c r="N114" s="246">
        <f>ROUND($L$114*$K$114,2)</f>
        <v>0</v>
      </c>
      <c r="O114" s="246"/>
      <c r="P114" s="246"/>
      <c r="Q114" s="246"/>
      <c r="R114" s="20"/>
      <c r="T114" s="94"/>
      <c r="U114" s="25" t="s">
        <v>38</v>
      </c>
      <c r="V114" s="95">
        <v>0.56</v>
      </c>
      <c r="W114" s="95">
        <f>$V$114*$K$107</f>
        <v>29.7864</v>
      </c>
      <c r="X114" s="95">
        <v>0.08425</v>
      </c>
      <c r="Y114" s="95">
        <f>$X$114*$K$107</f>
        <v>4.4812575</v>
      </c>
      <c r="Z114" s="95">
        <v>0</v>
      </c>
      <c r="AA114" s="96">
        <f>$Z$114*$K$107</f>
        <v>0</v>
      </c>
      <c r="AR114" s="6" t="s">
        <v>135</v>
      </c>
      <c r="AT114" s="6" t="s">
        <v>131</v>
      </c>
      <c r="AU114" s="6" t="s">
        <v>93</v>
      </c>
      <c r="AY114" s="6" t="s">
        <v>130</v>
      </c>
      <c r="BE114" s="97">
        <f>IF($U$114="základní",$N$107,0)</f>
        <v>0</v>
      </c>
      <c r="BF114" s="97">
        <f>IF($U$114="snížená",$N$107,0)</f>
        <v>0</v>
      </c>
      <c r="BG114" s="97">
        <f>IF($U$114="zákl. přenesená",$N$107,0)</f>
        <v>0</v>
      </c>
      <c r="BH114" s="97">
        <f>IF($U$114="sníž. přenesená",$N$107,0)</f>
        <v>0</v>
      </c>
      <c r="BI114" s="97">
        <f>IF($U$114="nulová",$N$107,0)</f>
        <v>0</v>
      </c>
      <c r="BJ114" s="6" t="s">
        <v>17</v>
      </c>
      <c r="BK114" s="97">
        <f>ROUND($L$107*$K$107,2)</f>
        <v>0</v>
      </c>
      <c r="BL114" s="6" t="s">
        <v>135</v>
      </c>
    </row>
    <row r="115" spans="2:64" s="6" customFormat="1" ht="24.75" customHeight="1">
      <c r="B115" s="19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20"/>
      <c r="T115" s="94"/>
      <c r="U115" s="25" t="s">
        <v>38</v>
      </c>
      <c r="V115" s="95">
        <v>0</v>
      </c>
      <c r="W115" s="95">
        <f>$V$115*$K$108</f>
        <v>0</v>
      </c>
      <c r="X115" s="95">
        <v>0.131</v>
      </c>
      <c r="Y115" s="95">
        <f>$X$115*$K$108</f>
        <v>6.9430000000000005</v>
      </c>
      <c r="Z115" s="95">
        <v>0</v>
      </c>
      <c r="AA115" s="96">
        <f>$Z$115*$K$108</f>
        <v>0</v>
      </c>
      <c r="AR115" s="6" t="s">
        <v>152</v>
      </c>
      <c r="AT115" s="6" t="s">
        <v>159</v>
      </c>
      <c r="AU115" s="6" t="s">
        <v>93</v>
      </c>
      <c r="AY115" s="6" t="s">
        <v>130</v>
      </c>
      <c r="BE115" s="97">
        <f>IF($U$115="základní",$N$108,0)</f>
        <v>0</v>
      </c>
      <c r="BF115" s="97">
        <f>IF($U$115="snížená",$N$108,0)</f>
        <v>0</v>
      </c>
      <c r="BG115" s="97">
        <f>IF($U$115="zákl. přenesená",$N$108,0)</f>
        <v>0</v>
      </c>
      <c r="BH115" s="97">
        <f>IF($U$115="sníž. přenesená",$N$108,0)</f>
        <v>0</v>
      </c>
      <c r="BI115" s="97">
        <f>IF($U$115="nulová",$N$108,0)</f>
        <v>0</v>
      </c>
      <c r="BJ115" s="6" t="s">
        <v>17</v>
      </c>
      <c r="BK115" s="97">
        <f>ROUND($L$108*$K$108,2)</f>
        <v>0</v>
      </c>
      <c r="BL115" s="6" t="s">
        <v>135</v>
      </c>
    </row>
    <row r="116" spans="2:64" s="6" customFormat="1" ht="23.25" customHeight="1">
      <c r="B116" s="19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20"/>
      <c r="T116" s="94"/>
      <c r="U116" s="25" t="s">
        <v>38</v>
      </c>
      <c r="V116" s="95">
        <v>0</v>
      </c>
      <c r="W116" s="95">
        <f>$V$116*$K$109</f>
        <v>0</v>
      </c>
      <c r="X116" s="95">
        <v>0.131</v>
      </c>
      <c r="Y116" s="95">
        <f>$X$116*$K$109</f>
        <v>0.1965</v>
      </c>
      <c r="Z116" s="95">
        <v>0</v>
      </c>
      <c r="AA116" s="96">
        <f>$Z$116*$K$109</f>
        <v>0</v>
      </c>
      <c r="AR116" s="6" t="s">
        <v>152</v>
      </c>
      <c r="AT116" s="6" t="s">
        <v>159</v>
      </c>
      <c r="AU116" s="6" t="s">
        <v>93</v>
      </c>
      <c r="AY116" s="6" t="s">
        <v>130</v>
      </c>
      <c r="BE116" s="97">
        <f>IF($U$116="základní",$N$109,0)</f>
        <v>0</v>
      </c>
      <c r="BF116" s="97">
        <f>IF($U$116="snížená",$N$109,0)</f>
        <v>0</v>
      </c>
      <c r="BG116" s="97">
        <f>IF($U$116="zákl. přenesená",$N$109,0)</f>
        <v>0</v>
      </c>
      <c r="BH116" s="97">
        <f>IF($U$116="sníž. přenesená",$N$109,0)</f>
        <v>0</v>
      </c>
      <c r="BI116" s="97">
        <f>IF($U$116="nulová",$N$109,0)</f>
        <v>0</v>
      </c>
      <c r="BJ116" s="6" t="s">
        <v>17</v>
      </c>
      <c r="BK116" s="97">
        <f>ROUND($L$109*$K$109,2)</f>
        <v>0</v>
      </c>
      <c r="BL116" s="6" t="s">
        <v>135</v>
      </c>
    </row>
    <row r="117" spans="2:64" s="6" customFormat="1" ht="27" customHeight="1">
      <c r="B117" s="19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20"/>
      <c r="T117" s="94"/>
      <c r="U117" s="25" t="s">
        <v>38</v>
      </c>
      <c r="V117" s="95">
        <v>0.757</v>
      </c>
      <c r="W117" s="95">
        <f>$V$117*$K$110</f>
        <v>8.14532</v>
      </c>
      <c r="X117" s="95">
        <v>0.10362</v>
      </c>
      <c r="Y117" s="95">
        <f>$X$117*$K$110</f>
        <v>1.1149512</v>
      </c>
      <c r="Z117" s="95">
        <v>0</v>
      </c>
      <c r="AA117" s="96">
        <f>$Z$117*$K$110</f>
        <v>0</v>
      </c>
      <c r="AR117" s="6" t="s">
        <v>135</v>
      </c>
      <c r="AT117" s="6" t="s">
        <v>131</v>
      </c>
      <c r="AU117" s="6" t="s">
        <v>93</v>
      </c>
      <c r="AY117" s="6" t="s">
        <v>130</v>
      </c>
      <c r="BE117" s="97">
        <f>IF($U$117="základní",$N$110,0)</f>
        <v>0</v>
      </c>
      <c r="BF117" s="97">
        <f>IF($U$117="snížená",$N$110,0)</f>
        <v>0</v>
      </c>
      <c r="BG117" s="97">
        <f>IF($U$117="zákl. přenesená",$N$110,0)</f>
        <v>0</v>
      </c>
      <c r="BH117" s="97">
        <f>IF($U$117="sníž. přenesená",$N$110,0)</f>
        <v>0</v>
      </c>
      <c r="BI117" s="97">
        <f>IF($U$117="nulová",$N$110,0)</f>
        <v>0</v>
      </c>
      <c r="BJ117" s="6" t="s">
        <v>17</v>
      </c>
      <c r="BK117" s="97">
        <f>ROUND($L$110*$K$110,2)</f>
        <v>0</v>
      </c>
      <c r="BL117" s="6" t="s">
        <v>135</v>
      </c>
    </row>
    <row r="118" spans="2:64" s="6" customFormat="1" ht="15.75" customHeight="1">
      <c r="B118" s="19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20"/>
      <c r="T118" s="94"/>
      <c r="U118" s="25" t="s">
        <v>38</v>
      </c>
      <c r="V118" s="95">
        <v>0</v>
      </c>
      <c r="W118" s="95">
        <f>$V$118*$K$111</f>
        <v>0</v>
      </c>
      <c r="X118" s="95">
        <v>0.176</v>
      </c>
      <c r="Y118" s="95">
        <f>$X$118*$K$111</f>
        <v>1.936</v>
      </c>
      <c r="Z118" s="95">
        <v>0</v>
      </c>
      <c r="AA118" s="96">
        <f>$Z$118*$K$111</f>
        <v>0</v>
      </c>
      <c r="AR118" s="6" t="s">
        <v>152</v>
      </c>
      <c r="AT118" s="6" t="s">
        <v>159</v>
      </c>
      <c r="AU118" s="6" t="s">
        <v>93</v>
      </c>
      <c r="AY118" s="6" t="s">
        <v>130</v>
      </c>
      <c r="BE118" s="97">
        <f>IF($U$118="základní",$N$111,0)</f>
        <v>0</v>
      </c>
      <c r="BF118" s="97">
        <f>IF($U$118="snížená",$N$111,0)</f>
        <v>0</v>
      </c>
      <c r="BG118" s="97">
        <f>IF($U$118="zákl. přenesená",$N$111,0)</f>
        <v>0</v>
      </c>
      <c r="BH118" s="97">
        <f>IF($U$118="sníž. přenesená",$N$111,0)</f>
        <v>0</v>
      </c>
      <c r="BI118" s="97">
        <f>IF($U$118="nulová",$N$111,0)</f>
        <v>0</v>
      </c>
      <c r="BJ118" s="6" t="s">
        <v>17</v>
      </c>
      <c r="BK118" s="97">
        <f>ROUND($L$111*$K$111,2)</f>
        <v>0</v>
      </c>
      <c r="BL118" s="6" t="s">
        <v>135</v>
      </c>
    </row>
    <row r="119" spans="2:63" s="80" customFormat="1" ht="30.75" customHeight="1">
      <c r="B119" s="8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83"/>
      <c r="T119" s="84"/>
      <c r="W119" s="85" t="e">
        <f>SUM($W$120:$W$125)</f>
        <v>#REF!</v>
      </c>
      <c r="Y119" s="85" t="e">
        <f>SUM($Y$120:$Y$125)</f>
        <v>#REF!</v>
      </c>
      <c r="AA119" s="86" t="e">
        <f>SUM($AA$120:$AA$125)</f>
        <v>#REF!</v>
      </c>
      <c r="AR119" s="87" t="s">
        <v>17</v>
      </c>
      <c r="AT119" s="87" t="s">
        <v>72</v>
      </c>
      <c r="AU119" s="87" t="s">
        <v>17</v>
      </c>
      <c r="AY119" s="87" t="s">
        <v>130</v>
      </c>
      <c r="BK119" s="88" t="e">
        <f>SUM($BK$120:$BK$125)</f>
        <v>#REF!</v>
      </c>
    </row>
    <row r="120" spans="2:64" s="6" customFormat="1" ht="39" customHeight="1">
      <c r="B120" s="19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20"/>
      <c r="T120" s="94"/>
      <c r="U120" s="25" t="s">
        <v>38</v>
      </c>
      <c r="V120" s="95">
        <v>0.129</v>
      </c>
      <c r="W120" s="95" t="e">
        <f>$V$120*#REF!</f>
        <v>#REF!</v>
      </c>
      <c r="X120" s="95">
        <v>0.0026</v>
      </c>
      <c r="Y120" s="95" t="e">
        <f>$X$120*#REF!</f>
        <v>#REF!</v>
      </c>
      <c r="Z120" s="95">
        <v>0</v>
      </c>
      <c r="AA120" s="96" t="e">
        <f>$Z$120*#REF!</f>
        <v>#REF!</v>
      </c>
      <c r="AR120" s="6" t="s">
        <v>135</v>
      </c>
      <c r="AT120" s="6" t="s">
        <v>131</v>
      </c>
      <c r="AU120" s="6" t="s">
        <v>93</v>
      </c>
      <c r="AY120" s="6" t="s">
        <v>130</v>
      </c>
      <c r="BE120" s="97" t="e">
        <f>IF($U$120="základní",#REF!,0)</f>
        <v>#REF!</v>
      </c>
      <c r="BF120" s="97">
        <f>IF($U$120="snížená",#REF!,0)</f>
        <v>0</v>
      </c>
      <c r="BG120" s="97">
        <f>IF($U$120="zákl. přenesená",#REF!,0)</f>
        <v>0</v>
      </c>
      <c r="BH120" s="97">
        <f>IF($U$120="sníž. přenesená",#REF!,0)</f>
        <v>0</v>
      </c>
      <c r="BI120" s="97">
        <f>IF($U$120="nulová",#REF!,0)</f>
        <v>0</v>
      </c>
      <c r="BJ120" s="6" t="s">
        <v>17</v>
      </c>
      <c r="BK120" s="97" t="e">
        <f>ROUND(#REF!*#REF!,2)</f>
        <v>#REF!</v>
      </c>
      <c r="BL120" s="6" t="s">
        <v>135</v>
      </c>
    </row>
    <row r="121" spans="2:64" s="6" customFormat="1" ht="15.75" customHeight="1">
      <c r="B121" s="19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20"/>
      <c r="T121" s="94"/>
      <c r="U121" s="25" t="s">
        <v>38</v>
      </c>
      <c r="V121" s="95">
        <v>0.083</v>
      </c>
      <c r="W121" s="95" t="e">
        <f>$V$121*#REF!</f>
        <v>#REF!</v>
      </c>
      <c r="X121" s="95">
        <v>1E-05</v>
      </c>
      <c r="Y121" s="95" t="e">
        <f>$X$121*#REF!</f>
        <v>#REF!</v>
      </c>
      <c r="Z121" s="95">
        <v>0</v>
      </c>
      <c r="AA121" s="96" t="e">
        <f>$Z$121*#REF!</f>
        <v>#REF!</v>
      </c>
      <c r="AR121" s="6" t="s">
        <v>135</v>
      </c>
      <c r="AT121" s="6" t="s">
        <v>131</v>
      </c>
      <c r="AU121" s="6" t="s">
        <v>93</v>
      </c>
      <c r="AY121" s="6" t="s">
        <v>130</v>
      </c>
      <c r="BE121" s="97" t="e">
        <f>IF($U$121="základní",#REF!,0)</f>
        <v>#REF!</v>
      </c>
      <c r="BF121" s="97">
        <f>IF($U$121="snížená",#REF!,0)</f>
        <v>0</v>
      </c>
      <c r="BG121" s="97">
        <f>IF($U$121="zákl. přenesená",#REF!,0)</f>
        <v>0</v>
      </c>
      <c r="BH121" s="97">
        <f>IF($U$121="sníž. přenesená",#REF!,0)</f>
        <v>0</v>
      </c>
      <c r="BI121" s="97">
        <f>IF($U$121="nulová",#REF!,0)</f>
        <v>0</v>
      </c>
      <c r="BJ121" s="6" t="s">
        <v>17</v>
      </c>
      <c r="BK121" s="97" t="e">
        <f>ROUND(#REF!*#REF!,2)</f>
        <v>#REF!</v>
      </c>
      <c r="BL121" s="6" t="s">
        <v>135</v>
      </c>
    </row>
    <row r="122" spans="2:64" s="6" customFormat="1" ht="39" customHeight="1">
      <c r="B122" s="19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20"/>
      <c r="T122" s="94"/>
      <c r="U122" s="25" t="s">
        <v>38</v>
      </c>
      <c r="V122" s="95">
        <v>0.268</v>
      </c>
      <c r="W122" s="95" t="e">
        <f>$V$122*#REF!</f>
        <v>#REF!</v>
      </c>
      <c r="X122" s="95">
        <v>0.1554</v>
      </c>
      <c r="Y122" s="95" t="e">
        <f>$X$122*#REF!</f>
        <v>#REF!</v>
      </c>
      <c r="Z122" s="95">
        <v>0</v>
      </c>
      <c r="AA122" s="96" t="e">
        <f>$Z$122*#REF!</f>
        <v>#REF!</v>
      </c>
      <c r="AR122" s="6" t="s">
        <v>135</v>
      </c>
      <c r="AT122" s="6" t="s">
        <v>131</v>
      </c>
      <c r="AU122" s="6" t="s">
        <v>93</v>
      </c>
      <c r="AY122" s="6" t="s">
        <v>130</v>
      </c>
      <c r="BE122" s="97" t="e">
        <f>IF($U$122="základní",#REF!,0)</f>
        <v>#REF!</v>
      </c>
      <c r="BF122" s="97">
        <f>IF($U$122="snížená",#REF!,0)</f>
        <v>0</v>
      </c>
      <c r="BG122" s="97">
        <f>IF($U$122="zákl. přenesená",#REF!,0)</f>
        <v>0</v>
      </c>
      <c r="BH122" s="97">
        <f>IF($U$122="sníž. přenesená",#REF!,0)</f>
        <v>0</v>
      </c>
      <c r="BI122" s="97">
        <f>IF($U$122="nulová",#REF!,0)</f>
        <v>0</v>
      </c>
      <c r="BJ122" s="6" t="s">
        <v>17</v>
      </c>
      <c r="BK122" s="97" t="e">
        <f>ROUND(#REF!*#REF!,2)</f>
        <v>#REF!</v>
      </c>
      <c r="BL122" s="6" t="s">
        <v>135</v>
      </c>
    </row>
    <row r="123" spans="2:64" s="6" customFormat="1" ht="27" customHeight="1">
      <c r="B123" s="19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20"/>
      <c r="T123" s="94"/>
      <c r="U123" s="25" t="s">
        <v>38</v>
      </c>
      <c r="V123" s="95">
        <v>0</v>
      </c>
      <c r="W123" s="95" t="e">
        <f>$V$123*#REF!</f>
        <v>#REF!</v>
      </c>
      <c r="X123" s="95">
        <v>0.102</v>
      </c>
      <c r="Y123" s="95" t="e">
        <f>$X$123*#REF!</f>
        <v>#REF!</v>
      </c>
      <c r="Z123" s="95">
        <v>0</v>
      </c>
      <c r="AA123" s="96" t="e">
        <f>$Z$123*#REF!</f>
        <v>#REF!</v>
      </c>
      <c r="AR123" s="6" t="s">
        <v>152</v>
      </c>
      <c r="AT123" s="6" t="s">
        <v>159</v>
      </c>
      <c r="AU123" s="6" t="s">
        <v>93</v>
      </c>
      <c r="AY123" s="6" t="s">
        <v>130</v>
      </c>
      <c r="BE123" s="97" t="e">
        <f>IF($U$123="základní",#REF!,0)</f>
        <v>#REF!</v>
      </c>
      <c r="BF123" s="97">
        <f>IF($U$123="snížená",#REF!,0)</f>
        <v>0</v>
      </c>
      <c r="BG123" s="97">
        <f>IF($U$123="zákl. přenesená",#REF!,0)</f>
        <v>0</v>
      </c>
      <c r="BH123" s="97">
        <f>IF($U$123="sníž. přenesená",#REF!,0)</f>
        <v>0</v>
      </c>
      <c r="BI123" s="97">
        <f>IF($U$123="nulová",#REF!,0)</f>
        <v>0</v>
      </c>
      <c r="BJ123" s="6" t="s">
        <v>17</v>
      </c>
      <c r="BK123" s="97" t="e">
        <f>ROUND(#REF!*#REF!,2)</f>
        <v>#REF!</v>
      </c>
      <c r="BL123" s="6" t="s">
        <v>135</v>
      </c>
    </row>
    <row r="124" spans="2:64" s="6" customFormat="1" ht="39" customHeight="1">
      <c r="B124" s="19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20"/>
      <c r="T124" s="94"/>
      <c r="U124" s="25" t="s">
        <v>38</v>
      </c>
      <c r="V124" s="95">
        <v>0.216</v>
      </c>
      <c r="W124" s="95">
        <f>$V$124*$K$113</f>
        <v>8.208</v>
      </c>
      <c r="X124" s="95">
        <v>0.1295</v>
      </c>
      <c r="Y124" s="95">
        <f>$X$124*$K$113</f>
        <v>4.921</v>
      </c>
      <c r="Z124" s="95">
        <v>0</v>
      </c>
      <c r="AA124" s="96">
        <f>$Z$124*$K$113</f>
        <v>0</v>
      </c>
      <c r="AR124" s="6" t="s">
        <v>135</v>
      </c>
      <c r="AT124" s="6" t="s">
        <v>131</v>
      </c>
      <c r="AU124" s="6" t="s">
        <v>93</v>
      </c>
      <c r="AY124" s="6" t="s">
        <v>130</v>
      </c>
      <c r="BE124" s="97">
        <f>IF($U$124="základní",$N$113,0)</f>
        <v>0</v>
      </c>
      <c r="BF124" s="97">
        <f>IF($U$124="snížená",$N$113,0)</f>
        <v>0</v>
      </c>
      <c r="BG124" s="97">
        <f>IF($U$124="zákl. přenesená",$N$113,0)</f>
        <v>0</v>
      </c>
      <c r="BH124" s="97">
        <f>IF($U$124="sníž. přenesená",$N$113,0)</f>
        <v>0</v>
      </c>
      <c r="BI124" s="97">
        <f>IF($U$124="nulová",$N$113,0)</f>
        <v>0</v>
      </c>
      <c r="BJ124" s="6" t="s">
        <v>17</v>
      </c>
      <c r="BK124" s="97">
        <f>ROUND($L$113*$K$113,2)</f>
        <v>0</v>
      </c>
      <c r="BL124" s="6" t="s">
        <v>135</v>
      </c>
    </row>
    <row r="125" spans="2:64" s="6" customFormat="1" ht="27" customHeight="1">
      <c r="B125" s="19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20"/>
      <c r="T125" s="94"/>
      <c r="U125" s="102" t="s">
        <v>38</v>
      </c>
      <c r="V125" s="96">
        <v>0</v>
      </c>
      <c r="W125" s="96">
        <f>$V$125*$K$114</f>
        <v>0</v>
      </c>
      <c r="X125" s="96">
        <v>0.024</v>
      </c>
      <c r="Y125" s="96">
        <f>$X$125*$K$114</f>
        <v>0.936</v>
      </c>
      <c r="Z125" s="96">
        <v>0</v>
      </c>
      <c r="AA125" s="96">
        <f>$Z$125*$K$114</f>
        <v>0</v>
      </c>
      <c r="AR125" s="6" t="s">
        <v>152</v>
      </c>
      <c r="AT125" s="6" t="s">
        <v>159</v>
      </c>
      <c r="AU125" s="6" t="s">
        <v>93</v>
      </c>
      <c r="AY125" s="6" t="s">
        <v>130</v>
      </c>
      <c r="BE125" s="97">
        <f>IF($U$125="základní",$N$114,0)</f>
        <v>0</v>
      </c>
      <c r="BF125" s="97">
        <f>IF($U$125="snížená",$N$114,0)</f>
        <v>0</v>
      </c>
      <c r="BG125" s="97">
        <f>IF($U$125="zákl. přenesená",$N$114,0)</f>
        <v>0</v>
      </c>
      <c r="BH125" s="97">
        <f>IF($U$125="sníž. přenesená",$N$114,0)</f>
        <v>0</v>
      </c>
      <c r="BI125" s="97">
        <f>IF($U$125="nulová",$N$114,0)</f>
        <v>0</v>
      </c>
      <c r="BJ125" s="6" t="s">
        <v>17</v>
      </c>
      <c r="BK125" s="97">
        <f>ROUND($L$114*$K$114,2)</f>
        <v>0</v>
      </c>
      <c r="BL125" s="6" t="s">
        <v>135</v>
      </c>
    </row>
    <row r="126" spans="2:18" s="6" customFormat="1" ht="7.5" customHeight="1">
      <c r="B126" s="3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35"/>
    </row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</sheetData>
  <sheetProtection/>
  <mergeCells count="83"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66:Q66"/>
    <mergeCell ref="F68:P68"/>
    <mergeCell ref="F69:P69"/>
    <mergeCell ref="M71:P71"/>
    <mergeCell ref="M73:Q73"/>
    <mergeCell ref="M74:Q74"/>
    <mergeCell ref="C76:G76"/>
    <mergeCell ref="N76:Q76"/>
    <mergeCell ref="N78:Q78"/>
    <mergeCell ref="N79:Q79"/>
    <mergeCell ref="N80:Q80"/>
    <mergeCell ref="N81:Q81"/>
    <mergeCell ref="N83:Q83"/>
    <mergeCell ref="L85:Q85"/>
    <mergeCell ref="C91:Q91"/>
    <mergeCell ref="F93:P93"/>
    <mergeCell ref="F94:P94"/>
    <mergeCell ref="M96:P96"/>
    <mergeCell ref="M98:Q98"/>
    <mergeCell ref="M99:Q99"/>
    <mergeCell ref="F101:I101"/>
    <mergeCell ref="L101:M101"/>
    <mergeCell ref="N101:Q101"/>
    <mergeCell ref="N102:Q102"/>
    <mergeCell ref="N103:Q103"/>
    <mergeCell ref="N104:Q104"/>
    <mergeCell ref="F105:I105"/>
    <mergeCell ref="L105:M105"/>
    <mergeCell ref="N105:Q105"/>
    <mergeCell ref="F106:I106"/>
    <mergeCell ref="L106:M106"/>
    <mergeCell ref="N106:Q106"/>
    <mergeCell ref="F107:I107"/>
    <mergeCell ref="L107:M107"/>
    <mergeCell ref="N107:Q107"/>
    <mergeCell ref="F108:I108"/>
    <mergeCell ref="L108:M108"/>
    <mergeCell ref="N108:Q108"/>
    <mergeCell ref="F109:I109"/>
    <mergeCell ref="L109:M109"/>
    <mergeCell ref="N109:Q109"/>
    <mergeCell ref="F110:I110"/>
    <mergeCell ref="L110:M110"/>
    <mergeCell ref="N110:Q110"/>
    <mergeCell ref="F114:I114"/>
    <mergeCell ref="L114:M114"/>
    <mergeCell ref="N114:Q114"/>
    <mergeCell ref="F111:I111"/>
    <mergeCell ref="L111:M111"/>
    <mergeCell ref="N111:Q111"/>
    <mergeCell ref="N112:Q112"/>
    <mergeCell ref="F113:I113"/>
    <mergeCell ref="L113:M113"/>
    <mergeCell ref="N113:Q113"/>
  </mergeCells>
  <printOptions/>
  <pageMargins left="0.3937007874015748" right="0.3937007874015748" top="0.4724409448818898" bottom="0.4724409448818898" header="0.5118110236220472" footer="0.5118110236220472"/>
  <pageSetup horizontalDpi="600" verticalDpi="600" orientation="portrait" paperSize="9" scale="94" r:id="rId1"/>
  <rowBreaks count="2" manualBreakCount="2">
    <brk id="62" max="255" man="1"/>
    <brk id="8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BL154"/>
  <sheetViews>
    <sheetView showGridLines="0" defaultGridColor="0" zoomScalePageLayoutView="0" colorId="8" workbookViewId="0" topLeftCell="A1">
      <pane ySplit="1" topLeftCell="A135" activePane="bottomLeft" state="frozen"/>
      <selection pane="topLeft" activeCell="F164" sqref="F164:I164"/>
      <selection pane="bottomLeft" activeCell="S143" sqref="S143"/>
    </sheetView>
  </sheetViews>
  <sheetFormatPr defaultColWidth="10.5" defaultRowHeight="14.25" customHeight="1"/>
  <cols>
    <col min="1" max="1" width="8.33203125" style="105" customWidth="1"/>
    <col min="2" max="2" width="1.66796875" style="105" customWidth="1"/>
    <col min="3" max="3" width="4.16015625" style="105" customWidth="1"/>
    <col min="4" max="4" width="4.33203125" style="105" customWidth="1"/>
    <col min="5" max="5" width="17.16015625" style="105" customWidth="1"/>
    <col min="6" max="7" width="11.16015625" style="105" customWidth="1"/>
    <col min="8" max="8" width="12.5" style="105" customWidth="1"/>
    <col min="9" max="9" width="7" style="105" customWidth="1"/>
    <col min="10" max="10" width="5.16015625" style="105" customWidth="1"/>
    <col min="11" max="11" width="11.5" style="105" customWidth="1"/>
    <col min="12" max="12" width="12" style="105" customWidth="1"/>
    <col min="13" max="14" width="6" style="105" customWidth="1"/>
    <col min="15" max="15" width="2" style="105" customWidth="1"/>
    <col min="16" max="16" width="12.5" style="105" customWidth="1"/>
    <col min="17" max="17" width="4.16015625" style="105" customWidth="1"/>
    <col min="18" max="18" width="1.66796875" style="105" customWidth="1"/>
    <col min="19" max="19" width="8.16015625" style="105" customWidth="1"/>
    <col min="20" max="28" width="0" style="105" hidden="1" customWidth="1"/>
    <col min="29" max="29" width="11" style="105" customWidth="1"/>
    <col min="30" max="30" width="15" style="105" customWidth="1"/>
    <col min="31" max="31" width="16.33203125" style="105" customWidth="1"/>
    <col min="32" max="43" width="10.5" style="192" customWidth="1"/>
    <col min="44" max="64" width="0" style="105" hidden="1" customWidth="1"/>
    <col min="65" max="16384" width="10.5" style="192" customWidth="1"/>
  </cols>
  <sheetData>
    <row r="1" spans="4:15" s="103" customFormat="1" ht="22.5" customHeight="1">
      <c r="D1" s="104" t="s">
        <v>1</v>
      </c>
      <c r="H1" s="240"/>
      <c r="I1" s="240"/>
      <c r="J1" s="240"/>
      <c r="K1" s="240"/>
      <c r="O1" s="104" t="s">
        <v>92</v>
      </c>
    </row>
    <row r="2" spans="3:46" s="105" customFormat="1" ht="37.5" customHeight="1"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T2" s="105" t="s">
        <v>87</v>
      </c>
    </row>
    <row r="3" spans="2:46" s="105" customFormat="1" ht="7.5" customHeight="1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8"/>
      <c r="AT3" s="105" t="s">
        <v>93</v>
      </c>
    </row>
    <row r="4" spans="2:46" s="105" customFormat="1" ht="37.5" customHeight="1">
      <c r="B4" s="109"/>
      <c r="C4" s="228" t="s">
        <v>94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110"/>
      <c r="T4" s="111" t="s">
        <v>8</v>
      </c>
      <c r="AT4" s="105" t="s">
        <v>3</v>
      </c>
    </row>
    <row r="5" spans="2:18" s="105" customFormat="1" ht="7.5" customHeight="1">
      <c r="B5" s="109"/>
      <c r="R5" s="110"/>
    </row>
    <row r="6" spans="2:18" s="105" customFormat="1" ht="30.75" customHeight="1">
      <c r="B6" s="109"/>
      <c r="D6" s="112" t="s">
        <v>12</v>
      </c>
      <c r="F6" s="229" t="str">
        <f>'Rekapitulace stavby'!$K$6</f>
        <v>II/235 Terešovksá Huť-Mlečice</v>
      </c>
      <c r="G6" s="229"/>
      <c r="H6" s="229"/>
      <c r="I6" s="229"/>
      <c r="J6" s="229"/>
      <c r="K6" s="229"/>
      <c r="L6" s="229"/>
      <c r="M6" s="229"/>
      <c r="N6" s="229"/>
      <c r="O6" s="229"/>
      <c r="P6" s="229"/>
      <c r="R6" s="110"/>
    </row>
    <row r="7" spans="2:18" s="114" customFormat="1" ht="37.5" customHeight="1">
      <c r="B7" s="113"/>
      <c r="D7" s="115" t="s">
        <v>95</v>
      </c>
      <c r="F7" s="239" t="s">
        <v>364</v>
      </c>
      <c r="G7" s="239"/>
      <c r="H7" s="239"/>
      <c r="I7" s="239"/>
      <c r="J7" s="239"/>
      <c r="K7" s="239"/>
      <c r="L7" s="239"/>
      <c r="M7" s="239"/>
      <c r="N7" s="239"/>
      <c r="O7" s="239"/>
      <c r="P7" s="239"/>
      <c r="R7" s="116"/>
    </row>
    <row r="8" spans="2:18" s="114" customFormat="1" ht="15" customHeight="1">
      <c r="B8" s="113"/>
      <c r="D8" s="112" t="s">
        <v>15</v>
      </c>
      <c r="F8" s="117"/>
      <c r="M8" s="112" t="s">
        <v>16</v>
      </c>
      <c r="O8" s="117"/>
      <c r="R8" s="116"/>
    </row>
    <row r="9" spans="2:18" s="114" customFormat="1" ht="15" customHeight="1">
      <c r="B9" s="113"/>
      <c r="D9" s="112" t="s">
        <v>18</v>
      </c>
      <c r="F9" s="117" t="s">
        <v>19</v>
      </c>
      <c r="M9" s="112" t="s">
        <v>20</v>
      </c>
      <c r="O9" s="231" t="str">
        <f>'Rekapitulace stavby'!$AN$8</f>
        <v>13.12.2015</v>
      </c>
      <c r="P9" s="231"/>
      <c r="R9" s="116"/>
    </row>
    <row r="10" spans="2:18" s="114" customFormat="1" ht="12" customHeight="1">
      <c r="B10" s="113"/>
      <c r="R10" s="116"/>
    </row>
    <row r="11" spans="2:18" s="114" customFormat="1" ht="15" customHeight="1">
      <c r="B11" s="113"/>
      <c r="D11" s="112" t="s">
        <v>24</v>
      </c>
      <c r="M11" s="112" t="s">
        <v>25</v>
      </c>
      <c r="O11" s="224">
        <f>IF('Rekapitulace stavby'!$AN$10="","",'Rekapitulace stavby'!$AN$10)</f>
      </c>
      <c r="P11" s="224"/>
      <c r="R11" s="116"/>
    </row>
    <row r="12" spans="2:18" s="114" customFormat="1" ht="18.75" customHeight="1">
      <c r="B12" s="113"/>
      <c r="E12" s="117" t="str">
        <f>IF('Rekapitulace stavby'!$E$11="","",'Rekapitulace stavby'!$E$11)</f>
        <v>Obec Terešov, Mlečice, Chlum, Zvíkovec</v>
      </c>
      <c r="M12" s="112" t="s">
        <v>27</v>
      </c>
      <c r="O12" s="224">
        <f>IF('Rekapitulace stavby'!$AN$11="","",'Rekapitulace stavby'!$AN$11)</f>
      </c>
      <c r="P12" s="224"/>
      <c r="R12" s="116"/>
    </row>
    <row r="13" spans="2:18" s="114" customFormat="1" ht="7.5" customHeight="1">
      <c r="B13" s="113"/>
      <c r="R13" s="116"/>
    </row>
    <row r="14" spans="2:18" s="114" customFormat="1" ht="15" customHeight="1">
      <c r="B14" s="113"/>
      <c r="D14" s="112" t="s">
        <v>28</v>
      </c>
      <c r="M14" s="112" t="s">
        <v>25</v>
      </c>
      <c r="O14" s="224">
        <f>IF('Rekapitulace stavby'!$AN$13="","",'Rekapitulace stavby'!$AN$13)</f>
      </c>
      <c r="P14" s="224"/>
      <c r="R14" s="116"/>
    </row>
    <row r="15" spans="2:18" s="114" customFormat="1" ht="18.75" customHeight="1">
      <c r="B15" s="113"/>
      <c r="E15" s="117" t="str">
        <f>IF('Rekapitulace stavby'!$E$14="","",'Rekapitulace stavby'!$E$14)</f>
        <v> </v>
      </c>
      <c r="M15" s="112" t="s">
        <v>27</v>
      </c>
      <c r="O15" s="224">
        <f>IF('Rekapitulace stavby'!$AN$14="","",'Rekapitulace stavby'!$AN$14)</f>
      </c>
      <c r="P15" s="224"/>
      <c r="R15" s="116"/>
    </row>
    <row r="16" spans="2:18" s="114" customFormat="1" ht="7.5" customHeight="1">
      <c r="B16" s="113"/>
      <c r="R16" s="116"/>
    </row>
    <row r="17" spans="2:18" s="114" customFormat="1" ht="15" customHeight="1">
      <c r="B17" s="113"/>
      <c r="D17" s="112" t="s">
        <v>29</v>
      </c>
      <c r="M17" s="112" t="s">
        <v>25</v>
      </c>
      <c r="O17" s="224"/>
      <c r="P17" s="224"/>
      <c r="R17" s="116"/>
    </row>
    <row r="18" spans="2:18" s="114" customFormat="1" ht="18.75" customHeight="1">
      <c r="B18" s="113"/>
      <c r="E18" s="117" t="s">
        <v>30</v>
      </c>
      <c r="M18" s="112" t="s">
        <v>27</v>
      </c>
      <c r="O18" s="224"/>
      <c r="P18" s="224"/>
      <c r="R18" s="116"/>
    </row>
    <row r="19" spans="2:18" s="114" customFormat="1" ht="7.5" customHeight="1">
      <c r="B19" s="113"/>
      <c r="R19" s="116"/>
    </row>
    <row r="20" spans="2:18" s="114" customFormat="1" ht="15" customHeight="1">
      <c r="B20" s="113"/>
      <c r="D20" s="112" t="s">
        <v>32</v>
      </c>
      <c r="M20" s="112" t="s">
        <v>25</v>
      </c>
      <c r="O20" s="224">
        <f>IF('Rekapitulace stavby'!$AN$19="","",'Rekapitulace stavby'!$AN$19)</f>
      </c>
      <c r="P20" s="224"/>
      <c r="R20" s="116"/>
    </row>
    <row r="21" spans="2:18" s="114" customFormat="1" ht="18.75" customHeight="1">
      <c r="B21" s="113"/>
      <c r="E21" s="117" t="str">
        <f>IF('Rekapitulace stavby'!$E$20="","",'Rekapitulace stavby'!$E$20)</f>
        <v>Lenka Jandová</v>
      </c>
      <c r="M21" s="112" t="s">
        <v>27</v>
      </c>
      <c r="O21" s="224">
        <f>IF('Rekapitulace stavby'!$AN$20="","",'Rekapitulace stavby'!$AN$20)</f>
      </c>
      <c r="P21" s="224"/>
      <c r="R21" s="116"/>
    </row>
    <row r="22" spans="2:18" s="114" customFormat="1" ht="7.5" customHeight="1">
      <c r="B22" s="113"/>
      <c r="R22" s="116"/>
    </row>
    <row r="23" spans="2:18" s="114" customFormat="1" ht="7.5" customHeight="1">
      <c r="B23" s="113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R23" s="116"/>
    </row>
    <row r="24" spans="2:18" s="114" customFormat="1" ht="15" customHeight="1">
      <c r="B24" s="113"/>
      <c r="D24" s="119" t="s">
        <v>97</v>
      </c>
      <c r="M24" s="242">
        <f>$N$77</f>
        <v>0</v>
      </c>
      <c r="N24" s="242"/>
      <c r="O24" s="242"/>
      <c r="P24" s="242"/>
      <c r="R24" s="116"/>
    </row>
    <row r="25" spans="2:18" s="114" customFormat="1" ht="15" customHeight="1">
      <c r="B25" s="113"/>
      <c r="D25" s="120" t="s">
        <v>98</v>
      </c>
      <c r="M25" s="242">
        <f>$N$86</f>
        <v>0</v>
      </c>
      <c r="N25" s="242"/>
      <c r="O25" s="242"/>
      <c r="P25" s="242"/>
      <c r="R25" s="116"/>
    </row>
    <row r="26" spans="2:18" s="114" customFormat="1" ht="7.5" customHeight="1">
      <c r="B26" s="113"/>
      <c r="R26" s="116"/>
    </row>
    <row r="27" spans="2:18" s="114" customFormat="1" ht="26.25" customHeight="1">
      <c r="B27" s="113"/>
      <c r="D27" s="121" t="s">
        <v>36</v>
      </c>
      <c r="M27" s="243">
        <f>ROUND($M$24+$M$25,2)</f>
        <v>0</v>
      </c>
      <c r="N27" s="243"/>
      <c r="O27" s="243"/>
      <c r="P27" s="243"/>
      <c r="R27" s="116"/>
    </row>
    <row r="28" spans="2:18" s="114" customFormat="1" ht="7.5" customHeight="1">
      <c r="B28" s="113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R28" s="116"/>
    </row>
    <row r="29" spans="2:18" s="114" customFormat="1" ht="15" customHeight="1">
      <c r="B29" s="113"/>
      <c r="D29" s="122" t="s">
        <v>37</v>
      </c>
      <c r="E29" s="122" t="s">
        <v>38</v>
      </c>
      <c r="F29" s="123">
        <v>0.21</v>
      </c>
      <c r="G29" s="124" t="s">
        <v>39</v>
      </c>
      <c r="H29" s="236">
        <f>ROUND((SUM($BE$86:$BE$87)+SUM($BE$105:$BE$153)),2)</f>
        <v>0</v>
      </c>
      <c r="I29" s="236"/>
      <c r="J29" s="236"/>
      <c r="M29" s="236">
        <f>ROUND((SUM($BE$86:$BE$87)+SUM($BE$105:$BE$153))*$F$29,2)</f>
        <v>0</v>
      </c>
      <c r="N29" s="236"/>
      <c r="O29" s="236"/>
      <c r="P29" s="236"/>
      <c r="R29" s="116"/>
    </row>
    <row r="30" spans="2:18" s="114" customFormat="1" ht="15" customHeight="1">
      <c r="B30" s="113"/>
      <c r="E30" s="122" t="s">
        <v>40</v>
      </c>
      <c r="F30" s="123">
        <v>0.15</v>
      </c>
      <c r="G30" s="124" t="s">
        <v>39</v>
      </c>
      <c r="H30" s="236">
        <f>ROUND((SUM($BF$86:$BF$87)+SUM($BF$105:$BF$153)),2)</f>
        <v>0</v>
      </c>
      <c r="I30" s="236"/>
      <c r="J30" s="236"/>
      <c r="M30" s="236">
        <f>ROUND((SUM($BF$86:$BF$87)+SUM($BF$105:$BF$153))*$F$30,2)</f>
        <v>0</v>
      </c>
      <c r="N30" s="236"/>
      <c r="O30" s="236"/>
      <c r="P30" s="236"/>
      <c r="R30" s="116"/>
    </row>
    <row r="31" spans="2:18" s="114" customFormat="1" ht="15" customHeight="1" hidden="1">
      <c r="B31" s="113"/>
      <c r="E31" s="122" t="s">
        <v>41</v>
      </c>
      <c r="F31" s="123">
        <v>0.21</v>
      </c>
      <c r="G31" s="124" t="s">
        <v>39</v>
      </c>
      <c r="H31" s="236">
        <f>ROUND((SUM($BG$86:$BG$87)+SUM($BG$105:$BG$153)),2)</f>
        <v>0</v>
      </c>
      <c r="I31" s="236"/>
      <c r="J31" s="236"/>
      <c r="M31" s="236">
        <v>0</v>
      </c>
      <c r="N31" s="236"/>
      <c r="O31" s="236"/>
      <c r="P31" s="236"/>
      <c r="R31" s="116"/>
    </row>
    <row r="32" spans="2:18" s="114" customFormat="1" ht="15" customHeight="1" hidden="1">
      <c r="B32" s="113"/>
      <c r="E32" s="122" t="s">
        <v>42</v>
      </c>
      <c r="F32" s="123">
        <v>0.15</v>
      </c>
      <c r="G32" s="124" t="s">
        <v>39</v>
      </c>
      <c r="H32" s="236">
        <f>ROUND((SUM($BH$86:$BH$87)+SUM($BH$105:$BH$153)),2)</f>
        <v>0</v>
      </c>
      <c r="I32" s="236"/>
      <c r="J32" s="236"/>
      <c r="M32" s="236">
        <v>0</v>
      </c>
      <c r="N32" s="236"/>
      <c r="O32" s="236"/>
      <c r="P32" s="236"/>
      <c r="R32" s="116"/>
    </row>
    <row r="33" spans="2:18" s="114" customFormat="1" ht="15" customHeight="1" hidden="1">
      <c r="B33" s="113"/>
      <c r="E33" s="122" t="s">
        <v>43</v>
      </c>
      <c r="F33" s="123">
        <v>0</v>
      </c>
      <c r="G33" s="124" t="s">
        <v>39</v>
      </c>
      <c r="H33" s="236">
        <f>ROUND((SUM($BI$86:$BI$87)+SUM($BI$105:$BI$153)),2)</f>
        <v>0</v>
      </c>
      <c r="I33" s="236"/>
      <c r="J33" s="236"/>
      <c r="M33" s="236">
        <v>0</v>
      </c>
      <c r="N33" s="236"/>
      <c r="O33" s="236"/>
      <c r="P33" s="236"/>
      <c r="R33" s="116"/>
    </row>
    <row r="34" spans="2:18" s="114" customFormat="1" ht="7.5" customHeight="1">
      <c r="B34" s="113"/>
      <c r="R34" s="116"/>
    </row>
    <row r="35" spans="2:18" s="114" customFormat="1" ht="26.25" customHeight="1">
      <c r="B35" s="113"/>
      <c r="C35" s="125"/>
      <c r="D35" s="126" t="s">
        <v>44</v>
      </c>
      <c r="E35" s="127"/>
      <c r="F35" s="127"/>
      <c r="G35" s="128" t="s">
        <v>45</v>
      </c>
      <c r="H35" s="129" t="s">
        <v>46</v>
      </c>
      <c r="I35" s="127"/>
      <c r="J35" s="127"/>
      <c r="K35" s="127"/>
      <c r="L35" s="237">
        <f>ROUND(SUM($M$27:$M$33),2)</f>
        <v>0</v>
      </c>
      <c r="M35" s="237"/>
      <c r="N35" s="237"/>
      <c r="O35" s="237"/>
      <c r="P35" s="237"/>
      <c r="Q35" s="125"/>
      <c r="R35" s="116"/>
    </row>
    <row r="36" spans="2:18" s="114" customFormat="1" ht="15" customHeight="1">
      <c r="B36" s="113"/>
      <c r="R36" s="116"/>
    </row>
    <row r="37" spans="2:18" s="114" customFormat="1" ht="15" customHeight="1">
      <c r="B37" s="113"/>
      <c r="R37" s="116"/>
    </row>
    <row r="38" spans="2:18" s="105" customFormat="1" ht="14.25" customHeight="1">
      <c r="B38" s="109"/>
      <c r="R38" s="110"/>
    </row>
    <row r="39" spans="2:18" s="114" customFormat="1" ht="15.75" customHeight="1">
      <c r="B39" s="113"/>
      <c r="D39" s="130" t="s">
        <v>47</v>
      </c>
      <c r="E39" s="118"/>
      <c r="F39" s="118"/>
      <c r="G39" s="118"/>
      <c r="H39" s="118"/>
      <c r="J39" s="130" t="s">
        <v>48</v>
      </c>
      <c r="K39" s="118"/>
      <c r="L39" s="118"/>
      <c r="M39" s="118"/>
      <c r="N39" s="118"/>
      <c r="O39" s="118"/>
      <c r="P39" s="118"/>
      <c r="R39" s="116"/>
    </row>
    <row r="40" spans="2:18" s="105" customFormat="1" ht="14.25" customHeight="1">
      <c r="B40" s="109"/>
      <c r="D40" s="131"/>
      <c r="H40" s="131"/>
      <c r="J40" s="131"/>
      <c r="P40" s="131"/>
      <c r="R40" s="110"/>
    </row>
    <row r="41" spans="2:18" s="105" customFormat="1" ht="14.25" customHeight="1">
      <c r="B41" s="109"/>
      <c r="D41" s="131"/>
      <c r="H41" s="131"/>
      <c r="J41" s="131"/>
      <c r="P41" s="131"/>
      <c r="R41" s="110"/>
    </row>
    <row r="42" spans="2:18" s="105" customFormat="1" ht="14.25" customHeight="1">
      <c r="B42" s="109"/>
      <c r="D42" s="131"/>
      <c r="H42" s="131"/>
      <c r="J42" s="131"/>
      <c r="P42" s="131"/>
      <c r="R42" s="110"/>
    </row>
    <row r="43" spans="2:18" s="105" customFormat="1" ht="14.25" customHeight="1">
      <c r="B43" s="109"/>
      <c r="D43" s="131"/>
      <c r="H43" s="131"/>
      <c r="J43" s="131"/>
      <c r="P43" s="131"/>
      <c r="R43" s="110"/>
    </row>
    <row r="44" spans="2:18" s="105" customFormat="1" ht="14.25" customHeight="1">
      <c r="B44" s="109"/>
      <c r="D44" s="131"/>
      <c r="H44" s="131"/>
      <c r="J44" s="131"/>
      <c r="P44" s="131"/>
      <c r="R44" s="110"/>
    </row>
    <row r="45" spans="2:18" s="105" customFormat="1" ht="14.25" customHeight="1">
      <c r="B45" s="109"/>
      <c r="D45" s="131"/>
      <c r="H45" s="131"/>
      <c r="J45" s="131"/>
      <c r="P45" s="131"/>
      <c r="R45" s="110"/>
    </row>
    <row r="46" spans="2:18" s="105" customFormat="1" ht="14.25" customHeight="1">
      <c r="B46" s="109"/>
      <c r="D46" s="131"/>
      <c r="H46" s="131"/>
      <c r="J46" s="131"/>
      <c r="P46" s="131"/>
      <c r="R46" s="110"/>
    </row>
    <row r="47" spans="2:18" s="105" customFormat="1" ht="14.25" customHeight="1">
      <c r="B47" s="109"/>
      <c r="D47" s="131"/>
      <c r="H47" s="131"/>
      <c r="J47" s="131"/>
      <c r="P47" s="131"/>
      <c r="R47" s="110"/>
    </row>
    <row r="48" spans="2:18" s="114" customFormat="1" ht="15.75" customHeight="1">
      <c r="B48" s="113"/>
      <c r="D48" s="132" t="s">
        <v>49</v>
      </c>
      <c r="E48" s="118"/>
      <c r="F48" s="118"/>
      <c r="G48" s="132" t="s">
        <v>50</v>
      </c>
      <c r="H48" s="118"/>
      <c r="J48" s="132" t="s">
        <v>49</v>
      </c>
      <c r="K48" s="118"/>
      <c r="L48" s="118"/>
      <c r="M48" s="118"/>
      <c r="N48" s="132" t="s">
        <v>50</v>
      </c>
      <c r="O48" s="118"/>
      <c r="P48" s="118"/>
      <c r="R48" s="116"/>
    </row>
    <row r="49" spans="2:18" s="105" customFormat="1" ht="14.25" customHeight="1">
      <c r="B49" s="109"/>
      <c r="R49" s="110"/>
    </row>
    <row r="50" spans="2:18" s="114" customFormat="1" ht="15.75" customHeight="1">
      <c r="B50" s="113"/>
      <c r="D50" s="130" t="s">
        <v>51</v>
      </c>
      <c r="E50" s="118"/>
      <c r="F50" s="118"/>
      <c r="G50" s="118"/>
      <c r="H50" s="118"/>
      <c r="J50" s="130" t="s">
        <v>52</v>
      </c>
      <c r="K50" s="118"/>
      <c r="L50" s="118"/>
      <c r="M50" s="118"/>
      <c r="N50" s="118"/>
      <c r="O50" s="118"/>
      <c r="P50" s="118"/>
      <c r="R50" s="116"/>
    </row>
    <row r="51" spans="2:18" s="105" customFormat="1" ht="14.25" customHeight="1">
      <c r="B51" s="109"/>
      <c r="D51" s="131"/>
      <c r="H51" s="131"/>
      <c r="J51" s="131"/>
      <c r="P51" s="131"/>
      <c r="R51" s="110"/>
    </row>
    <row r="52" spans="2:18" s="105" customFormat="1" ht="14.25" customHeight="1">
      <c r="B52" s="109"/>
      <c r="D52" s="131"/>
      <c r="H52" s="131"/>
      <c r="J52" s="131"/>
      <c r="P52" s="131"/>
      <c r="R52" s="110"/>
    </row>
    <row r="53" spans="2:18" s="105" customFormat="1" ht="14.25" customHeight="1">
      <c r="B53" s="109"/>
      <c r="D53" s="131"/>
      <c r="H53" s="131"/>
      <c r="J53" s="131"/>
      <c r="P53" s="131"/>
      <c r="R53" s="110"/>
    </row>
    <row r="54" spans="2:18" s="105" customFormat="1" ht="14.25" customHeight="1">
      <c r="B54" s="109"/>
      <c r="D54" s="131"/>
      <c r="H54" s="131"/>
      <c r="J54" s="131"/>
      <c r="P54" s="131"/>
      <c r="R54" s="110"/>
    </row>
    <row r="55" spans="2:18" s="105" customFormat="1" ht="14.25" customHeight="1">
      <c r="B55" s="109"/>
      <c r="D55" s="131"/>
      <c r="H55" s="131"/>
      <c r="J55" s="131"/>
      <c r="P55" s="131"/>
      <c r="R55" s="110"/>
    </row>
    <row r="56" spans="2:18" s="105" customFormat="1" ht="14.25" customHeight="1">
      <c r="B56" s="109"/>
      <c r="D56" s="131"/>
      <c r="H56" s="131"/>
      <c r="J56" s="131"/>
      <c r="P56" s="131"/>
      <c r="R56" s="110"/>
    </row>
    <row r="57" spans="2:18" s="105" customFormat="1" ht="14.25" customHeight="1">
      <c r="B57" s="109"/>
      <c r="D57" s="131"/>
      <c r="H57" s="131"/>
      <c r="J57" s="131"/>
      <c r="P57" s="131"/>
      <c r="R57" s="110"/>
    </row>
    <row r="58" spans="2:18" s="105" customFormat="1" ht="14.25" customHeight="1">
      <c r="B58" s="109"/>
      <c r="D58" s="131"/>
      <c r="H58" s="131"/>
      <c r="J58" s="131"/>
      <c r="P58" s="131"/>
      <c r="R58" s="110"/>
    </row>
    <row r="59" spans="2:18" s="114" customFormat="1" ht="15.75" customHeight="1">
      <c r="B59" s="113"/>
      <c r="D59" s="132" t="s">
        <v>49</v>
      </c>
      <c r="E59" s="118"/>
      <c r="F59" s="118"/>
      <c r="G59" s="132" t="s">
        <v>50</v>
      </c>
      <c r="H59" s="118"/>
      <c r="J59" s="132" t="s">
        <v>49</v>
      </c>
      <c r="K59" s="118"/>
      <c r="L59" s="118"/>
      <c r="M59" s="118"/>
      <c r="N59" s="132" t="s">
        <v>50</v>
      </c>
      <c r="O59" s="118"/>
      <c r="P59" s="118"/>
      <c r="R59" s="116"/>
    </row>
    <row r="60" spans="2:18" s="114" customFormat="1" ht="15" customHeight="1">
      <c r="B60" s="133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5"/>
    </row>
    <row r="64" spans="2:18" s="114" customFormat="1" ht="7.5" customHeight="1">
      <c r="B64" s="136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8"/>
    </row>
    <row r="65" spans="2:18" s="114" customFormat="1" ht="37.5" customHeight="1">
      <c r="B65" s="113"/>
      <c r="C65" s="228" t="s">
        <v>99</v>
      </c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116"/>
    </row>
    <row r="66" spans="2:18" s="114" customFormat="1" ht="7.5" customHeight="1">
      <c r="B66" s="113"/>
      <c r="R66" s="116"/>
    </row>
    <row r="67" spans="2:18" s="114" customFormat="1" ht="30.75" customHeight="1">
      <c r="B67" s="113"/>
      <c r="C67" s="112" t="s">
        <v>12</v>
      </c>
      <c r="F67" s="229" t="str">
        <f>$F$6</f>
        <v>II/235 Terešovksá Huť-Mlečice</v>
      </c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R67" s="116"/>
    </row>
    <row r="68" spans="2:18" s="114" customFormat="1" ht="37.5" customHeight="1">
      <c r="B68" s="113"/>
      <c r="C68" s="139" t="s">
        <v>95</v>
      </c>
      <c r="F68" s="230" t="str">
        <f>$F$7</f>
        <v>SO 104 - DIO</v>
      </c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R68" s="116"/>
    </row>
    <row r="69" spans="2:18" s="114" customFormat="1" ht="7.5" customHeight="1">
      <c r="B69" s="113"/>
      <c r="R69" s="116"/>
    </row>
    <row r="70" spans="2:18" s="114" customFormat="1" ht="18.75" customHeight="1">
      <c r="B70" s="113"/>
      <c r="C70" s="112" t="s">
        <v>18</v>
      </c>
      <c r="F70" s="117" t="str">
        <f>$F$9</f>
        <v> </v>
      </c>
      <c r="K70" s="112" t="s">
        <v>20</v>
      </c>
      <c r="M70" s="231" t="str">
        <f>IF($O$9="","",$O$9)</f>
        <v>13.12.2015</v>
      </c>
      <c r="N70" s="231"/>
      <c r="O70" s="231"/>
      <c r="P70" s="231"/>
      <c r="R70" s="116"/>
    </row>
    <row r="71" spans="2:18" s="114" customFormat="1" ht="7.5" customHeight="1">
      <c r="B71" s="113"/>
      <c r="R71" s="116"/>
    </row>
    <row r="72" spans="2:18" s="114" customFormat="1" ht="15.75" customHeight="1">
      <c r="B72" s="113"/>
      <c r="C72" s="112" t="s">
        <v>24</v>
      </c>
      <c r="F72" s="117" t="str">
        <f>$E$12</f>
        <v>Obec Terešov, Mlečice, Chlum, Zvíkovec</v>
      </c>
      <c r="K72" s="112" t="s">
        <v>29</v>
      </c>
      <c r="M72" s="224" t="str">
        <f>$E$18</f>
        <v>ing. Kamil Hrbek</v>
      </c>
      <c r="N72" s="224"/>
      <c r="O72" s="224"/>
      <c r="P72" s="224"/>
      <c r="Q72" s="224"/>
      <c r="R72" s="116"/>
    </row>
    <row r="73" spans="2:18" s="114" customFormat="1" ht="15" customHeight="1">
      <c r="B73" s="113"/>
      <c r="C73" s="112" t="s">
        <v>28</v>
      </c>
      <c r="F73" s="117" t="str">
        <f>IF($E$15="","",$E$15)</f>
        <v> </v>
      </c>
      <c r="K73" s="112" t="s">
        <v>32</v>
      </c>
      <c r="M73" s="224" t="str">
        <f>$E$21</f>
        <v>Lenka Jandová</v>
      </c>
      <c r="N73" s="224"/>
      <c r="O73" s="224"/>
      <c r="P73" s="224"/>
      <c r="Q73" s="224"/>
      <c r="R73" s="116"/>
    </row>
    <row r="74" spans="2:18" s="114" customFormat="1" ht="11.25" customHeight="1">
      <c r="B74" s="113"/>
      <c r="R74" s="116"/>
    </row>
    <row r="75" spans="2:18" s="114" customFormat="1" ht="30" customHeight="1">
      <c r="B75" s="113"/>
      <c r="C75" s="235" t="s">
        <v>100</v>
      </c>
      <c r="D75" s="235"/>
      <c r="E75" s="235"/>
      <c r="F75" s="235"/>
      <c r="G75" s="235"/>
      <c r="H75" s="125"/>
      <c r="I75" s="125"/>
      <c r="J75" s="125"/>
      <c r="K75" s="125"/>
      <c r="L75" s="125"/>
      <c r="M75" s="125"/>
      <c r="N75" s="235" t="s">
        <v>101</v>
      </c>
      <c r="O75" s="235"/>
      <c r="P75" s="235"/>
      <c r="Q75" s="235"/>
      <c r="R75" s="116"/>
    </row>
    <row r="76" spans="2:18" s="114" customFormat="1" ht="11.25" customHeight="1">
      <c r="B76" s="113"/>
      <c r="R76" s="116"/>
    </row>
    <row r="77" spans="2:47" s="114" customFormat="1" ht="30" customHeight="1">
      <c r="B77" s="113"/>
      <c r="C77" s="140" t="s">
        <v>102</v>
      </c>
      <c r="N77" s="234">
        <f>ROUND($N$105,2)</f>
        <v>0</v>
      </c>
      <c r="O77" s="234"/>
      <c r="P77" s="234"/>
      <c r="Q77" s="234"/>
      <c r="R77" s="116"/>
      <c r="AU77" s="114" t="s">
        <v>103</v>
      </c>
    </row>
    <row r="78" spans="2:18" s="142" customFormat="1" ht="25.5" customHeight="1">
      <c r="B78" s="141"/>
      <c r="D78" s="143" t="s">
        <v>104</v>
      </c>
      <c r="N78" s="233">
        <f>ROUND($N$106,2)</f>
        <v>0</v>
      </c>
      <c r="O78" s="233"/>
      <c r="P78" s="233"/>
      <c r="Q78" s="233"/>
      <c r="R78" s="144"/>
    </row>
    <row r="79" spans="2:18" s="119" customFormat="1" ht="21" customHeight="1">
      <c r="B79" s="145"/>
      <c r="D79" s="146" t="s">
        <v>365</v>
      </c>
      <c r="N79" s="232">
        <f>ROUND($N$107,2)</f>
        <v>0</v>
      </c>
      <c r="O79" s="232"/>
      <c r="P79" s="232"/>
      <c r="Q79" s="232"/>
      <c r="R79" s="147"/>
    </row>
    <row r="80" spans="2:18" s="119" customFormat="1" ht="21" customHeight="1">
      <c r="B80" s="145"/>
      <c r="D80" s="146" t="s">
        <v>366</v>
      </c>
      <c r="N80" s="232">
        <f>ROUND($N$118,2)</f>
        <v>0</v>
      </c>
      <c r="O80" s="232"/>
      <c r="P80" s="232"/>
      <c r="Q80" s="232"/>
      <c r="R80" s="147"/>
    </row>
    <row r="81" spans="2:18" s="119" customFormat="1" ht="21" customHeight="1">
      <c r="B81" s="145"/>
      <c r="D81" s="146" t="s">
        <v>367</v>
      </c>
      <c r="N81" s="232">
        <f>ROUND($N$129,2)</f>
        <v>0</v>
      </c>
      <c r="O81" s="232"/>
      <c r="P81" s="232"/>
      <c r="Q81" s="232"/>
      <c r="R81" s="147"/>
    </row>
    <row r="82" spans="2:18" s="119" customFormat="1" ht="21" customHeight="1">
      <c r="B82" s="145"/>
      <c r="D82" s="146" t="s">
        <v>368</v>
      </c>
      <c r="N82" s="232">
        <f>ROUND($N$138,2)</f>
        <v>0</v>
      </c>
      <c r="O82" s="232"/>
      <c r="P82" s="232"/>
      <c r="Q82" s="232"/>
      <c r="R82" s="147"/>
    </row>
    <row r="83" spans="2:18" s="142" customFormat="1" ht="25.5" customHeight="1">
      <c r="B83" s="141"/>
      <c r="D83" s="143" t="s">
        <v>111</v>
      </c>
      <c r="N83" s="233">
        <f>ROUND($N$151,2)</f>
        <v>0</v>
      </c>
      <c r="O83" s="233"/>
      <c r="P83" s="233"/>
      <c r="Q83" s="233"/>
      <c r="R83" s="144"/>
    </row>
    <row r="84" spans="2:18" s="119" customFormat="1" ht="21" customHeight="1">
      <c r="B84" s="145"/>
      <c r="D84" s="146" t="s">
        <v>369</v>
      </c>
      <c r="N84" s="232">
        <f>ROUND($N$152,2)</f>
        <v>0</v>
      </c>
      <c r="O84" s="232"/>
      <c r="P84" s="232"/>
      <c r="Q84" s="232"/>
      <c r="R84" s="147"/>
    </row>
    <row r="85" spans="2:18" s="114" customFormat="1" ht="22.5" customHeight="1">
      <c r="B85" s="113"/>
      <c r="R85" s="116"/>
    </row>
    <row r="86" spans="2:21" s="114" customFormat="1" ht="30" customHeight="1">
      <c r="B86" s="113"/>
      <c r="C86" s="140" t="s">
        <v>114</v>
      </c>
      <c r="N86" s="234">
        <v>0</v>
      </c>
      <c r="O86" s="234"/>
      <c r="P86" s="234"/>
      <c r="Q86" s="234"/>
      <c r="R86" s="116"/>
      <c r="T86" s="118"/>
      <c r="U86" s="148" t="s">
        <v>37</v>
      </c>
    </row>
    <row r="87" spans="2:18" s="114" customFormat="1" ht="18.75" customHeight="1">
      <c r="B87" s="113"/>
      <c r="R87" s="116"/>
    </row>
    <row r="88" spans="2:18" s="114" customFormat="1" ht="30" customHeight="1">
      <c r="B88" s="113"/>
      <c r="C88" s="149" t="s">
        <v>91</v>
      </c>
      <c r="D88" s="125"/>
      <c r="E88" s="125"/>
      <c r="F88" s="125"/>
      <c r="G88" s="125"/>
      <c r="H88" s="125"/>
      <c r="I88" s="125"/>
      <c r="J88" s="125"/>
      <c r="K88" s="125"/>
      <c r="L88" s="227">
        <f>ROUND(SUM($N$77+$N$86),2)</f>
        <v>0</v>
      </c>
      <c r="M88" s="227"/>
      <c r="N88" s="227"/>
      <c r="O88" s="227"/>
      <c r="P88" s="227"/>
      <c r="Q88" s="227"/>
      <c r="R88" s="116"/>
    </row>
    <row r="89" spans="2:18" s="114" customFormat="1" ht="7.5" customHeight="1">
      <c r="B89" s="133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5"/>
    </row>
    <row r="93" spans="2:18" s="114" customFormat="1" ht="7.5" customHeight="1">
      <c r="B93" s="136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8"/>
    </row>
    <row r="94" spans="2:18" s="114" customFormat="1" ht="37.5" customHeight="1">
      <c r="B94" s="113"/>
      <c r="C94" s="228" t="s">
        <v>115</v>
      </c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P94" s="228"/>
      <c r="Q94" s="228"/>
      <c r="R94" s="116"/>
    </row>
    <row r="95" spans="2:18" s="114" customFormat="1" ht="7.5" customHeight="1">
      <c r="B95" s="113"/>
      <c r="R95" s="116"/>
    </row>
    <row r="96" spans="2:18" s="114" customFormat="1" ht="30.75" customHeight="1">
      <c r="B96" s="113"/>
      <c r="C96" s="112" t="s">
        <v>12</v>
      </c>
      <c r="F96" s="229" t="str">
        <f>$F$6</f>
        <v>II/235 Terešovksá Huť-Mlečice</v>
      </c>
      <c r="G96" s="229"/>
      <c r="H96" s="229"/>
      <c r="I96" s="229"/>
      <c r="J96" s="229"/>
      <c r="K96" s="229"/>
      <c r="L96" s="229"/>
      <c r="M96" s="229"/>
      <c r="N96" s="229"/>
      <c r="O96" s="229"/>
      <c r="P96" s="229"/>
      <c r="R96" s="116"/>
    </row>
    <row r="97" spans="2:18" s="114" customFormat="1" ht="37.5" customHeight="1">
      <c r="B97" s="113"/>
      <c r="C97" s="139" t="s">
        <v>95</v>
      </c>
      <c r="F97" s="230" t="str">
        <f>$F$7</f>
        <v>SO 104 - DIO</v>
      </c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R97" s="116"/>
    </row>
    <row r="98" spans="2:18" s="114" customFormat="1" ht="7.5" customHeight="1">
      <c r="B98" s="113"/>
      <c r="R98" s="116"/>
    </row>
    <row r="99" spans="2:18" s="114" customFormat="1" ht="18.75" customHeight="1">
      <c r="B99" s="113"/>
      <c r="C99" s="112" t="s">
        <v>18</v>
      </c>
      <c r="F99" s="117" t="str">
        <f>$F$9</f>
        <v> </v>
      </c>
      <c r="K99" s="112" t="s">
        <v>20</v>
      </c>
      <c r="M99" s="231" t="str">
        <f>IF($O$9="","",$O$9)</f>
        <v>13.12.2015</v>
      </c>
      <c r="N99" s="231"/>
      <c r="O99" s="231"/>
      <c r="P99" s="231"/>
      <c r="R99" s="116"/>
    </row>
    <row r="100" spans="2:18" s="114" customFormat="1" ht="7.5" customHeight="1">
      <c r="B100" s="113"/>
      <c r="R100" s="116"/>
    </row>
    <row r="101" spans="2:18" s="114" customFormat="1" ht="15.75" customHeight="1">
      <c r="B101" s="113"/>
      <c r="C101" s="112" t="s">
        <v>24</v>
      </c>
      <c r="F101" s="117" t="str">
        <f>$E$12</f>
        <v>Obec Terešov, Mlečice, Chlum, Zvíkovec</v>
      </c>
      <c r="K101" s="112" t="s">
        <v>29</v>
      </c>
      <c r="M101" s="224" t="str">
        <f>$E$18</f>
        <v>ing. Kamil Hrbek</v>
      </c>
      <c r="N101" s="224"/>
      <c r="O101" s="224"/>
      <c r="P101" s="224"/>
      <c r="Q101" s="224"/>
      <c r="R101" s="116"/>
    </row>
    <row r="102" spans="2:18" s="114" customFormat="1" ht="15" customHeight="1">
      <c r="B102" s="113"/>
      <c r="C102" s="112" t="s">
        <v>28</v>
      </c>
      <c r="F102" s="117" t="str">
        <f>IF($E$15="","",$E$15)</f>
        <v> </v>
      </c>
      <c r="K102" s="112" t="s">
        <v>32</v>
      </c>
      <c r="M102" s="224" t="str">
        <f>$E$21</f>
        <v>Lenka Jandová</v>
      </c>
      <c r="N102" s="224"/>
      <c r="O102" s="224"/>
      <c r="P102" s="224"/>
      <c r="Q102" s="224"/>
      <c r="R102" s="116"/>
    </row>
    <row r="103" spans="2:18" s="114" customFormat="1" ht="11.25" customHeight="1">
      <c r="B103" s="113"/>
      <c r="R103" s="116"/>
    </row>
    <row r="104" spans="2:27" s="153" customFormat="1" ht="30" customHeight="1">
      <c r="B104" s="150"/>
      <c r="C104" s="151" t="s">
        <v>116</v>
      </c>
      <c r="D104" s="151" t="s">
        <v>117</v>
      </c>
      <c r="E104" s="151" t="s">
        <v>55</v>
      </c>
      <c r="F104" s="225" t="s">
        <v>118</v>
      </c>
      <c r="G104" s="225"/>
      <c r="H104" s="225"/>
      <c r="I104" s="225"/>
      <c r="J104" s="151" t="s">
        <v>119</v>
      </c>
      <c r="K104" s="151" t="s">
        <v>120</v>
      </c>
      <c r="L104" s="225" t="s">
        <v>121</v>
      </c>
      <c r="M104" s="225"/>
      <c r="N104" s="225" t="s">
        <v>122</v>
      </c>
      <c r="O104" s="225"/>
      <c r="P104" s="225"/>
      <c r="Q104" s="225"/>
      <c r="R104" s="152"/>
      <c r="T104" s="154" t="s">
        <v>123</v>
      </c>
      <c r="U104" s="154" t="s">
        <v>37</v>
      </c>
      <c r="V104" s="154" t="s">
        <v>124</v>
      </c>
      <c r="W104" s="154" t="s">
        <v>125</v>
      </c>
      <c r="X104" s="154" t="s">
        <v>126</v>
      </c>
      <c r="Y104" s="154" t="s">
        <v>127</v>
      </c>
      <c r="Z104" s="154" t="s">
        <v>128</v>
      </c>
      <c r="AA104" s="154" t="s">
        <v>129</v>
      </c>
    </row>
    <row r="105" spans="2:63" s="114" customFormat="1" ht="30" customHeight="1">
      <c r="B105" s="113"/>
      <c r="C105" s="140" t="s">
        <v>97</v>
      </c>
      <c r="N105" s="226">
        <f>$BK$105</f>
        <v>0</v>
      </c>
      <c r="O105" s="226"/>
      <c r="P105" s="226"/>
      <c r="Q105" s="226"/>
      <c r="R105" s="116"/>
      <c r="T105" s="118"/>
      <c r="U105" s="118"/>
      <c r="V105" s="118"/>
      <c r="W105" s="155">
        <f>$W$106+$W$151</f>
        <v>28.973999999999997</v>
      </c>
      <c r="X105" s="118"/>
      <c r="Y105" s="155">
        <f>$Y$106+$Y$151</f>
        <v>0</v>
      </c>
      <c r="Z105" s="118"/>
      <c r="AA105" s="155">
        <f>$AA$106+$AA$151</f>
        <v>0</v>
      </c>
      <c r="AT105" s="114" t="s">
        <v>72</v>
      </c>
      <c r="AU105" s="114" t="s">
        <v>103</v>
      </c>
      <c r="BK105" s="156">
        <f>$BK$106+$BK$151</f>
        <v>0</v>
      </c>
    </row>
    <row r="106" spans="2:63" s="158" customFormat="1" ht="37.5" customHeight="1">
      <c r="B106" s="157"/>
      <c r="D106" s="159" t="s">
        <v>104</v>
      </c>
      <c r="N106" s="212">
        <f>$BK$106</f>
        <v>0</v>
      </c>
      <c r="O106" s="212"/>
      <c r="P106" s="212"/>
      <c r="Q106" s="212"/>
      <c r="R106" s="160"/>
      <c r="T106" s="161"/>
      <c r="W106" s="162">
        <f>$W$107+$W$118+$W$129+$W$138</f>
        <v>28.973999999999997</v>
      </c>
      <c r="Y106" s="162">
        <f>$Y$107+$Y$118+$Y$129+$Y$138</f>
        <v>0</v>
      </c>
      <c r="AA106" s="163">
        <f>$AA$107+$AA$118+$AA$129+$AA$138</f>
        <v>0</v>
      </c>
      <c r="AR106" s="164" t="s">
        <v>17</v>
      </c>
      <c r="AT106" s="164" t="s">
        <v>72</v>
      </c>
      <c r="AU106" s="164" t="s">
        <v>73</v>
      </c>
      <c r="AY106" s="164" t="s">
        <v>130</v>
      </c>
      <c r="BK106" s="165">
        <f>$BK$107+$BK$118+$BK$129+$BK$138</f>
        <v>0</v>
      </c>
    </row>
    <row r="107" spans="2:63" s="158" customFormat="1" ht="21" customHeight="1">
      <c r="B107" s="157"/>
      <c r="D107" s="166" t="s">
        <v>365</v>
      </c>
      <c r="N107" s="213">
        <f>$BK$107</f>
        <v>0</v>
      </c>
      <c r="O107" s="213"/>
      <c r="P107" s="213"/>
      <c r="Q107" s="213"/>
      <c r="R107" s="160"/>
      <c r="T107" s="161"/>
      <c r="W107" s="162">
        <f>SUM($W$108:$W$117)</f>
        <v>9.18</v>
      </c>
      <c r="Y107" s="162">
        <f>SUM($Y$108:$Y$117)</f>
        <v>0</v>
      </c>
      <c r="AA107" s="163">
        <f>SUM($AA$108:$AA$117)</f>
        <v>0</v>
      </c>
      <c r="AR107" s="164" t="s">
        <v>17</v>
      </c>
      <c r="AT107" s="164" t="s">
        <v>72</v>
      </c>
      <c r="AU107" s="164" t="s">
        <v>17</v>
      </c>
      <c r="AY107" s="164" t="s">
        <v>130</v>
      </c>
      <c r="BK107" s="165">
        <f>SUM($BK$108:$BK$117)</f>
        <v>0</v>
      </c>
    </row>
    <row r="108" spans="2:64" s="114" customFormat="1" ht="27" customHeight="1">
      <c r="B108" s="113"/>
      <c r="C108" s="167" t="s">
        <v>17</v>
      </c>
      <c r="D108" s="167" t="s">
        <v>131</v>
      </c>
      <c r="E108" s="168" t="s">
        <v>370</v>
      </c>
      <c r="F108" s="215" t="s">
        <v>371</v>
      </c>
      <c r="G108" s="215"/>
      <c r="H108" s="215"/>
      <c r="I108" s="215"/>
      <c r="J108" s="169" t="s">
        <v>211</v>
      </c>
      <c r="K108" s="170">
        <v>12</v>
      </c>
      <c r="L108" s="211"/>
      <c r="M108" s="211"/>
      <c r="N108" s="211">
        <f>ROUND($L$108*$K$108,2)</f>
        <v>0</v>
      </c>
      <c r="O108" s="211"/>
      <c r="P108" s="211"/>
      <c r="Q108" s="211"/>
      <c r="R108" s="116"/>
      <c r="T108" s="184"/>
      <c r="U108" s="185" t="s">
        <v>38</v>
      </c>
      <c r="V108" s="171">
        <v>0.09</v>
      </c>
      <c r="W108" s="171">
        <f>$V$108*$K$108</f>
        <v>1.08</v>
      </c>
      <c r="X108" s="171">
        <v>0</v>
      </c>
      <c r="Y108" s="171">
        <f>$X$108*$K$108</f>
        <v>0</v>
      </c>
      <c r="Z108" s="171">
        <v>0</v>
      </c>
      <c r="AA108" s="172">
        <f>$Z$108*$K$108</f>
        <v>0</v>
      </c>
      <c r="AR108" s="114" t="s">
        <v>135</v>
      </c>
      <c r="AT108" s="114" t="s">
        <v>131</v>
      </c>
      <c r="AU108" s="114" t="s">
        <v>93</v>
      </c>
      <c r="AY108" s="114" t="s">
        <v>130</v>
      </c>
      <c r="BE108" s="173">
        <f>IF($U$108="základní",$N$108,0)</f>
        <v>0</v>
      </c>
      <c r="BF108" s="173">
        <f>IF($U$108="snížená",$N$108,0)</f>
        <v>0</v>
      </c>
      <c r="BG108" s="173">
        <f>IF($U$108="zákl. přenesená",$N$108,0)</f>
        <v>0</v>
      </c>
      <c r="BH108" s="173">
        <f>IF($U$108="sníž. přenesená",$N$108,0)</f>
        <v>0</v>
      </c>
      <c r="BI108" s="173">
        <f>IF($U$108="nulová",$N$108,0)</f>
        <v>0</v>
      </c>
      <c r="BJ108" s="114" t="s">
        <v>17</v>
      </c>
      <c r="BK108" s="173">
        <f>ROUND($L$108*$K$108,2)</f>
        <v>0</v>
      </c>
      <c r="BL108" s="114" t="s">
        <v>135</v>
      </c>
    </row>
    <row r="109" spans="2:64" s="114" customFormat="1" ht="27" customHeight="1">
      <c r="B109" s="113"/>
      <c r="C109" s="167" t="s">
        <v>93</v>
      </c>
      <c r="D109" s="167" t="s">
        <v>131</v>
      </c>
      <c r="E109" s="168" t="s">
        <v>372</v>
      </c>
      <c r="F109" s="215" t="s">
        <v>373</v>
      </c>
      <c r="G109" s="215"/>
      <c r="H109" s="215"/>
      <c r="I109" s="215"/>
      <c r="J109" s="169" t="s">
        <v>211</v>
      </c>
      <c r="K109" s="170">
        <v>360</v>
      </c>
      <c r="L109" s="211"/>
      <c r="M109" s="211"/>
      <c r="N109" s="211">
        <f>ROUND($L$109*$K$109,2)</f>
        <v>0</v>
      </c>
      <c r="O109" s="211"/>
      <c r="P109" s="211"/>
      <c r="Q109" s="211"/>
      <c r="R109" s="116"/>
      <c r="T109" s="184"/>
      <c r="U109" s="185" t="s">
        <v>38</v>
      </c>
      <c r="V109" s="171">
        <v>0</v>
      </c>
      <c r="W109" s="171">
        <f>$V$109*$K$109</f>
        <v>0</v>
      </c>
      <c r="X109" s="171">
        <v>0</v>
      </c>
      <c r="Y109" s="171">
        <f>$X$109*$K$109</f>
        <v>0</v>
      </c>
      <c r="Z109" s="171">
        <v>0</v>
      </c>
      <c r="AA109" s="172">
        <f>$Z$109*$K$109</f>
        <v>0</v>
      </c>
      <c r="AR109" s="114" t="s">
        <v>135</v>
      </c>
      <c r="AT109" s="114" t="s">
        <v>131</v>
      </c>
      <c r="AU109" s="114" t="s">
        <v>93</v>
      </c>
      <c r="AY109" s="114" t="s">
        <v>130</v>
      </c>
      <c r="BE109" s="173">
        <f>IF($U$109="základní",$N$109,0)</f>
        <v>0</v>
      </c>
      <c r="BF109" s="173">
        <f>IF($U$109="snížená",$N$109,0)</f>
        <v>0</v>
      </c>
      <c r="BG109" s="173">
        <f>IF($U$109="zákl. přenesená",$N$109,0)</f>
        <v>0</v>
      </c>
      <c r="BH109" s="173">
        <f>IF($U$109="sníž. přenesená",$N$109,0)</f>
        <v>0</v>
      </c>
      <c r="BI109" s="173">
        <f>IF($U$109="nulová",$N$109,0)</f>
        <v>0</v>
      </c>
      <c r="BJ109" s="114" t="s">
        <v>17</v>
      </c>
      <c r="BK109" s="173">
        <f>ROUND($L$109*$K$109,2)</f>
        <v>0</v>
      </c>
      <c r="BL109" s="114" t="s">
        <v>135</v>
      </c>
    </row>
    <row r="110" spans="2:64" s="114" customFormat="1" ht="27" customHeight="1">
      <c r="B110" s="113"/>
      <c r="C110" s="167" t="s">
        <v>137</v>
      </c>
      <c r="D110" s="167" t="s">
        <v>131</v>
      </c>
      <c r="E110" s="168" t="s">
        <v>374</v>
      </c>
      <c r="F110" s="215" t="s">
        <v>375</v>
      </c>
      <c r="G110" s="215"/>
      <c r="H110" s="215"/>
      <c r="I110" s="215"/>
      <c r="J110" s="169" t="s">
        <v>211</v>
      </c>
      <c r="K110" s="170">
        <v>27</v>
      </c>
      <c r="L110" s="211"/>
      <c r="M110" s="211"/>
      <c r="N110" s="211">
        <f>ROUND($L$110*$K$110,2)</f>
        <v>0</v>
      </c>
      <c r="O110" s="211"/>
      <c r="P110" s="211"/>
      <c r="Q110" s="211"/>
      <c r="R110" s="116"/>
      <c r="T110" s="184"/>
      <c r="U110" s="185" t="s">
        <v>38</v>
      </c>
      <c r="V110" s="171">
        <v>0.174</v>
      </c>
      <c r="W110" s="171">
        <f>$V$110*$K$110</f>
        <v>4.6979999999999995</v>
      </c>
      <c r="X110" s="171">
        <v>0</v>
      </c>
      <c r="Y110" s="171">
        <f>$X$110*$K$110</f>
        <v>0</v>
      </c>
      <c r="Z110" s="171">
        <v>0</v>
      </c>
      <c r="AA110" s="172">
        <f>$Z$110*$K$110</f>
        <v>0</v>
      </c>
      <c r="AR110" s="114" t="s">
        <v>135</v>
      </c>
      <c r="AT110" s="114" t="s">
        <v>131</v>
      </c>
      <c r="AU110" s="114" t="s">
        <v>93</v>
      </c>
      <c r="AY110" s="114" t="s">
        <v>130</v>
      </c>
      <c r="BE110" s="173">
        <f>IF($U$110="základní",$N$110,0)</f>
        <v>0</v>
      </c>
      <c r="BF110" s="173">
        <f>IF($U$110="snížená",$N$110,0)</f>
        <v>0</v>
      </c>
      <c r="BG110" s="173">
        <f>IF($U$110="zákl. přenesená",$N$110,0)</f>
        <v>0</v>
      </c>
      <c r="BH110" s="173">
        <f>IF($U$110="sníž. přenesená",$N$110,0)</f>
        <v>0</v>
      </c>
      <c r="BI110" s="173">
        <f>IF($U$110="nulová",$N$110,0)</f>
        <v>0</v>
      </c>
      <c r="BJ110" s="114" t="s">
        <v>17</v>
      </c>
      <c r="BK110" s="173">
        <f>ROUND($L$110*$K$110,2)</f>
        <v>0</v>
      </c>
      <c r="BL110" s="114" t="s">
        <v>135</v>
      </c>
    </row>
    <row r="111" spans="2:64" s="114" customFormat="1" ht="27" customHeight="1">
      <c r="B111" s="113"/>
      <c r="C111" s="167" t="s">
        <v>135</v>
      </c>
      <c r="D111" s="167" t="s">
        <v>131</v>
      </c>
      <c r="E111" s="168" t="s">
        <v>376</v>
      </c>
      <c r="F111" s="215" t="s">
        <v>377</v>
      </c>
      <c r="G111" s="215"/>
      <c r="H111" s="215"/>
      <c r="I111" s="215"/>
      <c r="J111" s="169" t="s">
        <v>211</v>
      </c>
      <c r="K111" s="170">
        <v>810</v>
      </c>
      <c r="L111" s="211"/>
      <c r="M111" s="211"/>
      <c r="N111" s="211">
        <f>ROUND($L$111*$K$111,2)</f>
        <v>0</v>
      </c>
      <c r="O111" s="211"/>
      <c r="P111" s="211"/>
      <c r="Q111" s="211"/>
      <c r="R111" s="116"/>
      <c r="T111" s="184"/>
      <c r="U111" s="185" t="s">
        <v>38</v>
      </c>
      <c r="V111" s="171">
        <v>0</v>
      </c>
      <c r="W111" s="171">
        <f>$V$111*$K$111</f>
        <v>0</v>
      </c>
      <c r="X111" s="171">
        <v>0</v>
      </c>
      <c r="Y111" s="171">
        <f>$X$111*$K$111</f>
        <v>0</v>
      </c>
      <c r="Z111" s="171">
        <v>0</v>
      </c>
      <c r="AA111" s="172">
        <f>$Z$111*$K$111</f>
        <v>0</v>
      </c>
      <c r="AR111" s="114" t="s">
        <v>135</v>
      </c>
      <c r="AT111" s="114" t="s">
        <v>131</v>
      </c>
      <c r="AU111" s="114" t="s">
        <v>93</v>
      </c>
      <c r="AY111" s="114" t="s">
        <v>130</v>
      </c>
      <c r="BE111" s="173">
        <f>IF($U$111="základní",$N$111,0)</f>
        <v>0</v>
      </c>
      <c r="BF111" s="173">
        <f>IF($U$111="snížená",$N$111,0)</f>
        <v>0</v>
      </c>
      <c r="BG111" s="173">
        <f>IF($U$111="zákl. přenesená",$N$111,0)</f>
        <v>0</v>
      </c>
      <c r="BH111" s="173">
        <f>IF($U$111="sníž. přenesená",$N$111,0)</f>
        <v>0</v>
      </c>
      <c r="BI111" s="173">
        <f>IF($U$111="nulová",$N$111,0)</f>
        <v>0</v>
      </c>
      <c r="BJ111" s="114" t="s">
        <v>17</v>
      </c>
      <c r="BK111" s="173">
        <f>ROUND($L$111*$K$111,2)</f>
        <v>0</v>
      </c>
      <c r="BL111" s="114" t="s">
        <v>135</v>
      </c>
    </row>
    <row r="112" spans="2:64" s="114" customFormat="1" ht="27" customHeight="1">
      <c r="B112" s="113"/>
      <c r="C112" s="167" t="s">
        <v>143</v>
      </c>
      <c r="D112" s="167" t="s">
        <v>131</v>
      </c>
      <c r="E112" s="168" t="s">
        <v>378</v>
      </c>
      <c r="F112" s="215" t="s">
        <v>379</v>
      </c>
      <c r="G112" s="215"/>
      <c r="H112" s="215"/>
      <c r="I112" s="215"/>
      <c r="J112" s="169" t="s">
        <v>211</v>
      </c>
      <c r="K112" s="170">
        <v>8</v>
      </c>
      <c r="L112" s="211"/>
      <c r="M112" s="211"/>
      <c r="N112" s="211">
        <f>ROUND($L$112*$K$112,2)</f>
        <v>0</v>
      </c>
      <c r="O112" s="211"/>
      <c r="P112" s="211"/>
      <c r="Q112" s="211"/>
      <c r="R112" s="116"/>
      <c r="T112" s="184"/>
      <c r="U112" s="185" t="s">
        <v>38</v>
      </c>
      <c r="V112" s="171">
        <v>0.2</v>
      </c>
      <c r="W112" s="171">
        <f>$V$112*$K$112</f>
        <v>1.6</v>
      </c>
      <c r="X112" s="171">
        <v>0</v>
      </c>
      <c r="Y112" s="171">
        <f>$X$112*$K$112</f>
        <v>0</v>
      </c>
      <c r="Z112" s="171">
        <v>0</v>
      </c>
      <c r="AA112" s="172">
        <f>$Z$112*$K$112</f>
        <v>0</v>
      </c>
      <c r="AR112" s="114" t="s">
        <v>135</v>
      </c>
      <c r="AT112" s="114" t="s">
        <v>131</v>
      </c>
      <c r="AU112" s="114" t="s">
        <v>93</v>
      </c>
      <c r="AY112" s="114" t="s">
        <v>130</v>
      </c>
      <c r="BE112" s="173">
        <f>IF($U$112="základní",$N$112,0)</f>
        <v>0</v>
      </c>
      <c r="BF112" s="173">
        <f>IF($U$112="snížená",$N$112,0)</f>
        <v>0</v>
      </c>
      <c r="BG112" s="173">
        <f>IF($U$112="zákl. přenesená",$N$112,0)</f>
        <v>0</v>
      </c>
      <c r="BH112" s="173">
        <f>IF($U$112="sníž. přenesená",$N$112,0)</f>
        <v>0</v>
      </c>
      <c r="BI112" s="173">
        <f>IF($U$112="nulová",$N$112,0)</f>
        <v>0</v>
      </c>
      <c r="BJ112" s="114" t="s">
        <v>17</v>
      </c>
      <c r="BK112" s="173">
        <f>ROUND($L$112*$K$112,2)</f>
        <v>0</v>
      </c>
      <c r="BL112" s="114" t="s">
        <v>135</v>
      </c>
    </row>
    <row r="113" spans="2:64" s="114" customFormat="1" ht="27" customHeight="1">
      <c r="B113" s="113"/>
      <c r="C113" s="167" t="s">
        <v>146</v>
      </c>
      <c r="D113" s="167" t="s">
        <v>131</v>
      </c>
      <c r="E113" s="168" t="s">
        <v>380</v>
      </c>
      <c r="F113" s="215" t="s">
        <v>381</v>
      </c>
      <c r="G113" s="215"/>
      <c r="H113" s="215"/>
      <c r="I113" s="215"/>
      <c r="J113" s="169" t="s">
        <v>211</v>
      </c>
      <c r="K113" s="170">
        <v>240</v>
      </c>
      <c r="L113" s="211"/>
      <c r="M113" s="211"/>
      <c r="N113" s="211">
        <f>ROUND($L$113*$K$113,2)</f>
        <v>0</v>
      </c>
      <c r="O113" s="211"/>
      <c r="P113" s="211"/>
      <c r="Q113" s="211"/>
      <c r="R113" s="116"/>
      <c r="T113" s="184"/>
      <c r="U113" s="185" t="s">
        <v>38</v>
      </c>
      <c r="V113" s="171">
        <v>0</v>
      </c>
      <c r="W113" s="171">
        <f>$V$113*$K$113</f>
        <v>0</v>
      </c>
      <c r="X113" s="171">
        <v>0</v>
      </c>
      <c r="Y113" s="171">
        <f>$X$113*$K$113</f>
        <v>0</v>
      </c>
      <c r="Z113" s="171">
        <v>0</v>
      </c>
      <c r="AA113" s="172">
        <f>$Z$113*$K$113</f>
        <v>0</v>
      </c>
      <c r="AR113" s="114" t="s">
        <v>135</v>
      </c>
      <c r="AT113" s="114" t="s">
        <v>131</v>
      </c>
      <c r="AU113" s="114" t="s">
        <v>93</v>
      </c>
      <c r="AY113" s="114" t="s">
        <v>130</v>
      </c>
      <c r="BE113" s="173">
        <f>IF($U$113="základní",$N$113,0)</f>
        <v>0</v>
      </c>
      <c r="BF113" s="173">
        <f>IF($U$113="snížená",$N$113,0)</f>
        <v>0</v>
      </c>
      <c r="BG113" s="173">
        <f>IF($U$113="zákl. přenesená",$N$113,0)</f>
        <v>0</v>
      </c>
      <c r="BH113" s="173">
        <f>IF($U$113="sníž. přenesená",$N$113,0)</f>
        <v>0</v>
      </c>
      <c r="BI113" s="173">
        <f>IF($U$113="nulová",$N$113,0)</f>
        <v>0</v>
      </c>
      <c r="BJ113" s="114" t="s">
        <v>17</v>
      </c>
      <c r="BK113" s="173">
        <f>ROUND($L$113*$K$113,2)</f>
        <v>0</v>
      </c>
      <c r="BL113" s="114" t="s">
        <v>135</v>
      </c>
    </row>
    <row r="114" spans="2:64" s="114" customFormat="1" ht="27" customHeight="1">
      <c r="B114" s="113"/>
      <c r="C114" s="167" t="s">
        <v>149</v>
      </c>
      <c r="D114" s="167" t="s">
        <v>131</v>
      </c>
      <c r="E114" s="168" t="s">
        <v>382</v>
      </c>
      <c r="F114" s="215" t="s">
        <v>383</v>
      </c>
      <c r="G114" s="215"/>
      <c r="H114" s="215"/>
      <c r="I114" s="215"/>
      <c r="J114" s="169" t="s">
        <v>211</v>
      </c>
      <c r="K114" s="170">
        <v>2</v>
      </c>
      <c r="L114" s="211"/>
      <c r="M114" s="211"/>
      <c r="N114" s="211">
        <f>ROUND($L$114*$K$114,2)</f>
        <v>0</v>
      </c>
      <c r="O114" s="211"/>
      <c r="P114" s="211"/>
      <c r="Q114" s="211"/>
      <c r="R114" s="116"/>
      <c r="T114" s="184"/>
      <c r="U114" s="185" t="s">
        <v>38</v>
      </c>
      <c r="V114" s="171">
        <v>0.526</v>
      </c>
      <c r="W114" s="171">
        <f>$V$114*$K$114</f>
        <v>1.052</v>
      </c>
      <c r="X114" s="171">
        <v>0</v>
      </c>
      <c r="Y114" s="171">
        <f>$X$114*$K$114</f>
        <v>0</v>
      </c>
      <c r="Z114" s="171">
        <v>0</v>
      </c>
      <c r="AA114" s="172">
        <f>$Z$114*$K$114</f>
        <v>0</v>
      </c>
      <c r="AR114" s="114" t="s">
        <v>135</v>
      </c>
      <c r="AT114" s="114" t="s">
        <v>131</v>
      </c>
      <c r="AU114" s="114" t="s">
        <v>93</v>
      </c>
      <c r="AY114" s="114" t="s">
        <v>130</v>
      </c>
      <c r="BE114" s="173">
        <f>IF($U$114="základní",$N$114,0)</f>
        <v>0</v>
      </c>
      <c r="BF114" s="173">
        <f>IF($U$114="snížená",$N$114,0)</f>
        <v>0</v>
      </c>
      <c r="BG114" s="173">
        <f>IF($U$114="zákl. přenesená",$N$114,0)</f>
        <v>0</v>
      </c>
      <c r="BH114" s="173">
        <f>IF($U$114="sníž. přenesená",$N$114,0)</f>
        <v>0</v>
      </c>
      <c r="BI114" s="173">
        <f>IF($U$114="nulová",$N$114,0)</f>
        <v>0</v>
      </c>
      <c r="BJ114" s="114" t="s">
        <v>17</v>
      </c>
      <c r="BK114" s="173">
        <f>ROUND($L$114*$K$114,2)</f>
        <v>0</v>
      </c>
      <c r="BL114" s="114" t="s">
        <v>135</v>
      </c>
    </row>
    <row r="115" spans="2:64" s="114" customFormat="1" ht="27" customHeight="1">
      <c r="B115" s="113"/>
      <c r="C115" s="167" t="s">
        <v>152</v>
      </c>
      <c r="D115" s="167" t="s">
        <v>131</v>
      </c>
      <c r="E115" s="168" t="s">
        <v>384</v>
      </c>
      <c r="F115" s="215" t="s">
        <v>385</v>
      </c>
      <c r="G115" s="215"/>
      <c r="H115" s="215"/>
      <c r="I115" s="215"/>
      <c r="J115" s="169" t="s">
        <v>211</v>
      </c>
      <c r="K115" s="170">
        <v>60</v>
      </c>
      <c r="L115" s="211"/>
      <c r="M115" s="211"/>
      <c r="N115" s="211">
        <f>ROUND($L$115*$K$115,2)</f>
        <v>0</v>
      </c>
      <c r="O115" s="211"/>
      <c r="P115" s="211"/>
      <c r="Q115" s="211"/>
      <c r="R115" s="116"/>
      <c r="T115" s="184"/>
      <c r="U115" s="185" t="s">
        <v>38</v>
      </c>
      <c r="V115" s="171">
        <v>0</v>
      </c>
      <c r="W115" s="171">
        <f>$V$115*$K$115</f>
        <v>0</v>
      </c>
      <c r="X115" s="171">
        <v>0</v>
      </c>
      <c r="Y115" s="171">
        <f>$X$115*$K$115</f>
        <v>0</v>
      </c>
      <c r="Z115" s="171">
        <v>0</v>
      </c>
      <c r="AA115" s="172">
        <f>$Z$115*$K$115</f>
        <v>0</v>
      </c>
      <c r="AR115" s="114" t="s">
        <v>135</v>
      </c>
      <c r="AT115" s="114" t="s">
        <v>131</v>
      </c>
      <c r="AU115" s="114" t="s">
        <v>93</v>
      </c>
      <c r="AY115" s="114" t="s">
        <v>130</v>
      </c>
      <c r="BE115" s="173">
        <f>IF($U$115="základní",$N$115,0)</f>
        <v>0</v>
      </c>
      <c r="BF115" s="173">
        <f>IF($U$115="snížená",$N$115,0)</f>
        <v>0</v>
      </c>
      <c r="BG115" s="173">
        <f>IF($U$115="zákl. přenesená",$N$115,0)</f>
        <v>0</v>
      </c>
      <c r="BH115" s="173">
        <f>IF($U$115="sníž. přenesená",$N$115,0)</f>
        <v>0</v>
      </c>
      <c r="BI115" s="173">
        <f>IF($U$115="nulová",$N$115,0)</f>
        <v>0</v>
      </c>
      <c r="BJ115" s="114" t="s">
        <v>17</v>
      </c>
      <c r="BK115" s="173">
        <f>ROUND($L$115*$K$115,2)</f>
        <v>0</v>
      </c>
      <c r="BL115" s="114" t="s">
        <v>135</v>
      </c>
    </row>
    <row r="116" spans="2:64" s="114" customFormat="1" ht="27" customHeight="1">
      <c r="B116" s="113"/>
      <c r="C116" s="167" t="s">
        <v>156</v>
      </c>
      <c r="D116" s="167" t="s">
        <v>131</v>
      </c>
      <c r="E116" s="168" t="s">
        <v>386</v>
      </c>
      <c r="F116" s="215" t="s">
        <v>387</v>
      </c>
      <c r="G116" s="215"/>
      <c r="H116" s="215"/>
      <c r="I116" s="215"/>
      <c r="J116" s="169" t="s">
        <v>211</v>
      </c>
      <c r="K116" s="170">
        <v>1</v>
      </c>
      <c r="L116" s="211"/>
      <c r="M116" s="211"/>
      <c r="N116" s="211">
        <f>ROUND($L$116*$K$116,2)</f>
        <v>0</v>
      </c>
      <c r="O116" s="211"/>
      <c r="P116" s="211"/>
      <c r="Q116" s="211"/>
      <c r="R116" s="116"/>
      <c r="T116" s="184"/>
      <c r="U116" s="185" t="s">
        <v>38</v>
      </c>
      <c r="V116" s="171">
        <v>0.75</v>
      </c>
      <c r="W116" s="171">
        <f>$V$116*$K$116</f>
        <v>0.75</v>
      </c>
      <c r="X116" s="171">
        <v>0</v>
      </c>
      <c r="Y116" s="171">
        <f>$X$116*$K$116</f>
        <v>0</v>
      </c>
      <c r="Z116" s="171">
        <v>0</v>
      </c>
      <c r="AA116" s="172">
        <f>$Z$116*$K$116</f>
        <v>0</v>
      </c>
      <c r="AR116" s="114" t="s">
        <v>135</v>
      </c>
      <c r="AT116" s="114" t="s">
        <v>131</v>
      </c>
      <c r="AU116" s="114" t="s">
        <v>93</v>
      </c>
      <c r="AY116" s="114" t="s">
        <v>130</v>
      </c>
      <c r="BE116" s="173">
        <f>IF($U$116="základní",$N$116,0)</f>
        <v>0</v>
      </c>
      <c r="BF116" s="173">
        <f>IF($U$116="snížená",$N$116,0)</f>
        <v>0</v>
      </c>
      <c r="BG116" s="173">
        <f>IF($U$116="zákl. přenesená",$N$116,0)</f>
        <v>0</v>
      </c>
      <c r="BH116" s="173">
        <f>IF($U$116="sníž. přenesená",$N$116,0)</f>
        <v>0</v>
      </c>
      <c r="BI116" s="173">
        <f>IF($U$116="nulová",$N$116,0)</f>
        <v>0</v>
      </c>
      <c r="BJ116" s="114" t="s">
        <v>17</v>
      </c>
      <c r="BK116" s="173">
        <f>ROUND($L$116*$K$116,2)</f>
        <v>0</v>
      </c>
      <c r="BL116" s="114" t="s">
        <v>135</v>
      </c>
    </row>
    <row r="117" spans="2:64" s="114" customFormat="1" ht="27" customHeight="1">
      <c r="B117" s="113"/>
      <c r="C117" s="167" t="s">
        <v>22</v>
      </c>
      <c r="D117" s="167" t="s">
        <v>131</v>
      </c>
      <c r="E117" s="168" t="s">
        <v>388</v>
      </c>
      <c r="F117" s="215" t="s">
        <v>389</v>
      </c>
      <c r="G117" s="215"/>
      <c r="H117" s="215"/>
      <c r="I117" s="215"/>
      <c r="J117" s="169" t="s">
        <v>211</v>
      </c>
      <c r="K117" s="170">
        <v>30</v>
      </c>
      <c r="L117" s="211"/>
      <c r="M117" s="211"/>
      <c r="N117" s="211">
        <f>ROUND($L$117*$K$117,2)</f>
        <v>0</v>
      </c>
      <c r="O117" s="211"/>
      <c r="P117" s="211"/>
      <c r="Q117" s="211"/>
      <c r="R117" s="116"/>
      <c r="T117" s="184"/>
      <c r="U117" s="185" t="s">
        <v>38</v>
      </c>
      <c r="V117" s="171">
        <v>0</v>
      </c>
      <c r="W117" s="171">
        <f>$V$117*$K$117</f>
        <v>0</v>
      </c>
      <c r="X117" s="171">
        <v>0</v>
      </c>
      <c r="Y117" s="171">
        <f>$X$117*$K$117</f>
        <v>0</v>
      </c>
      <c r="Z117" s="171">
        <v>0</v>
      </c>
      <c r="AA117" s="172">
        <f>$Z$117*$K$117</f>
        <v>0</v>
      </c>
      <c r="AR117" s="114" t="s">
        <v>135</v>
      </c>
      <c r="AT117" s="114" t="s">
        <v>131</v>
      </c>
      <c r="AU117" s="114" t="s">
        <v>93</v>
      </c>
      <c r="AY117" s="114" t="s">
        <v>130</v>
      </c>
      <c r="BE117" s="173">
        <f>IF($U$117="základní",$N$117,0)</f>
        <v>0</v>
      </c>
      <c r="BF117" s="173">
        <f>IF($U$117="snížená",$N$117,0)</f>
        <v>0</v>
      </c>
      <c r="BG117" s="173">
        <f>IF($U$117="zákl. přenesená",$N$117,0)</f>
        <v>0</v>
      </c>
      <c r="BH117" s="173">
        <f>IF($U$117="sníž. přenesená",$N$117,0)</f>
        <v>0</v>
      </c>
      <c r="BI117" s="173">
        <f>IF($U$117="nulová",$N$117,0)</f>
        <v>0</v>
      </c>
      <c r="BJ117" s="114" t="s">
        <v>17</v>
      </c>
      <c r="BK117" s="173">
        <f>ROUND($L$117*$K$117,2)</f>
        <v>0</v>
      </c>
      <c r="BL117" s="114" t="s">
        <v>135</v>
      </c>
    </row>
    <row r="118" spans="2:63" s="158" customFormat="1" ht="30.75" customHeight="1">
      <c r="B118" s="157"/>
      <c r="D118" s="166" t="s">
        <v>366</v>
      </c>
      <c r="N118" s="213">
        <f>$BK$118</f>
        <v>0</v>
      </c>
      <c r="O118" s="213"/>
      <c r="P118" s="213"/>
      <c r="Q118" s="213"/>
      <c r="R118" s="160"/>
      <c r="T118" s="161"/>
      <c r="W118" s="162">
        <f>SUM($W$119:$W$128)</f>
        <v>9.186</v>
      </c>
      <c r="Y118" s="162">
        <f>SUM($Y$119:$Y$128)</f>
        <v>0</v>
      </c>
      <c r="AA118" s="163">
        <f>SUM($AA$119:$AA$128)</f>
        <v>0</v>
      </c>
      <c r="AR118" s="164" t="s">
        <v>17</v>
      </c>
      <c r="AT118" s="164" t="s">
        <v>72</v>
      </c>
      <c r="AU118" s="164" t="s">
        <v>17</v>
      </c>
      <c r="AY118" s="164" t="s">
        <v>130</v>
      </c>
      <c r="BK118" s="165">
        <f>SUM($BK$119:$BK$128)</f>
        <v>0</v>
      </c>
    </row>
    <row r="119" spans="2:64" s="114" customFormat="1" ht="27" customHeight="1">
      <c r="B119" s="113"/>
      <c r="C119" s="167" t="s">
        <v>162</v>
      </c>
      <c r="D119" s="167" t="s">
        <v>131</v>
      </c>
      <c r="E119" s="168" t="s">
        <v>370</v>
      </c>
      <c r="F119" s="215" t="s">
        <v>371</v>
      </c>
      <c r="G119" s="215"/>
      <c r="H119" s="215"/>
      <c r="I119" s="215"/>
      <c r="J119" s="169" t="s">
        <v>211</v>
      </c>
      <c r="K119" s="170">
        <v>14</v>
      </c>
      <c r="L119" s="211"/>
      <c r="M119" s="211"/>
      <c r="N119" s="211">
        <f>ROUND($L$119*$K$119,2)</f>
        <v>0</v>
      </c>
      <c r="O119" s="211"/>
      <c r="P119" s="211"/>
      <c r="Q119" s="211"/>
      <c r="R119" s="116"/>
      <c r="T119" s="184"/>
      <c r="U119" s="185" t="s">
        <v>38</v>
      </c>
      <c r="V119" s="171">
        <v>0.09</v>
      </c>
      <c r="W119" s="171">
        <f>$V$119*$K$119</f>
        <v>1.26</v>
      </c>
      <c r="X119" s="171">
        <v>0</v>
      </c>
      <c r="Y119" s="171">
        <f>$X$119*$K$119</f>
        <v>0</v>
      </c>
      <c r="Z119" s="171">
        <v>0</v>
      </c>
      <c r="AA119" s="172">
        <f>$Z$119*$K$119</f>
        <v>0</v>
      </c>
      <c r="AR119" s="114" t="s">
        <v>135</v>
      </c>
      <c r="AT119" s="114" t="s">
        <v>131</v>
      </c>
      <c r="AU119" s="114" t="s">
        <v>93</v>
      </c>
      <c r="AY119" s="114" t="s">
        <v>130</v>
      </c>
      <c r="BE119" s="173">
        <f>IF($U$119="základní",$N$119,0)</f>
        <v>0</v>
      </c>
      <c r="BF119" s="173">
        <f>IF($U$119="snížená",$N$119,0)</f>
        <v>0</v>
      </c>
      <c r="BG119" s="173">
        <f>IF($U$119="zákl. přenesená",$N$119,0)</f>
        <v>0</v>
      </c>
      <c r="BH119" s="173">
        <f>IF($U$119="sníž. přenesená",$N$119,0)</f>
        <v>0</v>
      </c>
      <c r="BI119" s="173">
        <f>IF($U$119="nulová",$N$119,0)</f>
        <v>0</v>
      </c>
      <c r="BJ119" s="114" t="s">
        <v>17</v>
      </c>
      <c r="BK119" s="173">
        <f>ROUND($L$119*$K$119,2)</f>
        <v>0</v>
      </c>
      <c r="BL119" s="114" t="s">
        <v>135</v>
      </c>
    </row>
    <row r="120" spans="2:64" s="114" customFormat="1" ht="27" customHeight="1">
      <c r="B120" s="113"/>
      <c r="C120" s="167" t="s">
        <v>165</v>
      </c>
      <c r="D120" s="167" t="s">
        <v>131</v>
      </c>
      <c r="E120" s="168" t="s">
        <v>372</v>
      </c>
      <c r="F120" s="215" t="s">
        <v>373</v>
      </c>
      <c r="G120" s="215"/>
      <c r="H120" s="215"/>
      <c r="I120" s="215"/>
      <c r="J120" s="169" t="s">
        <v>211</v>
      </c>
      <c r="K120" s="170">
        <v>420</v>
      </c>
      <c r="L120" s="211"/>
      <c r="M120" s="211"/>
      <c r="N120" s="211">
        <f>ROUND($L$120*$K$120,2)</f>
        <v>0</v>
      </c>
      <c r="O120" s="211"/>
      <c r="P120" s="211"/>
      <c r="Q120" s="211"/>
      <c r="R120" s="116"/>
      <c r="T120" s="184"/>
      <c r="U120" s="185" t="s">
        <v>38</v>
      </c>
      <c r="V120" s="171">
        <v>0</v>
      </c>
      <c r="W120" s="171">
        <f>$V$120*$K$120</f>
        <v>0</v>
      </c>
      <c r="X120" s="171">
        <v>0</v>
      </c>
      <c r="Y120" s="171">
        <f>$X$120*$K$120</f>
        <v>0</v>
      </c>
      <c r="Z120" s="171">
        <v>0</v>
      </c>
      <c r="AA120" s="172">
        <f>$Z$120*$K$120</f>
        <v>0</v>
      </c>
      <c r="AR120" s="114" t="s">
        <v>135</v>
      </c>
      <c r="AT120" s="114" t="s">
        <v>131</v>
      </c>
      <c r="AU120" s="114" t="s">
        <v>93</v>
      </c>
      <c r="AY120" s="114" t="s">
        <v>130</v>
      </c>
      <c r="BE120" s="173">
        <f>IF($U$120="základní",$N$120,0)</f>
        <v>0</v>
      </c>
      <c r="BF120" s="173">
        <f>IF($U$120="snížená",$N$120,0)</f>
        <v>0</v>
      </c>
      <c r="BG120" s="173">
        <f>IF($U$120="zákl. přenesená",$N$120,0)</f>
        <v>0</v>
      </c>
      <c r="BH120" s="173">
        <f>IF($U$120="sníž. přenesená",$N$120,0)</f>
        <v>0</v>
      </c>
      <c r="BI120" s="173">
        <f>IF($U$120="nulová",$N$120,0)</f>
        <v>0</v>
      </c>
      <c r="BJ120" s="114" t="s">
        <v>17</v>
      </c>
      <c r="BK120" s="173">
        <f>ROUND($L$120*$K$120,2)</f>
        <v>0</v>
      </c>
      <c r="BL120" s="114" t="s">
        <v>135</v>
      </c>
    </row>
    <row r="121" spans="2:64" s="114" customFormat="1" ht="27" customHeight="1">
      <c r="B121" s="113"/>
      <c r="C121" s="167" t="s">
        <v>168</v>
      </c>
      <c r="D121" s="167" t="s">
        <v>131</v>
      </c>
      <c r="E121" s="168" t="s">
        <v>374</v>
      </c>
      <c r="F121" s="215" t="s">
        <v>375</v>
      </c>
      <c r="G121" s="215"/>
      <c r="H121" s="215"/>
      <c r="I121" s="215"/>
      <c r="J121" s="169" t="s">
        <v>211</v>
      </c>
      <c r="K121" s="170">
        <v>26</v>
      </c>
      <c r="L121" s="211"/>
      <c r="M121" s="211"/>
      <c r="N121" s="211">
        <f>ROUND($L$121*$K$121,2)</f>
        <v>0</v>
      </c>
      <c r="O121" s="211"/>
      <c r="P121" s="211"/>
      <c r="Q121" s="211"/>
      <c r="R121" s="116"/>
      <c r="T121" s="184"/>
      <c r="U121" s="185" t="s">
        <v>38</v>
      </c>
      <c r="V121" s="171">
        <v>0.174</v>
      </c>
      <c r="W121" s="171">
        <f>$V$121*$K$121</f>
        <v>4.524</v>
      </c>
      <c r="X121" s="171">
        <v>0</v>
      </c>
      <c r="Y121" s="171">
        <f>$X$121*$K$121</f>
        <v>0</v>
      </c>
      <c r="Z121" s="171">
        <v>0</v>
      </c>
      <c r="AA121" s="172">
        <f>$Z$121*$K$121</f>
        <v>0</v>
      </c>
      <c r="AR121" s="114" t="s">
        <v>135</v>
      </c>
      <c r="AT121" s="114" t="s">
        <v>131</v>
      </c>
      <c r="AU121" s="114" t="s">
        <v>93</v>
      </c>
      <c r="AY121" s="114" t="s">
        <v>130</v>
      </c>
      <c r="BE121" s="173">
        <f>IF($U$121="základní",$N$121,0)</f>
        <v>0</v>
      </c>
      <c r="BF121" s="173">
        <f>IF($U$121="snížená",$N$121,0)</f>
        <v>0</v>
      </c>
      <c r="BG121" s="173">
        <f>IF($U$121="zákl. přenesená",$N$121,0)</f>
        <v>0</v>
      </c>
      <c r="BH121" s="173">
        <f>IF($U$121="sníž. přenesená",$N$121,0)</f>
        <v>0</v>
      </c>
      <c r="BI121" s="173">
        <f>IF($U$121="nulová",$N$121,0)</f>
        <v>0</v>
      </c>
      <c r="BJ121" s="114" t="s">
        <v>17</v>
      </c>
      <c r="BK121" s="173">
        <f>ROUND($L$121*$K$121,2)</f>
        <v>0</v>
      </c>
      <c r="BL121" s="114" t="s">
        <v>135</v>
      </c>
    </row>
    <row r="122" spans="2:64" s="114" customFormat="1" ht="27" customHeight="1">
      <c r="B122" s="113"/>
      <c r="C122" s="167" t="s">
        <v>171</v>
      </c>
      <c r="D122" s="167" t="s">
        <v>131</v>
      </c>
      <c r="E122" s="168" t="s">
        <v>376</v>
      </c>
      <c r="F122" s="215" t="s">
        <v>377</v>
      </c>
      <c r="G122" s="215"/>
      <c r="H122" s="215"/>
      <c r="I122" s="215"/>
      <c r="J122" s="169" t="s">
        <v>211</v>
      </c>
      <c r="K122" s="170">
        <v>780</v>
      </c>
      <c r="L122" s="211"/>
      <c r="M122" s="211"/>
      <c r="N122" s="211">
        <f>ROUND($L$122*$K$122,2)</f>
        <v>0</v>
      </c>
      <c r="O122" s="211"/>
      <c r="P122" s="211"/>
      <c r="Q122" s="211"/>
      <c r="R122" s="116"/>
      <c r="T122" s="184"/>
      <c r="U122" s="185" t="s">
        <v>38</v>
      </c>
      <c r="V122" s="171">
        <v>0</v>
      </c>
      <c r="W122" s="171">
        <f>$V$122*$K$122</f>
        <v>0</v>
      </c>
      <c r="X122" s="171">
        <v>0</v>
      </c>
      <c r="Y122" s="171">
        <f>$X$122*$K$122</f>
        <v>0</v>
      </c>
      <c r="Z122" s="171">
        <v>0</v>
      </c>
      <c r="AA122" s="172">
        <f>$Z$122*$K$122</f>
        <v>0</v>
      </c>
      <c r="AR122" s="114" t="s">
        <v>135</v>
      </c>
      <c r="AT122" s="114" t="s">
        <v>131</v>
      </c>
      <c r="AU122" s="114" t="s">
        <v>93</v>
      </c>
      <c r="AY122" s="114" t="s">
        <v>130</v>
      </c>
      <c r="BE122" s="173">
        <f>IF($U$122="základní",$N$122,0)</f>
        <v>0</v>
      </c>
      <c r="BF122" s="173">
        <f>IF($U$122="snížená",$N$122,0)</f>
        <v>0</v>
      </c>
      <c r="BG122" s="173">
        <f>IF($U$122="zákl. přenesená",$N$122,0)</f>
        <v>0</v>
      </c>
      <c r="BH122" s="173">
        <f>IF($U$122="sníž. přenesená",$N$122,0)</f>
        <v>0</v>
      </c>
      <c r="BI122" s="173">
        <f>IF($U$122="nulová",$N$122,0)</f>
        <v>0</v>
      </c>
      <c r="BJ122" s="114" t="s">
        <v>17</v>
      </c>
      <c r="BK122" s="173">
        <f>ROUND($L$122*$K$122,2)</f>
        <v>0</v>
      </c>
      <c r="BL122" s="114" t="s">
        <v>135</v>
      </c>
    </row>
    <row r="123" spans="2:64" s="114" customFormat="1" ht="27" customHeight="1">
      <c r="B123" s="113"/>
      <c r="C123" s="167" t="s">
        <v>6</v>
      </c>
      <c r="D123" s="167" t="s">
        <v>131</v>
      </c>
      <c r="E123" s="168" t="s">
        <v>378</v>
      </c>
      <c r="F123" s="215" t="s">
        <v>379</v>
      </c>
      <c r="G123" s="215"/>
      <c r="H123" s="215"/>
      <c r="I123" s="215"/>
      <c r="J123" s="169" t="s">
        <v>211</v>
      </c>
      <c r="K123" s="170">
        <v>8</v>
      </c>
      <c r="L123" s="211"/>
      <c r="M123" s="211"/>
      <c r="N123" s="211">
        <f>ROUND($L$123*$K$123,2)</f>
        <v>0</v>
      </c>
      <c r="O123" s="211"/>
      <c r="P123" s="211"/>
      <c r="Q123" s="211"/>
      <c r="R123" s="116"/>
      <c r="T123" s="184"/>
      <c r="U123" s="185" t="s">
        <v>38</v>
      </c>
      <c r="V123" s="171">
        <v>0.2</v>
      </c>
      <c r="W123" s="171">
        <f>$V$123*$K$123</f>
        <v>1.6</v>
      </c>
      <c r="X123" s="171">
        <v>0</v>
      </c>
      <c r="Y123" s="171">
        <f>$X$123*$K$123</f>
        <v>0</v>
      </c>
      <c r="Z123" s="171">
        <v>0</v>
      </c>
      <c r="AA123" s="172">
        <f>$Z$123*$K$123</f>
        <v>0</v>
      </c>
      <c r="AR123" s="114" t="s">
        <v>135</v>
      </c>
      <c r="AT123" s="114" t="s">
        <v>131</v>
      </c>
      <c r="AU123" s="114" t="s">
        <v>93</v>
      </c>
      <c r="AY123" s="114" t="s">
        <v>130</v>
      </c>
      <c r="BE123" s="173">
        <f>IF($U$123="základní",$N$123,0)</f>
        <v>0</v>
      </c>
      <c r="BF123" s="173">
        <f>IF($U$123="snížená",$N$123,0)</f>
        <v>0</v>
      </c>
      <c r="BG123" s="173">
        <f>IF($U$123="zákl. přenesená",$N$123,0)</f>
        <v>0</v>
      </c>
      <c r="BH123" s="173">
        <f>IF($U$123="sníž. přenesená",$N$123,0)</f>
        <v>0</v>
      </c>
      <c r="BI123" s="173">
        <f>IF($U$123="nulová",$N$123,0)</f>
        <v>0</v>
      </c>
      <c r="BJ123" s="114" t="s">
        <v>17</v>
      </c>
      <c r="BK123" s="173">
        <f>ROUND($L$123*$K$123,2)</f>
        <v>0</v>
      </c>
      <c r="BL123" s="114" t="s">
        <v>135</v>
      </c>
    </row>
    <row r="124" spans="2:64" s="114" customFormat="1" ht="27" customHeight="1">
      <c r="B124" s="113"/>
      <c r="C124" s="167" t="s">
        <v>177</v>
      </c>
      <c r="D124" s="167" t="s">
        <v>131</v>
      </c>
      <c r="E124" s="168" t="s">
        <v>380</v>
      </c>
      <c r="F124" s="215" t="s">
        <v>381</v>
      </c>
      <c r="G124" s="215"/>
      <c r="H124" s="215"/>
      <c r="I124" s="215"/>
      <c r="J124" s="169" t="s">
        <v>211</v>
      </c>
      <c r="K124" s="170">
        <v>240</v>
      </c>
      <c r="L124" s="211"/>
      <c r="M124" s="211"/>
      <c r="N124" s="211">
        <f>ROUND($L$124*$K$124,2)</f>
        <v>0</v>
      </c>
      <c r="O124" s="211"/>
      <c r="P124" s="211"/>
      <c r="Q124" s="211"/>
      <c r="R124" s="116"/>
      <c r="T124" s="184"/>
      <c r="U124" s="185" t="s">
        <v>38</v>
      </c>
      <c r="V124" s="171">
        <v>0</v>
      </c>
      <c r="W124" s="171">
        <f>$V$124*$K$124</f>
        <v>0</v>
      </c>
      <c r="X124" s="171">
        <v>0</v>
      </c>
      <c r="Y124" s="171">
        <f>$X$124*$K$124</f>
        <v>0</v>
      </c>
      <c r="Z124" s="171">
        <v>0</v>
      </c>
      <c r="AA124" s="172">
        <f>$Z$124*$K$124</f>
        <v>0</v>
      </c>
      <c r="AR124" s="114" t="s">
        <v>135</v>
      </c>
      <c r="AT124" s="114" t="s">
        <v>131</v>
      </c>
      <c r="AU124" s="114" t="s">
        <v>93</v>
      </c>
      <c r="AY124" s="114" t="s">
        <v>130</v>
      </c>
      <c r="BE124" s="173">
        <f>IF($U$124="základní",$N$124,0)</f>
        <v>0</v>
      </c>
      <c r="BF124" s="173">
        <f>IF($U$124="snížená",$N$124,0)</f>
        <v>0</v>
      </c>
      <c r="BG124" s="173">
        <f>IF($U$124="zákl. přenesená",$N$124,0)</f>
        <v>0</v>
      </c>
      <c r="BH124" s="173">
        <f>IF($U$124="sníž. přenesená",$N$124,0)</f>
        <v>0</v>
      </c>
      <c r="BI124" s="173">
        <f>IF($U$124="nulová",$N$124,0)</f>
        <v>0</v>
      </c>
      <c r="BJ124" s="114" t="s">
        <v>17</v>
      </c>
      <c r="BK124" s="173">
        <f>ROUND($L$124*$K$124,2)</f>
        <v>0</v>
      </c>
      <c r="BL124" s="114" t="s">
        <v>135</v>
      </c>
    </row>
    <row r="125" spans="2:64" s="114" customFormat="1" ht="27" customHeight="1">
      <c r="B125" s="113"/>
      <c r="C125" s="167" t="s">
        <v>180</v>
      </c>
      <c r="D125" s="167" t="s">
        <v>131</v>
      </c>
      <c r="E125" s="168" t="s">
        <v>382</v>
      </c>
      <c r="F125" s="215" t="s">
        <v>383</v>
      </c>
      <c r="G125" s="215"/>
      <c r="H125" s="215"/>
      <c r="I125" s="215"/>
      <c r="J125" s="169" t="s">
        <v>211</v>
      </c>
      <c r="K125" s="170">
        <v>2</v>
      </c>
      <c r="L125" s="211"/>
      <c r="M125" s="211"/>
      <c r="N125" s="211">
        <f>ROUND($L$125*$K$125,2)</f>
        <v>0</v>
      </c>
      <c r="O125" s="211"/>
      <c r="P125" s="211"/>
      <c r="Q125" s="211"/>
      <c r="R125" s="116"/>
      <c r="T125" s="184"/>
      <c r="U125" s="185" t="s">
        <v>38</v>
      </c>
      <c r="V125" s="171">
        <v>0.526</v>
      </c>
      <c r="W125" s="171">
        <f>$V$125*$K$125</f>
        <v>1.052</v>
      </c>
      <c r="X125" s="171">
        <v>0</v>
      </c>
      <c r="Y125" s="171">
        <f>$X$125*$K$125</f>
        <v>0</v>
      </c>
      <c r="Z125" s="171">
        <v>0</v>
      </c>
      <c r="AA125" s="172">
        <f>$Z$125*$K$125</f>
        <v>0</v>
      </c>
      <c r="AR125" s="114" t="s">
        <v>135</v>
      </c>
      <c r="AT125" s="114" t="s">
        <v>131</v>
      </c>
      <c r="AU125" s="114" t="s">
        <v>93</v>
      </c>
      <c r="AY125" s="114" t="s">
        <v>130</v>
      </c>
      <c r="BE125" s="173">
        <f>IF($U$125="základní",$N$125,0)</f>
        <v>0</v>
      </c>
      <c r="BF125" s="173">
        <f>IF($U$125="snížená",$N$125,0)</f>
        <v>0</v>
      </c>
      <c r="BG125" s="173">
        <f>IF($U$125="zákl. přenesená",$N$125,0)</f>
        <v>0</v>
      </c>
      <c r="BH125" s="173">
        <f>IF($U$125="sníž. přenesená",$N$125,0)</f>
        <v>0</v>
      </c>
      <c r="BI125" s="173">
        <f>IF($U$125="nulová",$N$125,0)</f>
        <v>0</v>
      </c>
      <c r="BJ125" s="114" t="s">
        <v>17</v>
      </c>
      <c r="BK125" s="173">
        <f>ROUND($L$125*$K$125,2)</f>
        <v>0</v>
      </c>
      <c r="BL125" s="114" t="s">
        <v>135</v>
      </c>
    </row>
    <row r="126" spans="2:64" s="114" customFormat="1" ht="27" customHeight="1">
      <c r="B126" s="113"/>
      <c r="C126" s="167" t="s">
        <v>183</v>
      </c>
      <c r="D126" s="167" t="s">
        <v>131</v>
      </c>
      <c r="E126" s="168" t="s">
        <v>384</v>
      </c>
      <c r="F126" s="215" t="s">
        <v>385</v>
      </c>
      <c r="G126" s="215"/>
      <c r="H126" s="215"/>
      <c r="I126" s="215"/>
      <c r="J126" s="169" t="s">
        <v>211</v>
      </c>
      <c r="K126" s="170">
        <v>60</v>
      </c>
      <c r="L126" s="211"/>
      <c r="M126" s="211"/>
      <c r="N126" s="211">
        <f>ROUND($L$126*$K$126,2)</f>
        <v>0</v>
      </c>
      <c r="O126" s="211"/>
      <c r="P126" s="211"/>
      <c r="Q126" s="211"/>
      <c r="R126" s="116"/>
      <c r="T126" s="184"/>
      <c r="U126" s="185" t="s">
        <v>38</v>
      </c>
      <c r="V126" s="171">
        <v>0</v>
      </c>
      <c r="W126" s="171">
        <f>$V$126*$K$126</f>
        <v>0</v>
      </c>
      <c r="X126" s="171">
        <v>0</v>
      </c>
      <c r="Y126" s="171">
        <f>$X$126*$K$126</f>
        <v>0</v>
      </c>
      <c r="Z126" s="171">
        <v>0</v>
      </c>
      <c r="AA126" s="172">
        <f>$Z$126*$K$126</f>
        <v>0</v>
      </c>
      <c r="AR126" s="114" t="s">
        <v>135</v>
      </c>
      <c r="AT126" s="114" t="s">
        <v>131</v>
      </c>
      <c r="AU126" s="114" t="s">
        <v>93</v>
      </c>
      <c r="AY126" s="114" t="s">
        <v>130</v>
      </c>
      <c r="BE126" s="173">
        <f>IF($U$126="základní",$N$126,0)</f>
        <v>0</v>
      </c>
      <c r="BF126" s="173">
        <f>IF($U$126="snížená",$N$126,0)</f>
        <v>0</v>
      </c>
      <c r="BG126" s="173">
        <f>IF($U$126="zákl. přenesená",$N$126,0)</f>
        <v>0</v>
      </c>
      <c r="BH126" s="173">
        <f>IF($U$126="sníž. přenesená",$N$126,0)</f>
        <v>0</v>
      </c>
      <c r="BI126" s="173">
        <f>IF($U$126="nulová",$N$126,0)</f>
        <v>0</v>
      </c>
      <c r="BJ126" s="114" t="s">
        <v>17</v>
      </c>
      <c r="BK126" s="173">
        <f>ROUND($L$126*$K$126,2)</f>
        <v>0</v>
      </c>
      <c r="BL126" s="114" t="s">
        <v>135</v>
      </c>
    </row>
    <row r="127" spans="2:64" s="114" customFormat="1" ht="27" customHeight="1">
      <c r="B127" s="113"/>
      <c r="C127" s="167" t="s">
        <v>185</v>
      </c>
      <c r="D127" s="167" t="s">
        <v>131</v>
      </c>
      <c r="E127" s="168" t="s">
        <v>386</v>
      </c>
      <c r="F127" s="215" t="s">
        <v>387</v>
      </c>
      <c r="G127" s="215"/>
      <c r="H127" s="215"/>
      <c r="I127" s="215"/>
      <c r="J127" s="169" t="s">
        <v>211</v>
      </c>
      <c r="K127" s="170">
        <v>1</v>
      </c>
      <c r="L127" s="211"/>
      <c r="M127" s="211"/>
      <c r="N127" s="211">
        <f>ROUND($L$127*$K$127,2)</f>
        <v>0</v>
      </c>
      <c r="O127" s="211"/>
      <c r="P127" s="211"/>
      <c r="Q127" s="211"/>
      <c r="R127" s="116"/>
      <c r="T127" s="184"/>
      <c r="U127" s="185" t="s">
        <v>38</v>
      </c>
      <c r="V127" s="171">
        <v>0.75</v>
      </c>
      <c r="W127" s="171">
        <f>$V$127*$K$127</f>
        <v>0.75</v>
      </c>
      <c r="X127" s="171">
        <v>0</v>
      </c>
      <c r="Y127" s="171">
        <f>$X$127*$K$127</f>
        <v>0</v>
      </c>
      <c r="Z127" s="171">
        <v>0</v>
      </c>
      <c r="AA127" s="172">
        <f>$Z$127*$K$127</f>
        <v>0</v>
      </c>
      <c r="AR127" s="114" t="s">
        <v>135</v>
      </c>
      <c r="AT127" s="114" t="s">
        <v>131</v>
      </c>
      <c r="AU127" s="114" t="s">
        <v>93</v>
      </c>
      <c r="AY127" s="114" t="s">
        <v>130</v>
      </c>
      <c r="BE127" s="173">
        <f>IF($U$127="základní",$N$127,0)</f>
        <v>0</v>
      </c>
      <c r="BF127" s="173">
        <f>IF($U$127="snížená",$N$127,0)</f>
        <v>0</v>
      </c>
      <c r="BG127" s="173">
        <f>IF($U$127="zákl. přenesená",$N$127,0)</f>
        <v>0</v>
      </c>
      <c r="BH127" s="173">
        <f>IF($U$127="sníž. přenesená",$N$127,0)</f>
        <v>0</v>
      </c>
      <c r="BI127" s="173">
        <f>IF($U$127="nulová",$N$127,0)</f>
        <v>0</v>
      </c>
      <c r="BJ127" s="114" t="s">
        <v>17</v>
      </c>
      <c r="BK127" s="173">
        <f>ROUND($L$127*$K$127,2)</f>
        <v>0</v>
      </c>
      <c r="BL127" s="114" t="s">
        <v>135</v>
      </c>
    </row>
    <row r="128" spans="2:64" s="114" customFormat="1" ht="27" customHeight="1">
      <c r="B128" s="113"/>
      <c r="C128" s="167" t="s">
        <v>188</v>
      </c>
      <c r="D128" s="167" t="s">
        <v>131</v>
      </c>
      <c r="E128" s="168" t="s">
        <v>388</v>
      </c>
      <c r="F128" s="215" t="s">
        <v>389</v>
      </c>
      <c r="G128" s="215"/>
      <c r="H128" s="215"/>
      <c r="I128" s="215"/>
      <c r="J128" s="169" t="s">
        <v>211</v>
      </c>
      <c r="K128" s="170">
        <v>30</v>
      </c>
      <c r="L128" s="211"/>
      <c r="M128" s="211"/>
      <c r="N128" s="211">
        <f>ROUND($L$128*$K$128,2)</f>
        <v>0</v>
      </c>
      <c r="O128" s="211"/>
      <c r="P128" s="211"/>
      <c r="Q128" s="211"/>
      <c r="R128" s="116"/>
      <c r="T128" s="184"/>
      <c r="U128" s="185" t="s">
        <v>38</v>
      </c>
      <c r="V128" s="171">
        <v>0</v>
      </c>
      <c r="W128" s="171">
        <f>$V$128*$K$128</f>
        <v>0</v>
      </c>
      <c r="X128" s="171">
        <v>0</v>
      </c>
      <c r="Y128" s="171">
        <f>$X$128*$K$128</f>
        <v>0</v>
      </c>
      <c r="Z128" s="171">
        <v>0</v>
      </c>
      <c r="AA128" s="172">
        <f>$Z$128*$K$128</f>
        <v>0</v>
      </c>
      <c r="AR128" s="114" t="s">
        <v>135</v>
      </c>
      <c r="AT128" s="114" t="s">
        <v>131</v>
      </c>
      <c r="AU128" s="114" t="s">
        <v>93</v>
      </c>
      <c r="AY128" s="114" t="s">
        <v>130</v>
      </c>
      <c r="BE128" s="173">
        <f>IF($U$128="základní",$N$128,0)</f>
        <v>0</v>
      </c>
      <c r="BF128" s="173">
        <f>IF($U$128="snížená",$N$128,0)</f>
        <v>0</v>
      </c>
      <c r="BG128" s="173">
        <f>IF($U$128="zákl. přenesená",$N$128,0)</f>
        <v>0</v>
      </c>
      <c r="BH128" s="173">
        <f>IF($U$128="sníž. přenesená",$N$128,0)</f>
        <v>0</v>
      </c>
      <c r="BI128" s="173">
        <f>IF($U$128="nulová",$N$128,0)</f>
        <v>0</v>
      </c>
      <c r="BJ128" s="114" t="s">
        <v>17</v>
      </c>
      <c r="BK128" s="173">
        <f>ROUND($L$128*$K$128,2)</f>
        <v>0</v>
      </c>
      <c r="BL128" s="114" t="s">
        <v>135</v>
      </c>
    </row>
    <row r="129" spans="2:63" s="158" customFormat="1" ht="30.75" customHeight="1">
      <c r="B129" s="157"/>
      <c r="D129" s="166" t="s">
        <v>367</v>
      </c>
      <c r="N129" s="213">
        <f>$BK$129</f>
        <v>0</v>
      </c>
      <c r="O129" s="213"/>
      <c r="P129" s="213"/>
      <c r="Q129" s="213"/>
      <c r="R129" s="160"/>
      <c r="T129" s="161"/>
      <c r="W129" s="162">
        <f>SUM($W$130:$W$137)</f>
        <v>4.311999999999999</v>
      </c>
      <c r="Y129" s="162">
        <f>SUM($Y$130:$Y$137)</f>
        <v>0</v>
      </c>
      <c r="AA129" s="163">
        <f>SUM($AA$130:$AA$137)</f>
        <v>0</v>
      </c>
      <c r="AR129" s="164" t="s">
        <v>17</v>
      </c>
      <c r="AT129" s="164" t="s">
        <v>72</v>
      </c>
      <c r="AU129" s="164" t="s">
        <v>17</v>
      </c>
      <c r="AY129" s="164" t="s">
        <v>130</v>
      </c>
      <c r="BK129" s="165">
        <f>SUM($BK$130:$BK$137)</f>
        <v>0</v>
      </c>
    </row>
    <row r="130" spans="2:64" s="114" customFormat="1" ht="27" customHeight="1">
      <c r="B130" s="113"/>
      <c r="C130" s="167" t="s">
        <v>5</v>
      </c>
      <c r="D130" s="167" t="s">
        <v>131</v>
      </c>
      <c r="E130" s="168" t="s">
        <v>370</v>
      </c>
      <c r="F130" s="215" t="s">
        <v>371</v>
      </c>
      <c r="G130" s="215"/>
      <c r="H130" s="215"/>
      <c r="I130" s="215"/>
      <c r="J130" s="169" t="s">
        <v>211</v>
      </c>
      <c r="K130" s="170">
        <v>8</v>
      </c>
      <c r="L130" s="211"/>
      <c r="M130" s="211"/>
      <c r="N130" s="211">
        <f>ROUND($L$130*$K$130,2)</f>
        <v>0</v>
      </c>
      <c r="O130" s="211"/>
      <c r="P130" s="211"/>
      <c r="Q130" s="211"/>
      <c r="R130" s="116"/>
      <c r="T130" s="184"/>
      <c r="U130" s="185" t="s">
        <v>38</v>
      </c>
      <c r="V130" s="171">
        <v>0.09</v>
      </c>
      <c r="W130" s="171">
        <f>$V$130*$K$130</f>
        <v>0.72</v>
      </c>
      <c r="X130" s="171">
        <v>0</v>
      </c>
      <c r="Y130" s="171">
        <f>$X$130*$K$130</f>
        <v>0</v>
      </c>
      <c r="Z130" s="171">
        <v>0</v>
      </c>
      <c r="AA130" s="172">
        <f>$Z$130*$K$130</f>
        <v>0</v>
      </c>
      <c r="AR130" s="114" t="s">
        <v>135</v>
      </c>
      <c r="AT130" s="114" t="s">
        <v>131</v>
      </c>
      <c r="AU130" s="114" t="s">
        <v>93</v>
      </c>
      <c r="AY130" s="114" t="s">
        <v>130</v>
      </c>
      <c r="BE130" s="173">
        <f>IF($U$130="základní",$N$130,0)</f>
        <v>0</v>
      </c>
      <c r="BF130" s="173">
        <f>IF($U$130="snížená",$N$130,0)</f>
        <v>0</v>
      </c>
      <c r="BG130" s="173">
        <f>IF($U$130="zákl. přenesená",$N$130,0)</f>
        <v>0</v>
      </c>
      <c r="BH130" s="173">
        <f>IF($U$130="sníž. přenesená",$N$130,0)</f>
        <v>0</v>
      </c>
      <c r="BI130" s="173">
        <f>IF($U$130="nulová",$N$130,0)</f>
        <v>0</v>
      </c>
      <c r="BJ130" s="114" t="s">
        <v>17</v>
      </c>
      <c r="BK130" s="173">
        <f>ROUND($L$130*$K$130,2)</f>
        <v>0</v>
      </c>
      <c r="BL130" s="114" t="s">
        <v>135</v>
      </c>
    </row>
    <row r="131" spans="2:64" s="114" customFormat="1" ht="27" customHeight="1">
      <c r="B131" s="113"/>
      <c r="C131" s="167" t="s">
        <v>193</v>
      </c>
      <c r="D131" s="167" t="s">
        <v>131</v>
      </c>
      <c r="E131" s="168" t="s">
        <v>372</v>
      </c>
      <c r="F131" s="215" t="s">
        <v>373</v>
      </c>
      <c r="G131" s="215"/>
      <c r="H131" s="215"/>
      <c r="I131" s="215"/>
      <c r="J131" s="169" t="s">
        <v>211</v>
      </c>
      <c r="K131" s="170">
        <v>240</v>
      </c>
      <c r="L131" s="211"/>
      <c r="M131" s="211"/>
      <c r="N131" s="211">
        <f>ROUND($L$131*$K$131,2)</f>
        <v>0</v>
      </c>
      <c r="O131" s="211"/>
      <c r="P131" s="211"/>
      <c r="Q131" s="211"/>
      <c r="R131" s="116"/>
      <c r="T131" s="184"/>
      <c r="U131" s="185" t="s">
        <v>38</v>
      </c>
      <c r="V131" s="171">
        <v>0</v>
      </c>
      <c r="W131" s="171">
        <f>$V$131*$K$131</f>
        <v>0</v>
      </c>
      <c r="X131" s="171">
        <v>0</v>
      </c>
      <c r="Y131" s="171">
        <f>$X$131*$K$131</f>
        <v>0</v>
      </c>
      <c r="Z131" s="171">
        <v>0</v>
      </c>
      <c r="AA131" s="172">
        <f>$Z$131*$K$131</f>
        <v>0</v>
      </c>
      <c r="AR131" s="114" t="s">
        <v>135</v>
      </c>
      <c r="AT131" s="114" t="s">
        <v>131</v>
      </c>
      <c r="AU131" s="114" t="s">
        <v>93</v>
      </c>
      <c r="AY131" s="114" t="s">
        <v>130</v>
      </c>
      <c r="BE131" s="173">
        <f>IF($U$131="základní",$N$131,0)</f>
        <v>0</v>
      </c>
      <c r="BF131" s="173">
        <f>IF($U$131="snížená",$N$131,0)</f>
        <v>0</v>
      </c>
      <c r="BG131" s="173">
        <f>IF($U$131="zákl. přenesená",$N$131,0)</f>
        <v>0</v>
      </c>
      <c r="BH131" s="173">
        <f>IF($U$131="sníž. přenesená",$N$131,0)</f>
        <v>0</v>
      </c>
      <c r="BI131" s="173">
        <f>IF($U$131="nulová",$N$131,0)</f>
        <v>0</v>
      </c>
      <c r="BJ131" s="114" t="s">
        <v>17</v>
      </c>
      <c r="BK131" s="173">
        <f>ROUND($L$131*$K$131,2)</f>
        <v>0</v>
      </c>
      <c r="BL131" s="114" t="s">
        <v>135</v>
      </c>
    </row>
    <row r="132" spans="2:64" s="114" customFormat="1" ht="27" customHeight="1">
      <c r="B132" s="113"/>
      <c r="C132" s="167" t="s">
        <v>196</v>
      </c>
      <c r="D132" s="167" t="s">
        <v>131</v>
      </c>
      <c r="E132" s="168" t="s">
        <v>374</v>
      </c>
      <c r="F132" s="215" t="s">
        <v>375</v>
      </c>
      <c r="G132" s="215"/>
      <c r="H132" s="215"/>
      <c r="I132" s="215"/>
      <c r="J132" s="169" t="s">
        <v>211</v>
      </c>
      <c r="K132" s="170">
        <v>10</v>
      </c>
      <c r="L132" s="211"/>
      <c r="M132" s="211"/>
      <c r="N132" s="211">
        <f>ROUND($L$132*$K$132,2)</f>
        <v>0</v>
      </c>
      <c r="O132" s="211"/>
      <c r="P132" s="211"/>
      <c r="Q132" s="211"/>
      <c r="R132" s="116"/>
      <c r="T132" s="184"/>
      <c r="U132" s="185" t="s">
        <v>38</v>
      </c>
      <c r="V132" s="171">
        <v>0.174</v>
      </c>
      <c r="W132" s="171">
        <f>$V$132*$K$132</f>
        <v>1.7399999999999998</v>
      </c>
      <c r="X132" s="171">
        <v>0</v>
      </c>
      <c r="Y132" s="171">
        <f>$X$132*$K$132</f>
        <v>0</v>
      </c>
      <c r="Z132" s="171">
        <v>0</v>
      </c>
      <c r="AA132" s="172">
        <f>$Z$132*$K$132</f>
        <v>0</v>
      </c>
      <c r="AR132" s="114" t="s">
        <v>135</v>
      </c>
      <c r="AT132" s="114" t="s">
        <v>131</v>
      </c>
      <c r="AU132" s="114" t="s">
        <v>93</v>
      </c>
      <c r="AY132" s="114" t="s">
        <v>130</v>
      </c>
      <c r="BE132" s="173">
        <f>IF($U$132="základní",$N$132,0)</f>
        <v>0</v>
      </c>
      <c r="BF132" s="173">
        <f>IF($U$132="snížená",$N$132,0)</f>
        <v>0</v>
      </c>
      <c r="BG132" s="173">
        <f>IF($U$132="zákl. přenesená",$N$132,0)</f>
        <v>0</v>
      </c>
      <c r="BH132" s="173">
        <f>IF($U$132="sníž. přenesená",$N$132,0)</f>
        <v>0</v>
      </c>
      <c r="BI132" s="173">
        <f>IF($U$132="nulová",$N$132,0)</f>
        <v>0</v>
      </c>
      <c r="BJ132" s="114" t="s">
        <v>17</v>
      </c>
      <c r="BK132" s="173">
        <f>ROUND($L$132*$K$132,2)</f>
        <v>0</v>
      </c>
      <c r="BL132" s="114" t="s">
        <v>135</v>
      </c>
    </row>
    <row r="133" spans="2:64" s="114" customFormat="1" ht="27" customHeight="1">
      <c r="B133" s="113"/>
      <c r="C133" s="167" t="s">
        <v>199</v>
      </c>
      <c r="D133" s="167" t="s">
        <v>131</v>
      </c>
      <c r="E133" s="168" t="s">
        <v>376</v>
      </c>
      <c r="F133" s="215" t="s">
        <v>377</v>
      </c>
      <c r="G133" s="215"/>
      <c r="H133" s="215"/>
      <c r="I133" s="215"/>
      <c r="J133" s="169" t="s">
        <v>211</v>
      </c>
      <c r="K133" s="170">
        <v>300</v>
      </c>
      <c r="L133" s="211"/>
      <c r="M133" s="211"/>
      <c r="N133" s="211">
        <f>ROUND($L$133*$K$133,2)</f>
        <v>0</v>
      </c>
      <c r="O133" s="211"/>
      <c r="P133" s="211"/>
      <c r="Q133" s="211"/>
      <c r="R133" s="116"/>
      <c r="T133" s="184"/>
      <c r="U133" s="185" t="s">
        <v>38</v>
      </c>
      <c r="V133" s="171">
        <v>0</v>
      </c>
      <c r="W133" s="171">
        <f>$V$133*$K$133</f>
        <v>0</v>
      </c>
      <c r="X133" s="171">
        <v>0</v>
      </c>
      <c r="Y133" s="171">
        <f>$X$133*$K$133</f>
        <v>0</v>
      </c>
      <c r="Z133" s="171">
        <v>0</v>
      </c>
      <c r="AA133" s="172">
        <f>$Z$133*$K$133</f>
        <v>0</v>
      </c>
      <c r="AR133" s="114" t="s">
        <v>135</v>
      </c>
      <c r="AT133" s="114" t="s">
        <v>131</v>
      </c>
      <c r="AU133" s="114" t="s">
        <v>93</v>
      </c>
      <c r="AY133" s="114" t="s">
        <v>130</v>
      </c>
      <c r="BE133" s="173">
        <f>IF($U$133="základní",$N$133,0)</f>
        <v>0</v>
      </c>
      <c r="BF133" s="173">
        <f>IF($U$133="snížená",$N$133,0)</f>
        <v>0</v>
      </c>
      <c r="BG133" s="173">
        <f>IF($U$133="zákl. přenesená",$N$133,0)</f>
        <v>0</v>
      </c>
      <c r="BH133" s="173">
        <f>IF($U$133="sníž. přenesená",$N$133,0)</f>
        <v>0</v>
      </c>
      <c r="BI133" s="173">
        <f>IF($U$133="nulová",$N$133,0)</f>
        <v>0</v>
      </c>
      <c r="BJ133" s="114" t="s">
        <v>17</v>
      </c>
      <c r="BK133" s="173">
        <f>ROUND($L$133*$K$133,2)</f>
        <v>0</v>
      </c>
      <c r="BL133" s="114" t="s">
        <v>135</v>
      </c>
    </row>
    <row r="134" spans="2:64" s="114" customFormat="1" ht="27" customHeight="1">
      <c r="B134" s="113"/>
      <c r="C134" s="167" t="s">
        <v>202</v>
      </c>
      <c r="D134" s="167" t="s">
        <v>131</v>
      </c>
      <c r="E134" s="168" t="s">
        <v>378</v>
      </c>
      <c r="F134" s="215" t="s">
        <v>379</v>
      </c>
      <c r="G134" s="215"/>
      <c r="H134" s="215"/>
      <c r="I134" s="215"/>
      <c r="J134" s="169" t="s">
        <v>211</v>
      </c>
      <c r="K134" s="170">
        <v>4</v>
      </c>
      <c r="L134" s="211"/>
      <c r="M134" s="211"/>
      <c r="N134" s="211">
        <f>ROUND($L$134*$K$134,2)</f>
        <v>0</v>
      </c>
      <c r="O134" s="211"/>
      <c r="P134" s="211"/>
      <c r="Q134" s="211"/>
      <c r="R134" s="116"/>
      <c r="T134" s="184"/>
      <c r="U134" s="185" t="s">
        <v>38</v>
      </c>
      <c r="V134" s="171">
        <v>0.2</v>
      </c>
      <c r="W134" s="171">
        <f>$V$134*$K$134</f>
        <v>0.8</v>
      </c>
      <c r="X134" s="171">
        <v>0</v>
      </c>
      <c r="Y134" s="171">
        <f>$X$134*$K$134</f>
        <v>0</v>
      </c>
      <c r="Z134" s="171">
        <v>0</v>
      </c>
      <c r="AA134" s="172">
        <f>$Z$134*$K$134</f>
        <v>0</v>
      </c>
      <c r="AR134" s="114" t="s">
        <v>135</v>
      </c>
      <c r="AT134" s="114" t="s">
        <v>131</v>
      </c>
      <c r="AU134" s="114" t="s">
        <v>93</v>
      </c>
      <c r="AY134" s="114" t="s">
        <v>130</v>
      </c>
      <c r="BE134" s="173">
        <f>IF($U$134="základní",$N$134,0)</f>
        <v>0</v>
      </c>
      <c r="BF134" s="173">
        <f>IF($U$134="snížená",$N$134,0)</f>
        <v>0</v>
      </c>
      <c r="BG134" s="173">
        <f>IF($U$134="zákl. přenesená",$N$134,0)</f>
        <v>0</v>
      </c>
      <c r="BH134" s="173">
        <f>IF($U$134="sníž. přenesená",$N$134,0)</f>
        <v>0</v>
      </c>
      <c r="BI134" s="173">
        <f>IF($U$134="nulová",$N$134,0)</f>
        <v>0</v>
      </c>
      <c r="BJ134" s="114" t="s">
        <v>17</v>
      </c>
      <c r="BK134" s="173">
        <f>ROUND($L$134*$K$134,2)</f>
        <v>0</v>
      </c>
      <c r="BL134" s="114" t="s">
        <v>135</v>
      </c>
    </row>
    <row r="135" spans="2:64" s="114" customFormat="1" ht="27" customHeight="1">
      <c r="B135" s="113"/>
      <c r="C135" s="167" t="s">
        <v>205</v>
      </c>
      <c r="D135" s="167" t="s">
        <v>131</v>
      </c>
      <c r="E135" s="168" t="s">
        <v>380</v>
      </c>
      <c r="F135" s="215" t="s">
        <v>381</v>
      </c>
      <c r="G135" s="215"/>
      <c r="H135" s="215"/>
      <c r="I135" s="215"/>
      <c r="J135" s="169" t="s">
        <v>211</v>
      </c>
      <c r="K135" s="170">
        <v>120</v>
      </c>
      <c r="L135" s="211"/>
      <c r="M135" s="211"/>
      <c r="N135" s="211">
        <f>ROUND($L$135*$K$135,2)</f>
        <v>0</v>
      </c>
      <c r="O135" s="211"/>
      <c r="P135" s="211"/>
      <c r="Q135" s="211"/>
      <c r="R135" s="116"/>
      <c r="T135" s="184"/>
      <c r="U135" s="185" t="s">
        <v>38</v>
      </c>
      <c r="V135" s="171">
        <v>0</v>
      </c>
      <c r="W135" s="171">
        <f>$V$135*$K$135</f>
        <v>0</v>
      </c>
      <c r="X135" s="171">
        <v>0</v>
      </c>
      <c r="Y135" s="171">
        <f>$X$135*$K$135</f>
        <v>0</v>
      </c>
      <c r="Z135" s="171">
        <v>0</v>
      </c>
      <c r="AA135" s="172">
        <f>$Z$135*$K$135</f>
        <v>0</v>
      </c>
      <c r="AR135" s="114" t="s">
        <v>135</v>
      </c>
      <c r="AT135" s="114" t="s">
        <v>131</v>
      </c>
      <c r="AU135" s="114" t="s">
        <v>93</v>
      </c>
      <c r="AY135" s="114" t="s">
        <v>130</v>
      </c>
      <c r="BE135" s="173">
        <f>IF($U$135="základní",$N$135,0)</f>
        <v>0</v>
      </c>
      <c r="BF135" s="173">
        <f>IF($U$135="snížená",$N$135,0)</f>
        <v>0</v>
      </c>
      <c r="BG135" s="173">
        <f>IF($U$135="zákl. přenesená",$N$135,0)</f>
        <v>0</v>
      </c>
      <c r="BH135" s="173">
        <f>IF($U$135="sníž. přenesená",$N$135,0)</f>
        <v>0</v>
      </c>
      <c r="BI135" s="173">
        <f>IF($U$135="nulová",$N$135,0)</f>
        <v>0</v>
      </c>
      <c r="BJ135" s="114" t="s">
        <v>17</v>
      </c>
      <c r="BK135" s="173">
        <f>ROUND($L$135*$K$135,2)</f>
        <v>0</v>
      </c>
      <c r="BL135" s="114" t="s">
        <v>135</v>
      </c>
    </row>
    <row r="136" spans="2:64" s="114" customFormat="1" ht="27" customHeight="1">
      <c r="B136" s="113"/>
      <c r="C136" s="167" t="s">
        <v>208</v>
      </c>
      <c r="D136" s="167" t="s">
        <v>131</v>
      </c>
      <c r="E136" s="168" t="s">
        <v>382</v>
      </c>
      <c r="F136" s="215" t="s">
        <v>383</v>
      </c>
      <c r="G136" s="215"/>
      <c r="H136" s="215"/>
      <c r="I136" s="215"/>
      <c r="J136" s="169" t="s">
        <v>211</v>
      </c>
      <c r="K136" s="170">
        <v>2</v>
      </c>
      <c r="L136" s="211"/>
      <c r="M136" s="211"/>
      <c r="N136" s="211">
        <f>ROUND($L$136*$K$136,2)</f>
        <v>0</v>
      </c>
      <c r="O136" s="211"/>
      <c r="P136" s="211"/>
      <c r="Q136" s="211"/>
      <c r="R136" s="116"/>
      <c r="T136" s="184"/>
      <c r="U136" s="185" t="s">
        <v>38</v>
      </c>
      <c r="V136" s="171">
        <v>0.526</v>
      </c>
      <c r="W136" s="171">
        <f>$V$136*$K$136</f>
        <v>1.052</v>
      </c>
      <c r="X136" s="171">
        <v>0</v>
      </c>
      <c r="Y136" s="171">
        <f>$X$136*$K$136</f>
        <v>0</v>
      </c>
      <c r="Z136" s="171">
        <v>0</v>
      </c>
      <c r="AA136" s="172">
        <f>$Z$136*$K$136</f>
        <v>0</v>
      </c>
      <c r="AR136" s="114" t="s">
        <v>135</v>
      </c>
      <c r="AT136" s="114" t="s">
        <v>131</v>
      </c>
      <c r="AU136" s="114" t="s">
        <v>93</v>
      </c>
      <c r="AY136" s="114" t="s">
        <v>130</v>
      </c>
      <c r="BE136" s="173">
        <f>IF($U$136="základní",$N$136,0)</f>
        <v>0</v>
      </c>
      <c r="BF136" s="173">
        <f>IF($U$136="snížená",$N$136,0)</f>
        <v>0</v>
      </c>
      <c r="BG136" s="173">
        <f>IF($U$136="zákl. přenesená",$N$136,0)</f>
        <v>0</v>
      </c>
      <c r="BH136" s="173">
        <f>IF($U$136="sníž. přenesená",$N$136,0)</f>
        <v>0</v>
      </c>
      <c r="BI136" s="173">
        <f>IF($U$136="nulová",$N$136,0)</f>
        <v>0</v>
      </c>
      <c r="BJ136" s="114" t="s">
        <v>17</v>
      </c>
      <c r="BK136" s="173">
        <f>ROUND($L$136*$K$136,2)</f>
        <v>0</v>
      </c>
      <c r="BL136" s="114" t="s">
        <v>135</v>
      </c>
    </row>
    <row r="137" spans="2:64" s="114" customFormat="1" ht="27" customHeight="1">
      <c r="B137" s="113"/>
      <c r="C137" s="167" t="s">
        <v>212</v>
      </c>
      <c r="D137" s="167" t="s">
        <v>131</v>
      </c>
      <c r="E137" s="168" t="s">
        <v>384</v>
      </c>
      <c r="F137" s="215" t="s">
        <v>385</v>
      </c>
      <c r="G137" s="215"/>
      <c r="H137" s="215"/>
      <c r="I137" s="215"/>
      <c r="J137" s="169" t="s">
        <v>211</v>
      </c>
      <c r="K137" s="170">
        <v>60</v>
      </c>
      <c r="L137" s="211"/>
      <c r="M137" s="211"/>
      <c r="N137" s="211">
        <f>ROUND($L$137*$K$137,2)</f>
        <v>0</v>
      </c>
      <c r="O137" s="211"/>
      <c r="P137" s="211"/>
      <c r="Q137" s="211"/>
      <c r="R137" s="116"/>
      <c r="T137" s="184"/>
      <c r="U137" s="185" t="s">
        <v>38</v>
      </c>
      <c r="V137" s="171">
        <v>0</v>
      </c>
      <c r="W137" s="171">
        <f>$V$137*$K$137</f>
        <v>0</v>
      </c>
      <c r="X137" s="171">
        <v>0</v>
      </c>
      <c r="Y137" s="171">
        <f>$X$137*$K$137</f>
        <v>0</v>
      </c>
      <c r="Z137" s="171">
        <v>0</v>
      </c>
      <c r="AA137" s="172">
        <f>$Z$137*$K$137</f>
        <v>0</v>
      </c>
      <c r="AR137" s="114" t="s">
        <v>135</v>
      </c>
      <c r="AT137" s="114" t="s">
        <v>131</v>
      </c>
      <c r="AU137" s="114" t="s">
        <v>93</v>
      </c>
      <c r="AY137" s="114" t="s">
        <v>130</v>
      </c>
      <c r="BE137" s="173">
        <f>IF($U$137="základní",$N$137,0)</f>
        <v>0</v>
      </c>
      <c r="BF137" s="173">
        <f>IF($U$137="snížená",$N$137,0)</f>
        <v>0</v>
      </c>
      <c r="BG137" s="173">
        <f>IF($U$137="zákl. přenesená",$N$137,0)</f>
        <v>0</v>
      </c>
      <c r="BH137" s="173">
        <f>IF($U$137="sníž. přenesená",$N$137,0)</f>
        <v>0</v>
      </c>
      <c r="BI137" s="173">
        <f>IF($U$137="nulová",$N$137,0)</f>
        <v>0</v>
      </c>
      <c r="BJ137" s="114" t="s">
        <v>17</v>
      </c>
      <c r="BK137" s="173">
        <f>ROUND($L$137*$K$137,2)</f>
        <v>0</v>
      </c>
      <c r="BL137" s="114" t="s">
        <v>135</v>
      </c>
    </row>
    <row r="138" spans="2:63" s="158" customFormat="1" ht="30.75" customHeight="1">
      <c r="B138" s="157"/>
      <c r="D138" s="166" t="s">
        <v>368</v>
      </c>
      <c r="N138" s="213">
        <f>$BK$138</f>
        <v>0</v>
      </c>
      <c r="O138" s="213"/>
      <c r="P138" s="213"/>
      <c r="Q138" s="213"/>
      <c r="R138" s="160"/>
      <c r="T138" s="161"/>
      <c r="W138" s="162">
        <f>SUM($W$139:$W$150)</f>
        <v>6.296</v>
      </c>
      <c r="Y138" s="162">
        <f>SUM($Y$139:$Y$150)</f>
        <v>0</v>
      </c>
      <c r="AA138" s="163">
        <f>SUM($AA$139:$AA$150)</f>
        <v>0</v>
      </c>
      <c r="AR138" s="164" t="s">
        <v>17</v>
      </c>
      <c r="AT138" s="164" t="s">
        <v>72</v>
      </c>
      <c r="AU138" s="164" t="s">
        <v>17</v>
      </c>
      <c r="AY138" s="164" t="s">
        <v>130</v>
      </c>
      <c r="BK138" s="165">
        <f>SUM($BK$139:$BK$150)</f>
        <v>0</v>
      </c>
    </row>
    <row r="139" spans="2:64" s="114" customFormat="1" ht="27" customHeight="1">
      <c r="B139" s="113"/>
      <c r="C139" s="167" t="s">
        <v>215</v>
      </c>
      <c r="D139" s="167" t="s">
        <v>131</v>
      </c>
      <c r="E139" s="168" t="s">
        <v>370</v>
      </c>
      <c r="F139" s="215" t="s">
        <v>371</v>
      </c>
      <c r="G139" s="215"/>
      <c r="H139" s="215"/>
      <c r="I139" s="215"/>
      <c r="J139" s="169" t="s">
        <v>211</v>
      </c>
      <c r="K139" s="170">
        <v>4</v>
      </c>
      <c r="L139" s="211"/>
      <c r="M139" s="211"/>
      <c r="N139" s="211">
        <f>ROUND($L$139*$K$139,2)</f>
        <v>0</v>
      </c>
      <c r="O139" s="211"/>
      <c r="P139" s="211"/>
      <c r="Q139" s="211"/>
      <c r="R139" s="116"/>
      <c r="T139" s="184"/>
      <c r="U139" s="185" t="s">
        <v>38</v>
      </c>
      <c r="V139" s="171">
        <v>0.09</v>
      </c>
      <c r="W139" s="171">
        <f>$V$139*$K$139</f>
        <v>0.36</v>
      </c>
      <c r="X139" s="171">
        <v>0</v>
      </c>
      <c r="Y139" s="171">
        <f>$X$139*$K$139</f>
        <v>0</v>
      </c>
      <c r="Z139" s="171">
        <v>0</v>
      </c>
      <c r="AA139" s="172">
        <f>$Z$139*$K$139</f>
        <v>0</v>
      </c>
      <c r="AR139" s="114" t="s">
        <v>135</v>
      </c>
      <c r="AT139" s="114" t="s">
        <v>131</v>
      </c>
      <c r="AU139" s="114" t="s">
        <v>93</v>
      </c>
      <c r="AY139" s="114" t="s">
        <v>130</v>
      </c>
      <c r="BE139" s="173">
        <f>IF($U$139="základní",$N$139,0)</f>
        <v>0</v>
      </c>
      <c r="BF139" s="173">
        <f>IF($U$139="snížená",$N$139,0)</f>
        <v>0</v>
      </c>
      <c r="BG139" s="173">
        <f>IF($U$139="zákl. přenesená",$N$139,0)</f>
        <v>0</v>
      </c>
      <c r="BH139" s="173">
        <f>IF($U$139="sníž. přenesená",$N$139,0)</f>
        <v>0</v>
      </c>
      <c r="BI139" s="173">
        <f>IF($U$139="nulová",$N$139,0)</f>
        <v>0</v>
      </c>
      <c r="BJ139" s="114" t="s">
        <v>17</v>
      </c>
      <c r="BK139" s="173">
        <f>ROUND($L$139*$K$139,2)</f>
        <v>0</v>
      </c>
      <c r="BL139" s="114" t="s">
        <v>135</v>
      </c>
    </row>
    <row r="140" spans="2:64" s="114" customFormat="1" ht="27" customHeight="1">
      <c r="B140" s="113"/>
      <c r="C140" s="167" t="s">
        <v>218</v>
      </c>
      <c r="D140" s="167" t="s">
        <v>131</v>
      </c>
      <c r="E140" s="168" t="s">
        <v>372</v>
      </c>
      <c r="F140" s="215" t="s">
        <v>373</v>
      </c>
      <c r="G140" s="215"/>
      <c r="H140" s="215"/>
      <c r="I140" s="215"/>
      <c r="J140" s="169" t="s">
        <v>211</v>
      </c>
      <c r="K140" s="170">
        <v>120</v>
      </c>
      <c r="L140" s="211"/>
      <c r="M140" s="211"/>
      <c r="N140" s="211">
        <f>ROUND($L$140*$K$140,2)</f>
        <v>0</v>
      </c>
      <c r="O140" s="211"/>
      <c r="P140" s="211"/>
      <c r="Q140" s="211"/>
      <c r="R140" s="116"/>
      <c r="T140" s="184"/>
      <c r="U140" s="185" t="s">
        <v>38</v>
      </c>
      <c r="V140" s="171">
        <v>0</v>
      </c>
      <c r="W140" s="171">
        <f>$V$140*$K$140</f>
        <v>0</v>
      </c>
      <c r="X140" s="171">
        <v>0</v>
      </c>
      <c r="Y140" s="171">
        <f>$X$140*$K$140</f>
        <v>0</v>
      </c>
      <c r="Z140" s="171">
        <v>0</v>
      </c>
      <c r="AA140" s="172">
        <f>$Z$140*$K$140</f>
        <v>0</v>
      </c>
      <c r="AR140" s="114" t="s">
        <v>135</v>
      </c>
      <c r="AT140" s="114" t="s">
        <v>131</v>
      </c>
      <c r="AU140" s="114" t="s">
        <v>93</v>
      </c>
      <c r="AY140" s="114" t="s">
        <v>130</v>
      </c>
      <c r="BE140" s="173">
        <f>IF($U$140="základní",$N$140,0)</f>
        <v>0</v>
      </c>
      <c r="BF140" s="173">
        <f>IF($U$140="snížená",$N$140,0)</f>
        <v>0</v>
      </c>
      <c r="BG140" s="173">
        <f>IF($U$140="zákl. přenesená",$N$140,0)</f>
        <v>0</v>
      </c>
      <c r="BH140" s="173">
        <f>IF($U$140="sníž. přenesená",$N$140,0)</f>
        <v>0</v>
      </c>
      <c r="BI140" s="173">
        <f>IF($U$140="nulová",$N$140,0)</f>
        <v>0</v>
      </c>
      <c r="BJ140" s="114" t="s">
        <v>17</v>
      </c>
      <c r="BK140" s="173">
        <f>ROUND($L$140*$K$140,2)</f>
        <v>0</v>
      </c>
      <c r="BL140" s="114" t="s">
        <v>135</v>
      </c>
    </row>
    <row r="141" spans="2:64" s="114" customFormat="1" ht="27" customHeight="1">
      <c r="B141" s="113"/>
      <c r="C141" s="167" t="s">
        <v>221</v>
      </c>
      <c r="D141" s="167" t="s">
        <v>131</v>
      </c>
      <c r="E141" s="168" t="s">
        <v>374</v>
      </c>
      <c r="F141" s="215" t="s">
        <v>375</v>
      </c>
      <c r="G141" s="215"/>
      <c r="H141" s="215"/>
      <c r="I141" s="215"/>
      <c r="J141" s="169" t="s">
        <v>211</v>
      </c>
      <c r="K141" s="170">
        <v>14</v>
      </c>
      <c r="L141" s="211"/>
      <c r="M141" s="211"/>
      <c r="N141" s="211">
        <f>ROUND($L$141*$K$141,2)</f>
        <v>0</v>
      </c>
      <c r="O141" s="211"/>
      <c r="P141" s="211"/>
      <c r="Q141" s="211"/>
      <c r="R141" s="116"/>
      <c r="T141" s="184"/>
      <c r="U141" s="185" t="s">
        <v>38</v>
      </c>
      <c r="V141" s="171">
        <v>0.174</v>
      </c>
      <c r="W141" s="171">
        <f>$V$141*$K$141</f>
        <v>2.436</v>
      </c>
      <c r="X141" s="171">
        <v>0</v>
      </c>
      <c r="Y141" s="171">
        <f>$X$141*$K$141</f>
        <v>0</v>
      </c>
      <c r="Z141" s="171">
        <v>0</v>
      </c>
      <c r="AA141" s="172">
        <f>$Z$141*$K$141</f>
        <v>0</v>
      </c>
      <c r="AR141" s="114" t="s">
        <v>135</v>
      </c>
      <c r="AT141" s="114" t="s">
        <v>131</v>
      </c>
      <c r="AU141" s="114" t="s">
        <v>93</v>
      </c>
      <c r="AY141" s="114" t="s">
        <v>130</v>
      </c>
      <c r="BE141" s="173">
        <f>IF($U$141="základní",$N$141,0)</f>
        <v>0</v>
      </c>
      <c r="BF141" s="173">
        <f>IF($U$141="snížená",$N$141,0)</f>
        <v>0</v>
      </c>
      <c r="BG141" s="173">
        <f>IF($U$141="zákl. přenesená",$N$141,0)</f>
        <v>0</v>
      </c>
      <c r="BH141" s="173">
        <f>IF($U$141="sníž. přenesená",$N$141,0)</f>
        <v>0</v>
      </c>
      <c r="BI141" s="173">
        <f>IF($U$141="nulová",$N$141,0)</f>
        <v>0</v>
      </c>
      <c r="BJ141" s="114" t="s">
        <v>17</v>
      </c>
      <c r="BK141" s="173">
        <f>ROUND($L$141*$K$141,2)</f>
        <v>0</v>
      </c>
      <c r="BL141" s="114" t="s">
        <v>135</v>
      </c>
    </row>
    <row r="142" spans="2:64" s="114" customFormat="1" ht="27" customHeight="1">
      <c r="B142" s="113"/>
      <c r="C142" s="167" t="s">
        <v>224</v>
      </c>
      <c r="D142" s="167" t="s">
        <v>131</v>
      </c>
      <c r="E142" s="168" t="s">
        <v>376</v>
      </c>
      <c r="F142" s="215" t="s">
        <v>377</v>
      </c>
      <c r="G142" s="215"/>
      <c r="H142" s="215"/>
      <c r="I142" s="215"/>
      <c r="J142" s="169" t="s">
        <v>211</v>
      </c>
      <c r="K142" s="170">
        <v>420</v>
      </c>
      <c r="L142" s="211"/>
      <c r="M142" s="211"/>
      <c r="N142" s="211">
        <f>ROUND($L$142*$K$142,2)</f>
        <v>0</v>
      </c>
      <c r="O142" s="211"/>
      <c r="P142" s="211"/>
      <c r="Q142" s="211"/>
      <c r="R142" s="116"/>
      <c r="T142" s="184"/>
      <c r="U142" s="185" t="s">
        <v>38</v>
      </c>
      <c r="V142" s="171">
        <v>0</v>
      </c>
      <c r="W142" s="171">
        <f>$V$142*$K$142</f>
        <v>0</v>
      </c>
      <c r="X142" s="171">
        <v>0</v>
      </c>
      <c r="Y142" s="171">
        <f>$X$142*$K$142</f>
        <v>0</v>
      </c>
      <c r="Z142" s="171">
        <v>0</v>
      </c>
      <c r="AA142" s="172">
        <f>$Z$142*$K$142</f>
        <v>0</v>
      </c>
      <c r="AR142" s="114" t="s">
        <v>135</v>
      </c>
      <c r="AT142" s="114" t="s">
        <v>131</v>
      </c>
      <c r="AU142" s="114" t="s">
        <v>93</v>
      </c>
      <c r="AY142" s="114" t="s">
        <v>130</v>
      </c>
      <c r="BE142" s="173">
        <f>IF($U$142="základní",$N$142,0)</f>
        <v>0</v>
      </c>
      <c r="BF142" s="173">
        <f>IF($U$142="snížená",$N$142,0)</f>
        <v>0</v>
      </c>
      <c r="BG142" s="173">
        <f>IF($U$142="zákl. přenesená",$N$142,0)</f>
        <v>0</v>
      </c>
      <c r="BH142" s="173">
        <f>IF($U$142="sníž. přenesená",$N$142,0)</f>
        <v>0</v>
      </c>
      <c r="BI142" s="173">
        <f>IF($U$142="nulová",$N$142,0)</f>
        <v>0</v>
      </c>
      <c r="BJ142" s="114" t="s">
        <v>17</v>
      </c>
      <c r="BK142" s="173">
        <f>ROUND($L$142*$K$142,2)</f>
        <v>0</v>
      </c>
      <c r="BL142" s="114" t="s">
        <v>135</v>
      </c>
    </row>
    <row r="143" spans="2:64" s="114" customFormat="1" ht="27" customHeight="1">
      <c r="B143" s="113"/>
      <c r="C143" s="167" t="s">
        <v>227</v>
      </c>
      <c r="D143" s="167" t="s">
        <v>131</v>
      </c>
      <c r="E143" s="168" t="s">
        <v>378</v>
      </c>
      <c r="F143" s="215" t="s">
        <v>379</v>
      </c>
      <c r="G143" s="215"/>
      <c r="H143" s="215"/>
      <c r="I143" s="215"/>
      <c r="J143" s="169" t="s">
        <v>211</v>
      </c>
      <c r="K143" s="170">
        <v>4</v>
      </c>
      <c r="L143" s="211"/>
      <c r="M143" s="211"/>
      <c r="N143" s="211">
        <f>ROUND($L$143*$K$143,2)</f>
        <v>0</v>
      </c>
      <c r="O143" s="211"/>
      <c r="P143" s="211"/>
      <c r="Q143" s="211"/>
      <c r="R143" s="116"/>
      <c r="T143" s="184"/>
      <c r="U143" s="185" t="s">
        <v>38</v>
      </c>
      <c r="V143" s="171">
        <v>0.2</v>
      </c>
      <c r="W143" s="171">
        <f>$V$143*$K$143</f>
        <v>0.8</v>
      </c>
      <c r="X143" s="171">
        <v>0</v>
      </c>
      <c r="Y143" s="171">
        <f>$X$143*$K$143</f>
        <v>0</v>
      </c>
      <c r="Z143" s="171">
        <v>0</v>
      </c>
      <c r="AA143" s="172">
        <f>$Z$143*$K$143</f>
        <v>0</v>
      </c>
      <c r="AR143" s="114" t="s">
        <v>135</v>
      </c>
      <c r="AT143" s="114" t="s">
        <v>131</v>
      </c>
      <c r="AU143" s="114" t="s">
        <v>93</v>
      </c>
      <c r="AY143" s="114" t="s">
        <v>130</v>
      </c>
      <c r="BE143" s="173">
        <f>IF($U$143="základní",$N$143,0)</f>
        <v>0</v>
      </c>
      <c r="BF143" s="173">
        <f>IF($U$143="snížená",$N$143,0)</f>
        <v>0</v>
      </c>
      <c r="BG143" s="173">
        <f>IF($U$143="zákl. přenesená",$N$143,0)</f>
        <v>0</v>
      </c>
      <c r="BH143" s="173">
        <f>IF($U$143="sníž. přenesená",$N$143,0)</f>
        <v>0</v>
      </c>
      <c r="BI143" s="173">
        <f>IF($U$143="nulová",$N$143,0)</f>
        <v>0</v>
      </c>
      <c r="BJ143" s="114" t="s">
        <v>17</v>
      </c>
      <c r="BK143" s="173">
        <f>ROUND($L$143*$K$143,2)</f>
        <v>0</v>
      </c>
      <c r="BL143" s="114" t="s">
        <v>135</v>
      </c>
    </row>
    <row r="144" spans="2:64" s="114" customFormat="1" ht="27" customHeight="1">
      <c r="B144" s="113"/>
      <c r="C144" s="167" t="s">
        <v>230</v>
      </c>
      <c r="D144" s="167" t="s">
        <v>131</v>
      </c>
      <c r="E144" s="168" t="s">
        <v>380</v>
      </c>
      <c r="F144" s="215" t="s">
        <v>381</v>
      </c>
      <c r="G144" s="215"/>
      <c r="H144" s="215"/>
      <c r="I144" s="215"/>
      <c r="J144" s="169" t="s">
        <v>211</v>
      </c>
      <c r="K144" s="170">
        <v>120</v>
      </c>
      <c r="L144" s="211"/>
      <c r="M144" s="211"/>
      <c r="N144" s="211">
        <f>ROUND($L$144*$K$144,2)</f>
        <v>0</v>
      </c>
      <c r="O144" s="211"/>
      <c r="P144" s="211"/>
      <c r="Q144" s="211"/>
      <c r="R144" s="116"/>
      <c r="T144" s="184"/>
      <c r="U144" s="185" t="s">
        <v>38</v>
      </c>
      <c r="V144" s="171">
        <v>0</v>
      </c>
      <c r="W144" s="171">
        <f>$V$144*$K$144</f>
        <v>0</v>
      </c>
      <c r="X144" s="171">
        <v>0</v>
      </c>
      <c r="Y144" s="171">
        <f>$X$144*$K$144</f>
        <v>0</v>
      </c>
      <c r="Z144" s="171">
        <v>0</v>
      </c>
      <c r="AA144" s="172">
        <f>$Z$144*$K$144</f>
        <v>0</v>
      </c>
      <c r="AR144" s="114" t="s">
        <v>135</v>
      </c>
      <c r="AT144" s="114" t="s">
        <v>131</v>
      </c>
      <c r="AU144" s="114" t="s">
        <v>93</v>
      </c>
      <c r="AY144" s="114" t="s">
        <v>130</v>
      </c>
      <c r="BE144" s="173">
        <f>IF($U$144="základní",$N$144,0)</f>
        <v>0</v>
      </c>
      <c r="BF144" s="173">
        <f>IF($U$144="snížená",$N$144,0)</f>
        <v>0</v>
      </c>
      <c r="BG144" s="173">
        <f>IF($U$144="zákl. přenesená",$N$144,0)</f>
        <v>0</v>
      </c>
      <c r="BH144" s="173">
        <f>IF($U$144="sníž. přenesená",$N$144,0)</f>
        <v>0</v>
      </c>
      <c r="BI144" s="173">
        <f>IF($U$144="nulová",$N$144,0)</f>
        <v>0</v>
      </c>
      <c r="BJ144" s="114" t="s">
        <v>17</v>
      </c>
      <c r="BK144" s="173">
        <f>ROUND($L$144*$K$144,2)</f>
        <v>0</v>
      </c>
      <c r="BL144" s="114" t="s">
        <v>135</v>
      </c>
    </row>
    <row r="145" spans="2:64" s="114" customFormat="1" ht="27" customHeight="1">
      <c r="B145" s="113"/>
      <c r="C145" s="167" t="s">
        <v>233</v>
      </c>
      <c r="D145" s="167" t="s">
        <v>131</v>
      </c>
      <c r="E145" s="168" t="s">
        <v>390</v>
      </c>
      <c r="F145" s="215" t="s">
        <v>391</v>
      </c>
      <c r="G145" s="215"/>
      <c r="H145" s="215"/>
      <c r="I145" s="215"/>
      <c r="J145" s="169" t="s">
        <v>211</v>
      </c>
      <c r="K145" s="170">
        <v>3</v>
      </c>
      <c r="L145" s="211"/>
      <c r="M145" s="211"/>
      <c r="N145" s="211">
        <f>ROUND($L$145*$K$145,2)</f>
        <v>0</v>
      </c>
      <c r="O145" s="211"/>
      <c r="P145" s="211"/>
      <c r="Q145" s="211"/>
      <c r="R145" s="116"/>
      <c r="T145" s="184"/>
      <c r="U145" s="185" t="s">
        <v>38</v>
      </c>
      <c r="V145" s="171">
        <v>0.275</v>
      </c>
      <c r="W145" s="171">
        <f>$V$145*$K$145</f>
        <v>0.8250000000000001</v>
      </c>
      <c r="X145" s="171">
        <v>0</v>
      </c>
      <c r="Y145" s="171">
        <f>$X$145*$K$145</f>
        <v>0</v>
      </c>
      <c r="Z145" s="171">
        <v>0</v>
      </c>
      <c r="AA145" s="172">
        <f>$Z$145*$K$145</f>
        <v>0</v>
      </c>
      <c r="AR145" s="114" t="s">
        <v>135</v>
      </c>
      <c r="AT145" s="114" t="s">
        <v>131</v>
      </c>
      <c r="AU145" s="114" t="s">
        <v>93</v>
      </c>
      <c r="AY145" s="114" t="s">
        <v>130</v>
      </c>
      <c r="BE145" s="173">
        <f>IF($U$145="základní",$N$145,0)</f>
        <v>0</v>
      </c>
      <c r="BF145" s="173">
        <f>IF($U$145="snížená",$N$145,0)</f>
        <v>0</v>
      </c>
      <c r="BG145" s="173">
        <f>IF($U$145="zákl. přenesená",$N$145,0)</f>
        <v>0</v>
      </c>
      <c r="BH145" s="173">
        <f>IF($U$145="sníž. přenesená",$N$145,0)</f>
        <v>0</v>
      </c>
      <c r="BI145" s="173">
        <f>IF($U$145="nulová",$N$145,0)</f>
        <v>0</v>
      </c>
      <c r="BJ145" s="114" t="s">
        <v>17</v>
      </c>
      <c r="BK145" s="173">
        <f>ROUND($L$145*$K$145,2)</f>
        <v>0</v>
      </c>
      <c r="BL145" s="114" t="s">
        <v>135</v>
      </c>
    </row>
    <row r="146" spans="2:64" s="114" customFormat="1" ht="27" customHeight="1">
      <c r="B146" s="113"/>
      <c r="C146" s="167" t="s">
        <v>236</v>
      </c>
      <c r="D146" s="167" t="s">
        <v>131</v>
      </c>
      <c r="E146" s="168" t="s">
        <v>392</v>
      </c>
      <c r="F146" s="215" t="s">
        <v>393</v>
      </c>
      <c r="G146" s="215"/>
      <c r="H146" s="215"/>
      <c r="I146" s="215"/>
      <c r="J146" s="169" t="s">
        <v>211</v>
      </c>
      <c r="K146" s="170">
        <v>90</v>
      </c>
      <c r="L146" s="211"/>
      <c r="M146" s="211"/>
      <c r="N146" s="211">
        <f>ROUND($L$146*$K$146,2)</f>
        <v>0</v>
      </c>
      <c r="O146" s="211"/>
      <c r="P146" s="211"/>
      <c r="Q146" s="211"/>
      <c r="R146" s="116"/>
      <c r="T146" s="184"/>
      <c r="U146" s="185" t="s">
        <v>38</v>
      </c>
      <c r="V146" s="171">
        <v>0</v>
      </c>
      <c r="W146" s="171">
        <f>$V$146*$K$146</f>
        <v>0</v>
      </c>
      <c r="X146" s="171">
        <v>0</v>
      </c>
      <c r="Y146" s="171">
        <f>$X$146*$K$146</f>
        <v>0</v>
      </c>
      <c r="Z146" s="171">
        <v>0</v>
      </c>
      <c r="AA146" s="172">
        <f>$Z$146*$K$146</f>
        <v>0</v>
      </c>
      <c r="AR146" s="114" t="s">
        <v>135</v>
      </c>
      <c r="AT146" s="114" t="s">
        <v>131</v>
      </c>
      <c r="AU146" s="114" t="s">
        <v>93</v>
      </c>
      <c r="AY146" s="114" t="s">
        <v>130</v>
      </c>
      <c r="BE146" s="173">
        <f>IF($U$146="základní",$N$146,0)</f>
        <v>0</v>
      </c>
      <c r="BF146" s="173">
        <f>IF($U$146="snížená",$N$146,0)</f>
        <v>0</v>
      </c>
      <c r="BG146" s="173">
        <f>IF($U$146="zákl. přenesená",$N$146,0)</f>
        <v>0</v>
      </c>
      <c r="BH146" s="173">
        <f>IF($U$146="sníž. přenesená",$N$146,0)</f>
        <v>0</v>
      </c>
      <c r="BI146" s="173">
        <f>IF($U$146="nulová",$N$146,0)</f>
        <v>0</v>
      </c>
      <c r="BJ146" s="114" t="s">
        <v>17</v>
      </c>
      <c r="BK146" s="173">
        <f>ROUND($L$146*$K$146,2)</f>
        <v>0</v>
      </c>
      <c r="BL146" s="114" t="s">
        <v>135</v>
      </c>
    </row>
    <row r="147" spans="2:64" s="114" customFormat="1" ht="27" customHeight="1">
      <c r="B147" s="113"/>
      <c r="C147" s="167" t="s">
        <v>239</v>
      </c>
      <c r="D147" s="167" t="s">
        <v>131</v>
      </c>
      <c r="E147" s="168" t="s">
        <v>394</v>
      </c>
      <c r="F147" s="215" t="s">
        <v>395</v>
      </c>
      <c r="G147" s="215"/>
      <c r="H147" s="215"/>
      <c r="I147" s="215"/>
      <c r="J147" s="169" t="s">
        <v>211</v>
      </c>
      <c r="K147" s="170">
        <v>15</v>
      </c>
      <c r="L147" s="211"/>
      <c r="M147" s="211"/>
      <c r="N147" s="211">
        <f>ROUND($L$147*$K$147,2)</f>
        <v>0</v>
      </c>
      <c r="O147" s="211"/>
      <c r="P147" s="211"/>
      <c r="Q147" s="211"/>
      <c r="R147" s="116"/>
      <c r="T147" s="184"/>
      <c r="U147" s="185" t="s">
        <v>38</v>
      </c>
      <c r="V147" s="171">
        <v>0.075</v>
      </c>
      <c r="W147" s="171">
        <f>$V$147*$K$147</f>
        <v>1.125</v>
      </c>
      <c r="X147" s="171">
        <v>0</v>
      </c>
      <c r="Y147" s="171">
        <f>$X$147*$K$147</f>
        <v>0</v>
      </c>
      <c r="Z147" s="171">
        <v>0</v>
      </c>
      <c r="AA147" s="172">
        <f>$Z$147*$K$147</f>
        <v>0</v>
      </c>
      <c r="AR147" s="114" t="s">
        <v>135</v>
      </c>
      <c r="AT147" s="114" t="s">
        <v>131</v>
      </c>
      <c r="AU147" s="114" t="s">
        <v>93</v>
      </c>
      <c r="AY147" s="114" t="s">
        <v>130</v>
      </c>
      <c r="BE147" s="173">
        <f>IF($U$147="základní",$N$147,0)</f>
        <v>0</v>
      </c>
      <c r="BF147" s="173">
        <f>IF($U$147="snížená",$N$147,0)</f>
        <v>0</v>
      </c>
      <c r="BG147" s="173">
        <f>IF($U$147="zákl. přenesená",$N$147,0)</f>
        <v>0</v>
      </c>
      <c r="BH147" s="173">
        <f>IF($U$147="sníž. přenesená",$N$147,0)</f>
        <v>0</v>
      </c>
      <c r="BI147" s="173">
        <f>IF($U$147="nulová",$N$147,0)</f>
        <v>0</v>
      </c>
      <c r="BJ147" s="114" t="s">
        <v>17</v>
      </c>
      <c r="BK147" s="173">
        <f>ROUND($L$147*$K$147,2)</f>
        <v>0</v>
      </c>
      <c r="BL147" s="114" t="s">
        <v>135</v>
      </c>
    </row>
    <row r="148" spans="2:64" s="114" customFormat="1" ht="27" customHeight="1">
      <c r="B148" s="113"/>
      <c r="C148" s="167" t="s">
        <v>242</v>
      </c>
      <c r="D148" s="167" t="s">
        <v>131</v>
      </c>
      <c r="E148" s="168" t="s">
        <v>396</v>
      </c>
      <c r="F148" s="215" t="s">
        <v>397</v>
      </c>
      <c r="G148" s="215"/>
      <c r="H148" s="215"/>
      <c r="I148" s="215"/>
      <c r="J148" s="169" t="s">
        <v>211</v>
      </c>
      <c r="K148" s="170">
        <v>450</v>
      </c>
      <c r="L148" s="211"/>
      <c r="M148" s="211"/>
      <c r="N148" s="211">
        <f>ROUND($L$148*$K$148,2)</f>
        <v>0</v>
      </c>
      <c r="O148" s="211"/>
      <c r="P148" s="211"/>
      <c r="Q148" s="211"/>
      <c r="R148" s="116"/>
      <c r="T148" s="184"/>
      <c r="U148" s="185" t="s">
        <v>38</v>
      </c>
      <c r="V148" s="171">
        <v>0</v>
      </c>
      <c r="W148" s="171">
        <f>$V$148*$K$148</f>
        <v>0</v>
      </c>
      <c r="X148" s="171">
        <v>0</v>
      </c>
      <c r="Y148" s="171">
        <f>$X$148*$K$148</f>
        <v>0</v>
      </c>
      <c r="Z148" s="171">
        <v>0</v>
      </c>
      <c r="AA148" s="172">
        <f>$Z$148*$K$148</f>
        <v>0</v>
      </c>
      <c r="AR148" s="114" t="s">
        <v>135</v>
      </c>
      <c r="AT148" s="114" t="s">
        <v>131</v>
      </c>
      <c r="AU148" s="114" t="s">
        <v>93</v>
      </c>
      <c r="AY148" s="114" t="s">
        <v>130</v>
      </c>
      <c r="BE148" s="173">
        <f>IF($U$148="základní",$N$148,0)</f>
        <v>0</v>
      </c>
      <c r="BF148" s="173">
        <f>IF($U$148="snížená",$N$148,0)</f>
        <v>0</v>
      </c>
      <c r="BG148" s="173">
        <f>IF($U$148="zákl. přenesená",$N$148,0)</f>
        <v>0</v>
      </c>
      <c r="BH148" s="173">
        <f>IF($U$148="sníž. přenesená",$N$148,0)</f>
        <v>0</v>
      </c>
      <c r="BI148" s="173">
        <f>IF($U$148="nulová",$N$148,0)</f>
        <v>0</v>
      </c>
      <c r="BJ148" s="114" t="s">
        <v>17</v>
      </c>
      <c r="BK148" s="173">
        <f>ROUND($L$148*$K$148,2)</f>
        <v>0</v>
      </c>
      <c r="BL148" s="114" t="s">
        <v>135</v>
      </c>
    </row>
    <row r="149" spans="2:64" s="114" customFormat="1" ht="27" customHeight="1">
      <c r="B149" s="113"/>
      <c r="C149" s="167" t="s">
        <v>245</v>
      </c>
      <c r="D149" s="167" t="s">
        <v>131</v>
      </c>
      <c r="E149" s="168" t="s">
        <v>386</v>
      </c>
      <c r="F149" s="215" t="s">
        <v>387</v>
      </c>
      <c r="G149" s="215"/>
      <c r="H149" s="215"/>
      <c r="I149" s="215"/>
      <c r="J149" s="169" t="s">
        <v>211</v>
      </c>
      <c r="K149" s="170">
        <v>1</v>
      </c>
      <c r="L149" s="211"/>
      <c r="M149" s="211"/>
      <c r="N149" s="211">
        <f>ROUND($L$149*$K$149,2)</f>
        <v>0</v>
      </c>
      <c r="O149" s="211"/>
      <c r="P149" s="211"/>
      <c r="Q149" s="211"/>
      <c r="R149" s="116"/>
      <c r="T149" s="184"/>
      <c r="U149" s="185" t="s">
        <v>38</v>
      </c>
      <c r="V149" s="171">
        <v>0.75</v>
      </c>
      <c r="W149" s="171">
        <f>$V$149*$K$149</f>
        <v>0.75</v>
      </c>
      <c r="X149" s="171">
        <v>0</v>
      </c>
      <c r="Y149" s="171">
        <f>$X$149*$K$149</f>
        <v>0</v>
      </c>
      <c r="Z149" s="171">
        <v>0</v>
      </c>
      <c r="AA149" s="172">
        <f>$Z$149*$K$149</f>
        <v>0</v>
      </c>
      <c r="AR149" s="114" t="s">
        <v>135</v>
      </c>
      <c r="AT149" s="114" t="s">
        <v>131</v>
      </c>
      <c r="AU149" s="114" t="s">
        <v>93</v>
      </c>
      <c r="AY149" s="114" t="s">
        <v>130</v>
      </c>
      <c r="BE149" s="173">
        <f>IF($U$149="základní",$N$149,0)</f>
        <v>0</v>
      </c>
      <c r="BF149" s="173">
        <f>IF($U$149="snížená",$N$149,0)</f>
        <v>0</v>
      </c>
      <c r="BG149" s="173">
        <f>IF($U$149="zákl. přenesená",$N$149,0)</f>
        <v>0</v>
      </c>
      <c r="BH149" s="173">
        <f>IF($U$149="sníž. přenesená",$N$149,0)</f>
        <v>0</v>
      </c>
      <c r="BI149" s="173">
        <f>IF($U$149="nulová",$N$149,0)</f>
        <v>0</v>
      </c>
      <c r="BJ149" s="114" t="s">
        <v>17</v>
      </c>
      <c r="BK149" s="173">
        <f>ROUND($L$149*$K$149,2)</f>
        <v>0</v>
      </c>
      <c r="BL149" s="114" t="s">
        <v>135</v>
      </c>
    </row>
    <row r="150" spans="2:64" s="114" customFormat="1" ht="36" customHeight="1">
      <c r="B150" s="113"/>
      <c r="C150" s="167" t="s">
        <v>248</v>
      </c>
      <c r="D150" s="167" t="s">
        <v>131</v>
      </c>
      <c r="E150" s="168" t="s">
        <v>388</v>
      </c>
      <c r="F150" s="215" t="s">
        <v>389</v>
      </c>
      <c r="G150" s="215"/>
      <c r="H150" s="215"/>
      <c r="I150" s="215"/>
      <c r="J150" s="169" t="s">
        <v>211</v>
      </c>
      <c r="K150" s="170">
        <v>30</v>
      </c>
      <c r="L150" s="211"/>
      <c r="M150" s="211"/>
      <c r="N150" s="211">
        <f>ROUND($L$150*$K$150,2)</f>
        <v>0</v>
      </c>
      <c r="O150" s="211"/>
      <c r="P150" s="211"/>
      <c r="Q150" s="211"/>
      <c r="R150" s="116"/>
      <c r="T150" s="184"/>
      <c r="U150" s="185" t="s">
        <v>38</v>
      </c>
      <c r="V150" s="171">
        <v>0</v>
      </c>
      <c r="W150" s="171">
        <f>$V$150*$K$150</f>
        <v>0</v>
      </c>
      <c r="X150" s="171">
        <v>0</v>
      </c>
      <c r="Y150" s="171">
        <f>$X$150*$K$150</f>
        <v>0</v>
      </c>
      <c r="Z150" s="171">
        <v>0</v>
      </c>
      <c r="AA150" s="172">
        <f>$Z$150*$K$150</f>
        <v>0</v>
      </c>
      <c r="AR150" s="114" t="s">
        <v>135</v>
      </c>
      <c r="AT150" s="114" t="s">
        <v>131</v>
      </c>
      <c r="AU150" s="114" t="s">
        <v>93</v>
      </c>
      <c r="AY150" s="114" t="s">
        <v>130</v>
      </c>
      <c r="BE150" s="173">
        <f>IF($U$150="základní",$N$150,0)</f>
        <v>0</v>
      </c>
      <c r="BF150" s="173">
        <f>IF($U$150="snížená",$N$150,0)</f>
        <v>0</v>
      </c>
      <c r="BG150" s="173">
        <f>IF($U$150="zákl. přenesená",$N$150,0)</f>
        <v>0</v>
      </c>
      <c r="BH150" s="173">
        <f>IF($U$150="sníž. přenesená",$N$150,0)</f>
        <v>0</v>
      </c>
      <c r="BI150" s="173">
        <f>IF($U$150="nulová",$N$150,0)</f>
        <v>0</v>
      </c>
      <c r="BJ150" s="114" t="s">
        <v>17</v>
      </c>
      <c r="BK150" s="173">
        <f>ROUND($L$150*$K$150,2)</f>
        <v>0</v>
      </c>
      <c r="BL150" s="114" t="s">
        <v>135</v>
      </c>
    </row>
    <row r="151" spans="2:63" s="158" customFormat="1" ht="37.5" customHeight="1">
      <c r="B151" s="157"/>
      <c r="D151" s="159" t="s">
        <v>111</v>
      </c>
      <c r="N151" s="212">
        <f>$BK$151</f>
        <v>0</v>
      </c>
      <c r="O151" s="212"/>
      <c r="P151" s="212"/>
      <c r="Q151" s="212"/>
      <c r="R151" s="160"/>
      <c r="T151" s="161"/>
      <c r="W151" s="162">
        <f>$W$152</f>
        <v>0</v>
      </c>
      <c r="Y151" s="162">
        <f>$Y$152</f>
        <v>0</v>
      </c>
      <c r="AA151" s="163">
        <f>$AA$152</f>
        <v>0</v>
      </c>
      <c r="AR151" s="164" t="s">
        <v>143</v>
      </c>
      <c r="AT151" s="164" t="s">
        <v>72</v>
      </c>
      <c r="AU151" s="164" t="s">
        <v>73</v>
      </c>
      <c r="AY151" s="164" t="s">
        <v>130</v>
      </c>
      <c r="BK151" s="165">
        <f>$BK$152</f>
        <v>0</v>
      </c>
    </row>
    <row r="152" spans="2:63" s="158" customFormat="1" ht="21" customHeight="1">
      <c r="B152" s="157"/>
      <c r="D152" s="166" t="s">
        <v>369</v>
      </c>
      <c r="N152" s="213">
        <f>$BK$152</f>
        <v>0</v>
      </c>
      <c r="O152" s="213"/>
      <c r="P152" s="213"/>
      <c r="Q152" s="213"/>
      <c r="R152" s="160"/>
      <c r="T152" s="161"/>
      <c r="W152" s="162">
        <f>$W$153</f>
        <v>0</v>
      </c>
      <c r="Y152" s="162">
        <f>$Y$153</f>
        <v>0</v>
      </c>
      <c r="AA152" s="163">
        <f>$AA$153</f>
        <v>0</v>
      </c>
      <c r="AR152" s="164" t="s">
        <v>143</v>
      </c>
      <c r="AT152" s="164" t="s">
        <v>72</v>
      </c>
      <c r="AU152" s="164" t="s">
        <v>17</v>
      </c>
      <c r="AY152" s="164" t="s">
        <v>130</v>
      </c>
      <c r="BK152" s="165">
        <f>$BK$153</f>
        <v>0</v>
      </c>
    </row>
    <row r="153" spans="2:64" s="114" customFormat="1" ht="27" customHeight="1">
      <c r="B153" s="113"/>
      <c r="C153" s="167" t="s">
        <v>251</v>
      </c>
      <c r="D153" s="167" t="s">
        <v>131</v>
      </c>
      <c r="E153" s="168" t="s">
        <v>398</v>
      </c>
      <c r="F153" s="215" t="s">
        <v>399</v>
      </c>
      <c r="G153" s="215"/>
      <c r="H153" s="215"/>
      <c r="I153" s="215"/>
      <c r="J153" s="169" t="s">
        <v>321</v>
      </c>
      <c r="K153" s="170">
        <v>1</v>
      </c>
      <c r="L153" s="211"/>
      <c r="M153" s="211"/>
      <c r="N153" s="211">
        <f>ROUND($L$153*$K$153,2)</f>
        <v>0</v>
      </c>
      <c r="O153" s="211"/>
      <c r="P153" s="211"/>
      <c r="Q153" s="211"/>
      <c r="R153" s="116"/>
      <c r="T153" s="184"/>
      <c r="U153" s="191" t="s">
        <v>38</v>
      </c>
      <c r="V153" s="172">
        <v>0</v>
      </c>
      <c r="W153" s="172">
        <f>$V$153*$K$153</f>
        <v>0</v>
      </c>
      <c r="X153" s="172">
        <v>0</v>
      </c>
      <c r="Y153" s="172">
        <f>$X$153*$K$153</f>
        <v>0</v>
      </c>
      <c r="Z153" s="172">
        <v>0</v>
      </c>
      <c r="AA153" s="172">
        <f>$Z$153*$K$153</f>
        <v>0</v>
      </c>
      <c r="AR153" s="114" t="s">
        <v>322</v>
      </c>
      <c r="AT153" s="114" t="s">
        <v>131</v>
      </c>
      <c r="AU153" s="114" t="s">
        <v>93</v>
      </c>
      <c r="AY153" s="114" t="s">
        <v>130</v>
      </c>
      <c r="BE153" s="173">
        <f>IF($U$153="základní",$N$153,0)</f>
        <v>0</v>
      </c>
      <c r="BF153" s="173">
        <f>IF($U$153="snížená",$N$153,0)</f>
        <v>0</v>
      </c>
      <c r="BG153" s="173">
        <f>IF($U$153="zákl. přenesená",$N$153,0)</f>
        <v>0</v>
      </c>
      <c r="BH153" s="173">
        <f>IF($U$153="sníž. přenesená",$N$153,0)</f>
        <v>0</v>
      </c>
      <c r="BI153" s="173">
        <f>IF($U$153="nulová",$N$153,0)</f>
        <v>0</v>
      </c>
      <c r="BJ153" s="114" t="s">
        <v>17</v>
      </c>
      <c r="BK153" s="173">
        <f>ROUND($L$153*$K$153,2)</f>
        <v>0</v>
      </c>
      <c r="BL153" s="114" t="s">
        <v>322</v>
      </c>
    </row>
    <row r="154" spans="2:18" s="114" customFormat="1" ht="7.5" customHeight="1">
      <c r="B154" s="133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5"/>
    </row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CC3D" sheet="1"/>
  <protectedRanges>
    <protectedRange sqref="L108:M154" name="Oblast1"/>
  </protectedRanges>
  <mergeCells count="187"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65:Q65"/>
    <mergeCell ref="F67:P67"/>
    <mergeCell ref="F68:P68"/>
    <mergeCell ref="M70:P70"/>
    <mergeCell ref="M72:Q72"/>
    <mergeCell ref="M73:Q73"/>
    <mergeCell ref="C75:G75"/>
    <mergeCell ref="N75:Q75"/>
    <mergeCell ref="N77:Q77"/>
    <mergeCell ref="N78:Q78"/>
    <mergeCell ref="N79:Q79"/>
    <mergeCell ref="N80:Q80"/>
    <mergeCell ref="N81:Q81"/>
    <mergeCell ref="N82:Q82"/>
    <mergeCell ref="N83:Q83"/>
    <mergeCell ref="N84:Q84"/>
    <mergeCell ref="N86:Q86"/>
    <mergeCell ref="L88:Q88"/>
    <mergeCell ref="C94:Q94"/>
    <mergeCell ref="F96:P96"/>
    <mergeCell ref="F97:P97"/>
    <mergeCell ref="M99:P99"/>
    <mergeCell ref="M101:Q101"/>
    <mergeCell ref="M102:Q102"/>
    <mergeCell ref="F104:I104"/>
    <mergeCell ref="L104:M104"/>
    <mergeCell ref="N104:Q104"/>
    <mergeCell ref="N105:Q105"/>
    <mergeCell ref="N106:Q106"/>
    <mergeCell ref="N107:Q107"/>
    <mergeCell ref="F108:I108"/>
    <mergeCell ref="L108:M108"/>
    <mergeCell ref="N108:Q108"/>
    <mergeCell ref="F109:I109"/>
    <mergeCell ref="L109:M109"/>
    <mergeCell ref="N109:Q109"/>
    <mergeCell ref="F110:I110"/>
    <mergeCell ref="L110:M110"/>
    <mergeCell ref="N110:Q110"/>
    <mergeCell ref="F111:I111"/>
    <mergeCell ref="L111:M111"/>
    <mergeCell ref="N111:Q111"/>
    <mergeCell ref="F112:I112"/>
    <mergeCell ref="L112:M112"/>
    <mergeCell ref="N112:Q112"/>
    <mergeCell ref="F113:I113"/>
    <mergeCell ref="L113:M113"/>
    <mergeCell ref="N113:Q113"/>
    <mergeCell ref="F114:I114"/>
    <mergeCell ref="L114:M114"/>
    <mergeCell ref="N114:Q114"/>
    <mergeCell ref="F115:I115"/>
    <mergeCell ref="L115:M115"/>
    <mergeCell ref="N115:Q115"/>
    <mergeCell ref="F116:I116"/>
    <mergeCell ref="L116:M116"/>
    <mergeCell ref="N116:Q116"/>
    <mergeCell ref="F117:I117"/>
    <mergeCell ref="L117:M117"/>
    <mergeCell ref="N117:Q117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N151:Q151"/>
    <mergeCell ref="N152:Q152"/>
    <mergeCell ref="F153:I153"/>
    <mergeCell ref="L153:M153"/>
    <mergeCell ref="N153:Q153"/>
  </mergeCells>
  <printOptions/>
  <pageMargins left="0.3937007874015748" right="0.3937007874015748" top="0.4724409448818898" bottom="0.4724409448818898" header="0.5118110236220472" footer="0.5118110236220472"/>
  <pageSetup horizontalDpi="300" verticalDpi="300" orientation="portrait" paperSize="9" scale="94" r:id="rId1"/>
  <rowBreaks count="2" manualBreakCount="2">
    <brk id="61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Mrázová Jana</dc:creator>
  <cp:keywords/>
  <dc:description/>
  <cp:lastModifiedBy>Mrázová Jana</cp:lastModifiedBy>
  <cp:lastPrinted>2018-05-25T07:06:33Z</cp:lastPrinted>
  <dcterms:created xsi:type="dcterms:W3CDTF">2015-12-16T19:19:51Z</dcterms:created>
  <dcterms:modified xsi:type="dcterms:W3CDTF">2018-05-29T12:20:42Z</dcterms:modified>
  <cp:category/>
  <cp:version/>
  <cp:contentType/>
  <cp:contentStatus/>
</cp:coreProperties>
</file>