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13_017 - Objekt č.p. 324_..." sheetId="2" r:id="rId2"/>
  </sheets>
  <definedNames>
    <definedName name="_xlnm.Print_Titles" localSheetId="1">'13_017 - Objekt č.p. 324_...'!$133:$133</definedName>
    <definedName name="_xlnm.Print_Titles" localSheetId="0">'Rekapitulace stavby'!$85:$85</definedName>
    <definedName name="_xlnm.Print_Area" localSheetId="1">'13_017 - Objekt č.p. 324_...'!$C$4:$Q$70,'13_017 - Objekt č.p. 324_...'!$C$76:$Q$118,'13_017 - Objekt č.p. 324_...'!$C$124:$Q$314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<sst xmlns="http://schemas.openxmlformats.org/spreadsheetml/2006/main" count="2013" uniqueCount="512">
  <si>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</si>
  <si>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</si>
  <si>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</si>
  <si>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</si>
  <si>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</si>
  <si>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</si>
  <si>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</si>
  <si>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</si>
  <si>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</si>
  <si>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</si>
  <si>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</si>
  <si>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</si>
  <si>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</si>
  <si>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</si>
  <si>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</si>
  <si>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0,1</t>
  </si>
  <si>
    <t>1</t>
  </si>
  <si>
    <t>Místo:</t>
  </si>
  <si>
    <t>Sušice</t>
  </si>
  <si>
    <t>Datum:</t>
  </si>
  <si>
    <t>01.04.2013</t>
  </si>
  <si>
    <t>10</t>
  </si>
  <si>
    <t>100</t>
  </si>
  <si>
    <t>Objednavatel:</t>
  </si>
  <si>
    <t>IČ:</t>
  </si>
  <si>
    <t>Gymnázium Sušice, Fr. Procházky č.p.324/II, Sušice</t>
  </si>
  <si>
    <t>DIČ:</t>
  </si>
  <si>
    <t>Zhotovitel:</t>
  </si>
  <si>
    <t>Vyplň údaj</t>
  </si>
  <si>
    <t>Projektant:</t>
  </si>
  <si>
    <t>Ing. Jiří Lejsek</t>
  </si>
  <si>
    <t>True</t>
  </si>
  <si>
    <t>Zpracovatel:</t>
  </si>
  <si>
    <t>Pavel Hrba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</si>
  <si>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</si>
  <si>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</si>
  <si>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</si>
  <si>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</si>
  <si>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</si>
  <si>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</si>
  <si>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</si>
  <si>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</si>
  <si>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</si>
  <si>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</si>
  <si>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</si>
  <si>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</si>
  <si>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</si>
  <si>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</si>
  <si>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</si>
  <si>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</si>
  <si>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</si>
  <si>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</si>
  <si>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</si>
  <si>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</si>
  <si>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</si>
  <si>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</si>
  <si>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</si>
  <si>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</si>
  <si>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</si>
  <si>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</si>
  <si>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</si>
  <si>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</si>
  <si>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</si>
  <si>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</si>
  <si>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</si>
  <si>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</si>
  <si>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</si>
  <si>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</si>
  <si>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</si>
  <si>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</si>
  <si>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</si>
  <si>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</si>
  <si>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</si>
  <si>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</si>
  <si>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</si>
  <si>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{4435DB4C-A48A-4ECF-817F-5ED313E2E4A1}</t>
  </si>
  <si>
    <t>{00000000-0000-0000-0000-000000000000}</t>
  </si>
  <si>
    <t>13/017</t>
  </si>
  <si>
    <t>Objekt č.p. 324/II - Gymnázium Sušice - stavební úpravy a přístavba objektu - bezbariérové řešení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</si>
  <si>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</si>
  <si>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</si>
  <si>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</si>
  <si>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</si>
  <si>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</si>
  <si>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</si>
  <si>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</si>
  <si>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</si>
  <si>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</si>
  <si>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</si>
  <si>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</si>
  <si>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</si>
  <si>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</si>
  <si>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</si>
  <si>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</si>
  <si>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</si>
  <si>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</si>
  <si>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</si>
  <si>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</si>
  <si>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</si>
  <si>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</si>
  <si>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</si>
  <si>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Bude určen výběrovým řízením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</si>
  <si>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</si>
  <si>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</si>
  <si>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</si>
  <si>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</si>
  <si>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</si>
  <si>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</si>
  <si>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</si>
  <si>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</si>
  <si>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</si>
  <si>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</si>
  <si>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</si>
  <si>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94 - Lešení a stavební výtahy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</si>
  <si>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</si>
  <si>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</si>
  <si>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</si>
  <si>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</si>
  <si>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735 - Ústřední vytápění - otopná tělesa</t>
  </si>
  <si>
    <t xml:space="preserve">    747 - Elektromontáže </t>
  </si>
  <si>
    <t xml:space="preserve">    767 - Konstrukce zámečnické</t>
  </si>
  <si>
    <t xml:space="preserve">    771 - Podlahy z dlaždic</t>
  </si>
  <si>
    <t xml:space="preserve">    773 - Podlahy teracové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</si>
  <si>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</si>
  <si>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</si>
  <si>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</si>
  <si>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</si>
  <si>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VRN - Vedlejší rozpočtové náklady</t>
  </si>
  <si>
    <t xml:space="preserve">    0 - Vedlejší rozpočtové náklady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</si>
  <si>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</si>
  <si>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</si>
  <si>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</si>
  <si>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</si>
  <si>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</si>
  <si>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</si>
  <si>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</si>
  <si>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</si>
  <si>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</si>
  <si>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</si>
  <si>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</si>
  <si>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</si>
  <si>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</si>
  <si>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</si>
  <si>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</si>
  <si>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</si>
  <si>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</si>
  <si>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</si>
  <si>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</si>
  <si>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</si>
  <si>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</si>
  <si>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</si>
  <si>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</si>
  <si>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</si>
  <si>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</si>
  <si>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</si>
  <si>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131201101</t>
  </si>
  <si>
    <t>Hloubení jam nezapažených v hornině tř. 3 objemu do 100 m3</t>
  </si>
  <si>
    <t>m3</t>
  </si>
  <si>
    <t>4</t>
  </si>
  <si>
    <t>"Pro šachtu plošiny" 1,96/3*(2,4*2+3,4*2,5+6,39)</t>
  </si>
  <si>
    <t>VV</t>
  </si>
  <si>
    <t>162701105</t>
  </si>
  <si>
    <t>Vodorovné přemístění do 10000 m výkopku/sypaniny z horniny tř. 1 až 4</t>
  </si>
  <si>
    <t>12,864-6,906</t>
  </si>
  <si>
    <t>3</t>
  </si>
  <si>
    <t>162701109</t>
  </si>
  <si>
    <t>Příplatek k vodorovnému přemístění výkopku/sypaniny z horniny tř. 1 až 4 ZKD 1000 m přes 10000 m</t>
  </si>
  <si>
    <t>5,958*10</t>
  </si>
  <si>
    <t>171201201</t>
  </si>
  <si>
    <t>Uložení sypaniny na skládky</t>
  </si>
  <si>
    <t>5</t>
  </si>
  <si>
    <t>171201211</t>
  </si>
  <si>
    <t>Poplatek za uložení odpadu ze sypaniny na skládce (skládkovné)</t>
  </si>
  <si>
    <t>t</t>
  </si>
  <si>
    <t>5,958*1,6</t>
  </si>
  <si>
    <t>6</t>
  </si>
  <si>
    <t>175101201</t>
  </si>
  <si>
    <t>Obsypání objektů bez prohození sypaniny z hornin tř. 1 až 4 uloženým do 30 m od kraje objektu</t>
  </si>
  <si>
    <t>"Okolo výtahové šachty" 12,864-1,63*1,765*1,56-2,065*1,78*0,4</t>
  </si>
  <si>
    <t>7</t>
  </si>
  <si>
    <t>175101209</t>
  </si>
  <si>
    <t>Příplatek k obsypání objektu sypaninou uloženou do 30 m od kraje objektu za prohození sypaniny</t>
  </si>
  <si>
    <t>8</t>
  </si>
  <si>
    <t>271532212</t>
  </si>
  <si>
    <t>Násyp pod základové konstrukce se zhutněním z hrubého kameniva frakce 16 až 32 mm</t>
  </si>
  <si>
    <t>1,88*2,265*0,1</t>
  </si>
  <si>
    <t>9</t>
  </si>
  <si>
    <t>273321311</t>
  </si>
  <si>
    <t>Základové desky ze ŽB tř. C 16/20</t>
  </si>
  <si>
    <t>1,85*2,165*0,3</t>
  </si>
  <si>
    <t>273351215</t>
  </si>
  <si>
    <t>Zřízení bednění stěn základových desek</t>
  </si>
  <si>
    <t>m2</t>
  </si>
  <si>
    <t>(1,85*2+2,165)*0,3</t>
  </si>
  <si>
    <t>11</t>
  </si>
  <si>
    <t>273351216</t>
  </si>
  <si>
    <t>Odstranění bednění stěn základových desek</t>
  </si>
  <si>
    <t>12</t>
  </si>
  <si>
    <t>273362021</t>
  </si>
  <si>
    <t>Výztuž základových desek svařovanými sítěmi Kari</t>
  </si>
  <si>
    <t>"KARI 150/150/12/12" 1,85*2,165*2*11,87*1,1/1000</t>
  </si>
  <si>
    <t>"Konstrukční výztuž" 0,105*0,2</t>
  </si>
  <si>
    <t>13</t>
  </si>
  <si>
    <t>311113132</t>
  </si>
  <si>
    <t>Nosná zeď tl do 200 mm z hladkých tvárnic ztraceného bednění včetně výplně z betonu tř. C 16/20</t>
  </si>
  <si>
    <t>(1,5*2+1,765)*1,56</t>
  </si>
  <si>
    <t>14</t>
  </si>
  <si>
    <t>311361821</t>
  </si>
  <si>
    <t>Výztuž nosných zdí betonářskou ocelí 10 505</t>
  </si>
  <si>
    <t>"R10" ((1,5*2+1,765)*6*2+(1,5*2+1,765)/0,25*1,6)*0,617/1000</t>
  </si>
  <si>
    <t>317234410</t>
  </si>
  <si>
    <t>Vyzdívka mezi nosníky z cihel pálených na MC</t>
  </si>
  <si>
    <t>1,6*0,7*0,12</t>
  </si>
  <si>
    <t>16</t>
  </si>
  <si>
    <t>317944321</t>
  </si>
  <si>
    <t>Válcované nosníky do č.12 dodatečně osazované do připravených otvorů</t>
  </si>
  <si>
    <t>"I č.120" 1,6*4*11,1/1000</t>
  </si>
  <si>
    <t>17</t>
  </si>
  <si>
    <t>346244381</t>
  </si>
  <si>
    <t>Plentování jednostranné v do 200 mm válcovaných nosníků cihlami</t>
  </si>
  <si>
    <t>1,6*0,12*2</t>
  </si>
  <si>
    <t>18</t>
  </si>
  <si>
    <t>612325223</t>
  </si>
  <si>
    <t>Vápenocementová štuková omítka malých ploch do 1,0 m2 na stěnách</t>
  </si>
  <si>
    <t>kus</t>
  </si>
  <si>
    <t>"1.PP - nosníky I 120" 1</t>
  </si>
  <si>
    <t>"1.NP - 3.NP - čelo přizdívky" 3</t>
  </si>
  <si>
    <t>19</t>
  </si>
  <si>
    <t>612325302</t>
  </si>
  <si>
    <t>Vápenocementová štuková omítka ostění nebo nadpraží</t>
  </si>
  <si>
    <t>"1.PP" (2,44*2+1,35)*0,75</t>
  </si>
  <si>
    <t>"1.NP" (3,29*2+1,34)*0,65</t>
  </si>
  <si>
    <t>"2.NP" (3,22*2+1,34)*0,65</t>
  </si>
  <si>
    <t>"3.NP" (2,81*2+1,35)*0,5</t>
  </si>
  <si>
    <t>20</t>
  </si>
  <si>
    <t>619995001</t>
  </si>
  <si>
    <t>Začištění omítek kolem oken, dveří, podlah nebo obkladů</t>
  </si>
  <si>
    <t>m</t>
  </si>
  <si>
    <t>"1.PP" 2,44*2</t>
  </si>
  <si>
    <t>"1.NP" 3,29+1,35</t>
  </si>
  <si>
    <t>"2.NP" 3,22+1,35</t>
  </si>
  <si>
    <t>"3.NP" 2,81+1,35</t>
  </si>
  <si>
    <t>622321141</t>
  </si>
  <si>
    <t>Vápenocementová omítka štuková dvouvrstvá vnějších stěn nanášená ručně</t>
  </si>
  <si>
    <t>1,465*(13,5+1,46)-1,1*(2,32+3,29+3,22+2,81)</t>
  </si>
  <si>
    <t>22</t>
  </si>
  <si>
    <t>622321191</t>
  </si>
  <si>
    <t>Příplatek k vápenocementové omítce vnějších stěn za každých dalších 5 mm tloušťky ručně</t>
  </si>
  <si>
    <t>9,112*2</t>
  </si>
  <si>
    <t>23</t>
  </si>
  <si>
    <t>622611331</t>
  </si>
  <si>
    <t>Nátěr akrylátový dvojnásobný vnějších omítaných stěn včetně penetrace provedený strojně</t>
  </si>
  <si>
    <t>24</t>
  </si>
  <si>
    <t>631311121</t>
  </si>
  <si>
    <t>Doplnění dosavadních mazanin betonem prostým pl do 1 m2 tl do 80 mm</t>
  </si>
  <si>
    <t>"1.PP" 1,31*0,7*0,05</t>
  </si>
  <si>
    <t>"1.NP" 1,3*0,63*0,08</t>
  </si>
  <si>
    <t>"2.NP" 1,3*0,63*0,08</t>
  </si>
  <si>
    <t>"3.NP" 1,3*0,48*0,08</t>
  </si>
  <si>
    <t>25</t>
  </si>
  <si>
    <t>631311124</t>
  </si>
  <si>
    <t>Mazanina tl do 120 mm z betonu prostého tř. C 16/20</t>
  </si>
  <si>
    <t>"Podlaha šasty" 1,35*1,4*0,1</t>
  </si>
  <si>
    <t>26</t>
  </si>
  <si>
    <t>631319022</t>
  </si>
  <si>
    <t>Příplatek k mazanině tl do 120 mm za přehlazení s poprášením cementem</t>
  </si>
  <si>
    <t>27</t>
  </si>
  <si>
    <t>632451441</t>
  </si>
  <si>
    <t>Doplnění cementového potěru hlazeného pl do 1 m2 tl do 40 mm</t>
  </si>
  <si>
    <t>"1.PP - pod izolaci" 1,31*0,7</t>
  </si>
  <si>
    <t>28</t>
  </si>
  <si>
    <t>941111122</t>
  </si>
  <si>
    <t>Montáž lešení řadového trubkového lehkého s podlahami zatížení do 200 kg/m2 š do 1,2 m v do 25 m</t>
  </si>
  <si>
    <t>"Pro vnější omítku" 3,5*(13,5-1,8)</t>
  </si>
  <si>
    <t>"Pro stavbu opláštění" (1,5+1,4*2+1,4*4)*(13,5-1,8)</t>
  </si>
  <si>
    <t>29</t>
  </si>
  <si>
    <t>941111222</t>
  </si>
  <si>
    <t>Příplatek k lešení řadovému trubkovému lehkému s podlahami š 1,2 m v 25 m za první a ZKD den použití</t>
  </si>
  <si>
    <t>"Pro vnější omítku" 3,5*(13,5-1,8)*20</t>
  </si>
  <si>
    <t>"Pro stavbu opláštění" (1,5+1,4*2+1,4*4)*(13,5-1,8)*25</t>
  </si>
  <si>
    <t>30</t>
  </si>
  <si>
    <t>941111822</t>
  </si>
  <si>
    <t>Demontáž lešení řadového trubkového lehkého s podlahami zatížení do 200 kg/m2 š do 1,2 m v do 25 m</t>
  </si>
  <si>
    <t>31</t>
  </si>
  <si>
    <t>949101111</t>
  </si>
  <si>
    <t>Lešení pomocné pro objekty pozemních staveb s lešeňovou podlahou v do 1,9 m zatížení do 150 kg/m2</t>
  </si>
  <si>
    <t>"Interiér" 2,5*1,2*4</t>
  </si>
  <si>
    <t>32</t>
  </si>
  <si>
    <t>966031314</t>
  </si>
  <si>
    <t>Vybourání částí říms z cihel vyložených do 250 mm tl přes 300 mm</t>
  </si>
  <si>
    <t>1,5*2</t>
  </si>
  <si>
    <t>33</t>
  </si>
  <si>
    <t>967031132</t>
  </si>
  <si>
    <t>Přisekání rovných ostění v cihelném zdivu na MV nebo MVC</t>
  </si>
  <si>
    <t>"Zešikmení odskoku" (0,9+1,3*3+2,18+1,98+1,86)*0,1</t>
  </si>
  <si>
    <t>34</t>
  </si>
  <si>
    <t>967031732</t>
  </si>
  <si>
    <t>Přisekání plošné zdiva z cihel pálených na MV nebo MVC tl do 100 mm</t>
  </si>
  <si>
    <t>"Sokl" 1,465*0,84-0,9*0,64</t>
  </si>
  <si>
    <t>"Pod úrovní terénu" 1,8*1,86-1,1*1,75</t>
  </si>
  <si>
    <t>35</t>
  </si>
  <si>
    <t>968062356</t>
  </si>
  <si>
    <t>Vybourání dřevěných rámů oken dvojitých včetně křídel pl do 4 m2</t>
  </si>
  <si>
    <t>1,33*1,86+1,33*1,98+1,33*2,18</t>
  </si>
  <si>
    <t>36</t>
  </si>
  <si>
    <t>968062374</t>
  </si>
  <si>
    <t>Vybourání dřevěných rámů oken zdvojených včetně křídel pl do 1 m2</t>
  </si>
  <si>
    <t>"1.PP" 0,9*0,9</t>
  </si>
  <si>
    <t>37</t>
  </si>
  <si>
    <t>971033651</t>
  </si>
  <si>
    <t>Vybourání otvorů ve zdivu cihelném pl do 4 m2 na MVC nebo MV tl do 600 mm</t>
  </si>
  <si>
    <t>"1.NP" 1,4*1,31*0,5</t>
  </si>
  <si>
    <t>"2.NP" 1,4*1,44*0,5</t>
  </si>
  <si>
    <t>"3.NP" 1,4*1,15*0,4</t>
  </si>
  <si>
    <t>38</t>
  </si>
  <si>
    <t>971033681</t>
  </si>
  <si>
    <t>Vybourání otvorů ve zdivu cihelném pl do 4 m2 na MVC nebo MV tl do 900 mm</t>
  </si>
  <si>
    <t>"1.PP" (1,4*2,5-0,9*0,9*0,9)*0,77-0,9*0,35*0,3/2</t>
  </si>
  <si>
    <t>39</t>
  </si>
  <si>
    <t>974031664</t>
  </si>
  <si>
    <t>Vysekání rýh ve zdivu cihelném pro vtahování nosníků hl do 150 mm v do 150 mm</t>
  </si>
  <si>
    <t>1,7*5</t>
  </si>
  <si>
    <t>40</t>
  </si>
  <si>
    <t>978015391</t>
  </si>
  <si>
    <t>Otlučení vnějších omítek MV nebo MVC  průčelí v rozsahu do 100 %</t>
  </si>
  <si>
    <t>1,465*13,5-0,9*0,9-1,33*2,18-1,33*1,98-1,33*1,86</t>
  </si>
  <si>
    <t>41</t>
  </si>
  <si>
    <t>997013114</t>
  </si>
  <si>
    <t>Vnitrostaveništní doprava suti a vybouraných hmot pro budovy v do 15 m s použitím mechanizace</t>
  </si>
  <si>
    <t>42</t>
  </si>
  <si>
    <t>997013312</t>
  </si>
  <si>
    <t>Montáž a demontáž shozu suti v do 20 m</t>
  </si>
  <si>
    <t>43</t>
  </si>
  <si>
    <t>997013322</t>
  </si>
  <si>
    <t>Příplatek k shozu suti v do 20 m za první a ZKD den použití</t>
  </si>
  <si>
    <t>11*5</t>
  </si>
  <si>
    <t>44</t>
  </si>
  <si>
    <t>997013501</t>
  </si>
  <si>
    <t>Odvoz suti na skládku a vybouraných hmot nebo meziskládku do 1 km se složením</t>
  </si>
  <si>
    <t>45</t>
  </si>
  <si>
    <t>997013509</t>
  </si>
  <si>
    <t>Příplatek k odvozu suti a vybouraných hmot na skládku ZKD 1 km přes 1 km</t>
  </si>
  <si>
    <t>46</t>
  </si>
  <si>
    <t>997013831</t>
  </si>
  <si>
    <t>Poplatek za uložení stavebního směsného odpadu na skládce (skládkovné)</t>
  </si>
  <si>
    <t>47</t>
  </si>
  <si>
    <t>998017003</t>
  </si>
  <si>
    <t>Přesun hmot s omezením mechanizace pro budovy v do 24 m</t>
  </si>
  <si>
    <t>48</t>
  </si>
  <si>
    <t>711111001</t>
  </si>
  <si>
    <t>Provedení izolace proti zemní vlhkosti vodorovné za studena nátěrem penetračním</t>
  </si>
  <si>
    <t>1,765*1,63+1,4*0,7</t>
  </si>
  <si>
    <t>49</t>
  </si>
  <si>
    <t>711112001</t>
  </si>
  <si>
    <t>Provedení izolace proti zemní vlhkosti svislé za studena nátěrem penetračním</t>
  </si>
  <si>
    <t>(1,63*2+1,765+0,3*2)*1,46</t>
  </si>
  <si>
    <t>50</t>
  </si>
  <si>
    <t>M</t>
  </si>
  <si>
    <t>111631500</t>
  </si>
  <si>
    <t>lak asfaltový ALP/9 bal 9 kg</t>
  </si>
  <si>
    <t>(3,857+8,213)*0,0035</t>
  </si>
  <si>
    <t>51</t>
  </si>
  <si>
    <t>711141559</t>
  </si>
  <si>
    <t>Provedení izolace proti zemní vlhkosti pásy přitavením vodorovné NAIP</t>
  </si>
  <si>
    <t>52</t>
  </si>
  <si>
    <t>711142559</t>
  </si>
  <si>
    <t>Provedení izolace proti zemní vlhkosti pásy přitavením svislé NAIP</t>
  </si>
  <si>
    <t>53</t>
  </si>
  <si>
    <t>628522540</t>
  </si>
  <si>
    <t>pás asfaltovaný modifikovaný SBS Elastodek 40 Special mineral</t>
  </si>
  <si>
    <t>3,857*1,1+8,213*1,15</t>
  </si>
  <si>
    <t>54</t>
  </si>
  <si>
    <t>711161306</t>
  </si>
  <si>
    <t>Izolace proti zemní vlhkosti stěn foliemi nopovými pro běžné podmínky tl. 0,5 mm šířky 1,0 m</t>
  </si>
  <si>
    <t>(1,63*2+1,765+0,3*2)*1,56</t>
  </si>
  <si>
    <t>55</t>
  </si>
  <si>
    <t>998711103</t>
  </si>
  <si>
    <t>Přesun hmot tonážní pro izolace proti vodě, vlhkosti a plynům v objektech výšky do 60 m</t>
  </si>
  <si>
    <t>56</t>
  </si>
  <si>
    <t>998711181</t>
  </si>
  <si>
    <t>Příplatek k přesunu hmot tonážní 711 prováděný bez použití mechanizace</t>
  </si>
  <si>
    <t>57</t>
  </si>
  <si>
    <t>734221683</t>
  </si>
  <si>
    <t>Termostatická hlavice Giacomini R 460H otopných těles VK</t>
  </si>
  <si>
    <t>58</t>
  </si>
  <si>
    <t>734261402</t>
  </si>
  <si>
    <t>Armatura připojovací Giacomini R 384 radiátorů typu VK</t>
  </si>
  <si>
    <t>59</t>
  </si>
  <si>
    <t>735111810</t>
  </si>
  <si>
    <t>Demontáž otopného tělesa litinového článkového</t>
  </si>
  <si>
    <t>0,9*0,18*30</t>
  </si>
  <si>
    <t>60</t>
  </si>
  <si>
    <t>735151831</t>
  </si>
  <si>
    <t>Demontáž otopného tělesa panelového třířadého délka do 1500 mm</t>
  </si>
  <si>
    <t>61</t>
  </si>
  <si>
    <t>735152600</t>
  </si>
  <si>
    <t>Otopné těleso panelové Korado Radik Ventil Kompakt typ 22 VK výška/délka 900/1400 mm</t>
  </si>
  <si>
    <t>62</t>
  </si>
  <si>
    <t>7359-0010</t>
  </si>
  <si>
    <t>Úprava rozvodů UT k nově osazenému topnému tělěsu</t>
  </si>
  <si>
    <t>kpl</t>
  </si>
  <si>
    <t>63</t>
  </si>
  <si>
    <t>7359-0020</t>
  </si>
  <si>
    <t>Vypuštění a opětovné napuštění vody do otopné soustavy</t>
  </si>
  <si>
    <t>64</t>
  </si>
  <si>
    <t>998735103</t>
  </si>
  <si>
    <t>Přesun hmot tonážní pro otopná tělesa v objektech v do 24 m</t>
  </si>
  <si>
    <t>65</t>
  </si>
  <si>
    <t>998735181</t>
  </si>
  <si>
    <t>Příplatek k přesunu hmot tonážní 735 prováděný bez použití mechanizace</t>
  </si>
  <si>
    <t>66</t>
  </si>
  <si>
    <t>7479-0010</t>
  </si>
  <si>
    <t>Dodávka, montáž a propojení přívodního kabelu ze stáv. rozvaděče do skříně agregátu plošiny</t>
  </si>
  <si>
    <t>67</t>
  </si>
  <si>
    <t>767640112</t>
  </si>
  <si>
    <t>Montáž dveří ocelových vchodových jednokřídlových s nadsvětlíkem</t>
  </si>
  <si>
    <t>68</t>
  </si>
  <si>
    <t>553415221</t>
  </si>
  <si>
    <t>okno hliníkové - nadsvětlík - čiré dvojsklo 1100 x 320 mm</t>
  </si>
  <si>
    <t>69</t>
  </si>
  <si>
    <t>553415222</t>
  </si>
  <si>
    <t>okno hliníkové - nadsvětlík - čiré dvojsklo 1100 x 1290 mm</t>
  </si>
  <si>
    <t>70</t>
  </si>
  <si>
    <t>553415223</t>
  </si>
  <si>
    <t>okno hliníkové - nadsvětlík - čiré dvojsklo 1100 x 1220 mm</t>
  </si>
  <si>
    <t>71</t>
  </si>
  <si>
    <t>553415224</t>
  </si>
  <si>
    <t>okno hliníkové - nadsvětlík - čiré dvojsklo 1100 x 810 mm</t>
  </si>
  <si>
    <t>72</t>
  </si>
  <si>
    <t>553415225</t>
  </si>
  <si>
    <t>dveře hliníkové - do výtahové šachty 1100 x 2000 mm</t>
  </si>
  <si>
    <t>73</t>
  </si>
  <si>
    <t>7679-0010</t>
  </si>
  <si>
    <t>Dodávka a montáž proskleného opláštění pošiny včetně vstupních dveří a povrchové úpravy</t>
  </si>
  <si>
    <t>74</t>
  </si>
  <si>
    <t>998767103</t>
  </si>
  <si>
    <t>Přesun hmot tonážní pro zámečnické konstrukce v objektech v do 24 m</t>
  </si>
  <si>
    <t>75</t>
  </si>
  <si>
    <t>998767181</t>
  </si>
  <si>
    <t>Příplatek k přesunu hmot tonážní 767 prováděný bez použití mechanizace</t>
  </si>
  <si>
    <t>76</t>
  </si>
  <si>
    <t>771474113</t>
  </si>
  <si>
    <t>Montáž soklíků z dlaždic keramických rovných flexibilní lepidlo v do 120 mm</t>
  </si>
  <si>
    <t>0,7*2+0,6*2</t>
  </si>
  <si>
    <t>77</t>
  </si>
  <si>
    <t>771574113</t>
  </si>
  <si>
    <t>Montáž podlah keramických režných hladkých lepených flexibilním lepidlem do 12 ks/m2</t>
  </si>
  <si>
    <t>"1.PP" 1,31*0,7</t>
  </si>
  <si>
    <t>78</t>
  </si>
  <si>
    <t>771579191</t>
  </si>
  <si>
    <t>Příplatek k montáž podlah keramických za plochu do 5 m2</t>
  </si>
  <si>
    <t>79</t>
  </si>
  <si>
    <t>597612901</t>
  </si>
  <si>
    <t>dlaždice keramické  - podle stávajících</t>
  </si>
  <si>
    <t>"Plocha" 0,917*1,1</t>
  </si>
  <si>
    <t>"Soklík" 2,6*0,1*1,1</t>
  </si>
  <si>
    <t>80</t>
  </si>
  <si>
    <t>998771103</t>
  </si>
  <si>
    <t>Přesun hmot tonážní pro podlahy z dlaždic v objektech v do 24 m</t>
  </si>
  <si>
    <t>81</t>
  </si>
  <si>
    <t>998771181</t>
  </si>
  <si>
    <t>Příplatek k přesunu hmot tonážní 771 prováděný bez použití mechanizace</t>
  </si>
  <si>
    <t>82</t>
  </si>
  <si>
    <t>773423200</t>
  </si>
  <si>
    <t>Soklíky z barevného litého teraca rovné - podle stávajících</t>
  </si>
  <si>
    <t>"1.NP - 3.NP" 0,63*2*2+0,48*2+0,3*2*3</t>
  </si>
  <si>
    <t>83</t>
  </si>
  <si>
    <t>773521361</t>
  </si>
  <si>
    <t>Podlahy z barevného litého teraca zřízení podlahy prosté tl 30 mm</t>
  </si>
  <si>
    <t>84</t>
  </si>
  <si>
    <t>583461500</t>
  </si>
  <si>
    <t>drť serpentinit černá frakce 1- 4 mm VL</t>
  </si>
  <si>
    <t>85</t>
  </si>
  <si>
    <t>773529190</t>
  </si>
  <si>
    <t>Příplatek k podlahám z barevného litého teraca za plochu do 5 m2</t>
  </si>
  <si>
    <t>86</t>
  </si>
  <si>
    <t>998773103</t>
  </si>
  <si>
    <t>Přesun hmot tonážní pro podlahy teracové lité v objektech v do 24 m</t>
  </si>
  <si>
    <t>87</t>
  </si>
  <si>
    <t>998773181</t>
  </si>
  <si>
    <t>Příplatek k přesunu hmot tonážní 773 prováděný bez použití mechanizace</t>
  </si>
  <si>
    <t>88</t>
  </si>
  <si>
    <t>783226100</t>
  </si>
  <si>
    <t>Nátěry syntetické kovových doplňkových konstrukcí barva standardní základní</t>
  </si>
  <si>
    <t>"I č.120" 1,6*4*(0,12+0,06*2)*2</t>
  </si>
  <si>
    <t>89</t>
  </si>
  <si>
    <t>784181101</t>
  </si>
  <si>
    <t>Základní akrylátová jednonásobná penetrace podkladu v místnostech výšky do 3,80m</t>
  </si>
  <si>
    <t>"Dotčená část chodby" 5,5*2,63+3*4,12+5,5*4,15+5,5*4,03</t>
  </si>
  <si>
    <t>90</t>
  </si>
  <si>
    <t>784221101</t>
  </si>
  <si>
    <t>Dvojnásobné bílé malby  ze směsí za sucha dobře otěruvzdorných v místnostech do 3,80 m</t>
  </si>
  <si>
    <t>91</t>
  </si>
  <si>
    <t>339-0010</t>
  </si>
  <si>
    <t>Dodávka a montáž invalidní zdvihací plošiny</t>
  </si>
  <si>
    <t>92</t>
  </si>
  <si>
    <t>030001000</t>
  </si>
  <si>
    <t>Kč</t>
  </si>
  <si>
    <t>131072</t>
  </si>
  <si>
    <t>93</t>
  </si>
  <si>
    <t>070001000</t>
  </si>
  <si>
    <t>2048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</si>
  <si>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</si>
  <si>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</si>
  <si>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</si>
  <si>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</si>
  <si>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</si>
  <si>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</si>
  <si>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</si>
  <si>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</si>
  <si>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</si>
  <si>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Objekt č.p.324/II - Gymnázium Sušice - stav. úpravy - bezbariérové řešení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</si>
</sst>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Font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164" fontId="22" fillId="0" borderId="15" xfId="0" applyFont="1" applyBorder="1" applyAlignment="1">
      <alignment horizontal="right" vertical="center"/>
    </xf>
    <xf numFmtId="164" fontId="22" fillId="0" borderId="16" xfId="0" applyFont="1" applyBorder="1" applyAlignment="1">
      <alignment horizontal="right" vertical="center"/>
    </xf>
    <xf numFmtId="167" fontId="22" fillId="0" borderId="16" xfId="0" applyFont="1" applyBorder="1" applyAlignment="1">
      <alignment horizontal="right" vertical="center"/>
    </xf>
    <xf numFmtId="164" fontId="22" fillId="0" borderId="17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7" fillId="0" borderId="11" xfId="0" applyFont="1" applyBorder="1" applyAlignment="1">
      <alignment horizontal="right"/>
    </xf>
    <xf numFmtId="167" fontId="27" fillId="0" borderId="12" xfId="0" applyFont="1" applyBorder="1" applyAlignment="1">
      <alignment horizontal="right"/>
    </xf>
    <xf numFmtId="164" fontId="2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5" xfId="0" applyBorder="1" applyAlignment="1">
      <alignment horizontal="left"/>
    </xf>
    <xf numFmtId="0" fontId="26" fillId="0" borderId="13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4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Font="1" applyAlignment="1">
      <alignment horizontal="righ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24" xfId="0" applyFont="1" applyBorder="1" applyAlignment="1">
      <alignment horizontal="center" vertical="center"/>
    </xf>
    <xf numFmtId="49" fontId="30" fillId="0" borderId="24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center" vertical="center" wrapText="1"/>
    </xf>
    <xf numFmtId="168" fontId="30" fillId="0" borderId="24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26" fillId="0" borderId="0" xfId="0" applyFont="1" applyAlignment="1">
      <alignment horizontal="left"/>
    </xf>
    <xf numFmtId="164" fontId="25" fillId="0" borderId="0" xfId="0" applyFont="1" applyAlignment="1">
      <alignment horizontal="right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164" fontId="18" fillId="0" borderId="0" xfId="0" applyFont="1" applyAlignment="1">
      <alignment horizontal="right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24" xfId="0" applyFont="1" applyBorder="1" applyAlignment="1">
      <alignment horizontal="left" vertical="center" wrapText="1"/>
    </xf>
    <xf numFmtId="0" fontId="32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3" fillId="2" borderId="0" xfId="17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49" fontId="9" fillId="3" borderId="0" xfId="0" applyFont="1" applyFill="1" applyAlignment="1">
      <alignment horizontal="left" vertical="top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33" fillId="2" borderId="0" xfId="17" applyFont="1" applyFill="1" applyAlignment="1" applyProtection="1">
      <alignment horizontal="center" vertical="center"/>
      <protection/>
    </xf>
    <xf numFmtId="164" fontId="23" fillId="0" borderId="0" xfId="0" applyFont="1" applyAlignment="1">
      <alignment horizontal="right"/>
    </xf>
    <xf numFmtId="0" fontId="0" fillId="2" borderId="0" xfId="0" applyFont="1" applyFill="1" applyAlignment="1" applyProtection="1">
      <alignment horizontal="left" vertical="top"/>
      <protection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" borderId="0" xfId="0" applyFont="1" applyFill="1" applyAlignment="1">
      <alignment horizontal="right" vertical="center"/>
    </xf>
    <xf numFmtId="164" fontId="23" fillId="0" borderId="0" xfId="0" applyFont="1" applyAlignment="1">
      <alignment horizontal="righ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6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left" vertical="center"/>
    </xf>
    <xf numFmtId="164" fontId="7" fillId="4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0" fillId="0" borderId="24" xfId="0" applyFont="1" applyBorder="1" applyAlignment="1">
      <alignment horizontal="left" vertical="center"/>
    </xf>
    <xf numFmtId="164" fontId="30" fillId="3" borderId="24" xfId="0" applyFont="1" applyFill="1" applyBorder="1" applyAlignment="1">
      <alignment horizontal="right" vertical="center"/>
    </xf>
    <xf numFmtId="164" fontId="30" fillId="0" borderId="24" xfId="0" applyFont="1" applyBorder="1" applyAlignment="1">
      <alignment horizontal="right" vertical="center"/>
    </xf>
    <xf numFmtId="166" fontId="9" fillId="0" borderId="0" xfId="0" applyFont="1" applyAlignment="1">
      <alignment horizontal="left" vertical="top"/>
    </xf>
    <xf numFmtId="0" fontId="9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164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164" fontId="13" fillId="0" borderId="0" xfId="0" applyFont="1" applyAlignment="1">
      <alignment horizontal="right" vertical="center"/>
    </xf>
    <xf numFmtId="164" fontId="12" fillId="0" borderId="0" xfId="0" applyFont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166" fontId="9" fillId="3" borderId="0" xfId="0" applyFont="1" applyFill="1" applyAlignment="1">
      <alignment horizontal="left" vertical="top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82A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70B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R81" sqref="R8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0" t="s">
        <v>0</v>
      </c>
      <c r="B1" s="151"/>
      <c r="C1" s="151"/>
      <c r="D1" s="152" t="s">
        <v>1</v>
      </c>
      <c r="E1" s="151"/>
      <c r="F1" s="151"/>
      <c r="G1" s="151"/>
      <c r="H1" s="151"/>
      <c r="I1" s="151"/>
      <c r="J1" s="151"/>
      <c r="K1" s="153" t="s">
        <v>504</v>
      </c>
      <c r="L1" s="153"/>
      <c r="M1" s="153"/>
      <c r="N1" s="153"/>
      <c r="O1" s="153"/>
      <c r="P1" s="153"/>
      <c r="Q1" s="153"/>
      <c r="R1" s="153"/>
      <c r="S1" s="153"/>
      <c r="T1" s="151"/>
      <c r="U1" s="151"/>
      <c r="V1" s="151"/>
      <c r="W1" s="153" t="s">
        <v>505</v>
      </c>
      <c r="X1" s="153"/>
      <c r="Y1" s="153"/>
      <c r="Z1" s="153"/>
      <c r="AA1" s="153"/>
      <c r="AB1" s="153"/>
      <c r="AC1" s="153"/>
      <c r="AD1" s="153"/>
      <c r="AE1" s="153"/>
      <c r="AF1" s="153"/>
      <c r="AG1" s="151"/>
      <c r="AH1" s="15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91" t="s">
        <v>4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R2" s="164" t="s">
        <v>5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80" t="s">
        <v>9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54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81" t="s">
        <v>511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Q6" s="11"/>
      <c r="BE6" s="165"/>
      <c r="BS6" s="6" t="s">
        <v>15</v>
      </c>
    </row>
    <row r="7" spans="2:71" s="2" customFormat="1" ht="7.5" customHeight="1">
      <c r="B7" s="10"/>
      <c r="AQ7" s="11"/>
      <c r="BE7" s="165"/>
      <c r="BS7" s="6" t="s">
        <v>16</v>
      </c>
    </row>
    <row r="8" spans="2:71" s="2" customFormat="1" ht="15" customHeight="1">
      <c r="B8" s="10"/>
      <c r="D8" s="15" t="s">
        <v>17</v>
      </c>
      <c r="K8" s="16" t="s">
        <v>18</v>
      </c>
      <c r="AK8" s="15" t="s">
        <v>19</v>
      </c>
      <c r="AN8" s="17" t="s">
        <v>20</v>
      </c>
      <c r="AQ8" s="11"/>
      <c r="BE8" s="165"/>
      <c r="BS8" s="6" t="s">
        <v>21</v>
      </c>
    </row>
    <row r="9" spans="2:71" s="2" customFormat="1" ht="15" customHeight="1">
      <c r="B9" s="10"/>
      <c r="AQ9" s="11"/>
      <c r="BE9" s="165"/>
      <c r="BS9" s="6" t="s">
        <v>22</v>
      </c>
    </row>
    <row r="10" spans="2:71" s="2" customFormat="1" ht="15" customHeight="1">
      <c r="B10" s="10"/>
      <c r="D10" s="15" t="s">
        <v>23</v>
      </c>
      <c r="AK10" s="15" t="s">
        <v>24</v>
      </c>
      <c r="AN10" s="16"/>
      <c r="AQ10" s="11"/>
      <c r="BE10" s="165"/>
      <c r="BS10" s="6" t="s">
        <v>15</v>
      </c>
    </row>
    <row r="11" spans="2:71" s="2" customFormat="1" ht="19.5" customHeight="1">
      <c r="B11" s="10"/>
      <c r="E11" s="16" t="s">
        <v>25</v>
      </c>
      <c r="AK11" s="15" t="s">
        <v>26</v>
      </c>
      <c r="AN11" s="16"/>
      <c r="AQ11" s="11"/>
      <c r="BE11" s="165"/>
      <c r="BS11" s="6" t="s">
        <v>15</v>
      </c>
    </row>
    <row r="12" spans="2:71" s="2" customFormat="1" ht="7.5" customHeight="1">
      <c r="B12" s="10"/>
      <c r="AQ12" s="11"/>
      <c r="BE12" s="165"/>
      <c r="BS12" s="6" t="s">
        <v>15</v>
      </c>
    </row>
    <row r="13" spans="2:71" s="2" customFormat="1" ht="15" customHeight="1">
      <c r="B13" s="10"/>
      <c r="D13" s="15" t="s">
        <v>27</v>
      </c>
      <c r="AK13" s="15" t="s">
        <v>24</v>
      </c>
      <c r="AN13" s="18" t="s">
        <v>28</v>
      </c>
      <c r="AQ13" s="11"/>
      <c r="BE13" s="165"/>
      <c r="BS13" s="6" t="s">
        <v>15</v>
      </c>
    </row>
    <row r="14" spans="2:71" s="2" customFormat="1" ht="15.75" customHeight="1">
      <c r="B14" s="10"/>
      <c r="E14" s="155" t="s">
        <v>28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5" t="s">
        <v>26</v>
      </c>
      <c r="AN14" s="18" t="s">
        <v>28</v>
      </c>
      <c r="AQ14" s="11"/>
      <c r="BE14" s="165"/>
      <c r="BS14" s="6" t="s">
        <v>15</v>
      </c>
    </row>
    <row r="15" spans="2:71" s="2" customFormat="1" ht="7.5" customHeight="1">
      <c r="B15" s="10"/>
      <c r="AQ15" s="11"/>
      <c r="BE15" s="165"/>
      <c r="BS15" s="6" t="s">
        <v>3</v>
      </c>
    </row>
    <row r="16" spans="2:71" s="2" customFormat="1" ht="15" customHeight="1">
      <c r="B16" s="10"/>
      <c r="D16" s="15" t="s">
        <v>29</v>
      </c>
      <c r="AK16" s="15" t="s">
        <v>24</v>
      </c>
      <c r="AN16" s="16"/>
      <c r="AQ16" s="11"/>
      <c r="BE16" s="165"/>
      <c r="BS16" s="6" t="s">
        <v>3</v>
      </c>
    </row>
    <row r="17" spans="2:71" ht="19.5" customHeight="1">
      <c r="B17" s="10"/>
      <c r="E17" s="16" t="s">
        <v>30</v>
      </c>
      <c r="AK17" s="15" t="s">
        <v>26</v>
      </c>
      <c r="AN17" s="16"/>
      <c r="AQ17" s="11"/>
      <c r="AR17" s="2"/>
      <c r="BE17" s="165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31</v>
      </c>
    </row>
    <row r="18" spans="2:71" ht="7.5" customHeight="1">
      <c r="B18" s="10"/>
      <c r="AQ18" s="11"/>
      <c r="AR18" s="2"/>
      <c r="BE18" s="165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5" t="s">
        <v>32</v>
      </c>
      <c r="AK19" s="15" t="s">
        <v>24</v>
      </c>
      <c r="AN19" s="16"/>
      <c r="AQ19" s="11"/>
      <c r="AR19" s="2"/>
      <c r="BE19" s="165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15</v>
      </c>
    </row>
    <row r="20" spans="2:70" ht="19.5" customHeight="1">
      <c r="B20" s="10"/>
      <c r="E20" s="16" t="s">
        <v>33</v>
      </c>
      <c r="AK20" s="15" t="s">
        <v>26</v>
      </c>
      <c r="AN20" s="16"/>
      <c r="AQ20" s="11"/>
      <c r="AR20" s="2"/>
      <c r="BE20" s="165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E21" s="165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AR22" s="2"/>
      <c r="BE22" s="165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10"/>
      <c r="D23" s="20" t="s">
        <v>34</v>
      </c>
      <c r="AK23" s="156">
        <f>ROUNDUP($AG$87,2)</f>
        <v>0</v>
      </c>
      <c r="AL23" s="165"/>
      <c r="AM23" s="165"/>
      <c r="AN23" s="165"/>
      <c r="AO23" s="165"/>
      <c r="AQ23" s="11"/>
      <c r="AR23" s="2"/>
      <c r="BE23" s="165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 customHeight="1">
      <c r="B24" s="10"/>
      <c r="D24" s="20" t="s">
        <v>35</v>
      </c>
      <c r="AK24" s="156">
        <f>ROUNDUP($AG$90,2)</f>
        <v>0</v>
      </c>
      <c r="AL24" s="165"/>
      <c r="AM24" s="165"/>
      <c r="AN24" s="165"/>
      <c r="AO24" s="165"/>
      <c r="AQ24" s="11"/>
      <c r="AR24" s="2"/>
      <c r="BE24" s="165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57" s="6" customFormat="1" ht="7.5" customHeight="1">
      <c r="B25" s="21"/>
      <c r="AQ25" s="22"/>
      <c r="BE25" s="167"/>
    </row>
    <row r="26" spans="2:57" s="6" customFormat="1" ht="27" customHeight="1">
      <c r="B26" s="21"/>
      <c r="D26" s="23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7">
        <f>ROUNDUP($AK$23+$AK$24,2)</f>
        <v>0</v>
      </c>
      <c r="AL26" s="158"/>
      <c r="AM26" s="158"/>
      <c r="AN26" s="158"/>
      <c r="AO26" s="158"/>
      <c r="AQ26" s="22"/>
      <c r="BE26" s="167"/>
    </row>
    <row r="27" spans="2:57" s="6" customFormat="1" ht="7.5" customHeight="1">
      <c r="B27" s="21"/>
      <c r="AQ27" s="22"/>
      <c r="BE27" s="167"/>
    </row>
    <row r="28" spans="2:57" s="6" customFormat="1" ht="15" customHeight="1">
      <c r="B28" s="25"/>
      <c r="D28" s="26" t="s">
        <v>37</v>
      </c>
      <c r="F28" s="26" t="s">
        <v>38</v>
      </c>
      <c r="L28" s="186">
        <v>0.21</v>
      </c>
      <c r="M28" s="187"/>
      <c r="N28" s="187"/>
      <c r="O28" s="187"/>
      <c r="T28" s="28" t="s">
        <v>39</v>
      </c>
      <c r="W28" s="188">
        <f>ROUNDUP($AZ$87+SUM($CD$91:$CD$104),2)</f>
        <v>0</v>
      </c>
      <c r="X28" s="187"/>
      <c r="Y28" s="187"/>
      <c r="Z28" s="187"/>
      <c r="AA28" s="187"/>
      <c r="AB28" s="187"/>
      <c r="AC28" s="187"/>
      <c r="AD28" s="187"/>
      <c r="AE28" s="187"/>
      <c r="AK28" s="188">
        <f>ROUNDUP($AV$87+SUM($BY$91:$BY$104),1)</f>
        <v>0</v>
      </c>
      <c r="AL28" s="187"/>
      <c r="AM28" s="187"/>
      <c r="AN28" s="187"/>
      <c r="AO28" s="187"/>
      <c r="AQ28" s="29"/>
      <c r="BE28" s="187"/>
    </row>
    <row r="29" spans="2:57" s="6" customFormat="1" ht="15" customHeight="1">
      <c r="B29" s="25"/>
      <c r="F29" s="26" t="s">
        <v>40</v>
      </c>
      <c r="L29" s="186">
        <v>0.15</v>
      </c>
      <c r="M29" s="187"/>
      <c r="N29" s="187"/>
      <c r="O29" s="187"/>
      <c r="T29" s="28" t="s">
        <v>39</v>
      </c>
      <c r="W29" s="188">
        <f>ROUNDUP($BA$87+SUM($CE$91:$CE$104),2)</f>
        <v>0</v>
      </c>
      <c r="X29" s="187"/>
      <c r="Y29" s="187"/>
      <c r="Z29" s="187"/>
      <c r="AA29" s="187"/>
      <c r="AB29" s="187"/>
      <c r="AC29" s="187"/>
      <c r="AD29" s="187"/>
      <c r="AE29" s="187"/>
      <c r="AK29" s="188">
        <f>ROUNDUP($AW$87+SUM($BZ$91:$BZ$104),1)</f>
        <v>0</v>
      </c>
      <c r="AL29" s="187"/>
      <c r="AM29" s="187"/>
      <c r="AN29" s="187"/>
      <c r="AO29" s="187"/>
      <c r="AQ29" s="29"/>
      <c r="BE29" s="187"/>
    </row>
    <row r="30" spans="2:57" s="6" customFormat="1" ht="15" customHeight="1" hidden="1">
      <c r="B30" s="25"/>
      <c r="F30" s="26" t="s">
        <v>41</v>
      </c>
      <c r="L30" s="186">
        <v>0.21</v>
      </c>
      <c r="M30" s="187"/>
      <c r="N30" s="187"/>
      <c r="O30" s="187"/>
      <c r="T30" s="28" t="s">
        <v>39</v>
      </c>
      <c r="W30" s="188">
        <f>ROUNDUP($BB$87+SUM($CF$91:$CF$104),2)</f>
        <v>0</v>
      </c>
      <c r="X30" s="187"/>
      <c r="Y30" s="187"/>
      <c r="Z30" s="187"/>
      <c r="AA30" s="187"/>
      <c r="AB30" s="187"/>
      <c r="AC30" s="187"/>
      <c r="AD30" s="187"/>
      <c r="AE30" s="187"/>
      <c r="AK30" s="188">
        <v>0</v>
      </c>
      <c r="AL30" s="187"/>
      <c r="AM30" s="187"/>
      <c r="AN30" s="187"/>
      <c r="AO30" s="187"/>
      <c r="AQ30" s="29"/>
      <c r="BE30" s="187"/>
    </row>
    <row r="31" spans="2:57" s="6" customFormat="1" ht="15" customHeight="1" hidden="1">
      <c r="B31" s="25"/>
      <c r="F31" s="26" t="s">
        <v>42</v>
      </c>
      <c r="L31" s="186">
        <v>0.15</v>
      </c>
      <c r="M31" s="187"/>
      <c r="N31" s="187"/>
      <c r="O31" s="187"/>
      <c r="T31" s="28" t="s">
        <v>39</v>
      </c>
      <c r="W31" s="188">
        <f>ROUNDUP($BC$87+SUM($CG$91:$CG$104),2)</f>
        <v>0</v>
      </c>
      <c r="X31" s="187"/>
      <c r="Y31" s="187"/>
      <c r="Z31" s="187"/>
      <c r="AA31" s="187"/>
      <c r="AB31" s="187"/>
      <c r="AC31" s="187"/>
      <c r="AD31" s="187"/>
      <c r="AE31" s="187"/>
      <c r="AK31" s="188">
        <v>0</v>
      </c>
      <c r="AL31" s="187"/>
      <c r="AM31" s="187"/>
      <c r="AN31" s="187"/>
      <c r="AO31" s="187"/>
      <c r="AQ31" s="29"/>
      <c r="BE31" s="187"/>
    </row>
    <row r="32" spans="2:57" s="6" customFormat="1" ht="15" customHeight="1" hidden="1">
      <c r="B32" s="25"/>
      <c r="F32" s="26" t="s">
        <v>43</v>
      </c>
      <c r="L32" s="186">
        <v>0</v>
      </c>
      <c r="M32" s="187"/>
      <c r="N32" s="187"/>
      <c r="O32" s="187"/>
      <c r="T32" s="28" t="s">
        <v>39</v>
      </c>
      <c r="W32" s="188">
        <f>ROUNDUP($BD$87+SUM($CH$91:$CH$104),2)</f>
        <v>0</v>
      </c>
      <c r="X32" s="187"/>
      <c r="Y32" s="187"/>
      <c r="Z32" s="187"/>
      <c r="AA32" s="187"/>
      <c r="AB32" s="187"/>
      <c r="AC32" s="187"/>
      <c r="AD32" s="187"/>
      <c r="AE32" s="187"/>
      <c r="AK32" s="188">
        <v>0</v>
      </c>
      <c r="AL32" s="187"/>
      <c r="AM32" s="187"/>
      <c r="AN32" s="187"/>
      <c r="AO32" s="187"/>
      <c r="AQ32" s="29"/>
      <c r="BE32" s="187"/>
    </row>
    <row r="33" spans="2:57" s="6" customFormat="1" ht="7.5" customHeight="1">
      <c r="B33" s="21"/>
      <c r="AQ33" s="22"/>
      <c r="BE33" s="167"/>
    </row>
    <row r="34" spans="2:57" s="6" customFormat="1" ht="27" customHeight="1">
      <c r="B34" s="21"/>
      <c r="C34" s="30"/>
      <c r="D34" s="31" t="s">
        <v>44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45</v>
      </c>
      <c r="U34" s="32"/>
      <c r="V34" s="32"/>
      <c r="W34" s="32"/>
      <c r="X34" s="189" t="s">
        <v>46</v>
      </c>
      <c r="Y34" s="177"/>
      <c r="Z34" s="177"/>
      <c r="AA34" s="177"/>
      <c r="AB34" s="177"/>
      <c r="AC34" s="32"/>
      <c r="AD34" s="32"/>
      <c r="AE34" s="32"/>
      <c r="AF34" s="32"/>
      <c r="AG34" s="32"/>
      <c r="AH34" s="32"/>
      <c r="AI34" s="32"/>
      <c r="AJ34" s="32"/>
      <c r="AK34" s="190">
        <f>ROUNDUP(SUM($AK$26:$AK$32),2)</f>
        <v>0</v>
      </c>
      <c r="AL34" s="177"/>
      <c r="AM34" s="177"/>
      <c r="AN34" s="177"/>
      <c r="AO34" s="179"/>
      <c r="AP34" s="30"/>
      <c r="AQ34" s="22"/>
      <c r="BE34" s="167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48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49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50</v>
      </c>
      <c r="S58" s="40"/>
      <c r="T58" s="40"/>
      <c r="U58" s="40"/>
      <c r="V58" s="40"/>
      <c r="W58" s="40"/>
      <c r="X58" s="40"/>
      <c r="Y58" s="40"/>
      <c r="Z58" s="42"/>
      <c r="AC58" s="39" t="s">
        <v>49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50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52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49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50</v>
      </c>
      <c r="S69" s="40"/>
      <c r="T69" s="40"/>
      <c r="U69" s="40"/>
      <c r="V69" s="40"/>
      <c r="W69" s="40"/>
      <c r="X69" s="40"/>
      <c r="Y69" s="40"/>
      <c r="Z69" s="42"/>
      <c r="AC69" s="39" t="s">
        <v>49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50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80" t="s">
        <v>53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81" t="str">
        <f>$K$6</f>
        <v>Objekt č.p.324/II - Gymnázium Sušice - stav. úpravy - bezbariérové řešení</v>
      </c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17</v>
      </c>
      <c r="L80" s="51" t="str">
        <f>IF($K$8="","",$K$8)</f>
        <v>Sušice</v>
      </c>
      <c r="AI80" s="15" t="s">
        <v>19</v>
      </c>
      <c r="AM80" s="52" t="str">
        <f>IF($AN$8="","",$AN$8)</f>
        <v>01.04.2013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23</v>
      </c>
      <c r="L82" s="16" t="str">
        <f>IF($E$11="","",$E$11)</f>
        <v>Gymnázium Sušice, Fr. Procházky č.p.324/II, Sušice</v>
      </c>
      <c r="AI82" s="15" t="s">
        <v>29</v>
      </c>
      <c r="AM82" s="182" t="str">
        <f>IF($E$17="","",$E$17)</f>
        <v>Ing. Jiří Lejsek</v>
      </c>
      <c r="AN82" s="167"/>
      <c r="AO82" s="167"/>
      <c r="AP82" s="167"/>
      <c r="AQ82" s="22"/>
      <c r="AS82" s="183" t="s">
        <v>54</v>
      </c>
      <c r="AT82" s="184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27</v>
      </c>
      <c r="L83" s="16">
        <f>IF($E$14="Vyplň údaj","",$E$14)</f>
      </c>
      <c r="AI83" s="15" t="s">
        <v>32</v>
      </c>
      <c r="AM83" s="182" t="str">
        <f>IF($E$20="","",$E$20)</f>
        <v>Pavel Hrba</v>
      </c>
      <c r="AN83" s="167"/>
      <c r="AO83" s="167"/>
      <c r="AP83" s="167"/>
      <c r="AQ83" s="22"/>
      <c r="AS83" s="185"/>
      <c r="AT83" s="167"/>
      <c r="BD83" s="53"/>
    </row>
    <row r="84" spans="2:56" s="6" customFormat="1" ht="12" customHeight="1">
      <c r="B84" s="21"/>
      <c r="AQ84" s="22"/>
      <c r="AS84" s="185"/>
      <c r="AT84" s="167"/>
      <c r="BD84" s="53"/>
    </row>
    <row r="85" spans="2:57" s="6" customFormat="1" ht="30" customHeight="1">
      <c r="B85" s="21"/>
      <c r="C85" s="176" t="s">
        <v>55</v>
      </c>
      <c r="D85" s="177"/>
      <c r="E85" s="177"/>
      <c r="F85" s="177"/>
      <c r="G85" s="177"/>
      <c r="H85" s="32"/>
      <c r="I85" s="178" t="s">
        <v>56</v>
      </c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8" t="s">
        <v>57</v>
      </c>
      <c r="AH85" s="177"/>
      <c r="AI85" s="177"/>
      <c r="AJ85" s="177"/>
      <c r="AK85" s="177"/>
      <c r="AL85" s="177"/>
      <c r="AM85" s="177"/>
      <c r="AN85" s="178" t="s">
        <v>58</v>
      </c>
      <c r="AO85" s="177"/>
      <c r="AP85" s="179"/>
      <c r="AQ85" s="22"/>
      <c r="AS85" s="54" t="s">
        <v>59</v>
      </c>
      <c r="AT85" s="55" t="s">
        <v>60</v>
      </c>
      <c r="AU85" s="55" t="s">
        <v>61</v>
      </c>
      <c r="AV85" s="55" t="s">
        <v>62</v>
      </c>
      <c r="AW85" s="55" t="s">
        <v>63</v>
      </c>
      <c r="AX85" s="55" t="s">
        <v>64</v>
      </c>
      <c r="AY85" s="55" t="s">
        <v>65</v>
      </c>
      <c r="AZ85" s="55" t="s">
        <v>66</v>
      </c>
      <c r="BA85" s="55" t="s">
        <v>67</v>
      </c>
      <c r="BB85" s="55" t="s">
        <v>68</v>
      </c>
      <c r="BC85" s="55" t="s">
        <v>69</v>
      </c>
      <c r="BD85" s="56" t="s">
        <v>70</v>
      </c>
      <c r="BE85" s="57"/>
    </row>
    <row r="86" spans="2:56" s="6" customFormat="1" ht="12" customHeight="1">
      <c r="B86" s="21"/>
      <c r="AQ86" s="22"/>
      <c r="AS86" s="58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59" t="s">
        <v>71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170">
        <f>ROUNDUP($AG$88,2)</f>
        <v>0</v>
      </c>
      <c r="AH87" s="171"/>
      <c r="AI87" s="171"/>
      <c r="AJ87" s="171"/>
      <c r="AK87" s="171"/>
      <c r="AL87" s="171"/>
      <c r="AM87" s="171"/>
      <c r="AN87" s="170">
        <f>ROUNDUP(SUM($AG$87,$AT$87),2)</f>
        <v>0</v>
      </c>
      <c r="AO87" s="171"/>
      <c r="AP87" s="171"/>
      <c r="AQ87" s="50"/>
      <c r="AS87" s="60">
        <f>ROUNDUP($AS$88,2)</f>
        <v>0</v>
      </c>
      <c r="AT87" s="61">
        <f>ROUNDUP(SUM($AV$87:$AW$87),1)</f>
        <v>0</v>
      </c>
      <c r="AU87" s="62">
        <f>ROUNDUP($AU$88,5)</f>
        <v>304.11656999999997</v>
      </c>
      <c r="AV87" s="61">
        <f>ROUNDUP($AZ$87*$L$28,2)</f>
        <v>0</v>
      </c>
      <c r="AW87" s="61">
        <f>ROUNDUP($BA$87*$L$29,2)</f>
        <v>0</v>
      </c>
      <c r="AX87" s="61">
        <f>ROUNDUP($BB$87*$L$28,2)</f>
        <v>0</v>
      </c>
      <c r="AY87" s="61">
        <f>ROUNDUP($BC$87*$L$29,2)</f>
        <v>0</v>
      </c>
      <c r="AZ87" s="61">
        <f>ROUNDUP($AZ$88,2)</f>
        <v>0</v>
      </c>
      <c r="BA87" s="61">
        <f>ROUNDUP($BA$88,2)</f>
        <v>0</v>
      </c>
      <c r="BB87" s="61">
        <f>ROUNDUP($BB$88,2)</f>
        <v>0</v>
      </c>
      <c r="BC87" s="61">
        <f>ROUNDUP($BC$88,2)</f>
        <v>0</v>
      </c>
      <c r="BD87" s="63">
        <f>ROUNDUP($BD$88,2)</f>
        <v>0</v>
      </c>
      <c r="BS87" s="14" t="s">
        <v>72</v>
      </c>
      <c r="BT87" s="14" t="s">
        <v>73</v>
      </c>
      <c r="BV87" s="14" t="s">
        <v>74</v>
      </c>
      <c r="BW87" s="14" t="s">
        <v>75</v>
      </c>
      <c r="BX87" s="14" t="s">
        <v>76</v>
      </c>
    </row>
    <row r="88" spans="1:76" s="64" customFormat="1" ht="28.5" customHeight="1">
      <c r="A88" s="149" t="s">
        <v>506</v>
      </c>
      <c r="B88" s="65"/>
      <c r="C88" s="66"/>
      <c r="D88" s="174" t="s">
        <v>77</v>
      </c>
      <c r="E88" s="175"/>
      <c r="F88" s="175"/>
      <c r="G88" s="175"/>
      <c r="H88" s="175"/>
      <c r="I88" s="66"/>
      <c r="J88" s="174" t="s">
        <v>78</v>
      </c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2">
        <f>'13_017 - Objekt č.p. 324_...'!$M$26</f>
        <v>0</v>
      </c>
      <c r="AH88" s="173"/>
      <c r="AI88" s="173"/>
      <c r="AJ88" s="173"/>
      <c r="AK88" s="173"/>
      <c r="AL88" s="173"/>
      <c r="AM88" s="173"/>
      <c r="AN88" s="172">
        <f>ROUNDUP(SUM($AG$88,$AT$88),2)</f>
        <v>0</v>
      </c>
      <c r="AO88" s="173"/>
      <c r="AP88" s="173"/>
      <c r="AQ88" s="67"/>
      <c r="AS88" s="68">
        <f>'13_017 - Objekt č.p. 324_...'!$M$24</f>
        <v>0</v>
      </c>
      <c r="AT88" s="69">
        <f>ROUNDUP(SUM($AV$88:$AW$88),1)</f>
        <v>0</v>
      </c>
      <c r="AU88" s="70">
        <f>'13_017 - Objekt č.p. 324_...'!$W$134</f>
        <v>304.116565</v>
      </c>
      <c r="AV88" s="69">
        <f>'13_017 - Objekt č.p. 324_...'!$M$28</f>
        <v>0</v>
      </c>
      <c r="AW88" s="69">
        <f>'13_017 - Objekt č.p. 324_...'!$M$29</f>
        <v>0</v>
      </c>
      <c r="AX88" s="69">
        <f>'13_017 - Objekt č.p. 324_...'!$M$30</f>
        <v>0</v>
      </c>
      <c r="AY88" s="69">
        <f>'13_017 - Objekt č.p. 324_...'!$M$31</f>
        <v>0</v>
      </c>
      <c r="AZ88" s="69">
        <f>'13_017 - Objekt č.p. 324_...'!$H$28</f>
        <v>0</v>
      </c>
      <c r="BA88" s="69">
        <f>'13_017 - Objekt č.p. 324_...'!$H$29</f>
        <v>0</v>
      </c>
      <c r="BB88" s="69">
        <f>'13_017 - Objekt č.p. 324_...'!$H$30</f>
        <v>0</v>
      </c>
      <c r="BC88" s="69">
        <f>'13_017 - Objekt č.p. 324_...'!$H$31</f>
        <v>0</v>
      </c>
      <c r="BD88" s="71">
        <f>'13_017 - Objekt č.p. 324_...'!$H$32</f>
        <v>0</v>
      </c>
      <c r="BT88" s="64" t="s">
        <v>16</v>
      </c>
      <c r="BU88" s="64" t="s">
        <v>79</v>
      </c>
      <c r="BV88" s="64" t="s">
        <v>74</v>
      </c>
      <c r="BW88" s="64" t="s">
        <v>75</v>
      </c>
      <c r="BX88" s="64" t="s">
        <v>76</v>
      </c>
    </row>
    <row r="89" spans="2:43" s="2" customFormat="1" ht="14.25" customHeight="1">
      <c r="B89" s="10"/>
      <c r="AQ89" s="11"/>
    </row>
    <row r="90" spans="2:49" s="6" customFormat="1" ht="30.75" customHeight="1">
      <c r="B90" s="21"/>
      <c r="C90" s="59" t="s">
        <v>80</v>
      </c>
      <c r="AG90" s="170">
        <f>ROUNDUP(SUM($AG$91:$AG$103),2)</f>
        <v>0</v>
      </c>
      <c r="AH90" s="167"/>
      <c r="AI90" s="167"/>
      <c r="AJ90" s="167"/>
      <c r="AK90" s="167"/>
      <c r="AL90" s="167"/>
      <c r="AM90" s="167"/>
      <c r="AN90" s="170">
        <f>ROUNDUP(SUM($AN$91:$AN$103),2)</f>
        <v>0</v>
      </c>
      <c r="AO90" s="167"/>
      <c r="AP90" s="167"/>
      <c r="AQ90" s="22"/>
      <c r="AS90" s="54" t="s">
        <v>81</v>
      </c>
      <c r="AT90" s="55" t="s">
        <v>82</v>
      </c>
      <c r="AU90" s="55" t="s">
        <v>37</v>
      </c>
      <c r="AV90" s="56" t="s">
        <v>60</v>
      </c>
      <c r="AW90" s="57"/>
    </row>
    <row r="91" spans="2:89" s="6" customFormat="1" ht="21" customHeight="1">
      <c r="B91" s="21"/>
      <c r="D91" s="72" t="s">
        <v>83</v>
      </c>
      <c r="AG91" s="168">
        <f>ROUNDUP($AG$87*$AS$91,2)</f>
        <v>0</v>
      </c>
      <c r="AH91" s="167"/>
      <c r="AI91" s="167"/>
      <c r="AJ91" s="167"/>
      <c r="AK91" s="167"/>
      <c r="AL91" s="167"/>
      <c r="AM91" s="167"/>
      <c r="AN91" s="169">
        <f>ROUNDUP($AG$91+$AV$91,2)</f>
        <v>0</v>
      </c>
      <c r="AO91" s="167"/>
      <c r="AP91" s="167"/>
      <c r="AQ91" s="22"/>
      <c r="AS91" s="73">
        <v>0</v>
      </c>
      <c r="AT91" s="74" t="s">
        <v>84</v>
      </c>
      <c r="AU91" s="74" t="s">
        <v>38</v>
      </c>
      <c r="AV91" s="75">
        <f>ROUNDUP(IF($AU$91="základní",$AG$91*$L$28,IF($AU$91="snížená",$AG$91*$L$29,0)),2)</f>
        <v>0</v>
      </c>
      <c r="BV91" s="6" t="s">
        <v>85</v>
      </c>
      <c r="BY91" s="76">
        <f>IF($AU$91="základní",$AV$91,0)</f>
        <v>0</v>
      </c>
      <c r="BZ91" s="76">
        <f>IF($AU$91="snížená",$AV$91,0)</f>
        <v>0</v>
      </c>
      <c r="CA91" s="76">
        <v>0</v>
      </c>
      <c r="CB91" s="76">
        <v>0</v>
      </c>
      <c r="CC91" s="76">
        <v>0</v>
      </c>
      <c r="CD91" s="76">
        <f>IF($AU$91="základní",$AG$91,0)</f>
        <v>0</v>
      </c>
      <c r="CE91" s="76">
        <f>IF($AU$91="snížená",$AG$91,0)</f>
        <v>0</v>
      </c>
      <c r="CF91" s="76">
        <f>IF($AU$91="zákl. přenesená",$AG$91,0)</f>
        <v>0</v>
      </c>
      <c r="CG91" s="76">
        <f>IF($AU$91="sníž. přenesená",$AG$91,0)</f>
        <v>0</v>
      </c>
      <c r="CH91" s="76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1"/>
      <c r="D92" s="72" t="s">
        <v>86</v>
      </c>
      <c r="AG92" s="168">
        <f>ROUNDUP($AG$87*$AS$92,2)</f>
        <v>0</v>
      </c>
      <c r="AH92" s="167"/>
      <c r="AI92" s="167"/>
      <c r="AJ92" s="167"/>
      <c r="AK92" s="167"/>
      <c r="AL92" s="167"/>
      <c r="AM92" s="167"/>
      <c r="AN92" s="169">
        <f>ROUNDUP($AG$92+$AV$92,2)</f>
        <v>0</v>
      </c>
      <c r="AO92" s="167"/>
      <c r="AP92" s="167"/>
      <c r="AQ92" s="22"/>
      <c r="AS92" s="77">
        <v>0</v>
      </c>
      <c r="AT92" s="78" t="s">
        <v>84</v>
      </c>
      <c r="AU92" s="78" t="s">
        <v>38</v>
      </c>
      <c r="AV92" s="79">
        <f>ROUNDUP(IF($AU$92="základní",$AG$92*$L$28,IF($AU$92="snížená",$AG$92*$L$29,0)),2)</f>
        <v>0</v>
      </c>
      <c r="BV92" s="6" t="s">
        <v>85</v>
      </c>
      <c r="BY92" s="76">
        <f>IF($AU$92="základní",$AV$92,0)</f>
        <v>0</v>
      </c>
      <c r="BZ92" s="76">
        <f>IF($AU$92="snížená",$AV$92,0)</f>
        <v>0</v>
      </c>
      <c r="CA92" s="76">
        <v>0</v>
      </c>
      <c r="CB92" s="76">
        <v>0</v>
      </c>
      <c r="CC92" s="76">
        <v>0</v>
      </c>
      <c r="CD92" s="76">
        <f>IF($AU$92="základní",$AG$92,0)</f>
        <v>0</v>
      </c>
      <c r="CE92" s="76">
        <f>IF($AU$92="snížená",$AG$92,0)</f>
        <v>0</v>
      </c>
      <c r="CF92" s="76">
        <f>IF($AU$92="zákl. přenesená",$AG$92,0)</f>
        <v>0</v>
      </c>
      <c r="CG92" s="76">
        <f>IF($AU$92="sníž. přenesená",$AG$92,0)</f>
        <v>0</v>
      </c>
      <c r="CH92" s="76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1"/>
      <c r="D93" s="72" t="s">
        <v>87</v>
      </c>
      <c r="AG93" s="168">
        <f>ROUNDUP($AG$87*$AS$93,2)</f>
        <v>0</v>
      </c>
      <c r="AH93" s="167"/>
      <c r="AI93" s="167"/>
      <c r="AJ93" s="167"/>
      <c r="AK93" s="167"/>
      <c r="AL93" s="167"/>
      <c r="AM93" s="167"/>
      <c r="AN93" s="169">
        <f>ROUNDUP($AG$93+$AV$93,2)</f>
        <v>0</v>
      </c>
      <c r="AO93" s="167"/>
      <c r="AP93" s="167"/>
      <c r="AQ93" s="22"/>
      <c r="AS93" s="77">
        <v>0</v>
      </c>
      <c r="AT93" s="78" t="s">
        <v>84</v>
      </c>
      <c r="AU93" s="78" t="s">
        <v>38</v>
      </c>
      <c r="AV93" s="79">
        <f>ROUNDUP(IF($AU$93="základní",$AG$93*$L$28,IF($AU$93="snížená",$AG$93*$L$29,0)),2)</f>
        <v>0</v>
      </c>
      <c r="BV93" s="6" t="s">
        <v>85</v>
      </c>
      <c r="BY93" s="76">
        <f>IF($AU$93="základní",$AV$93,0)</f>
        <v>0</v>
      </c>
      <c r="BZ93" s="76">
        <f>IF($AU$93="snížená",$AV$93,0)</f>
        <v>0</v>
      </c>
      <c r="CA93" s="76">
        <v>0</v>
      </c>
      <c r="CB93" s="76">
        <v>0</v>
      </c>
      <c r="CC93" s="76">
        <v>0</v>
      </c>
      <c r="CD93" s="76">
        <f>IF($AU$93="základní",$AG$93,0)</f>
        <v>0</v>
      </c>
      <c r="CE93" s="76">
        <f>IF($AU$93="snížená",$AG$93,0)</f>
        <v>0</v>
      </c>
      <c r="CF93" s="76">
        <f>IF($AU$93="zákl. přenesená",$AG$93,0)</f>
        <v>0</v>
      </c>
      <c r="CG93" s="76">
        <f>IF($AU$93="sníž. přenesená",$AG$93,0)</f>
        <v>0</v>
      </c>
      <c r="CH93" s="76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2" t="s">
        <v>88</v>
      </c>
      <c r="AG94" s="168">
        <f>ROUNDUP($AG$87*$AS$94,2)</f>
        <v>0</v>
      </c>
      <c r="AH94" s="167"/>
      <c r="AI94" s="167"/>
      <c r="AJ94" s="167"/>
      <c r="AK94" s="167"/>
      <c r="AL94" s="167"/>
      <c r="AM94" s="167"/>
      <c r="AN94" s="169">
        <f>ROUNDUP($AG$94+$AV$94,2)</f>
        <v>0</v>
      </c>
      <c r="AO94" s="167"/>
      <c r="AP94" s="167"/>
      <c r="AQ94" s="22"/>
      <c r="AS94" s="77">
        <v>0</v>
      </c>
      <c r="AT94" s="78" t="s">
        <v>84</v>
      </c>
      <c r="AU94" s="78" t="s">
        <v>38</v>
      </c>
      <c r="AV94" s="79">
        <f>ROUNDUP(IF($AU$94="základní",$AG$94*$L$28,IF($AU$94="snížená",$AG$94*$L$29,0)),2)</f>
        <v>0</v>
      </c>
      <c r="BV94" s="6" t="s">
        <v>85</v>
      </c>
      <c r="BY94" s="76">
        <f>IF($AU$94="základní",$AV$94,0)</f>
        <v>0</v>
      </c>
      <c r="BZ94" s="76">
        <f>IF($AU$94="snížená",$AV$94,0)</f>
        <v>0</v>
      </c>
      <c r="CA94" s="76">
        <v>0</v>
      </c>
      <c r="CB94" s="76">
        <v>0</v>
      </c>
      <c r="CC94" s="76">
        <v>0</v>
      </c>
      <c r="CD94" s="76">
        <f>IF($AU$94="základní",$AG$94,0)</f>
        <v>0</v>
      </c>
      <c r="CE94" s="76">
        <f>IF($AU$94="snížená",$AG$94,0)</f>
        <v>0</v>
      </c>
      <c r="CF94" s="76">
        <f>IF($AU$94="zákl. přenesená",$AG$94,0)</f>
        <v>0</v>
      </c>
      <c r="CG94" s="76">
        <f>IF($AU$94="sníž. přenesená",$AG$94,0)</f>
        <v>0</v>
      </c>
      <c r="CH94" s="76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2" t="s">
        <v>89</v>
      </c>
      <c r="AG95" s="168">
        <f>ROUNDUP($AG$87*$AS$95,2)</f>
        <v>0</v>
      </c>
      <c r="AH95" s="167"/>
      <c r="AI95" s="167"/>
      <c r="AJ95" s="167"/>
      <c r="AK95" s="167"/>
      <c r="AL95" s="167"/>
      <c r="AM95" s="167"/>
      <c r="AN95" s="169">
        <f>ROUNDUP($AG$95+$AV$95,2)</f>
        <v>0</v>
      </c>
      <c r="AO95" s="167"/>
      <c r="AP95" s="167"/>
      <c r="AQ95" s="22"/>
      <c r="AS95" s="77">
        <v>0</v>
      </c>
      <c r="AT95" s="78" t="s">
        <v>84</v>
      </c>
      <c r="AU95" s="78" t="s">
        <v>38</v>
      </c>
      <c r="AV95" s="79">
        <f>ROUNDUP(IF($AU$95="základní",$AG$95*$L$28,IF($AU$95="snížená",$AG$95*$L$29,0)),2)</f>
        <v>0</v>
      </c>
      <c r="BV95" s="6" t="s">
        <v>85</v>
      </c>
      <c r="BY95" s="76">
        <f>IF($AU$95="základní",$AV$95,0)</f>
        <v>0</v>
      </c>
      <c r="BZ95" s="76">
        <f>IF($AU$95="snížená",$AV$95,0)</f>
        <v>0</v>
      </c>
      <c r="CA95" s="76">
        <v>0</v>
      </c>
      <c r="CB95" s="76">
        <v>0</v>
      </c>
      <c r="CC95" s="76">
        <v>0</v>
      </c>
      <c r="CD95" s="76">
        <f>IF($AU$95="základní",$AG$95,0)</f>
        <v>0</v>
      </c>
      <c r="CE95" s="76">
        <f>IF($AU$95="snížená",$AG$95,0)</f>
        <v>0</v>
      </c>
      <c r="CF95" s="76">
        <f>IF($AU$95="zákl. přenesená",$AG$95,0)</f>
        <v>0</v>
      </c>
      <c r="CG95" s="76">
        <f>IF($AU$95="sníž. přenesená",$AG$95,0)</f>
        <v>0</v>
      </c>
      <c r="CH95" s="76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2" t="s">
        <v>90</v>
      </c>
      <c r="AG96" s="168">
        <f>ROUNDUP($AG$87*$AS$96,2)</f>
        <v>0</v>
      </c>
      <c r="AH96" s="167"/>
      <c r="AI96" s="167"/>
      <c r="AJ96" s="167"/>
      <c r="AK96" s="167"/>
      <c r="AL96" s="167"/>
      <c r="AM96" s="167"/>
      <c r="AN96" s="169">
        <f>ROUNDUP($AG$96+$AV$96,2)</f>
        <v>0</v>
      </c>
      <c r="AO96" s="167"/>
      <c r="AP96" s="167"/>
      <c r="AQ96" s="22"/>
      <c r="AS96" s="77">
        <v>0</v>
      </c>
      <c r="AT96" s="78" t="s">
        <v>84</v>
      </c>
      <c r="AU96" s="78" t="s">
        <v>38</v>
      </c>
      <c r="AV96" s="79">
        <f>ROUNDUP(IF($AU$96="základní",$AG$96*$L$28,IF($AU$96="snížená",$AG$96*$L$29,0)),2)</f>
        <v>0</v>
      </c>
      <c r="BV96" s="6" t="s">
        <v>85</v>
      </c>
      <c r="BY96" s="76">
        <f>IF($AU$96="základní",$AV$96,0)</f>
        <v>0</v>
      </c>
      <c r="BZ96" s="76">
        <f>IF($AU$96="snížená",$AV$96,0)</f>
        <v>0</v>
      </c>
      <c r="CA96" s="76">
        <v>0</v>
      </c>
      <c r="CB96" s="76">
        <v>0</v>
      </c>
      <c r="CC96" s="76">
        <v>0</v>
      </c>
      <c r="CD96" s="76">
        <f>IF($AU$96="základní",$AG$96,0)</f>
        <v>0</v>
      </c>
      <c r="CE96" s="76">
        <f>IF($AU$96="snížená",$AG$96,0)</f>
        <v>0</v>
      </c>
      <c r="CF96" s="76">
        <f>IF($AU$96="zákl. přenesená",$AG$96,0)</f>
        <v>0</v>
      </c>
      <c r="CG96" s="76">
        <f>IF($AU$96="sníž. přenesená",$AG$96,0)</f>
        <v>0</v>
      </c>
      <c r="CH96" s="76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2" t="s">
        <v>91</v>
      </c>
      <c r="AG97" s="168">
        <f>ROUNDUP($AG$87*$AS$97,2)</f>
        <v>0</v>
      </c>
      <c r="AH97" s="167"/>
      <c r="AI97" s="167"/>
      <c r="AJ97" s="167"/>
      <c r="AK97" s="167"/>
      <c r="AL97" s="167"/>
      <c r="AM97" s="167"/>
      <c r="AN97" s="169">
        <f>ROUNDUP($AG$97+$AV$97,2)</f>
        <v>0</v>
      </c>
      <c r="AO97" s="167"/>
      <c r="AP97" s="167"/>
      <c r="AQ97" s="22"/>
      <c r="AS97" s="77">
        <v>0</v>
      </c>
      <c r="AT97" s="78" t="s">
        <v>84</v>
      </c>
      <c r="AU97" s="78" t="s">
        <v>38</v>
      </c>
      <c r="AV97" s="79">
        <f>ROUNDUP(IF($AU$97="základní",$AG$97*$L$28,IF($AU$97="snížená",$AG$97*$L$29,0)),2)</f>
        <v>0</v>
      </c>
      <c r="BV97" s="6" t="s">
        <v>85</v>
      </c>
      <c r="BY97" s="76">
        <f>IF($AU$97="základní",$AV$97,0)</f>
        <v>0</v>
      </c>
      <c r="BZ97" s="76">
        <f>IF($AU$97="snížená",$AV$97,0)</f>
        <v>0</v>
      </c>
      <c r="CA97" s="76">
        <v>0</v>
      </c>
      <c r="CB97" s="76">
        <v>0</v>
      </c>
      <c r="CC97" s="76">
        <v>0</v>
      </c>
      <c r="CD97" s="76">
        <f>IF($AU$97="základní",$AG$97,0)</f>
        <v>0</v>
      </c>
      <c r="CE97" s="76">
        <f>IF($AU$97="snížená",$AG$97,0)</f>
        <v>0</v>
      </c>
      <c r="CF97" s="76">
        <f>IF($AU$97="zákl. přenesená",$AG$97,0)</f>
        <v>0</v>
      </c>
      <c r="CG97" s="76">
        <f>IF($AU$97="sníž. přenesená",$AG$97,0)</f>
        <v>0</v>
      </c>
      <c r="CH97" s="76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2" t="s">
        <v>92</v>
      </c>
      <c r="AG98" s="168">
        <f>ROUNDUP($AG$87*$AS$98,2)</f>
        <v>0</v>
      </c>
      <c r="AH98" s="167"/>
      <c r="AI98" s="167"/>
      <c r="AJ98" s="167"/>
      <c r="AK98" s="167"/>
      <c r="AL98" s="167"/>
      <c r="AM98" s="167"/>
      <c r="AN98" s="169">
        <f>ROUNDUP($AG$98+$AV$98,2)</f>
        <v>0</v>
      </c>
      <c r="AO98" s="167"/>
      <c r="AP98" s="167"/>
      <c r="AQ98" s="22"/>
      <c r="AS98" s="77">
        <v>0</v>
      </c>
      <c r="AT98" s="78" t="s">
        <v>84</v>
      </c>
      <c r="AU98" s="78" t="s">
        <v>38</v>
      </c>
      <c r="AV98" s="79">
        <f>ROUNDUP(IF($AU$98="základní",$AG$98*$L$28,IF($AU$98="snížená",$AG$98*$L$29,0)),2)</f>
        <v>0</v>
      </c>
      <c r="BV98" s="6" t="s">
        <v>85</v>
      </c>
      <c r="BY98" s="76">
        <f>IF($AU$98="základní",$AV$98,0)</f>
        <v>0</v>
      </c>
      <c r="BZ98" s="76">
        <f>IF($AU$98="snížená",$AV$98,0)</f>
        <v>0</v>
      </c>
      <c r="CA98" s="76">
        <v>0</v>
      </c>
      <c r="CB98" s="76">
        <v>0</v>
      </c>
      <c r="CC98" s="76">
        <v>0</v>
      </c>
      <c r="CD98" s="76">
        <f>IF($AU$98="základní",$AG$98,0)</f>
        <v>0</v>
      </c>
      <c r="CE98" s="76">
        <f>IF($AU$98="snížená",$AG$98,0)</f>
        <v>0</v>
      </c>
      <c r="CF98" s="76">
        <f>IF($AU$98="zákl. přenesená",$AG$98,0)</f>
        <v>0</v>
      </c>
      <c r="CG98" s="76">
        <f>IF($AU$98="sníž. přenesená",$AG$98,0)</f>
        <v>0</v>
      </c>
      <c r="CH98" s="76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2" t="s">
        <v>93</v>
      </c>
      <c r="AG99" s="168">
        <f>ROUNDUP($AG$87*$AS$99,2)</f>
        <v>0</v>
      </c>
      <c r="AH99" s="167"/>
      <c r="AI99" s="167"/>
      <c r="AJ99" s="167"/>
      <c r="AK99" s="167"/>
      <c r="AL99" s="167"/>
      <c r="AM99" s="167"/>
      <c r="AN99" s="169">
        <f>ROUNDUP($AG$99+$AV$99,2)</f>
        <v>0</v>
      </c>
      <c r="AO99" s="167"/>
      <c r="AP99" s="167"/>
      <c r="AQ99" s="22"/>
      <c r="AS99" s="77">
        <v>0</v>
      </c>
      <c r="AT99" s="78" t="s">
        <v>84</v>
      </c>
      <c r="AU99" s="78" t="s">
        <v>38</v>
      </c>
      <c r="AV99" s="79">
        <f>ROUNDUP(IF($AU$99="základní",$AG$99*$L$28,IF($AU$99="snížená",$AG$99*$L$29,0)),2)</f>
        <v>0</v>
      </c>
      <c r="BV99" s="6" t="s">
        <v>85</v>
      </c>
      <c r="BY99" s="76">
        <f>IF($AU$99="základní",$AV$99,0)</f>
        <v>0</v>
      </c>
      <c r="BZ99" s="76">
        <f>IF($AU$99="snížená",$AV$99,0)</f>
        <v>0</v>
      </c>
      <c r="CA99" s="76">
        <v>0</v>
      </c>
      <c r="CB99" s="76">
        <v>0</v>
      </c>
      <c r="CC99" s="76">
        <v>0</v>
      </c>
      <c r="CD99" s="76">
        <f>IF($AU$99="základní",$AG$99,0)</f>
        <v>0</v>
      </c>
      <c r="CE99" s="76">
        <f>IF($AU$99="snížená",$AG$99,0)</f>
        <v>0</v>
      </c>
      <c r="CF99" s="76">
        <f>IF($AU$99="zákl. přenesená",$AG$99,0)</f>
        <v>0</v>
      </c>
      <c r="CG99" s="76">
        <f>IF($AU$99="sníž. přenesená",$AG$99,0)</f>
        <v>0</v>
      </c>
      <c r="CH99" s="76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2" t="s">
        <v>94</v>
      </c>
      <c r="AG100" s="168">
        <f>ROUNDUP($AG$87*$AS$100,2)</f>
        <v>0</v>
      </c>
      <c r="AH100" s="167"/>
      <c r="AI100" s="167"/>
      <c r="AJ100" s="167"/>
      <c r="AK100" s="167"/>
      <c r="AL100" s="167"/>
      <c r="AM100" s="167"/>
      <c r="AN100" s="169">
        <f>ROUNDUP($AG$100+$AV$100,2)</f>
        <v>0</v>
      </c>
      <c r="AO100" s="167"/>
      <c r="AP100" s="167"/>
      <c r="AQ100" s="22"/>
      <c r="AS100" s="77">
        <v>0</v>
      </c>
      <c r="AT100" s="78" t="s">
        <v>84</v>
      </c>
      <c r="AU100" s="78" t="s">
        <v>38</v>
      </c>
      <c r="AV100" s="79">
        <f>ROUNDUP(IF($AU$100="základní",$AG$100*$L$28,IF($AU$100="snížená",$AG$100*$L$29,0)),2)</f>
        <v>0</v>
      </c>
      <c r="BV100" s="6" t="s">
        <v>85</v>
      </c>
      <c r="BY100" s="76">
        <f>IF($AU$100="základní",$AV$100,0)</f>
        <v>0</v>
      </c>
      <c r="BZ100" s="76">
        <f>IF($AU$100="snížená",$AV$100,0)</f>
        <v>0</v>
      </c>
      <c r="CA100" s="76">
        <v>0</v>
      </c>
      <c r="CB100" s="76">
        <v>0</v>
      </c>
      <c r="CC100" s="76">
        <v>0</v>
      </c>
      <c r="CD100" s="76">
        <f>IF($AU$100="základní",$AG$100,0)</f>
        <v>0</v>
      </c>
      <c r="CE100" s="76">
        <f>IF($AU$100="snížená",$AG$100,0)</f>
        <v>0</v>
      </c>
      <c r="CF100" s="76">
        <f>IF($AU$100="zákl. přenesená",$AG$100,0)</f>
        <v>0</v>
      </c>
      <c r="CG100" s="76">
        <f>IF($AU$100="sníž. přenesená",$AG$100,0)</f>
        <v>0</v>
      </c>
      <c r="CH100" s="76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166" t="s">
        <v>95</v>
      </c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G101" s="168">
        <f>$AG$87*$AS$101</f>
        <v>0</v>
      </c>
      <c r="AH101" s="167"/>
      <c r="AI101" s="167"/>
      <c r="AJ101" s="167"/>
      <c r="AK101" s="167"/>
      <c r="AL101" s="167"/>
      <c r="AM101" s="167"/>
      <c r="AN101" s="169">
        <f>$AG$101+$AV$101</f>
        <v>0</v>
      </c>
      <c r="AO101" s="167"/>
      <c r="AP101" s="167"/>
      <c r="AQ101" s="22"/>
      <c r="AS101" s="77">
        <v>0</v>
      </c>
      <c r="AT101" s="78" t="s">
        <v>84</v>
      </c>
      <c r="AU101" s="78" t="s">
        <v>38</v>
      </c>
      <c r="AV101" s="79">
        <f>ROUNDUP(IF($AU$101="nulová",0,IF(OR($AU$101="základní",$AU$101="zákl. přenesená"),$AG$101*$L$28,$AG$101*$L$29)),1)</f>
        <v>0</v>
      </c>
      <c r="BV101" s="6" t="s">
        <v>96</v>
      </c>
      <c r="BY101" s="76">
        <f>IF($AU$101="základní",$AV$101,0)</f>
        <v>0</v>
      </c>
      <c r="BZ101" s="76">
        <f>IF($AU$101="snížená",$AV$101,0)</f>
        <v>0</v>
      </c>
      <c r="CA101" s="76">
        <f>IF($AU$101="zákl. přenesená",$AV$101,0)</f>
        <v>0</v>
      </c>
      <c r="CB101" s="76">
        <f>IF($AU$101="sníž. přenesená",$AV$101,0)</f>
        <v>0</v>
      </c>
      <c r="CC101" s="76">
        <f>IF($AU$101="nulová",$AV$101,0)</f>
        <v>0</v>
      </c>
      <c r="CD101" s="76">
        <f>IF($AU$101="základní",$AG$101,0)</f>
        <v>0</v>
      </c>
      <c r="CE101" s="76">
        <f>IF($AU$101="snížená",$AG$101,0)</f>
        <v>0</v>
      </c>
      <c r="CF101" s="76">
        <f>IF($AU$101="zákl. přenesená",$AG$101,0)</f>
        <v>0</v>
      </c>
      <c r="CG101" s="76">
        <f>IF($AU$101="sníž. přenesená",$AG$101,0)</f>
        <v>0</v>
      </c>
      <c r="CH101" s="76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1"/>
      <c r="D102" s="166" t="s">
        <v>95</v>
      </c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G102" s="168">
        <f>$AG$87*$AS$102</f>
        <v>0</v>
      </c>
      <c r="AH102" s="167"/>
      <c r="AI102" s="167"/>
      <c r="AJ102" s="167"/>
      <c r="AK102" s="167"/>
      <c r="AL102" s="167"/>
      <c r="AM102" s="167"/>
      <c r="AN102" s="169">
        <f>$AG$102+$AV$102</f>
        <v>0</v>
      </c>
      <c r="AO102" s="167"/>
      <c r="AP102" s="167"/>
      <c r="AQ102" s="22"/>
      <c r="AS102" s="77">
        <v>0</v>
      </c>
      <c r="AT102" s="78" t="s">
        <v>84</v>
      </c>
      <c r="AU102" s="78" t="s">
        <v>38</v>
      </c>
      <c r="AV102" s="79">
        <f>ROUNDUP(IF($AU$102="nulová",0,IF(OR($AU$102="základní",$AU$102="zákl. přenesená"),$AG$102*$L$28,$AG$102*$L$29)),1)</f>
        <v>0</v>
      </c>
      <c r="BV102" s="6" t="s">
        <v>96</v>
      </c>
      <c r="BY102" s="76">
        <f>IF($AU$102="základní",$AV$102,0)</f>
        <v>0</v>
      </c>
      <c r="BZ102" s="76">
        <f>IF($AU$102="snížená",$AV$102,0)</f>
        <v>0</v>
      </c>
      <c r="CA102" s="76">
        <f>IF($AU$102="zákl. přenesená",$AV$102,0)</f>
        <v>0</v>
      </c>
      <c r="CB102" s="76">
        <f>IF($AU$102="sníž. přenesená",$AV$102,0)</f>
        <v>0</v>
      </c>
      <c r="CC102" s="76">
        <f>IF($AU$102="nulová",$AV$102,0)</f>
        <v>0</v>
      </c>
      <c r="CD102" s="76">
        <f>IF($AU$102="základní",$AG$102,0)</f>
        <v>0</v>
      </c>
      <c r="CE102" s="76">
        <f>IF($AU$102="snížená",$AG$102,0)</f>
        <v>0</v>
      </c>
      <c r="CF102" s="76">
        <f>IF($AU$102="zákl. přenesená",$AG$102,0)</f>
        <v>0</v>
      </c>
      <c r="CG102" s="76">
        <f>IF($AU$102="sníž. přenesená",$AG$102,0)</f>
        <v>0</v>
      </c>
      <c r="CH102" s="76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1"/>
      <c r="D103" s="166" t="s">
        <v>95</v>
      </c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G103" s="168">
        <f>$AG$87*$AS$103</f>
        <v>0</v>
      </c>
      <c r="AH103" s="167"/>
      <c r="AI103" s="167"/>
      <c r="AJ103" s="167"/>
      <c r="AK103" s="167"/>
      <c r="AL103" s="167"/>
      <c r="AM103" s="167"/>
      <c r="AN103" s="169">
        <f>$AG$103+$AV$103</f>
        <v>0</v>
      </c>
      <c r="AO103" s="167"/>
      <c r="AP103" s="167"/>
      <c r="AQ103" s="22"/>
      <c r="AS103" s="80">
        <v>0</v>
      </c>
      <c r="AT103" s="81" t="s">
        <v>84</v>
      </c>
      <c r="AU103" s="81" t="s">
        <v>38</v>
      </c>
      <c r="AV103" s="82">
        <f>ROUNDUP(IF($AU$103="nulová",0,IF(OR($AU$103="základní",$AU$103="zákl. přenesená"),$AG$103*$L$28,$AG$103*$L$29)),1)</f>
        <v>0</v>
      </c>
      <c r="BV103" s="6" t="s">
        <v>96</v>
      </c>
      <c r="BY103" s="76">
        <f>IF($AU$103="základní",$AV$103,0)</f>
        <v>0</v>
      </c>
      <c r="BZ103" s="76">
        <f>IF($AU$103="snížená",$AV$103,0)</f>
        <v>0</v>
      </c>
      <c r="CA103" s="76">
        <f>IF($AU$103="zákl. přenesená",$AV$103,0)</f>
        <v>0</v>
      </c>
      <c r="CB103" s="76">
        <f>IF($AU$103="sníž. přenesená",$AV$103,0)</f>
        <v>0</v>
      </c>
      <c r="CC103" s="76">
        <f>IF($AU$103="nulová",$AV$103,0)</f>
        <v>0</v>
      </c>
      <c r="CD103" s="76">
        <f>IF($AU$103="základní",$AG$103,0)</f>
        <v>0</v>
      </c>
      <c r="CE103" s="76">
        <f>IF($AU$103="snížená",$AG$103,0)</f>
        <v>0</v>
      </c>
      <c r="CF103" s="76">
        <f>IF($AU$103="zákl. přenesená",$AG$103,0)</f>
        <v>0</v>
      </c>
      <c r="CG103" s="76">
        <f>IF($AU$103="sníž. přenesená",$AG$103,0)</f>
        <v>0</v>
      </c>
      <c r="CH103" s="76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1"/>
      <c r="AQ104" s="22"/>
    </row>
    <row r="105" spans="2:43" s="6" customFormat="1" ht="30.75" customHeight="1">
      <c r="B105" s="21"/>
      <c r="C105" s="83" t="s">
        <v>97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62">
        <f>ROUNDUP($AG$87+$AG$90,2)</f>
        <v>0</v>
      </c>
      <c r="AH105" s="163"/>
      <c r="AI105" s="163"/>
      <c r="AJ105" s="163"/>
      <c r="AK105" s="163"/>
      <c r="AL105" s="163"/>
      <c r="AM105" s="163"/>
      <c r="AN105" s="162">
        <f>ROUNDUP($AN$87+$AN$90,2)</f>
        <v>0</v>
      </c>
      <c r="AO105" s="163"/>
      <c r="AP105" s="163"/>
      <c r="AQ105" s="22"/>
    </row>
    <row r="106" spans="2:43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5"/>
    </row>
  </sheetData>
  <mergeCells count="74"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AG92:AM92"/>
    <mergeCell ref="AN92:AP92"/>
    <mergeCell ref="AG93:AM93"/>
    <mergeCell ref="AN93:AP93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3_017 - Objekt č.p. 324_...'!C2" tooltip="13/017 - Objekt č.p. 324/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F7" sqref="F7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1"/>
      <c r="B1" s="151"/>
      <c r="C1" s="151"/>
      <c r="D1" s="152" t="s">
        <v>1</v>
      </c>
      <c r="E1" s="151"/>
      <c r="F1" s="153" t="s">
        <v>507</v>
      </c>
      <c r="G1" s="153"/>
      <c r="H1" s="159" t="s">
        <v>508</v>
      </c>
      <c r="I1" s="159"/>
      <c r="J1" s="159"/>
      <c r="K1" s="159"/>
      <c r="L1" s="153" t="s">
        <v>509</v>
      </c>
      <c r="M1" s="151"/>
      <c r="N1" s="151"/>
      <c r="O1" s="152" t="s">
        <v>98</v>
      </c>
      <c r="P1" s="151"/>
      <c r="Q1" s="151"/>
      <c r="R1" s="151"/>
      <c r="S1" s="153" t="s">
        <v>510</v>
      </c>
      <c r="T1" s="153"/>
      <c r="U1" s="161"/>
      <c r="V1" s="16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1" t="s">
        <v>4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S2" s="164" t="s">
        <v>5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80" t="s">
        <v>100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6" customFormat="1" ht="18.75" customHeight="1">
      <c r="B6" s="21"/>
      <c r="D6" s="14" t="s">
        <v>14</v>
      </c>
      <c r="F6" s="181" t="s">
        <v>511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R6" s="22"/>
    </row>
    <row r="7" spans="2:18" s="6" customFormat="1" ht="7.5" customHeight="1">
      <c r="B7" s="21"/>
      <c r="R7" s="22"/>
    </row>
    <row r="8" spans="2:18" s="6" customFormat="1" ht="15" customHeight="1">
      <c r="B8" s="21"/>
      <c r="D8" s="15" t="s">
        <v>17</v>
      </c>
      <c r="F8" s="16" t="s">
        <v>18</v>
      </c>
      <c r="M8" s="15" t="s">
        <v>19</v>
      </c>
      <c r="O8" s="205" t="str">
        <f>'Rekapitulace stavby'!$AN$8</f>
        <v>01.04.2013</v>
      </c>
      <c r="P8" s="167"/>
      <c r="R8" s="22"/>
    </row>
    <row r="9" spans="2:18" s="6" customFormat="1" ht="7.5" customHeight="1">
      <c r="B9" s="21"/>
      <c r="R9" s="22"/>
    </row>
    <row r="10" spans="2:18" s="6" customFormat="1" ht="15" customHeight="1">
      <c r="B10" s="21"/>
      <c r="D10" s="15" t="s">
        <v>23</v>
      </c>
      <c r="M10" s="15" t="s">
        <v>24</v>
      </c>
      <c r="O10" s="182"/>
      <c r="P10" s="167"/>
      <c r="R10" s="22"/>
    </row>
    <row r="11" spans="2:18" s="6" customFormat="1" ht="18.75" customHeight="1">
      <c r="B11" s="21"/>
      <c r="E11" s="16" t="s">
        <v>25</v>
      </c>
      <c r="M11" s="15" t="s">
        <v>26</v>
      </c>
      <c r="O11" s="182"/>
      <c r="P11" s="167"/>
      <c r="R11" s="22"/>
    </row>
    <row r="12" spans="2:18" s="6" customFormat="1" ht="7.5" customHeight="1">
      <c r="B12" s="21"/>
      <c r="R12" s="22"/>
    </row>
    <row r="13" spans="2:18" s="6" customFormat="1" ht="15" customHeight="1">
      <c r="B13" s="21"/>
      <c r="D13" s="15" t="s">
        <v>27</v>
      </c>
      <c r="M13" s="15" t="s">
        <v>24</v>
      </c>
      <c r="O13" s="204"/>
      <c r="P13" s="167"/>
      <c r="R13" s="22"/>
    </row>
    <row r="14" spans="2:18" s="6" customFormat="1" ht="18.75" customHeight="1">
      <c r="B14" s="21"/>
      <c r="E14" s="204" t="s">
        <v>101</v>
      </c>
      <c r="F14" s="167"/>
      <c r="G14" s="167"/>
      <c r="H14" s="167"/>
      <c r="I14" s="167"/>
      <c r="J14" s="167"/>
      <c r="K14" s="167"/>
      <c r="L14" s="167"/>
      <c r="M14" s="15" t="s">
        <v>26</v>
      </c>
      <c r="O14" s="204"/>
      <c r="P14" s="167"/>
      <c r="R14" s="22"/>
    </row>
    <row r="15" spans="2:18" s="6" customFormat="1" ht="7.5" customHeight="1">
      <c r="B15" s="21"/>
      <c r="R15" s="22"/>
    </row>
    <row r="16" spans="2:18" s="6" customFormat="1" ht="15" customHeight="1">
      <c r="B16" s="21"/>
      <c r="D16" s="15" t="s">
        <v>29</v>
      </c>
      <c r="M16" s="15" t="s">
        <v>24</v>
      </c>
      <c r="O16" s="182"/>
      <c r="P16" s="167"/>
      <c r="R16" s="22"/>
    </row>
    <row r="17" spans="2:18" s="6" customFormat="1" ht="18.75" customHeight="1">
      <c r="B17" s="21"/>
      <c r="E17" s="16" t="s">
        <v>30</v>
      </c>
      <c r="M17" s="15" t="s">
        <v>26</v>
      </c>
      <c r="O17" s="182"/>
      <c r="P17" s="167"/>
      <c r="R17" s="22"/>
    </row>
    <row r="18" spans="2:18" s="6" customFormat="1" ht="7.5" customHeight="1">
      <c r="B18" s="21"/>
      <c r="R18" s="22"/>
    </row>
    <row r="19" spans="2:18" s="6" customFormat="1" ht="15" customHeight="1">
      <c r="B19" s="21"/>
      <c r="D19" s="15" t="s">
        <v>32</v>
      </c>
      <c r="M19" s="15" t="s">
        <v>24</v>
      </c>
      <c r="O19" s="182"/>
      <c r="P19" s="167"/>
      <c r="R19" s="22"/>
    </row>
    <row r="20" spans="2:18" s="6" customFormat="1" ht="18.75" customHeight="1">
      <c r="B20" s="21"/>
      <c r="E20" s="16" t="s">
        <v>33</v>
      </c>
      <c r="M20" s="15" t="s">
        <v>26</v>
      </c>
      <c r="O20" s="182"/>
      <c r="P20" s="167"/>
      <c r="R20" s="22"/>
    </row>
    <row r="21" spans="2:18" s="6" customFormat="1" ht="7.5" customHeight="1">
      <c r="B21" s="21"/>
      <c r="R21" s="22"/>
    </row>
    <row r="22" spans="2:18" s="6" customFormat="1" ht="7.5" customHeight="1">
      <c r="B22" s="2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R22" s="22"/>
    </row>
    <row r="23" spans="2:18" s="6" customFormat="1" ht="15" customHeight="1">
      <c r="B23" s="21"/>
      <c r="D23" s="84" t="s">
        <v>102</v>
      </c>
      <c r="M23" s="156">
        <f>$N$87</f>
        <v>0</v>
      </c>
      <c r="N23" s="167"/>
      <c r="O23" s="167"/>
      <c r="P23" s="167"/>
      <c r="R23" s="22"/>
    </row>
    <row r="24" spans="2:18" s="6" customFormat="1" ht="15" customHeight="1">
      <c r="B24" s="21"/>
      <c r="D24" s="20" t="s">
        <v>90</v>
      </c>
      <c r="M24" s="156">
        <f>$N$110</f>
        <v>0</v>
      </c>
      <c r="N24" s="167"/>
      <c r="O24" s="167"/>
      <c r="P24" s="167"/>
      <c r="R24" s="22"/>
    </row>
    <row r="25" spans="2:18" s="6" customFormat="1" ht="7.5" customHeight="1">
      <c r="B25" s="21"/>
      <c r="R25" s="22"/>
    </row>
    <row r="26" spans="2:18" s="6" customFormat="1" ht="26.25" customHeight="1">
      <c r="B26" s="21"/>
      <c r="D26" s="85" t="s">
        <v>36</v>
      </c>
      <c r="M26" s="203">
        <f>ROUNDUP($M$23+$M$24,2)</f>
        <v>0</v>
      </c>
      <c r="N26" s="167"/>
      <c r="O26" s="167"/>
      <c r="P26" s="167"/>
      <c r="R26" s="22"/>
    </row>
    <row r="27" spans="2:18" s="6" customFormat="1" ht="7.5" customHeight="1">
      <c r="B27" s="21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R27" s="22"/>
    </row>
    <row r="28" spans="2:18" s="6" customFormat="1" ht="15" customHeight="1">
      <c r="B28" s="21"/>
      <c r="D28" s="27" t="s">
        <v>37</v>
      </c>
      <c r="E28" s="27" t="s">
        <v>38</v>
      </c>
      <c r="F28" s="86">
        <v>0.21</v>
      </c>
      <c r="G28" s="87" t="s">
        <v>39</v>
      </c>
      <c r="H28" s="202">
        <f>ROUNDUP((((SUM($BE$110:$BE$117)+SUM($BE$134:$BE$313))+SUM($BE$314:$BE$315))),2)</f>
        <v>0</v>
      </c>
      <c r="I28" s="167"/>
      <c r="J28" s="167"/>
      <c r="M28" s="202">
        <f>ROUNDUP((((SUM($BE$110:$BE$117)+SUM($BE$134:$BE$313))*$F$28)+SUM($BE$314:$BE$315)*$F$28),1)</f>
        <v>0</v>
      </c>
      <c r="N28" s="167"/>
      <c r="O28" s="167"/>
      <c r="P28" s="167"/>
      <c r="R28" s="22"/>
    </row>
    <row r="29" spans="2:18" s="6" customFormat="1" ht="15" customHeight="1">
      <c r="B29" s="21"/>
      <c r="E29" s="27" t="s">
        <v>40</v>
      </c>
      <c r="F29" s="86">
        <v>0.15</v>
      </c>
      <c r="G29" s="87" t="s">
        <v>39</v>
      </c>
      <c r="H29" s="202">
        <f>ROUNDUP((((SUM($BF$110:$BF$117)+SUM($BF$134:$BF$313))+SUM($BF$314:$BF$315))),2)</f>
        <v>0</v>
      </c>
      <c r="I29" s="167"/>
      <c r="J29" s="167"/>
      <c r="M29" s="202">
        <f>ROUNDUP((((SUM($BF$110:$BF$117)+SUM($BF$134:$BF$313))*$F$29)+SUM($BF$314:$BF$315)*$F$29),1)</f>
        <v>0</v>
      </c>
      <c r="N29" s="167"/>
      <c r="O29" s="167"/>
      <c r="P29" s="167"/>
      <c r="R29" s="22"/>
    </row>
    <row r="30" spans="2:18" s="6" customFormat="1" ht="15" customHeight="1" hidden="1">
      <c r="B30" s="21"/>
      <c r="E30" s="27" t="s">
        <v>41</v>
      </c>
      <c r="F30" s="86">
        <v>0.21</v>
      </c>
      <c r="G30" s="87" t="s">
        <v>39</v>
      </c>
      <c r="H30" s="202">
        <f>ROUNDUP((((SUM($BG$110:$BG$117)+SUM($BG$134:$BG$313))+SUM($BG$314:$BG$315))),2)</f>
        <v>0</v>
      </c>
      <c r="I30" s="167"/>
      <c r="J30" s="167"/>
      <c r="M30" s="202">
        <v>0</v>
      </c>
      <c r="N30" s="167"/>
      <c r="O30" s="167"/>
      <c r="P30" s="167"/>
      <c r="R30" s="22"/>
    </row>
    <row r="31" spans="2:18" s="6" customFormat="1" ht="15" customHeight="1" hidden="1">
      <c r="B31" s="21"/>
      <c r="E31" s="27" t="s">
        <v>42</v>
      </c>
      <c r="F31" s="86">
        <v>0.15</v>
      </c>
      <c r="G31" s="87" t="s">
        <v>39</v>
      </c>
      <c r="H31" s="202">
        <f>ROUNDUP((((SUM($BH$110:$BH$117)+SUM($BH$134:$BH$313))+SUM($BH$314:$BH$315))),2)</f>
        <v>0</v>
      </c>
      <c r="I31" s="167"/>
      <c r="J31" s="167"/>
      <c r="M31" s="202">
        <v>0</v>
      </c>
      <c r="N31" s="167"/>
      <c r="O31" s="167"/>
      <c r="P31" s="167"/>
      <c r="R31" s="22"/>
    </row>
    <row r="32" spans="2:18" s="6" customFormat="1" ht="15" customHeight="1" hidden="1">
      <c r="B32" s="21"/>
      <c r="E32" s="27" t="s">
        <v>43</v>
      </c>
      <c r="F32" s="86">
        <v>0</v>
      </c>
      <c r="G32" s="87" t="s">
        <v>39</v>
      </c>
      <c r="H32" s="202">
        <f>ROUNDUP((((SUM($BI$110:$BI$117)+SUM($BI$134:$BI$313))+SUM($BI$314:$BI$315))),2)</f>
        <v>0</v>
      </c>
      <c r="I32" s="167"/>
      <c r="J32" s="167"/>
      <c r="M32" s="202">
        <v>0</v>
      </c>
      <c r="N32" s="167"/>
      <c r="O32" s="167"/>
      <c r="P32" s="167"/>
      <c r="R32" s="22"/>
    </row>
    <row r="33" spans="2:18" s="6" customFormat="1" ht="7.5" customHeight="1">
      <c r="B33" s="21"/>
      <c r="R33" s="22"/>
    </row>
    <row r="34" spans="2:18" s="6" customFormat="1" ht="26.25" customHeight="1">
      <c r="B34" s="21"/>
      <c r="C34" s="30"/>
      <c r="D34" s="31" t="s">
        <v>44</v>
      </c>
      <c r="E34" s="32"/>
      <c r="F34" s="32"/>
      <c r="G34" s="88" t="s">
        <v>45</v>
      </c>
      <c r="H34" s="33" t="s">
        <v>46</v>
      </c>
      <c r="I34" s="32"/>
      <c r="J34" s="32"/>
      <c r="K34" s="32"/>
      <c r="L34" s="190">
        <f>ROUNDUP(SUM($M$26:$M$32),2)</f>
        <v>0</v>
      </c>
      <c r="M34" s="177"/>
      <c r="N34" s="177"/>
      <c r="O34" s="177"/>
      <c r="P34" s="179"/>
      <c r="Q34" s="30"/>
      <c r="R34" s="22"/>
    </row>
    <row r="35" spans="2:18" s="6" customFormat="1" ht="15" customHeight="1">
      <c r="B35" s="21"/>
      <c r="R35" s="22"/>
    </row>
    <row r="36" spans="2:18" s="6" customFormat="1" ht="15" customHeight="1">
      <c r="B36" s="21"/>
      <c r="R36" s="22"/>
    </row>
    <row r="37" spans="2:18" ht="14.25" customHeight="1">
      <c r="B37" s="10"/>
      <c r="N37" s="1"/>
      <c r="R37" s="11"/>
    </row>
    <row r="38" spans="2:18" ht="14.25" customHeight="1">
      <c r="B38" s="10"/>
      <c r="N38" s="1"/>
      <c r="R38" s="11"/>
    </row>
    <row r="39" spans="2:18" ht="14.25" customHeight="1">
      <c r="B39" s="10"/>
      <c r="N39" s="1"/>
      <c r="R39" s="11"/>
    </row>
    <row r="40" spans="2:18" ht="14.25" customHeight="1">
      <c r="B40" s="10"/>
      <c r="N40" s="1"/>
      <c r="R40" s="11"/>
    </row>
    <row r="41" spans="2:18" ht="14.25" customHeight="1">
      <c r="B41" s="10"/>
      <c r="N41" s="1"/>
      <c r="R41" s="11"/>
    </row>
    <row r="42" spans="2:18" ht="14.25" customHeight="1">
      <c r="B42" s="10"/>
      <c r="N42" s="1"/>
      <c r="R42" s="11"/>
    </row>
    <row r="43" spans="2:18" ht="14.25" customHeight="1">
      <c r="B43" s="10"/>
      <c r="N43" s="1"/>
      <c r="R43" s="11"/>
    </row>
    <row r="44" spans="2:18" ht="14.25" customHeight="1">
      <c r="B44" s="10"/>
      <c r="N44" s="1"/>
      <c r="R44" s="11"/>
    </row>
    <row r="45" spans="2:18" ht="14.25" customHeight="1">
      <c r="B45" s="10"/>
      <c r="N45" s="1"/>
      <c r="R45" s="11"/>
    </row>
    <row r="46" spans="2:18" ht="14.25" customHeight="1">
      <c r="B46" s="10"/>
      <c r="N46" s="1"/>
      <c r="R46" s="11"/>
    </row>
    <row r="47" spans="2:18" ht="14.25" customHeight="1">
      <c r="B47" s="10"/>
      <c r="N47" s="1"/>
      <c r="R47" s="11"/>
    </row>
    <row r="48" spans="2:18" ht="14.25" customHeight="1">
      <c r="B48" s="10"/>
      <c r="N48" s="1"/>
      <c r="R48" s="11"/>
    </row>
    <row r="49" spans="2:18" ht="14.25" customHeight="1">
      <c r="B49" s="10"/>
      <c r="N49" s="1"/>
      <c r="R49" s="11"/>
    </row>
    <row r="50" spans="2:18" s="6" customFormat="1" ht="15.75" customHeight="1">
      <c r="B50" s="21"/>
      <c r="D50" s="34" t="s">
        <v>47</v>
      </c>
      <c r="E50" s="35"/>
      <c r="F50" s="35"/>
      <c r="G50" s="35"/>
      <c r="H50" s="36"/>
      <c r="J50" s="34" t="s">
        <v>48</v>
      </c>
      <c r="K50" s="35"/>
      <c r="L50" s="35"/>
      <c r="M50" s="35"/>
      <c r="N50" s="35"/>
      <c r="O50" s="35"/>
      <c r="P50" s="36"/>
      <c r="R50" s="22"/>
    </row>
    <row r="51" spans="2:18" ht="14.25" customHeight="1">
      <c r="B51" s="10"/>
      <c r="D51" s="37"/>
      <c r="H51" s="38"/>
      <c r="J51" s="37"/>
      <c r="N51" s="1"/>
      <c r="P51" s="38"/>
      <c r="R51" s="11"/>
    </row>
    <row r="52" spans="2:18" ht="14.25" customHeight="1">
      <c r="B52" s="10"/>
      <c r="D52" s="37"/>
      <c r="H52" s="38"/>
      <c r="J52" s="37"/>
      <c r="N52" s="1"/>
      <c r="P52" s="38"/>
      <c r="R52" s="11"/>
    </row>
    <row r="53" spans="2:18" ht="14.25" customHeight="1">
      <c r="B53" s="10"/>
      <c r="D53" s="37"/>
      <c r="H53" s="38"/>
      <c r="J53" s="37"/>
      <c r="N53" s="1"/>
      <c r="P53" s="38"/>
      <c r="R53" s="11"/>
    </row>
    <row r="54" spans="2:18" ht="14.25" customHeight="1">
      <c r="B54" s="10"/>
      <c r="D54" s="37"/>
      <c r="H54" s="38"/>
      <c r="J54" s="37"/>
      <c r="N54" s="1"/>
      <c r="P54" s="38"/>
      <c r="R54" s="11"/>
    </row>
    <row r="55" spans="2:18" ht="14.25" customHeight="1">
      <c r="B55" s="10"/>
      <c r="D55" s="37"/>
      <c r="H55" s="38"/>
      <c r="J55" s="37"/>
      <c r="N55" s="1"/>
      <c r="P55" s="38"/>
      <c r="R55" s="11"/>
    </row>
    <row r="56" spans="2:18" ht="14.25" customHeight="1">
      <c r="B56" s="10"/>
      <c r="D56" s="37"/>
      <c r="H56" s="38"/>
      <c r="J56" s="37"/>
      <c r="N56" s="1"/>
      <c r="P56" s="38"/>
      <c r="R56" s="11"/>
    </row>
    <row r="57" spans="2:18" ht="14.25" customHeight="1">
      <c r="B57" s="10"/>
      <c r="D57" s="37"/>
      <c r="H57" s="38"/>
      <c r="J57" s="37"/>
      <c r="N57" s="1"/>
      <c r="P57" s="38"/>
      <c r="R57" s="11"/>
    </row>
    <row r="58" spans="2:18" ht="14.25" customHeight="1">
      <c r="B58" s="10"/>
      <c r="D58" s="37"/>
      <c r="H58" s="38"/>
      <c r="J58" s="37"/>
      <c r="N58" s="1"/>
      <c r="P58" s="38"/>
      <c r="R58" s="11"/>
    </row>
    <row r="59" spans="2:18" s="6" customFormat="1" ht="15.75" customHeight="1">
      <c r="B59" s="21"/>
      <c r="D59" s="39" t="s">
        <v>49</v>
      </c>
      <c r="E59" s="40"/>
      <c r="F59" s="40"/>
      <c r="G59" s="41" t="s">
        <v>50</v>
      </c>
      <c r="H59" s="42"/>
      <c r="J59" s="39" t="s">
        <v>49</v>
      </c>
      <c r="K59" s="40"/>
      <c r="L59" s="40"/>
      <c r="M59" s="40"/>
      <c r="N59" s="41" t="s">
        <v>50</v>
      </c>
      <c r="O59" s="40"/>
      <c r="P59" s="42"/>
      <c r="R59" s="22"/>
    </row>
    <row r="60" spans="2:18" ht="14.25" customHeight="1">
      <c r="B60" s="10"/>
      <c r="N60" s="1"/>
      <c r="R60" s="11"/>
    </row>
    <row r="61" spans="2:18" s="6" customFormat="1" ht="15.75" customHeight="1">
      <c r="B61" s="21"/>
      <c r="D61" s="34" t="s">
        <v>51</v>
      </c>
      <c r="E61" s="35"/>
      <c r="F61" s="35"/>
      <c r="G61" s="35"/>
      <c r="H61" s="36"/>
      <c r="J61" s="34" t="s">
        <v>52</v>
      </c>
      <c r="K61" s="35"/>
      <c r="L61" s="35"/>
      <c r="M61" s="35"/>
      <c r="N61" s="35"/>
      <c r="O61" s="35"/>
      <c r="P61" s="36"/>
      <c r="R61" s="22"/>
    </row>
    <row r="62" spans="2:18" ht="14.25" customHeight="1">
      <c r="B62" s="10"/>
      <c r="D62" s="37"/>
      <c r="H62" s="38"/>
      <c r="J62" s="37"/>
      <c r="N62" s="1"/>
      <c r="P62" s="38"/>
      <c r="R62" s="11"/>
    </row>
    <row r="63" spans="2:18" ht="14.25" customHeight="1">
      <c r="B63" s="10"/>
      <c r="D63" s="37"/>
      <c r="H63" s="38"/>
      <c r="J63" s="37"/>
      <c r="N63" s="1"/>
      <c r="P63" s="38"/>
      <c r="R63" s="11"/>
    </row>
    <row r="64" spans="2:18" ht="14.25" customHeight="1">
      <c r="B64" s="10"/>
      <c r="D64" s="37"/>
      <c r="H64" s="38"/>
      <c r="J64" s="37"/>
      <c r="N64" s="1"/>
      <c r="P64" s="38"/>
      <c r="R64" s="11"/>
    </row>
    <row r="65" spans="2:18" ht="14.25" customHeight="1">
      <c r="B65" s="10"/>
      <c r="D65" s="37"/>
      <c r="H65" s="38"/>
      <c r="J65" s="37"/>
      <c r="N65" s="1"/>
      <c r="P65" s="38"/>
      <c r="R65" s="11"/>
    </row>
    <row r="66" spans="2:18" ht="14.25" customHeight="1">
      <c r="B66" s="10"/>
      <c r="D66" s="37"/>
      <c r="H66" s="38"/>
      <c r="J66" s="37"/>
      <c r="N66" s="1"/>
      <c r="P66" s="38"/>
      <c r="R66" s="11"/>
    </row>
    <row r="67" spans="2:18" ht="14.25" customHeight="1">
      <c r="B67" s="10"/>
      <c r="D67" s="37"/>
      <c r="H67" s="38"/>
      <c r="J67" s="37"/>
      <c r="N67" s="1"/>
      <c r="P67" s="38"/>
      <c r="R67" s="11"/>
    </row>
    <row r="68" spans="2:18" ht="14.25" customHeight="1">
      <c r="B68" s="10"/>
      <c r="D68" s="37"/>
      <c r="H68" s="38"/>
      <c r="J68" s="37"/>
      <c r="N68" s="1"/>
      <c r="P68" s="38"/>
      <c r="R68" s="11"/>
    </row>
    <row r="69" spans="2:18" ht="14.25" customHeight="1">
      <c r="B69" s="10"/>
      <c r="D69" s="37"/>
      <c r="H69" s="38"/>
      <c r="J69" s="37"/>
      <c r="N69" s="1"/>
      <c r="P69" s="38"/>
      <c r="R69" s="11"/>
    </row>
    <row r="70" spans="2:18" s="6" customFormat="1" ht="15.75" customHeight="1">
      <c r="B70" s="21"/>
      <c r="D70" s="39" t="s">
        <v>49</v>
      </c>
      <c r="E70" s="40"/>
      <c r="F70" s="40"/>
      <c r="G70" s="41" t="s">
        <v>50</v>
      </c>
      <c r="H70" s="42"/>
      <c r="J70" s="39" t="s">
        <v>49</v>
      </c>
      <c r="K70" s="40"/>
      <c r="L70" s="40"/>
      <c r="M70" s="40"/>
      <c r="N70" s="41" t="s">
        <v>50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80" t="s">
        <v>103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4" t="s">
        <v>14</v>
      </c>
      <c r="F78" s="181" t="str">
        <f>$F$6</f>
        <v>Objekt č.p.324/II - Gymnázium Sušice - stav. úpravy - bezbariérové řešení</v>
      </c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R78" s="22"/>
    </row>
    <row r="79" spans="2:18" s="6" customFormat="1" ht="7.5" customHeight="1">
      <c r="B79" s="21"/>
      <c r="R79" s="22"/>
    </row>
    <row r="80" spans="2:18" s="6" customFormat="1" ht="18.75" customHeight="1">
      <c r="B80" s="21"/>
      <c r="C80" s="15" t="s">
        <v>17</v>
      </c>
      <c r="F80" s="16" t="str">
        <f>$F$8</f>
        <v>Sušice</v>
      </c>
      <c r="K80" s="15" t="s">
        <v>19</v>
      </c>
      <c r="M80" s="195" t="str">
        <f>IF($O$8="","",$O$8)</f>
        <v>01.04.2013</v>
      </c>
      <c r="N80" s="167"/>
      <c r="O80" s="167"/>
      <c r="P80" s="167"/>
      <c r="R80" s="22"/>
    </row>
    <row r="81" spans="2:18" s="6" customFormat="1" ht="7.5" customHeight="1">
      <c r="B81" s="21"/>
      <c r="R81" s="22"/>
    </row>
    <row r="82" spans="2:18" s="6" customFormat="1" ht="15.75" customHeight="1">
      <c r="B82" s="21"/>
      <c r="C82" s="15" t="s">
        <v>23</v>
      </c>
      <c r="F82" s="16" t="str">
        <f>$E$11</f>
        <v>Gymnázium Sušice, Fr. Procházky č.p.324/II, Sušice</v>
      </c>
      <c r="K82" s="15" t="s">
        <v>29</v>
      </c>
      <c r="M82" s="182" t="str">
        <f>$E$17</f>
        <v>Ing. Jiří Lejsek</v>
      </c>
      <c r="N82" s="167"/>
      <c r="O82" s="167"/>
      <c r="P82" s="167"/>
      <c r="Q82" s="167"/>
      <c r="R82" s="22"/>
    </row>
    <row r="83" spans="2:18" s="6" customFormat="1" ht="15" customHeight="1">
      <c r="B83" s="21"/>
      <c r="C83" s="15" t="s">
        <v>27</v>
      </c>
      <c r="F83" s="16" t="str">
        <f>IF($E$14="","",$E$14)</f>
        <v>Bude určen výběrovým řízením</v>
      </c>
      <c r="K83" s="15" t="s">
        <v>32</v>
      </c>
      <c r="M83" s="182" t="str">
        <f>$E$20</f>
        <v>Pavel Hrba</v>
      </c>
      <c r="N83" s="167"/>
      <c r="O83" s="167"/>
      <c r="P83" s="167"/>
      <c r="Q83" s="167"/>
      <c r="R83" s="22"/>
    </row>
    <row r="84" spans="2:18" s="6" customFormat="1" ht="11.25" customHeight="1">
      <c r="B84" s="21"/>
      <c r="R84" s="22"/>
    </row>
    <row r="85" spans="2:18" s="6" customFormat="1" ht="30" customHeight="1">
      <c r="B85" s="21"/>
      <c r="C85" s="201" t="s">
        <v>104</v>
      </c>
      <c r="D85" s="163"/>
      <c r="E85" s="163"/>
      <c r="F85" s="163"/>
      <c r="G85" s="163"/>
      <c r="H85" s="30"/>
      <c r="I85" s="30"/>
      <c r="J85" s="30"/>
      <c r="K85" s="30"/>
      <c r="L85" s="30"/>
      <c r="M85" s="30"/>
      <c r="N85" s="201" t="s">
        <v>105</v>
      </c>
      <c r="O85" s="167"/>
      <c r="P85" s="167"/>
      <c r="Q85" s="167"/>
      <c r="R85" s="22"/>
    </row>
    <row r="86" spans="2:18" s="6" customFormat="1" ht="11.25" customHeight="1">
      <c r="B86" s="21"/>
      <c r="R86" s="22"/>
    </row>
    <row r="87" spans="2:47" s="6" customFormat="1" ht="30" customHeight="1">
      <c r="B87" s="21"/>
      <c r="C87" s="59" t="s">
        <v>106</v>
      </c>
      <c r="N87" s="170">
        <f>ROUNDUP($N$134,2)</f>
        <v>0</v>
      </c>
      <c r="O87" s="167"/>
      <c r="P87" s="167"/>
      <c r="Q87" s="167"/>
      <c r="R87" s="22"/>
      <c r="AU87" s="6" t="s">
        <v>107</v>
      </c>
    </row>
    <row r="88" spans="2:18" s="89" customFormat="1" ht="25.5" customHeight="1">
      <c r="B88" s="90"/>
      <c r="D88" s="91" t="s">
        <v>108</v>
      </c>
      <c r="N88" s="199">
        <f>ROUNDUP($N$135,2)</f>
        <v>0</v>
      </c>
      <c r="O88" s="200"/>
      <c r="P88" s="200"/>
      <c r="Q88" s="200"/>
      <c r="R88" s="92"/>
    </row>
    <row r="89" spans="2:18" s="84" customFormat="1" ht="21" customHeight="1">
      <c r="B89" s="93"/>
      <c r="D89" s="72" t="s">
        <v>109</v>
      </c>
      <c r="N89" s="169">
        <f>ROUNDUP($N$136,2)</f>
        <v>0</v>
      </c>
      <c r="O89" s="200"/>
      <c r="P89" s="200"/>
      <c r="Q89" s="200"/>
      <c r="R89" s="94"/>
    </row>
    <row r="90" spans="2:18" s="84" customFormat="1" ht="21" customHeight="1">
      <c r="B90" s="93"/>
      <c r="D90" s="72" t="s">
        <v>110</v>
      </c>
      <c r="N90" s="169">
        <f>ROUNDUP($N$149,2)</f>
        <v>0</v>
      </c>
      <c r="O90" s="200"/>
      <c r="P90" s="200"/>
      <c r="Q90" s="200"/>
      <c r="R90" s="94"/>
    </row>
    <row r="91" spans="2:18" s="84" customFormat="1" ht="21" customHeight="1">
      <c r="B91" s="93"/>
      <c r="D91" s="72" t="s">
        <v>111</v>
      </c>
      <c r="N91" s="169">
        <f>ROUNDUP($N$160,2)</f>
        <v>0</v>
      </c>
      <c r="O91" s="200"/>
      <c r="P91" s="200"/>
      <c r="Q91" s="200"/>
      <c r="R91" s="94"/>
    </row>
    <row r="92" spans="2:18" s="84" customFormat="1" ht="21" customHeight="1">
      <c r="B92" s="93"/>
      <c r="D92" s="72" t="s">
        <v>112</v>
      </c>
      <c r="N92" s="169">
        <f>ROUNDUP($N$171,2)</f>
        <v>0</v>
      </c>
      <c r="O92" s="200"/>
      <c r="P92" s="200"/>
      <c r="Q92" s="200"/>
      <c r="R92" s="94"/>
    </row>
    <row r="93" spans="2:18" s="84" customFormat="1" ht="21" customHeight="1">
      <c r="B93" s="93"/>
      <c r="D93" s="72" t="s">
        <v>113</v>
      </c>
      <c r="N93" s="169">
        <f>ROUNDUP($N$200,2)</f>
        <v>0</v>
      </c>
      <c r="O93" s="200"/>
      <c r="P93" s="200"/>
      <c r="Q93" s="200"/>
      <c r="R93" s="94"/>
    </row>
    <row r="94" spans="2:18" s="84" customFormat="1" ht="21" customHeight="1">
      <c r="B94" s="93"/>
      <c r="D94" s="72" t="s">
        <v>114</v>
      </c>
      <c r="N94" s="169">
        <f>ROUNDUP($N$210,2)</f>
        <v>0</v>
      </c>
      <c r="O94" s="200"/>
      <c r="P94" s="200"/>
      <c r="Q94" s="200"/>
      <c r="R94" s="94"/>
    </row>
    <row r="95" spans="2:18" s="84" customFormat="1" ht="21" customHeight="1">
      <c r="B95" s="93"/>
      <c r="D95" s="72" t="s">
        <v>115</v>
      </c>
      <c r="N95" s="169">
        <f>ROUNDUP($N$232,2)</f>
        <v>0</v>
      </c>
      <c r="O95" s="200"/>
      <c r="P95" s="200"/>
      <c r="Q95" s="200"/>
      <c r="R95" s="94"/>
    </row>
    <row r="96" spans="2:18" s="89" customFormat="1" ht="25.5" customHeight="1">
      <c r="B96" s="90"/>
      <c r="D96" s="91" t="s">
        <v>116</v>
      </c>
      <c r="N96" s="199">
        <f>ROUNDUP($N$241,2)</f>
        <v>0</v>
      </c>
      <c r="O96" s="200"/>
      <c r="P96" s="200"/>
      <c r="Q96" s="200"/>
      <c r="R96" s="92"/>
    </row>
    <row r="97" spans="2:18" s="84" customFormat="1" ht="21" customHeight="1">
      <c r="B97" s="93"/>
      <c r="D97" s="72" t="s">
        <v>117</v>
      </c>
      <c r="N97" s="169">
        <f>ROUNDUP($N$242,2)</f>
        <v>0</v>
      </c>
      <c r="O97" s="200"/>
      <c r="P97" s="200"/>
      <c r="Q97" s="200"/>
      <c r="R97" s="94"/>
    </row>
    <row r="98" spans="2:18" s="84" customFormat="1" ht="21" customHeight="1">
      <c r="B98" s="93"/>
      <c r="D98" s="72" t="s">
        <v>118</v>
      </c>
      <c r="N98" s="169">
        <f>ROUNDUP($N$258,2)</f>
        <v>0</v>
      </c>
      <c r="O98" s="200"/>
      <c r="P98" s="200"/>
      <c r="Q98" s="200"/>
      <c r="R98" s="94"/>
    </row>
    <row r="99" spans="2:18" s="84" customFormat="1" ht="21" customHeight="1">
      <c r="B99" s="93"/>
      <c r="D99" s="72" t="s">
        <v>119</v>
      </c>
      <c r="N99" s="169">
        <f>ROUNDUP($N$269,2)</f>
        <v>0</v>
      </c>
      <c r="O99" s="200"/>
      <c r="P99" s="200"/>
      <c r="Q99" s="200"/>
      <c r="R99" s="94"/>
    </row>
    <row r="100" spans="2:18" s="84" customFormat="1" ht="21" customHeight="1">
      <c r="B100" s="93"/>
      <c r="D100" s="72" t="s">
        <v>120</v>
      </c>
      <c r="N100" s="169">
        <f>ROUNDUP($N$271,2)</f>
        <v>0</v>
      </c>
      <c r="O100" s="200"/>
      <c r="P100" s="200"/>
      <c r="Q100" s="200"/>
      <c r="R100" s="94"/>
    </row>
    <row r="101" spans="2:18" s="84" customFormat="1" ht="21" customHeight="1">
      <c r="B101" s="93"/>
      <c r="D101" s="72" t="s">
        <v>121</v>
      </c>
      <c r="N101" s="169">
        <f>ROUNDUP($N$281,2)</f>
        <v>0</v>
      </c>
      <c r="O101" s="200"/>
      <c r="P101" s="200"/>
      <c r="Q101" s="200"/>
      <c r="R101" s="94"/>
    </row>
    <row r="102" spans="2:18" s="84" customFormat="1" ht="21" customHeight="1">
      <c r="B102" s="93"/>
      <c r="D102" s="72" t="s">
        <v>122</v>
      </c>
      <c r="N102" s="169">
        <f>ROUNDUP($N$292,2)</f>
        <v>0</v>
      </c>
      <c r="O102" s="200"/>
      <c r="P102" s="200"/>
      <c r="Q102" s="200"/>
      <c r="R102" s="94"/>
    </row>
    <row r="103" spans="2:18" s="84" customFormat="1" ht="21" customHeight="1">
      <c r="B103" s="93"/>
      <c r="D103" s="72" t="s">
        <v>123</v>
      </c>
      <c r="N103" s="169">
        <f>ROUNDUP($N$300,2)</f>
        <v>0</v>
      </c>
      <c r="O103" s="200"/>
      <c r="P103" s="200"/>
      <c r="Q103" s="200"/>
      <c r="R103" s="94"/>
    </row>
    <row r="104" spans="2:18" s="84" customFormat="1" ht="21" customHeight="1">
      <c r="B104" s="93"/>
      <c r="D104" s="72" t="s">
        <v>124</v>
      </c>
      <c r="N104" s="169">
        <f>ROUNDUP($N$303,2)</f>
        <v>0</v>
      </c>
      <c r="O104" s="200"/>
      <c r="P104" s="200"/>
      <c r="Q104" s="200"/>
      <c r="R104" s="94"/>
    </row>
    <row r="105" spans="2:18" s="89" customFormat="1" ht="25.5" customHeight="1">
      <c r="B105" s="90"/>
      <c r="D105" s="91" t="s">
        <v>125</v>
      </c>
      <c r="N105" s="199">
        <f>ROUNDUP($N$307,2)</f>
        <v>0</v>
      </c>
      <c r="O105" s="200"/>
      <c r="P105" s="200"/>
      <c r="Q105" s="200"/>
      <c r="R105" s="92"/>
    </row>
    <row r="106" spans="2:18" s="84" customFormat="1" ht="21" customHeight="1">
      <c r="B106" s="93"/>
      <c r="D106" s="72" t="s">
        <v>126</v>
      </c>
      <c r="N106" s="169">
        <f>ROUNDUP($N$308,2)</f>
        <v>0</v>
      </c>
      <c r="O106" s="200"/>
      <c r="P106" s="200"/>
      <c r="Q106" s="200"/>
      <c r="R106" s="94"/>
    </row>
    <row r="107" spans="2:18" s="89" customFormat="1" ht="25.5" customHeight="1">
      <c r="B107" s="90"/>
      <c r="D107" s="91" t="s">
        <v>127</v>
      </c>
      <c r="N107" s="199">
        <f>ROUNDUP($N$310,2)</f>
        <v>0</v>
      </c>
      <c r="O107" s="200"/>
      <c r="P107" s="200"/>
      <c r="Q107" s="200"/>
      <c r="R107" s="92"/>
    </row>
    <row r="108" spans="2:18" s="84" customFormat="1" ht="21" customHeight="1">
      <c r="B108" s="93"/>
      <c r="D108" s="72" t="s">
        <v>128</v>
      </c>
      <c r="N108" s="169">
        <f>ROUNDUP($N$311,2)</f>
        <v>0</v>
      </c>
      <c r="O108" s="200"/>
      <c r="P108" s="200"/>
      <c r="Q108" s="200"/>
      <c r="R108" s="94"/>
    </row>
    <row r="109" spans="2:18" s="6" customFormat="1" ht="22.5" customHeight="1">
      <c r="B109" s="21"/>
      <c r="R109" s="22"/>
    </row>
    <row r="110" spans="2:21" s="6" customFormat="1" ht="30" customHeight="1">
      <c r="B110" s="21"/>
      <c r="C110" s="59" t="s">
        <v>129</v>
      </c>
      <c r="N110" s="170">
        <f>ROUNDUP($N$111+$N$112+$N$113+$N$114+$N$115+$N$116,2)</f>
        <v>0</v>
      </c>
      <c r="O110" s="167"/>
      <c r="P110" s="167"/>
      <c r="Q110" s="167"/>
      <c r="R110" s="22"/>
      <c r="T110" s="95"/>
      <c r="U110" s="96" t="s">
        <v>37</v>
      </c>
    </row>
    <row r="111" spans="2:62" s="6" customFormat="1" ht="18.75" customHeight="1">
      <c r="B111" s="21"/>
      <c r="D111" s="166" t="s">
        <v>130</v>
      </c>
      <c r="E111" s="167"/>
      <c r="F111" s="167"/>
      <c r="G111" s="167"/>
      <c r="H111" s="167"/>
      <c r="N111" s="168">
        <f>ROUNDUP($N$87*$T$111,2)</f>
        <v>0</v>
      </c>
      <c r="O111" s="167"/>
      <c r="P111" s="167"/>
      <c r="Q111" s="167"/>
      <c r="R111" s="22"/>
      <c r="T111" s="97"/>
      <c r="U111" s="98" t="s">
        <v>38</v>
      </c>
      <c r="AY111" s="6" t="s">
        <v>131</v>
      </c>
      <c r="BE111" s="76">
        <f>IF($U$111="základní",$N$111,0)</f>
        <v>0</v>
      </c>
      <c r="BF111" s="76">
        <f>IF($U$111="snížená",$N$111,0)</f>
        <v>0</v>
      </c>
      <c r="BG111" s="76">
        <f>IF($U$111="zákl. přenesená",$N$111,0)</f>
        <v>0</v>
      </c>
      <c r="BH111" s="76">
        <f>IF($U$111="sníž. přenesená",$N$111,0)</f>
        <v>0</v>
      </c>
      <c r="BI111" s="76">
        <f>IF($U$111="nulová",$N$111,0)</f>
        <v>0</v>
      </c>
      <c r="BJ111" s="6" t="s">
        <v>16</v>
      </c>
    </row>
    <row r="112" spans="2:62" s="6" customFormat="1" ht="18.75" customHeight="1">
      <c r="B112" s="21"/>
      <c r="D112" s="166" t="s">
        <v>132</v>
      </c>
      <c r="E112" s="167"/>
      <c r="F112" s="167"/>
      <c r="G112" s="167"/>
      <c r="H112" s="167"/>
      <c r="N112" s="168">
        <f>ROUNDUP($N$87*$T$112,2)</f>
        <v>0</v>
      </c>
      <c r="O112" s="167"/>
      <c r="P112" s="167"/>
      <c r="Q112" s="167"/>
      <c r="R112" s="22"/>
      <c r="T112" s="97"/>
      <c r="U112" s="98" t="s">
        <v>38</v>
      </c>
      <c r="AY112" s="6" t="s">
        <v>131</v>
      </c>
      <c r="BE112" s="76">
        <f>IF($U$112="základní",$N$112,0)</f>
        <v>0</v>
      </c>
      <c r="BF112" s="76">
        <f>IF($U$112="snížená",$N$112,0)</f>
        <v>0</v>
      </c>
      <c r="BG112" s="76">
        <f>IF($U$112="zákl. přenesená",$N$112,0)</f>
        <v>0</v>
      </c>
      <c r="BH112" s="76">
        <f>IF($U$112="sníž. přenesená",$N$112,0)</f>
        <v>0</v>
      </c>
      <c r="BI112" s="76">
        <f>IF($U$112="nulová",$N$112,0)</f>
        <v>0</v>
      </c>
      <c r="BJ112" s="6" t="s">
        <v>16</v>
      </c>
    </row>
    <row r="113" spans="2:62" s="6" customFormat="1" ht="18.75" customHeight="1">
      <c r="B113" s="21"/>
      <c r="D113" s="166" t="s">
        <v>133</v>
      </c>
      <c r="E113" s="167"/>
      <c r="F113" s="167"/>
      <c r="G113" s="167"/>
      <c r="H113" s="167"/>
      <c r="N113" s="168">
        <f>ROUNDUP($N$87*$T$113,2)</f>
        <v>0</v>
      </c>
      <c r="O113" s="167"/>
      <c r="P113" s="167"/>
      <c r="Q113" s="167"/>
      <c r="R113" s="22"/>
      <c r="T113" s="97"/>
      <c r="U113" s="98" t="s">
        <v>38</v>
      </c>
      <c r="AY113" s="6" t="s">
        <v>131</v>
      </c>
      <c r="BE113" s="76">
        <f>IF($U$113="základní",$N$113,0)</f>
        <v>0</v>
      </c>
      <c r="BF113" s="76">
        <f>IF($U$113="snížená",$N$113,0)</f>
        <v>0</v>
      </c>
      <c r="BG113" s="76">
        <f>IF($U$113="zákl. přenesená",$N$113,0)</f>
        <v>0</v>
      </c>
      <c r="BH113" s="76">
        <f>IF($U$113="sníž. přenesená",$N$113,0)</f>
        <v>0</v>
      </c>
      <c r="BI113" s="76">
        <f>IF($U$113="nulová",$N$113,0)</f>
        <v>0</v>
      </c>
      <c r="BJ113" s="6" t="s">
        <v>16</v>
      </c>
    </row>
    <row r="114" spans="2:62" s="6" customFormat="1" ht="18.75" customHeight="1">
      <c r="B114" s="21"/>
      <c r="D114" s="166" t="s">
        <v>134</v>
      </c>
      <c r="E114" s="167"/>
      <c r="F114" s="167"/>
      <c r="G114" s="167"/>
      <c r="H114" s="167"/>
      <c r="N114" s="168">
        <f>ROUNDUP($N$87*$T$114,2)</f>
        <v>0</v>
      </c>
      <c r="O114" s="167"/>
      <c r="P114" s="167"/>
      <c r="Q114" s="167"/>
      <c r="R114" s="22"/>
      <c r="T114" s="97"/>
      <c r="U114" s="98" t="s">
        <v>38</v>
      </c>
      <c r="AY114" s="6" t="s">
        <v>131</v>
      </c>
      <c r="BE114" s="76">
        <f>IF($U$114="základní",$N$114,0)</f>
        <v>0</v>
      </c>
      <c r="BF114" s="76">
        <f>IF($U$114="snížená",$N$114,0)</f>
        <v>0</v>
      </c>
      <c r="BG114" s="76">
        <f>IF($U$114="zákl. přenesená",$N$114,0)</f>
        <v>0</v>
      </c>
      <c r="BH114" s="76">
        <f>IF($U$114="sníž. přenesená",$N$114,0)</f>
        <v>0</v>
      </c>
      <c r="BI114" s="76">
        <f>IF($U$114="nulová",$N$114,0)</f>
        <v>0</v>
      </c>
      <c r="BJ114" s="6" t="s">
        <v>16</v>
      </c>
    </row>
    <row r="115" spans="2:62" s="6" customFormat="1" ht="18.75" customHeight="1">
      <c r="B115" s="21"/>
      <c r="D115" s="166" t="s">
        <v>135</v>
      </c>
      <c r="E115" s="167"/>
      <c r="F115" s="167"/>
      <c r="G115" s="167"/>
      <c r="H115" s="167"/>
      <c r="N115" s="168">
        <f>ROUNDUP($N$87*$T$115,2)</f>
        <v>0</v>
      </c>
      <c r="O115" s="167"/>
      <c r="P115" s="167"/>
      <c r="Q115" s="167"/>
      <c r="R115" s="22"/>
      <c r="T115" s="97"/>
      <c r="U115" s="98" t="s">
        <v>38</v>
      </c>
      <c r="AY115" s="6" t="s">
        <v>131</v>
      </c>
      <c r="BE115" s="76">
        <f>IF($U$115="základní",$N$115,0)</f>
        <v>0</v>
      </c>
      <c r="BF115" s="76">
        <f>IF($U$115="snížená",$N$115,0)</f>
        <v>0</v>
      </c>
      <c r="BG115" s="76">
        <f>IF($U$115="zákl. přenesená",$N$115,0)</f>
        <v>0</v>
      </c>
      <c r="BH115" s="76">
        <f>IF($U$115="sníž. přenesená",$N$115,0)</f>
        <v>0</v>
      </c>
      <c r="BI115" s="76">
        <f>IF($U$115="nulová",$N$115,0)</f>
        <v>0</v>
      </c>
      <c r="BJ115" s="6" t="s">
        <v>16</v>
      </c>
    </row>
    <row r="116" spans="2:62" s="6" customFormat="1" ht="18.75" customHeight="1">
      <c r="B116" s="21"/>
      <c r="D116" s="72" t="s">
        <v>136</v>
      </c>
      <c r="N116" s="168">
        <f>ROUNDUP($N$87*$T$116,2)</f>
        <v>0</v>
      </c>
      <c r="O116" s="167"/>
      <c r="P116" s="167"/>
      <c r="Q116" s="167"/>
      <c r="R116" s="22"/>
      <c r="T116" s="99"/>
      <c r="U116" s="100" t="s">
        <v>38</v>
      </c>
      <c r="AY116" s="6" t="s">
        <v>137</v>
      </c>
      <c r="BE116" s="76">
        <f>IF($U$116="základní",$N$116,0)</f>
        <v>0</v>
      </c>
      <c r="BF116" s="76">
        <f>IF($U$116="snížená",$N$116,0)</f>
        <v>0</v>
      </c>
      <c r="BG116" s="76">
        <f>IF($U$116="zákl. přenesená",$N$116,0)</f>
        <v>0</v>
      </c>
      <c r="BH116" s="76">
        <f>IF($U$116="sníž. přenesená",$N$116,0)</f>
        <v>0</v>
      </c>
      <c r="BI116" s="76">
        <f>IF($U$116="nulová",$N$116,0)</f>
        <v>0</v>
      </c>
      <c r="BJ116" s="6" t="s">
        <v>16</v>
      </c>
    </row>
    <row r="117" spans="2:18" s="6" customFormat="1" ht="14.25" customHeight="1">
      <c r="B117" s="21"/>
      <c r="R117" s="22"/>
    </row>
    <row r="118" spans="2:18" s="6" customFormat="1" ht="30" customHeight="1">
      <c r="B118" s="21"/>
      <c r="C118" s="83" t="s">
        <v>97</v>
      </c>
      <c r="D118" s="30"/>
      <c r="E118" s="30"/>
      <c r="F118" s="30"/>
      <c r="G118" s="30"/>
      <c r="H118" s="30"/>
      <c r="I118" s="30"/>
      <c r="J118" s="30"/>
      <c r="K118" s="30"/>
      <c r="L118" s="162">
        <f>ROUNDUP(SUM($N$87+$N$110),2)</f>
        <v>0</v>
      </c>
      <c r="M118" s="163"/>
      <c r="N118" s="163"/>
      <c r="O118" s="163"/>
      <c r="P118" s="163"/>
      <c r="Q118" s="163"/>
      <c r="R118" s="22"/>
    </row>
    <row r="119" spans="2:18" s="6" customFormat="1" ht="7.5" customHeight="1"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5"/>
    </row>
    <row r="120" ht="14.25" customHeight="1">
      <c r="N120" s="1"/>
    </row>
    <row r="121" ht="14.25" customHeight="1">
      <c r="N121" s="1"/>
    </row>
    <row r="122" ht="14.25" customHeight="1">
      <c r="N122" s="1"/>
    </row>
    <row r="123" spans="2:18" s="6" customFormat="1" ht="7.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8"/>
    </row>
    <row r="124" spans="2:18" s="6" customFormat="1" ht="37.5" customHeight="1">
      <c r="B124" s="21"/>
      <c r="C124" s="180" t="s">
        <v>138</v>
      </c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22"/>
    </row>
    <row r="125" spans="2:18" s="6" customFormat="1" ht="7.5" customHeight="1">
      <c r="B125" s="21"/>
      <c r="R125" s="22"/>
    </row>
    <row r="126" spans="2:18" s="6" customFormat="1" ht="15" customHeight="1">
      <c r="B126" s="21"/>
      <c r="C126" s="14" t="s">
        <v>14</v>
      </c>
      <c r="F126" s="181" t="str">
        <f>$F$6</f>
        <v>Objekt č.p.324/II - Gymnázium Sušice - stav. úpravy - bezbariérové řešení</v>
      </c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R126" s="22"/>
    </row>
    <row r="127" spans="2:18" s="6" customFormat="1" ht="7.5" customHeight="1">
      <c r="B127" s="21"/>
      <c r="R127" s="22"/>
    </row>
    <row r="128" spans="2:18" s="6" customFormat="1" ht="18.75" customHeight="1">
      <c r="B128" s="21"/>
      <c r="C128" s="15" t="s">
        <v>17</v>
      </c>
      <c r="F128" s="16" t="str">
        <f>$F$8</f>
        <v>Sušice</v>
      </c>
      <c r="K128" s="15" t="s">
        <v>19</v>
      </c>
      <c r="M128" s="195" t="str">
        <f>IF($O$8="","",$O$8)</f>
        <v>01.04.2013</v>
      </c>
      <c r="N128" s="167"/>
      <c r="O128" s="167"/>
      <c r="P128" s="167"/>
      <c r="R128" s="22"/>
    </row>
    <row r="129" spans="2:18" s="6" customFormat="1" ht="7.5" customHeight="1">
      <c r="B129" s="21"/>
      <c r="R129" s="22"/>
    </row>
    <row r="130" spans="2:18" s="6" customFormat="1" ht="15.75" customHeight="1">
      <c r="B130" s="21"/>
      <c r="C130" s="15" t="s">
        <v>23</v>
      </c>
      <c r="F130" s="16" t="str">
        <f>$E$11</f>
        <v>Gymnázium Sušice, Fr. Procházky č.p.324/II, Sušice</v>
      </c>
      <c r="K130" s="15" t="s">
        <v>29</v>
      </c>
      <c r="M130" s="182" t="str">
        <f>$E$17</f>
        <v>Ing. Jiří Lejsek</v>
      </c>
      <c r="N130" s="167"/>
      <c r="O130" s="167"/>
      <c r="P130" s="167"/>
      <c r="Q130" s="167"/>
      <c r="R130" s="22"/>
    </row>
    <row r="131" spans="2:18" s="6" customFormat="1" ht="15" customHeight="1">
      <c r="B131" s="21"/>
      <c r="C131" s="15" t="s">
        <v>27</v>
      </c>
      <c r="F131" s="16" t="str">
        <f>IF($E$14="","",$E$14)</f>
        <v>Bude určen výběrovým řízením</v>
      </c>
      <c r="K131" s="15" t="s">
        <v>32</v>
      </c>
      <c r="M131" s="182" t="str">
        <f>$E$20</f>
        <v>Pavel Hrba</v>
      </c>
      <c r="N131" s="167"/>
      <c r="O131" s="167"/>
      <c r="P131" s="167"/>
      <c r="Q131" s="167"/>
      <c r="R131" s="22"/>
    </row>
    <row r="132" spans="2:18" s="6" customFormat="1" ht="11.25" customHeight="1">
      <c r="B132" s="21"/>
      <c r="R132" s="22"/>
    </row>
    <row r="133" spans="2:27" s="101" customFormat="1" ht="30" customHeight="1">
      <c r="B133" s="102"/>
      <c r="C133" s="103" t="s">
        <v>139</v>
      </c>
      <c r="D133" s="104" t="s">
        <v>140</v>
      </c>
      <c r="E133" s="104" t="s">
        <v>55</v>
      </c>
      <c r="F133" s="196" t="s">
        <v>141</v>
      </c>
      <c r="G133" s="197"/>
      <c r="H133" s="197"/>
      <c r="I133" s="197"/>
      <c r="J133" s="104" t="s">
        <v>142</v>
      </c>
      <c r="K133" s="104" t="s">
        <v>143</v>
      </c>
      <c r="L133" s="196" t="s">
        <v>144</v>
      </c>
      <c r="M133" s="197"/>
      <c r="N133" s="196" t="s">
        <v>145</v>
      </c>
      <c r="O133" s="197"/>
      <c r="P133" s="197"/>
      <c r="Q133" s="198"/>
      <c r="R133" s="105"/>
      <c r="T133" s="54" t="s">
        <v>146</v>
      </c>
      <c r="U133" s="55" t="s">
        <v>37</v>
      </c>
      <c r="V133" s="55" t="s">
        <v>147</v>
      </c>
      <c r="W133" s="55" t="s">
        <v>148</v>
      </c>
      <c r="X133" s="55" t="s">
        <v>149</v>
      </c>
      <c r="Y133" s="55" t="s">
        <v>150</v>
      </c>
      <c r="Z133" s="55" t="s">
        <v>151</v>
      </c>
      <c r="AA133" s="56" t="s">
        <v>152</v>
      </c>
    </row>
    <row r="134" spans="2:63" s="6" customFormat="1" ht="30" customHeight="1">
      <c r="B134" s="21"/>
      <c r="C134" s="59" t="s">
        <v>102</v>
      </c>
      <c r="N134" s="145">
        <f>$BK$134</f>
        <v>0</v>
      </c>
      <c r="O134" s="167"/>
      <c r="P134" s="167"/>
      <c r="Q134" s="167"/>
      <c r="R134" s="22"/>
      <c r="T134" s="58"/>
      <c r="U134" s="35"/>
      <c r="V134" s="35"/>
      <c r="W134" s="106">
        <f>$W$135+$W$241+$W$307+$W$310+$W$314</f>
        <v>304.116565</v>
      </c>
      <c r="X134" s="35"/>
      <c r="Y134" s="106">
        <f>$Y$135+$Y$241+$Y$307+$Y$310+$Y$314</f>
        <v>10.47533893</v>
      </c>
      <c r="Z134" s="35"/>
      <c r="AA134" s="107">
        <f>$AA$135+$AA$241+$AA$307+$AA$310+$AA$314</f>
        <v>10.776898999999998</v>
      </c>
      <c r="AT134" s="6" t="s">
        <v>72</v>
      </c>
      <c r="AU134" s="6" t="s">
        <v>107</v>
      </c>
      <c r="BK134" s="108">
        <f>$BK$135+$BK$241+$BK$307+$BK$310+$BK$314</f>
        <v>0</v>
      </c>
    </row>
    <row r="135" spans="2:63" s="109" customFormat="1" ht="37.5" customHeight="1">
      <c r="B135" s="110"/>
      <c r="D135" s="111" t="s">
        <v>108</v>
      </c>
      <c r="N135" s="140">
        <f>$BK$135</f>
        <v>0</v>
      </c>
      <c r="O135" s="139"/>
      <c r="P135" s="139"/>
      <c r="Q135" s="139"/>
      <c r="R135" s="113"/>
      <c r="T135" s="114"/>
      <c r="W135" s="115">
        <f>$W$136+$W$149+$W$160+$W$171+$W$200+$W$210+$W$232</f>
        <v>243.96450099999998</v>
      </c>
      <c r="Y135" s="115">
        <f>$Y$136+$Y$149+$Y$160+$Y$171+$Y$200+$Y$210+$Y$232</f>
        <v>9.62631302</v>
      </c>
      <c r="AA135" s="116">
        <f>$AA$136+$AA$149+$AA$160+$AA$171+$AA$200+$AA$210+$AA$232</f>
        <v>10.623740999999999</v>
      </c>
      <c r="AR135" s="112" t="s">
        <v>16</v>
      </c>
      <c r="AT135" s="112" t="s">
        <v>72</v>
      </c>
      <c r="AU135" s="112" t="s">
        <v>73</v>
      </c>
      <c r="AY135" s="112" t="s">
        <v>153</v>
      </c>
      <c r="BK135" s="117">
        <f>$BK$136+$BK$149+$BK$160+$BK$171+$BK$200+$BK$210+$BK$232</f>
        <v>0</v>
      </c>
    </row>
    <row r="136" spans="2:63" s="109" customFormat="1" ht="21" customHeight="1">
      <c r="B136" s="110"/>
      <c r="D136" s="118" t="s">
        <v>109</v>
      </c>
      <c r="N136" s="160">
        <f>$BK$136</f>
        <v>0</v>
      </c>
      <c r="O136" s="139"/>
      <c r="P136" s="139"/>
      <c r="Q136" s="139"/>
      <c r="R136" s="113"/>
      <c r="T136" s="114"/>
      <c r="W136" s="115">
        <f>SUM($W$137:$W$148)</f>
        <v>34.034952</v>
      </c>
      <c r="Y136" s="115">
        <f>SUM($Y$137:$Y$148)</f>
        <v>0</v>
      </c>
      <c r="AA136" s="116">
        <f>SUM($AA$137:$AA$148)</f>
        <v>0</v>
      </c>
      <c r="AR136" s="112" t="s">
        <v>16</v>
      </c>
      <c r="AT136" s="112" t="s">
        <v>72</v>
      </c>
      <c r="AU136" s="112" t="s">
        <v>16</v>
      </c>
      <c r="AY136" s="112" t="s">
        <v>153</v>
      </c>
      <c r="BK136" s="117">
        <f>SUM($BK$137:$BK$148)</f>
        <v>0</v>
      </c>
    </row>
    <row r="137" spans="2:64" s="6" customFormat="1" ht="27" customHeight="1">
      <c r="B137" s="21"/>
      <c r="C137" s="119" t="s">
        <v>16</v>
      </c>
      <c r="D137" s="119" t="s">
        <v>154</v>
      </c>
      <c r="E137" s="120" t="s">
        <v>155</v>
      </c>
      <c r="F137" s="141" t="s">
        <v>156</v>
      </c>
      <c r="G137" s="142"/>
      <c r="H137" s="142"/>
      <c r="I137" s="142"/>
      <c r="J137" s="121" t="s">
        <v>157</v>
      </c>
      <c r="K137" s="122">
        <v>12.864</v>
      </c>
      <c r="L137" s="143">
        <v>0</v>
      </c>
      <c r="M137" s="142"/>
      <c r="N137" s="144">
        <f>ROUND($L$137*$K$137,2)</f>
        <v>0</v>
      </c>
      <c r="O137" s="142"/>
      <c r="P137" s="142"/>
      <c r="Q137" s="142"/>
      <c r="R137" s="22"/>
      <c r="T137" s="123"/>
      <c r="U137" s="124" t="s">
        <v>38</v>
      </c>
      <c r="V137" s="125">
        <v>0.871</v>
      </c>
      <c r="W137" s="125">
        <f>$V$137*$K$137</f>
        <v>11.204544</v>
      </c>
      <c r="X137" s="125">
        <v>0</v>
      </c>
      <c r="Y137" s="125">
        <f>$X$137*$K$137</f>
        <v>0</v>
      </c>
      <c r="Z137" s="125">
        <v>0</v>
      </c>
      <c r="AA137" s="126">
        <f>$Z$137*$K$137</f>
        <v>0</v>
      </c>
      <c r="AR137" s="6" t="s">
        <v>158</v>
      </c>
      <c r="AT137" s="6" t="s">
        <v>154</v>
      </c>
      <c r="AU137" s="6" t="s">
        <v>99</v>
      </c>
      <c r="AY137" s="6" t="s">
        <v>153</v>
      </c>
      <c r="BE137" s="76">
        <f>IF($U$137="základní",$N$137,0)</f>
        <v>0</v>
      </c>
      <c r="BF137" s="76">
        <f>IF($U$137="snížená",$N$137,0)</f>
        <v>0</v>
      </c>
      <c r="BG137" s="76">
        <f>IF($U$137="zákl. přenesená",$N$137,0)</f>
        <v>0</v>
      </c>
      <c r="BH137" s="76">
        <f>IF($U$137="sníž. přenesená",$N$137,0)</f>
        <v>0</v>
      </c>
      <c r="BI137" s="76">
        <f>IF($U$137="nulová",$N$137,0)</f>
        <v>0</v>
      </c>
      <c r="BJ137" s="6" t="s">
        <v>16</v>
      </c>
      <c r="BK137" s="76">
        <f>ROUND($L$137*$K$137,2)</f>
        <v>0</v>
      </c>
      <c r="BL137" s="6" t="s">
        <v>158</v>
      </c>
    </row>
    <row r="138" spans="2:51" s="6" customFormat="1" ht="15.75" customHeight="1">
      <c r="B138" s="127"/>
      <c r="E138" s="128"/>
      <c r="F138" s="146" t="s">
        <v>159</v>
      </c>
      <c r="G138" s="147"/>
      <c r="H138" s="147"/>
      <c r="I138" s="147"/>
      <c r="K138" s="129">
        <v>12.864</v>
      </c>
      <c r="N138" s="128"/>
      <c r="R138" s="130"/>
      <c r="T138" s="131"/>
      <c r="AA138" s="132"/>
      <c r="AT138" s="128" t="s">
        <v>160</v>
      </c>
      <c r="AU138" s="128" t="s">
        <v>99</v>
      </c>
      <c r="AV138" s="133" t="s">
        <v>99</v>
      </c>
      <c r="AW138" s="133" t="s">
        <v>107</v>
      </c>
      <c r="AX138" s="133" t="s">
        <v>16</v>
      </c>
      <c r="AY138" s="128" t="s">
        <v>153</v>
      </c>
    </row>
    <row r="139" spans="2:64" s="6" customFormat="1" ht="27" customHeight="1">
      <c r="B139" s="21"/>
      <c r="C139" s="119" t="s">
        <v>99</v>
      </c>
      <c r="D139" s="119" t="s">
        <v>154</v>
      </c>
      <c r="E139" s="120" t="s">
        <v>161</v>
      </c>
      <c r="F139" s="141" t="s">
        <v>162</v>
      </c>
      <c r="G139" s="142"/>
      <c r="H139" s="142"/>
      <c r="I139" s="142"/>
      <c r="J139" s="121" t="s">
        <v>157</v>
      </c>
      <c r="K139" s="122">
        <v>5.958</v>
      </c>
      <c r="L139" s="143">
        <v>0</v>
      </c>
      <c r="M139" s="142"/>
      <c r="N139" s="144">
        <f>ROUND($L$139*$K$139,2)</f>
        <v>0</v>
      </c>
      <c r="O139" s="142"/>
      <c r="P139" s="142"/>
      <c r="Q139" s="142"/>
      <c r="R139" s="22"/>
      <c r="T139" s="123"/>
      <c r="U139" s="124" t="s">
        <v>38</v>
      </c>
      <c r="V139" s="125">
        <v>0.083</v>
      </c>
      <c r="W139" s="125">
        <f>$V$139*$K$139</f>
        <v>0.49451400000000006</v>
      </c>
      <c r="X139" s="125">
        <v>0</v>
      </c>
      <c r="Y139" s="125">
        <f>$X$139*$K$139</f>
        <v>0</v>
      </c>
      <c r="Z139" s="125">
        <v>0</v>
      </c>
      <c r="AA139" s="126">
        <f>$Z$139*$K$139</f>
        <v>0</v>
      </c>
      <c r="AR139" s="6" t="s">
        <v>158</v>
      </c>
      <c r="AT139" s="6" t="s">
        <v>154</v>
      </c>
      <c r="AU139" s="6" t="s">
        <v>99</v>
      </c>
      <c r="AY139" s="6" t="s">
        <v>153</v>
      </c>
      <c r="BE139" s="76">
        <f>IF($U$139="základní",$N$139,0)</f>
        <v>0</v>
      </c>
      <c r="BF139" s="76">
        <f>IF($U$139="snížená",$N$139,0)</f>
        <v>0</v>
      </c>
      <c r="BG139" s="76">
        <f>IF($U$139="zákl. přenesená",$N$139,0)</f>
        <v>0</v>
      </c>
      <c r="BH139" s="76">
        <f>IF($U$139="sníž. přenesená",$N$139,0)</f>
        <v>0</v>
      </c>
      <c r="BI139" s="76">
        <f>IF($U$139="nulová",$N$139,0)</f>
        <v>0</v>
      </c>
      <c r="BJ139" s="6" t="s">
        <v>16</v>
      </c>
      <c r="BK139" s="76">
        <f>ROUND($L$139*$K$139,2)</f>
        <v>0</v>
      </c>
      <c r="BL139" s="6" t="s">
        <v>158</v>
      </c>
    </row>
    <row r="140" spans="2:51" s="6" customFormat="1" ht="15.75" customHeight="1">
      <c r="B140" s="127"/>
      <c r="E140" s="128"/>
      <c r="F140" s="146" t="s">
        <v>163</v>
      </c>
      <c r="G140" s="147"/>
      <c r="H140" s="147"/>
      <c r="I140" s="147"/>
      <c r="K140" s="129">
        <v>5.958</v>
      </c>
      <c r="N140" s="128"/>
      <c r="R140" s="130"/>
      <c r="T140" s="131"/>
      <c r="AA140" s="132"/>
      <c r="AT140" s="128" t="s">
        <v>160</v>
      </c>
      <c r="AU140" s="128" t="s">
        <v>99</v>
      </c>
      <c r="AV140" s="133" t="s">
        <v>99</v>
      </c>
      <c r="AW140" s="133" t="s">
        <v>107</v>
      </c>
      <c r="AX140" s="133" t="s">
        <v>16</v>
      </c>
      <c r="AY140" s="128" t="s">
        <v>153</v>
      </c>
    </row>
    <row r="141" spans="2:64" s="6" customFormat="1" ht="39" customHeight="1">
      <c r="B141" s="21"/>
      <c r="C141" s="119" t="s">
        <v>164</v>
      </c>
      <c r="D141" s="119" t="s">
        <v>154</v>
      </c>
      <c r="E141" s="120" t="s">
        <v>165</v>
      </c>
      <c r="F141" s="141" t="s">
        <v>166</v>
      </c>
      <c r="G141" s="142"/>
      <c r="H141" s="142"/>
      <c r="I141" s="142"/>
      <c r="J141" s="121" t="s">
        <v>157</v>
      </c>
      <c r="K141" s="122">
        <v>59.58</v>
      </c>
      <c r="L141" s="143">
        <v>0</v>
      </c>
      <c r="M141" s="142"/>
      <c r="N141" s="144">
        <f>ROUND($L$141*$K$141,2)</f>
        <v>0</v>
      </c>
      <c r="O141" s="142"/>
      <c r="P141" s="142"/>
      <c r="Q141" s="142"/>
      <c r="R141" s="22"/>
      <c r="T141" s="123"/>
      <c r="U141" s="124" t="s">
        <v>38</v>
      </c>
      <c r="V141" s="125">
        <v>0.004</v>
      </c>
      <c r="W141" s="125">
        <f>$V$141*$K$141</f>
        <v>0.23832</v>
      </c>
      <c r="X141" s="125">
        <v>0</v>
      </c>
      <c r="Y141" s="125">
        <f>$X$141*$K$141</f>
        <v>0</v>
      </c>
      <c r="Z141" s="125">
        <v>0</v>
      </c>
      <c r="AA141" s="126">
        <f>$Z$141*$K$141</f>
        <v>0</v>
      </c>
      <c r="AR141" s="6" t="s">
        <v>158</v>
      </c>
      <c r="AT141" s="6" t="s">
        <v>154</v>
      </c>
      <c r="AU141" s="6" t="s">
        <v>99</v>
      </c>
      <c r="AY141" s="6" t="s">
        <v>153</v>
      </c>
      <c r="BE141" s="76">
        <f>IF($U$141="základní",$N$141,0)</f>
        <v>0</v>
      </c>
      <c r="BF141" s="76">
        <f>IF($U$141="snížená",$N$141,0)</f>
        <v>0</v>
      </c>
      <c r="BG141" s="76">
        <f>IF($U$141="zákl. přenesená",$N$141,0)</f>
        <v>0</v>
      </c>
      <c r="BH141" s="76">
        <f>IF($U$141="sníž. přenesená",$N$141,0)</f>
        <v>0</v>
      </c>
      <c r="BI141" s="76">
        <f>IF($U$141="nulová",$N$141,0)</f>
        <v>0</v>
      </c>
      <c r="BJ141" s="6" t="s">
        <v>16</v>
      </c>
      <c r="BK141" s="76">
        <f>ROUND($L$141*$K$141,2)</f>
        <v>0</v>
      </c>
      <c r="BL141" s="6" t="s">
        <v>158</v>
      </c>
    </row>
    <row r="142" spans="2:51" s="6" customFormat="1" ht="15.75" customHeight="1">
      <c r="B142" s="127"/>
      <c r="E142" s="128"/>
      <c r="F142" s="146" t="s">
        <v>167</v>
      </c>
      <c r="G142" s="147"/>
      <c r="H142" s="147"/>
      <c r="I142" s="147"/>
      <c r="K142" s="129">
        <v>59.58</v>
      </c>
      <c r="N142" s="128"/>
      <c r="R142" s="130"/>
      <c r="T142" s="131"/>
      <c r="AA142" s="132"/>
      <c r="AT142" s="128" t="s">
        <v>160</v>
      </c>
      <c r="AU142" s="128" t="s">
        <v>99</v>
      </c>
      <c r="AV142" s="133" t="s">
        <v>99</v>
      </c>
      <c r="AW142" s="133" t="s">
        <v>107</v>
      </c>
      <c r="AX142" s="133" t="s">
        <v>16</v>
      </c>
      <c r="AY142" s="128" t="s">
        <v>153</v>
      </c>
    </row>
    <row r="143" spans="2:64" s="6" customFormat="1" ht="15.75" customHeight="1">
      <c r="B143" s="21"/>
      <c r="C143" s="119" t="s">
        <v>158</v>
      </c>
      <c r="D143" s="119" t="s">
        <v>154</v>
      </c>
      <c r="E143" s="120" t="s">
        <v>168</v>
      </c>
      <c r="F143" s="141" t="s">
        <v>169</v>
      </c>
      <c r="G143" s="142"/>
      <c r="H143" s="142"/>
      <c r="I143" s="142"/>
      <c r="J143" s="121" t="s">
        <v>157</v>
      </c>
      <c r="K143" s="122">
        <v>5.958</v>
      </c>
      <c r="L143" s="143">
        <v>0</v>
      </c>
      <c r="M143" s="142"/>
      <c r="N143" s="144">
        <f>ROUND($L$143*$K$143,2)</f>
        <v>0</v>
      </c>
      <c r="O143" s="142"/>
      <c r="P143" s="142"/>
      <c r="Q143" s="142"/>
      <c r="R143" s="22"/>
      <c r="T143" s="123"/>
      <c r="U143" s="124" t="s">
        <v>38</v>
      </c>
      <c r="V143" s="125">
        <v>0.009</v>
      </c>
      <c r="W143" s="125">
        <f>$V$143*$K$143</f>
        <v>0.053621999999999996</v>
      </c>
      <c r="X143" s="125">
        <v>0</v>
      </c>
      <c r="Y143" s="125">
        <f>$X$143*$K$143</f>
        <v>0</v>
      </c>
      <c r="Z143" s="125">
        <v>0</v>
      </c>
      <c r="AA143" s="126">
        <f>$Z$143*$K$143</f>
        <v>0</v>
      </c>
      <c r="AR143" s="6" t="s">
        <v>158</v>
      </c>
      <c r="AT143" s="6" t="s">
        <v>154</v>
      </c>
      <c r="AU143" s="6" t="s">
        <v>99</v>
      </c>
      <c r="AY143" s="6" t="s">
        <v>153</v>
      </c>
      <c r="BE143" s="76">
        <f>IF($U$143="základní",$N$143,0)</f>
        <v>0</v>
      </c>
      <c r="BF143" s="76">
        <f>IF($U$143="snížená",$N$143,0)</f>
        <v>0</v>
      </c>
      <c r="BG143" s="76">
        <f>IF($U$143="zákl. přenesená",$N$143,0)</f>
        <v>0</v>
      </c>
      <c r="BH143" s="76">
        <f>IF($U$143="sníž. přenesená",$N$143,0)</f>
        <v>0</v>
      </c>
      <c r="BI143" s="76">
        <f>IF($U$143="nulová",$N$143,0)</f>
        <v>0</v>
      </c>
      <c r="BJ143" s="6" t="s">
        <v>16</v>
      </c>
      <c r="BK143" s="76">
        <f>ROUND($L$143*$K$143,2)</f>
        <v>0</v>
      </c>
      <c r="BL143" s="6" t="s">
        <v>158</v>
      </c>
    </row>
    <row r="144" spans="2:64" s="6" customFormat="1" ht="27" customHeight="1">
      <c r="B144" s="21"/>
      <c r="C144" s="119" t="s">
        <v>170</v>
      </c>
      <c r="D144" s="119" t="s">
        <v>154</v>
      </c>
      <c r="E144" s="120" t="s">
        <v>171</v>
      </c>
      <c r="F144" s="141" t="s">
        <v>172</v>
      </c>
      <c r="G144" s="142"/>
      <c r="H144" s="142"/>
      <c r="I144" s="142"/>
      <c r="J144" s="121" t="s">
        <v>173</v>
      </c>
      <c r="K144" s="122">
        <v>9.533</v>
      </c>
      <c r="L144" s="143">
        <v>0</v>
      </c>
      <c r="M144" s="142"/>
      <c r="N144" s="144">
        <f>ROUND($L$144*$K$144,2)</f>
        <v>0</v>
      </c>
      <c r="O144" s="142"/>
      <c r="P144" s="142"/>
      <c r="Q144" s="142"/>
      <c r="R144" s="22"/>
      <c r="T144" s="123"/>
      <c r="U144" s="124" t="s">
        <v>38</v>
      </c>
      <c r="V144" s="125">
        <v>0</v>
      </c>
      <c r="W144" s="125">
        <f>$V$144*$K$144</f>
        <v>0</v>
      </c>
      <c r="X144" s="125">
        <v>0</v>
      </c>
      <c r="Y144" s="125">
        <f>$X$144*$K$144</f>
        <v>0</v>
      </c>
      <c r="Z144" s="125">
        <v>0</v>
      </c>
      <c r="AA144" s="126">
        <f>$Z$144*$K$144</f>
        <v>0</v>
      </c>
      <c r="AR144" s="6" t="s">
        <v>158</v>
      </c>
      <c r="AT144" s="6" t="s">
        <v>154</v>
      </c>
      <c r="AU144" s="6" t="s">
        <v>99</v>
      </c>
      <c r="AY144" s="6" t="s">
        <v>153</v>
      </c>
      <c r="BE144" s="76">
        <f>IF($U$144="základní",$N$144,0)</f>
        <v>0</v>
      </c>
      <c r="BF144" s="76">
        <f>IF($U$144="snížená",$N$144,0)</f>
        <v>0</v>
      </c>
      <c r="BG144" s="76">
        <f>IF($U$144="zákl. přenesená",$N$144,0)</f>
        <v>0</v>
      </c>
      <c r="BH144" s="76">
        <f>IF($U$144="sníž. přenesená",$N$144,0)</f>
        <v>0</v>
      </c>
      <c r="BI144" s="76">
        <f>IF($U$144="nulová",$N$144,0)</f>
        <v>0</v>
      </c>
      <c r="BJ144" s="6" t="s">
        <v>16</v>
      </c>
      <c r="BK144" s="76">
        <f>ROUND($L$144*$K$144,2)</f>
        <v>0</v>
      </c>
      <c r="BL144" s="6" t="s">
        <v>158</v>
      </c>
    </row>
    <row r="145" spans="2:51" s="6" customFormat="1" ht="15.75" customHeight="1">
      <c r="B145" s="127"/>
      <c r="E145" s="128"/>
      <c r="F145" s="146" t="s">
        <v>174</v>
      </c>
      <c r="G145" s="147"/>
      <c r="H145" s="147"/>
      <c r="I145" s="147"/>
      <c r="K145" s="129">
        <v>9.533</v>
      </c>
      <c r="N145" s="128"/>
      <c r="R145" s="130"/>
      <c r="T145" s="131"/>
      <c r="AA145" s="132"/>
      <c r="AT145" s="128" t="s">
        <v>160</v>
      </c>
      <c r="AU145" s="128" t="s">
        <v>99</v>
      </c>
      <c r="AV145" s="133" t="s">
        <v>99</v>
      </c>
      <c r="AW145" s="133" t="s">
        <v>107</v>
      </c>
      <c r="AX145" s="133" t="s">
        <v>16</v>
      </c>
      <c r="AY145" s="128" t="s">
        <v>153</v>
      </c>
    </row>
    <row r="146" spans="2:64" s="6" customFormat="1" ht="39" customHeight="1">
      <c r="B146" s="21"/>
      <c r="C146" s="119" t="s">
        <v>175</v>
      </c>
      <c r="D146" s="119" t="s">
        <v>154</v>
      </c>
      <c r="E146" s="120" t="s">
        <v>176</v>
      </c>
      <c r="F146" s="141" t="s">
        <v>177</v>
      </c>
      <c r="G146" s="142"/>
      <c r="H146" s="142"/>
      <c r="I146" s="142"/>
      <c r="J146" s="121" t="s">
        <v>157</v>
      </c>
      <c r="K146" s="122">
        <v>6.906</v>
      </c>
      <c r="L146" s="143">
        <v>0</v>
      </c>
      <c r="M146" s="142"/>
      <c r="N146" s="144">
        <f>ROUND($L$146*$K$146,2)</f>
        <v>0</v>
      </c>
      <c r="O146" s="142"/>
      <c r="P146" s="142"/>
      <c r="Q146" s="142"/>
      <c r="R146" s="22"/>
      <c r="T146" s="123"/>
      <c r="U146" s="124" t="s">
        <v>38</v>
      </c>
      <c r="V146" s="125">
        <v>2.195</v>
      </c>
      <c r="W146" s="125">
        <f>$V$146*$K$146</f>
        <v>15.158669999999999</v>
      </c>
      <c r="X146" s="125">
        <v>0</v>
      </c>
      <c r="Y146" s="125">
        <f>$X$146*$K$146</f>
        <v>0</v>
      </c>
      <c r="Z146" s="125">
        <v>0</v>
      </c>
      <c r="AA146" s="126">
        <f>$Z$146*$K$146</f>
        <v>0</v>
      </c>
      <c r="AR146" s="6" t="s">
        <v>158</v>
      </c>
      <c r="AT146" s="6" t="s">
        <v>154</v>
      </c>
      <c r="AU146" s="6" t="s">
        <v>99</v>
      </c>
      <c r="AY146" s="6" t="s">
        <v>153</v>
      </c>
      <c r="BE146" s="76">
        <f>IF($U$146="základní",$N$146,0)</f>
        <v>0</v>
      </c>
      <c r="BF146" s="76">
        <f>IF($U$146="snížená",$N$146,0)</f>
        <v>0</v>
      </c>
      <c r="BG146" s="76">
        <f>IF($U$146="zákl. přenesená",$N$146,0)</f>
        <v>0</v>
      </c>
      <c r="BH146" s="76">
        <f>IF($U$146="sníž. přenesená",$N$146,0)</f>
        <v>0</v>
      </c>
      <c r="BI146" s="76">
        <f>IF($U$146="nulová",$N$146,0)</f>
        <v>0</v>
      </c>
      <c r="BJ146" s="6" t="s">
        <v>16</v>
      </c>
      <c r="BK146" s="76">
        <f>ROUND($L$146*$K$146,2)</f>
        <v>0</v>
      </c>
      <c r="BL146" s="6" t="s">
        <v>158</v>
      </c>
    </row>
    <row r="147" spans="2:51" s="6" customFormat="1" ht="27" customHeight="1">
      <c r="B147" s="127"/>
      <c r="E147" s="128"/>
      <c r="F147" s="146" t="s">
        <v>178</v>
      </c>
      <c r="G147" s="147"/>
      <c r="H147" s="147"/>
      <c r="I147" s="147"/>
      <c r="K147" s="129">
        <v>6.906</v>
      </c>
      <c r="N147" s="128"/>
      <c r="R147" s="130"/>
      <c r="T147" s="131"/>
      <c r="AA147" s="132"/>
      <c r="AT147" s="128" t="s">
        <v>160</v>
      </c>
      <c r="AU147" s="128" t="s">
        <v>99</v>
      </c>
      <c r="AV147" s="133" t="s">
        <v>99</v>
      </c>
      <c r="AW147" s="133" t="s">
        <v>107</v>
      </c>
      <c r="AX147" s="133" t="s">
        <v>16</v>
      </c>
      <c r="AY147" s="128" t="s">
        <v>153</v>
      </c>
    </row>
    <row r="148" spans="2:64" s="6" customFormat="1" ht="27" customHeight="1">
      <c r="B148" s="21"/>
      <c r="C148" s="119" t="s">
        <v>179</v>
      </c>
      <c r="D148" s="119" t="s">
        <v>154</v>
      </c>
      <c r="E148" s="120" t="s">
        <v>180</v>
      </c>
      <c r="F148" s="141" t="s">
        <v>181</v>
      </c>
      <c r="G148" s="142"/>
      <c r="H148" s="142"/>
      <c r="I148" s="142"/>
      <c r="J148" s="121" t="s">
        <v>157</v>
      </c>
      <c r="K148" s="122">
        <v>6.906</v>
      </c>
      <c r="L148" s="143">
        <v>0</v>
      </c>
      <c r="M148" s="142"/>
      <c r="N148" s="144">
        <f>ROUND($L$148*$K$148,2)</f>
        <v>0</v>
      </c>
      <c r="O148" s="142"/>
      <c r="P148" s="142"/>
      <c r="Q148" s="142"/>
      <c r="R148" s="22"/>
      <c r="T148" s="123"/>
      <c r="U148" s="124" t="s">
        <v>38</v>
      </c>
      <c r="V148" s="125">
        <v>0.997</v>
      </c>
      <c r="W148" s="125">
        <f>$V$148*$K$148</f>
        <v>6.885281999999999</v>
      </c>
      <c r="X148" s="125">
        <v>0</v>
      </c>
      <c r="Y148" s="125">
        <f>$X$148*$K$148</f>
        <v>0</v>
      </c>
      <c r="Z148" s="125">
        <v>0</v>
      </c>
      <c r="AA148" s="126">
        <f>$Z$148*$K$148</f>
        <v>0</v>
      </c>
      <c r="AR148" s="6" t="s">
        <v>158</v>
      </c>
      <c r="AT148" s="6" t="s">
        <v>154</v>
      </c>
      <c r="AU148" s="6" t="s">
        <v>99</v>
      </c>
      <c r="AY148" s="6" t="s">
        <v>153</v>
      </c>
      <c r="BE148" s="76">
        <f>IF($U$148="základní",$N$148,0)</f>
        <v>0</v>
      </c>
      <c r="BF148" s="76">
        <f>IF($U$148="snížená",$N$148,0)</f>
        <v>0</v>
      </c>
      <c r="BG148" s="76">
        <f>IF($U$148="zákl. přenesená",$N$148,0)</f>
        <v>0</v>
      </c>
      <c r="BH148" s="76">
        <f>IF($U$148="sníž. přenesená",$N$148,0)</f>
        <v>0</v>
      </c>
      <c r="BI148" s="76">
        <f>IF($U$148="nulová",$N$148,0)</f>
        <v>0</v>
      </c>
      <c r="BJ148" s="6" t="s">
        <v>16</v>
      </c>
      <c r="BK148" s="76">
        <f>ROUND($L$148*$K$148,2)</f>
        <v>0</v>
      </c>
      <c r="BL148" s="6" t="s">
        <v>158</v>
      </c>
    </row>
    <row r="149" spans="2:63" s="109" customFormat="1" ht="30.75" customHeight="1">
      <c r="B149" s="110"/>
      <c r="D149" s="118" t="s">
        <v>110</v>
      </c>
      <c r="N149" s="160">
        <f>$BK$149</f>
        <v>0</v>
      </c>
      <c r="O149" s="139"/>
      <c r="P149" s="139"/>
      <c r="Q149" s="139"/>
      <c r="R149" s="113"/>
      <c r="T149" s="114"/>
      <c r="W149" s="115">
        <f>SUM($W$150:$W$159)</f>
        <v>4.106214</v>
      </c>
      <c r="Y149" s="115">
        <f>SUM($Y$150:$Y$159)</f>
        <v>3.76677904</v>
      </c>
      <c r="AA149" s="116">
        <f>SUM($AA$150:$AA$159)</f>
        <v>0</v>
      </c>
      <c r="AR149" s="112" t="s">
        <v>16</v>
      </c>
      <c r="AT149" s="112" t="s">
        <v>72</v>
      </c>
      <c r="AU149" s="112" t="s">
        <v>16</v>
      </c>
      <c r="AY149" s="112" t="s">
        <v>153</v>
      </c>
      <c r="BK149" s="117">
        <f>SUM($BK$150:$BK$159)</f>
        <v>0</v>
      </c>
    </row>
    <row r="150" spans="2:64" s="6" customFormat="1" ht="27" customHeight="1">
      <c r="B150" s="21"/>
      <c r="C150" s="119" t="s">
        <v>182</v>
      </c>
      <c r="D150" s="119" t="s">
        <v>154</v>
      </c>
      <c r="E150" s="120" t="s">
        <v>183</v>
      </c>
      <c r="F150" s="141" t="s">
        <v>184</v>
      </c>
      <c r="G150" s="142"/>
      <c r="H150" s="142"/>
      <c r="I150" s="142"/>
      <c r="J150" s="121" t="s">
        <v>157</v>
      </c>
      <c r="K150" s="122">
        <v>0.426</v>
      </c>
      <c r="L150" s="143">
        <v>0</v>
      </c>
      <c r="M150" s="142"/>
      <c r="N150" s="144">
        <f>ROUND($L$150*$K$150,2)</f>
        <v>0</v>
      </c>
      <c r="O150" s="142"/>
      <c r="P150" s="142"/>
      <c r="Q150" s="142"/>
      <c r="R150" s="22"/>
      <c r="T150" s="123"/>
      <c r="U150" s="124" t="s">
        <v>38</v>
      </c>
      <c r="V150" s="125">
        <v>1.025</v>
      </c>
      <c r="W150" s="125">
        <f>$V$150*$K$150</f>
        <v>0.4366499999999999</v>
      </c>
      <c r="X150" s="125">
        <v>2.16</v>
      </c>
      <c r="Y150" s="125">
        <f>$X$150*$K$150</f>
        <v>0.9201600000000001</v>
      </c>
      <c r="Z150" s="125">
        <v>0</v>
      </c>
      <c r="AA150" s="126">
        <f>$Z$150*$K$150</f>
        <v>0</v>
      </c>
      <c r="AR150" s="6" t="s">
        <v>158</v>
      </c>
      <c r="AT150" s="6" t="s">
        <v>154</v>
      </c>
      <c r="AU150" s="6" t="s">
        <v>99</v>
      </c>
      <c r="AY150" s="6" t="s">
        <v>153</v>
      </c>
      <c r="BE150" s="76">
        <f>IF($U$150="základní",$N$150,0)</f>
        <v>0</v>
      </c>
      <c r="BF150" s="76">
        <f>IF($U$150="snížená",$N$150,0)</f>
        <v>0</v>
      </c>
      <c r="BG150" s="76">
        <f>IF($U$150="zákl. přenesená",$N$150,0)</f>
        <v>0</v>
      </c>
      <c r="BH150" s="76">
        <f>IF($U$150="sníž. přenesená",$N$150,0)</f>
        <v>0</v>
      </c>
      <c r="BI150" s="76">
        <f>IF($U$150="nulová",$N$150,0)</f>
        <v>0</v>
      </c>
      <c r="BJ150" s="6" t="s">
        <v>16</v>
      </c>
      <c r="BK150" s="76">
        <f>ROUND($L$150*$K$150,2)</f>
        <v>0</v>
      </c>
      <c r="BL150" s="6" t="s">
        <v>158</v>
      </c>
    </row>
    <row r="151" spans="2:51" s="6" customFormat="1" ht="15.75" customHeight="1">
      <c r="B151" s="127"/>
      <c r="E151" s="128"/>
      <c r="F151" s="146" t="s">
        <v>185</v>
      </c>
      <c r="G151" s="147"/>
      <c r="H151" s="147"/>
      <c r="I151" s="147"/>
      <c r="K151" s="129">
        <v>0.426</v>
      </c>
      <c r="N151" s="128"/>
      <c r="R151" s="130"/>
      <c r="T151" s="131"/>
      <c r="AA151" s="132"/>
      <c r="AT151" s="128" t="s">
        <v>160</v>
      </c>
      <c r="AU151" s="128" t="s">
        <v>99</v>
      </c>
      <c r="AV151" s="133" t="s">
        <v>99</v>
      </c>
      <c r="AW151" s="133" t="s">
        <v>107</v>
      </c>
      <c r="AX151" s="133" t="s">
        <v>16</v>
      </c>
      <c r="AY151" s="128" t="s">
        <v>153</v>
      </c>
    </row>
    <row r="152" spans="2:64" s="6" customFormat="1" ht="15.75" customHeight="1">
      <c r="B152" s="21"/>
      <c r="C152" s="119" t="s">
        <v>186</v>
      </c>
      <c r="D152" s="119" t="s">
        <v>154</v>
      </c>
      <c r="E152" s="120" t="s">
        <v>187</v>
      </c>
      <c r="F152" s="141" t="s">
        <v>188</v>
      </c>
      <c r="G152" s="142"/>
      <c r="H152" s="142"/>
      <c r="I152" s="142"/>
      <c r="J152" s="121" t="s">
        <v>157</v>
      </c>
      <c r="K152" s="122">
        <v>1.202</v>
      </c>
      <c r="L152" s="143">
        <v>0</v>
      </c>
      <c r="M152" s="142"/>
      <c r="N152" s="144">
        <f>ROUND($L$152*$K$152,2)</f>
        <v>0</v>
      </c>
      <c r="O152" s="142"/>
      <c r="P152" s="142"/>
      <c r="Q152" s="142"/>
      <c r="R152" s="22"/>
      <c r="T152" s="123"/>
      <c r="U152" s="124" t="s">
        <v>38</v>
      </c>
      <c r="V152" s="125">
        <v>0.629</v>
      </c>
      <c r="W152" s="125">
        <f>$V$152*$K$152</f>
        <v>0.756058</v>
      </c>
      <c r="X152" s="125">
        <v>2.25634</v>
      </c>
      <c r="Y152" s="125">
        <f>$X$152*$K$152</f>
        <v>2.7121206799999995</v>
      </c>
      <c r="Z152" s="125">
        <v>0</v>
      </c>
      <c r="AA152" s="126">
        <f>$Z$152*$K$152</f>
        <v>0</v>
      </c>
      <c r="AR152" s="6" t="s">
        <v>158</v>
      </c>
      <c r="AT152" s="6" t="s">
        <v>154</v>
      </c>
      <c r="AU152" s="6" t="s">
        <v>99</v>
      </c>
      <c r="AY152" s="6" t="s">
        <v>153</v>
      </c>
      <c r="BE152" s="76">
        <f>IF($U$152="základní",$N$152,0)</f>
        <v>0</v>
      </c>
      <c r="BF152" s="76">
        <f>IF($U$152="snížená",$N$152,0)</f>
        <v>0</v>
      </c>
      <c r="BG152" s="76">
        <f>IF($U$152="zákl. přenesená",$N$152,0)</f>
        <v>0</v>
      </c>
      <c r="BH152" s="76">
        <f>IF($U$152="sníž. přenesená",$N$152,0)</f>
        <v>0</v>
      </c>
      <c r="BI152" s="76">
        <f>IF($U$152="nulová",$N$152,0)</f>
        <v>0</v>
      </c>
      <c r="BJ152" s="6" t="s">
        <v>16</v>
      </c>
      <c r="BK152" s="76">
        <f>ROUND($L$152*$K$152,2)</f>
        <v>0</v>
      </c>
      <c r="BL152" s="6" t="s">
        <v>158</v>
      </c>
    </row>
    <row r="153" spans="2:51" s="6" customFormat="1" ht="15.75" customHeight="1">
      <c r="B153" s="127"/>
      <c r="E153" s="128"/>
      <c r="F153" s="146" t="s">
        <v>189</v>
      </c>
      <c r="G153" s="147"/>
      <c r="H153" s="147"/>
      <c r="I153" s="147"/>
      <c r="K153" s="129">
        <v>1.202</v>
      </c>
      <c r="N153" s="128"/>
      <c r="R153" s="130"/>
      <c r="T153" s="131"/>
      <c r="AA153" s="132"/>
      <c r="AT153" s="128" t="s">
        <v>160</v>
      </c>
      <c r="AU153" s="128" t="s">
        <v>99</v>
      </c>
      <c r="AV153" s="133" t="s">
        <v>99</v>
      </c>
      <c r="AW153" s="133" t="s">
        <v>107</v>
      </c>
      <c r="AX153" s="133" t="s">
        <v>16</v>
      </c>
      <c r="AY153" s="128" t="s">
        <v>153</v>
      </c>
    </row>
    <row r="154" spans="2:64" s="6" customFormat="1" ht="15.75" customHeight="1">
      <c r="B154" s="21"/>
      <c r="C154" s="119" t="s">
        <v>21</v>
      </c>
      <c r="D154" s="119" t="s">
        <v>154</v>
      </c>
      <c r="E154" s="120" t="s">
        <v>190</v>
      </c>
      <c r="F154" s="141" t="s">
        <v>191</v>
      </c>
      <c r="G154" s="142"/>
      <c r="H154" s="142"/>
      <c r="I154" s="142"/>
      <c r="J154" s="121" t="s">
        <v>192</v>
      </c>
      <c r="K154" s="122">
        <v>1.76</v>
      </c>
      <c r="L154" s="143">
        <v>0</v>
      </c>
      <c r="M154" s="142"/>
      <c r="N154" s="144">
        <f>ROUND($L$154*$K$154,2)</f>
        <v>0</v>
      </c>
      <c r="O154" s="142"/>
      <c r="P154" s="142"/>
      <c r="Q154" s="142"/>
      <c r="R154" s="22"/>
      <c r="T154" s="123"/>
      <c r="U154" s="124" t="s">
        <v>38</v>
      </c>
      <c r="V154" s="125">
        <v>0.364</v>
      </c>
      <c r="W154" s="125">
        <f>$V$154*$K$154</f>
        <v>0.64064</v>
      </c>
      <c r="X154" s="125">
        <v>0.00103</v>
      </c>
      <c r="Y154" s="125">
        <f>$X$154*$K$154</f>
        <v>0.0018128000000000003</v>
      </c>
      <c r="Z154" s="125">
        <v>0</v>
      </c>
      <c r="AA154" s="126">
        <f>$Z$154*$K$154</f>
        <v>0</v>
      </c>
      <c r="AR154" s="6" t="s">
        <v>158</v>
      </c>
      <c r="AT154" s="6" t="s">
        <v>154</v>
      </c>
      <c r="AU154" s="6" t="s">
        <v>99</v>
      </c>
      <c r="AY154" s="6" t="s">
        <v>153</v>
      </c>
      <c r="BE154" s="76">
        <f>IF($U$154="základní",$N$154,0)</f>
        <v>0</v>
      </c>
      <c r="BF154" s="76">
        <f>IF($U$154="snížená",$N$154,0)</f>
        <v>0</v>
      </c>
      <c r="BG154" s="76">
        <f>IF($U$154="zákl. přenesená",$N$154,0)</f>
        <v>0</v>
      </c>
      <c r="BH154" s="76">
        <f>IF($U$154="sníž. přenesená",$N$154,0)</f>
        <v>0</v>
      </c>
      <c r="BI154" s="76">
        <f>IF($U$154="nulová",$N$154,0)</f>
        <v>0</v>
      </c>
      <c r="BJ154" s="6" t="s">
        <v>16</v>
      </c>
      <c r="BK154" s="76">
        <f>ROUND($L$154*$K$154,2)</f>
        <v>0</v>
      </c>
      <c r="BL154" s="6" t="s">
        <v>158</v>
      </c>
    </row>
    <row r="155" spans="2:51" s="6" customFormat="1" ht="15.75" customHeight="1">
      <c r="B155" s="127"/>
      <c r="E155" s="128"/>
      <c r="F155" s="146" t="s">
        <v>193</v>
      </c>
      <c r="G155" s="147"/>
      <c r="H155" s="147"/>
      <c r="I155" s="147"/>
      <c r="K155" s="129">
        <v>1.76</v>
      </c>
      <c r="N155" s="128"/>
      <c r="R155" s="130"/>
      <c r="T155" s="131"/>
      <c r="AA155" s="132"/>
      <c r="AT155" s="128" t="s">
        <v>160</v>
      </c>
      <c r="AU155" s="128" t="s">
        <v>99</v>
      </c>
      <c r="AV155" s="133" t="s">
        <v>99</v>
      </c>
      <c r="AW155" s="133" t="s">
        <v>107</v>
      </c>
      <c r="AX155" s="133" t="s">
        <v>16</v>
      </c>
      <c r="AY155" s="128" t="s">
        <v>153</v>
      </c>
    </row>
    <row r="156" spans="2:64" s="6" customFormat="1" ht="15.75" customHeight="1">
      <c r="B156" s="21"/>
      <c r="C156" s="119" t="s">
        <v>194</v>
      </c>
      <c r="D156" s="119" t="s">
        <v>154</v>
      </c>
      <c r="E156" s="120" t="s">
        <v>195</v>
      </c>
      <c r="F156" s="141" t="s">
        <v>196</v>
      </c>
      <c r="G156" s="142"/>
      <c r="H156" s="142"/>
      <c r="I156" s="142"/>
      <c r="J156" s="121" t="s">
        <v>192</v>
      </c>
      <c r="K156" s="122">
        <v>1.76</v>
      </c>
      <c r="L156" s="143">
        <v>0</v>
      </c>
      <c r="M156" s="142"/>
      <c r="N156" s="144">
        <f>ROUND($L$156*$K$156,2)</f>
        <v>0</v>
      </c>
      <c r="O156" s="142"/>
      <c r="P156" s="142"/>
      <c r="Q156" s="142"/>
      <c r="R156" s="22"/>
      <c r="T156" s="123"/>
      <c r="U156" s="124" t="s">
        <v>38</v>
      </c>
      <c r="V156" s="125">
        <v>0.201</v>
      </c>
      <c r="W156" s="125">
        <f>$V$156*$K$156</f>
        <v>0.35376</v>
      </c>
      <c r="X156" s="125">
        <v>0</v>
      </c>
      <c r="Y156" s="125">
        <f>$X$156*$K$156</f>
        <v>0</v>
      </c>
      <c r="Z156" s="125">
        <v>0</v>
      </c>
      <c r="AA156" s="126">
        <f>$Z$156*$K$156</f>
        <v>0</v>
      </c>
      <c r="AR156" s="6" t="s">
        <v>158</v>
      </c>
      <c r="AT156" s="6" t="s">
        <v>154</v>
      </c>
      <c r="AU156" s="6" t="s">
        <v>99</v>
      </c>
      <c r="AY156" s="6" t="s">
        <v>153</v>
      </c>
      <c r="BE156" s="76">
        <f>IF($U$156="základní",$N$156,0)</f>
        <v>0</v>
      </c>
      <c r="BF156" s="76">
        <f>IF($U$156="snížená",$N$156,0)</f>
        <v>0</v>
      </c>
      <c r="BG156" s="76">
        <f>IF($U$156="zákl. přenesená",$N$156,0)</f>
        <v>0</v>
      </c>
      <c r="BH156" s="76">
        <f>IF($U$156="sníž. přenesená",$N$156,0)</f>
        <v>0</v>
      </c>
      <c r="BI156" s="76">
        <f>IF($U$156="nulová",$N$156,0)</f>
        <v>0</v>
      </c>
      <c r="BJ156" s="6" t="s">
        <v>16</v>
      </c>
      <c r="BK156" s="76">
        <f>ROUND($L$156*$K$156,2)</f>
        <v>0</v>
      </c>
      <c r="BL156" s="6" t="s">
        <v>158</v>
      </c>
    </row>
    <row r="157" spans="2:64" s="6" customFormat="1" ht="27" customHeight="1">
      <c r="B157" s="21"/>
      <c r="C157" s="119" t="s">
        <v>197</v>
      </c>
      <c r="D157" s="119" t="s">
        <v>154</v>
      </c>
      <c r="E157" s="120" t="s">
        <v>198</v>
      </c>
      <c r="F157" s="141" t="s">
        <v>199</v>
      </c>
      <c r="G157" s="142"/>
      <c r="H157" s="142"/>
      <c r="I157" s="142"/>
      <c r="J157" s="121" t="s">
        <v>173</v>
      </c>
      <c r="K157" s="122">
        <v>0.126</v>
      </c>
      <c r="L157" s="143">
        <v>0</v>
      </c>
      <c r="M157" s="142"/>
      <c r="N157" s="144">
        <f>ROUND($L$157*$K$157,2)</f>
        <v>0</v>
      </c>
      <c r="O157" s="142"/>
      <c r="P157" s="142"/>
      <c r="Q157" s="142"/>
      <c r="R157" s="22"/>
      <c r="T157" s="123"/>
      <c r="U157" s="124" t="s">
        <v>38</v>
      </c>
      <c r="V157" s="125">
        <v>15.231</v>
      </c>
      <c r="W157" s="125">
        <f>$V$157*$K$157</f>
        <v>1.919106</v>
      </c>
      <c r="X157" s="125">
        <v>1.05306</v>
      </c>
      <c r="Y157" s="125">
        <f>$X$157*$K$157</f>
        <v>0.13268556</v>
      </c>
      <c r="Z157" s="125">
        <v>0</v>
      </c>
      <c r="AA157" s="126">
        <f>$Z$157*$K$157</f>
        <v>0</v>
      </c>
      <c r="AR157" s="6" t="s">
        <v>158</v>
      </c>
      <c r="AT157" s="6" t="s">
        <v>154</v>
      </c>
      <c r="AU157" s="6" t="s">
        <v>99</v>
      </c>
      <c r="AY157" s="6" t="s">
        <v>153</v>
      </c>
      <c r="BE157" s="76">
        <f>IF($U$157="základní",$N$157,0)</f>
        <v>0</v>
      </c>
      <c r="BF157" s="76">
        <f>IF($U$157="snížená",$N$157,0)</f>
        <v>0</v>
      </c>
      <c r="BG157" s="76">
        <f>IF($U$157="zákl. přenesená",$N$157,0)</f>
        <v>0</v>
      </c>
      <c r="BH157" s="76">
        <f>IF($U$157="sníž. přenesená",$N$157,0)</f>
        <v>0</v>
      </c>
      <c r="BI157" s="76">
        <f>IF($U$157="nulová",$N$157,0)</f>
        <v>0</v>
      </c>
      <c r="BJ157" s="6" t="s">
        <v>16</v>
      </c>
      <c r="BK157" s="76">
        <f>ROUND($L$157*$K$157,2)</f>
        <v>0</v>
      </c>
      <c r="BL157" s="6" t="s">
        <v>158</v>
      </c>
    </row>
    <row r="158" spans="2:51" s="6" customFormat="1" ht="27" customHeight="1">
      <c r="B158" s="127"/>
      <c r="E158" s="128"/>
      <c r="F158" s="146" t="s">
        <v>200</v>
      </c>
      <c r="G158" s="147"/>
      <c r="H158" s="147"/>
      <c r="I158" s="147"/>
      <c r="K158" s="129">
        <v>0.105</v>
      </c>
      <c r="N158" s="128"/>
      <c r="R158" s="130"/>
      <c r="T158" s="131"/>
      <c r="AA158" s="132"/>
      <c r="AT158" s="128" t="s">
        <v>160</v>
      </c>
      <c r="AU158" s="128" t="s">
        <v>99</v>
      </c>
      <c r="AV158" s="133" t="s">
        <v>99</v>
      </c>
      <c r="AW158" s="133" t="s">
        <v>107</v>
      </c>
      <c r="AX158" s="133" t="s">
        <v>73</v>
      </c>
      <c r="AY158" s="128" t="s">
        <v>153</v>
      </c>
    </row>
    <row r="159" spans="2:51" s="6" customFormat="1" ht="15.75" customHeight="1">
      <c r="B159" s="127"/>
      <c r="E159" s="128"/>
      <c r="F159" s="146" t="s">
        <v>201</v>
      </c>
      <c r="G159" s="147"/>
      <c r="H159" s="147"/>
      <c r="I159" s="147"/>
      <c r="K159" s="129">
        <v>0.021</v>
      </c>
      <c r="N159" s="128"/>
      <c r="R159" s="130"/>
      <c r="T159" s="131"/>
      <c r="AA159" s="132"/>
      <c r="AT159" s="128" t="s">
        <v>160</v>
      </c>
      <c r="AU159" s="128" t="s">
        <v>99</v>
      </c>
      <c r="AV159" s="133" t="s">
        <v>99</v>
      </c>
      <c r="AW159" s="133" t="s">
        <v>107</v>
      </c>
      <c r="AX159" s="133" t="s">
        <v>73</v>
      </c>
      <c r="AY159" s="128" t="s">
        <v>153</v>
      </c>
    </row>
    <row r="160" spans="2:63" s="109" customFormat="1" ht="30.75" customHeight="1">
      <c r="B160" s="110"/>
      <c r="D160" s="118" t="s">
        <v>111</v>
      </c>
      <c r="N160" s="160">
        <f>$BK$160</f>
        <v>0</v>
      </c>
      <c r="O160" s="139"/>
      <c r="P160" s="139"/>
      <c r="Q160" s="139"/>
      <c r="R160" s="113"/>
      <c r="T160" s="114"/>
      <c r="W160" s="115">
        <f>SUM($W$161:$W$170)</f>
        <v>11.895118</v>
      </c>
      <c r="Y160" s="115">
        <f>SUM($Y$161:$Y$170)</f>
        <v>3.6338779</v>
      </c>
      <c r="AA160" s="116">
        <f>SUM($AA$161:$AA$170)</f>
        <v>0</v>
      </c>
      <c r="AR160" s="112" t="s">
        <v>16</v>
      </c>
      <c r="AT160" s="112" t="s">
        <v>72</v>
      </c>
      <c r="AU160" s="112" t="s">
        <v>16</v>
      </c>
      <c r="AY160" s="112" t="s">
        <v>153</v>
      </c>
      <c r="BK160" s="117">
        <f>SUM($BK$161:$BK$170)</f>
        <v>0</v>
      </c>
    </row>
    <row r="161" spans="2:64" s="6" customFormat="1" ht="39" customHeight="1">
      <c r="B161" s="21"/>
      <c r="C161" s="119" t="s">
        <v>202</v>
      </c>
      <c r="D161" s="119" t="s">
        <v>154</v>
      </c>
      <c r="E161" s="120" t="s">
        <v>203</v>
      </c>
      <c r="F161" s="141" t="s">
        <v>204</v>
      </c>
      <c r="G161" s="142"/>
      <c r="H161" s="142"/>
      <c r="I161" s="142"/>
      <c r="J161" s="121" t="s">
        <v>192</v>
      </c>
      <c r="K161" s="122">
        <v>7.433</v>
      </c>
      <c r="L161" s="143">
        <v>0</v>
      </c>
      <c r="M161" s="142"/>
      <c r="N161" s="144">
        <f>ROUND($L$161*$K$161,2)</f>
        <v>0</v>
      </c>
      <c r="O161" s="142"/>
      <c r="P161" s="142"/>
      <c r="Q161" s="142"/>
      <c r="R161" s="22"/>
      <c r="T161" s="123"/>
      <c r="U161" s="124" t="s">
        <v>38</v>
      </c>
      <c r="V161" s="125">
        <v>0.762</v>
      </c>
      <c r="W161" s="125">
        <f>$V$161*$K$161</f>
        <v>5.663946</v>
      </c>
      <c r="X161" s="125">
        <v>0.42832</v>
      </c>
      <c r="Y161" s="125">
        <f>$X$161*$K$161</f>
        <v>3.18370256</v>
      </c>
      <c r="Z161" s="125">
        <v>0</v>
      </c>
      <c r="AA161" s="126">
        <f>$Z$161*$K$161</f>
        <v>0</v>
      </c>
      <c r="AR161" s="6" t="s">
        <v>158</v>
      </c>
      <c r="AT161" s="6" t="s">
        <v>154</v>
      </c>
      <c r="AU161" s="6" t="s">
        <v>99</v>
      </c>
      <c r="AY161" s="6" t="s">
        <v>153</v>
      </c>
      <c r="BE161" s="76">
        <f>IF($U$161="základní",$N$161,0)</f>
        <v>0</v>
      </c>
      <c r="BF161" s="76">
        <f>IF($U$161="snížená",$N$161,0)</f>
        <v>0</v>
      </c>
      <c r="BG161" s="76">
        <f>IF($U$161="zákl. přenesená",$N$161,0)</f>
        <v>0</v>
      </c>
      <c r="BH161" s="76">
        <f>IF($U$161="sníž. přenesená",$N$161,0)</f>
        <v>0</v>
      </c>
      <c r="BI161" s="76">
        <f>IF($U$161="nulová",$N$161,0)</f>
        <v>0</v>
      </c>
      <c r="BJ161" s="6" t="s">
        <v>16</v>
      </c>
      <c r="BK161" s="76">
        <f>ROUND($L$161*$K$161,2)</f>
        <v>0</v>
      </c>
      <c r="BL161" s="6" t="s">
        <v>158</v>
      </c>
    </row>
    <row r="162" spans="2:51" s="6" customFormat="1" ht="15.75" customHeight="1">
      <c r="B162" s="127"/>
      <c r="E162" s="128"/>
      <c r="F162" s="146" t="s">
        <v>205</v>
      </c>
      <c r="G162" s="147"/>
      <c r="H162" s="147"/>
      <c r="I162" s="147"/>
      <c r="K162" s="129">
        <v>7.433</v>
      </c>
      <c r="N162" s="128"/>
      <c r="R162" s="130"/>
      <c r="T162" s="131"/>
      <c r="AA162" s="132"/>
      <c r="AT162" s="128" t="s">
        <v>160</v>
      </c>
      <c r="AU162" s="128" t="s">
        <v>99</v>
      </c>
      <c r="AV162" s="133" t="s">
        <v>99</v>
      </c>
      <c r="AW162" s="133" t="s">
        <v>107</v>
      </c>
      <c r="AX162" s="133" t="s">
        <v>16</v>
      </c>
      <c r="AY162" s="128" t="s">
        <v>153</v>
      </c>
    </row>
    <row r="163" spans="2:64" s="6" customFormat="1" ht="15.75" customHeight="1">
      <c r="B163" s="21"/>
      <c r="C163" s="119" t="s">
        <v>206</v>
      </c>
      <c r="D163" s="119" t="s">
        <v>154</v>
      </c>
      <c r="E163" s="120" t="s">
        <v>207</v>
      </c>
      <c r="F163" s="141" t="s">
        <v>208</v>
      </c>
      <c r="G163" s="142"/>
      <c r="H163" s="142"/>
      <c r="I163" s="142"/>
      <c r="J163" s="121" t="s">
        <v>173</v>
      </c>
      <c r="K163" s="122">
        <v>0.054</v>
      </c>
      <c r="L163" s="143">
        <v>0</v>
      </c>
      <c r="M163" s="142"/>
      <c r="N163" s="144">
        <f>ROUND($L$163*$K$163,2)</f>
        <v>0</v>
      </c>
      <c r="O163" s="142"/>
      <c r="P163" s="142"/>
      <c r="Q163" s="142"/>
      <c r="R163" s="22"/>
      <c r="T163" s="123"/>
      <c r="U163" s="124" t="s">
        <v>38</v>
      </c>
      <c r="V163" s="125">
        <v>36.738</v>
      </c>
      <c r="W163" s="125">
        <f>$V$163*$K$163</f>
        <v>1.983852</v>
      </c>
      <c r="X163" s="125">
        <v>1.04881</v>
      </c>
      <c r="Y163" s="125">
        <f>$X$163*$K$163</f>
        <v>0.056635740000000004</v>
      </c>
      <c r="Z163" s="125">
        <v>0</v>
      </c>
      <c r="AA163" s="126">
        <f>$Z$163*$K$163</f>
        <v>0</v>
      </c>
      <c r="AR163" s="6" t="s">
        <v>158</v>
      </c>
      <c r="AT163" s="6" t="s">
        <v>154</v>
      </c>
      <c r="AU163" s="6" t="s">
        <v>99</v>
      </c>
      <c r="AY163" s="6" t="s">
        <v>153</v>
      </c>
      <c r="BE163" s="76">
        <f>IF($U$163="základní",$N$163,0)</f>
        <v>0</v>
      </c>
      <c r="BF163" s="76">
        <f>IF($U$163="snížená",$N$163,0)</f>
        <v>0</v>
      </c>
      <c r="BG163" s="76">
        <f>IF($U$163="zákl. přenesená",$N$163,0)</f>
        <v>0</v>
      </c>
      <c r="BH163" s="76">
        <f>IF($U$163="sníž. přenesená",$N$163,0)</f>
        <v>0</v>
      </c>
      <c r="BI163" s="76">
        <f>IF($U$163="nulová",$N$163,0)</f>
        <v>0</v>
      </c>
      <c r="BJ163" s="6" t="s">
        <v>16</v>
      </c>
      <c r="BK163" s="76">
        <f>ROUND($L$163*$K$163,2)</f>
        <v>0</v>
      </c>
      <c r="BL163" s="6" t="s">
        <v>158</v>
      </c>
    </row>
    <row r="164" spans="2:51" s="6" customFormat="1" ht="39" customHeight="1">
      <c r="B164" s="127"/>
      <c r="E164" s="128"/>
      <c r="F164" s="146" t="s">
        <v>209</v>
      </c>
      <c r="G164" s="147"/>
      <c r="H164" s="147"/>
      <c r="I164" s="147"/>
      <c r="K164" s="129">
        <v>0.054</v>
      </c>
      <c r="N164" s="128"/>
      <c r="R164" s="130"/>
      <c r="T164" s="131"/>
      <c r="AA164" s="132"/>
      <c r="AT164" s="128" t="s">
        <v>160</v>
      </c>
      <c r="AU164" s="128" t="s">
        <v>99</v>
      </c>
      <c r="AV164" s="133" t="s">
        <v>99</v>
      </c>
      <c r="AW164" s="133" t="s">
        <v>107</v>
      </c>
      <c r="AX164" s="133" t="s">
        <v>16</v>
      </c>
      <c r="AY164" s="128" t="s">
        <v>153</v>
      </c>
    </row>
    <row r="165" spans="2:64" s="6" customFormat="1" ht="15.75" customHeight="1">
      <c r="B165" s="21"/>
      <c r="C165" s="119" t="s">
        <v>8</v>
      </c>
      <c r="D165" s="119" t="s">
        <v>154</v>
      </c>
      <c r="E165" s="120" t="s">
        <v>210</v>
      </c>
      <c r="F165" s="141" t="s">
        <v>211</v>
      </c>
      <c r="G165" s="142"/>
      <c r="H165" s="142"/>
      <c r="I165" s="142"/>
      <c r="J165" s="121" t="s">
        <v>157</v>
      </c>
      <c r="K165" s="122">
        <v>0.134</v>
      </c>
      <c r="L165" s="143">
        <v>0</v>
      </c>
      <c r="M165" s="142"/>
      <c r="N165" s="144">
        <f>ROUND($L$165*$K$165,2)</f>
        <v>0</v>
      </c>
      <c r="O165" s="142"/>
      <c r="P165" s="142"/>
      <c r="Q165" s="142"/>
      <c r="R165" s="22"/>
      <c r="T165" s="123"/>
      <c r="U165" s="124" t="s">
        <v>38</v>
      </c>
      <c r="V165" s="125">
        <v>6.77</v>
      </c>
      <c r="W165" s="125">
        <f>$V$165*$K$165</f>
        <v>0.90718</v>
      </c>
      <c r="X165" s="125">
        <v>1.84872</v>
      </c>
      <c r="Y165" s="125">
        <f>$X$165*$K$165</f>
        <v>0.24772848</v>
      </c>
      <c r="Z165" s="125">
        <v>0</v>
      </c>
      <c r="AA165" s="126">
        <f>$Z$165*$K$165</f>
        <v>0</v>
      </c>
      <c r="AR165" s="6" t="s">
        <v>158</v>
      </c>
      <c r="AT165" s="6" t="s">
        <v>154</v>
      </c>
      <c r="AU165" s="6" t="s">
        <v>99</v>
      </c>
      <c r="AY165" s="6" t="s">
        <v>153</v>
      </c>
      <c r="BE165" s="76">
        <f>IF($U$165="základní",$N$165,0)</f>
        <v>0</v>
      </c>
      <c r="BF165" s="76">
        <f>IF($U$165="snížená",$N$165,0)</f>
        <v>0</v>
      </c>
      <c r="BG165" s="76">
        <f>IF($U$165="zákl. přenesená",$N$165,0)</f>
        <v>0</v>
      </c>
      <c r="BH165" s="76">
        <f>IF($U$165="sníž. přenesená",$N$165,0)</f>
        <v>0</v>
      </c>
      <c r="BI165" s="76">
        <f>IF($U$165="nulová",$N$165,0)</f>
        <v>0</v>
      </c>
      <c r="BJ165" s="6" t="s">
        <v>16</v>
      </c>
      <c r="BK165" s="76">
        <f>ROUND($L$165*$K$165,2)</f>
        <v>0</v>
      </c>
      <c r="BL165" s="6" t="s">
        <v>158</v>
      </c>
    </row>
    <row r="166" spans="2:51" s="6" customFormat="1" ht="15.75" customHeight="1">
      <c r="B166" s="127"/>
      <c r="E166" s="128"/>
      <c r="F166" s="146" t="s">
        <v>212</v>
      </c>
      <c r="G166" s="147"/>
      <c r="H166" s="147"/>
      <c r="I166" s="147"/>
      <c r="K166" s="129">
        <v>0.134</v>
      </c>
      <c r="N166" s="128"/>
      <c r="R166" s="130"/>
      <c r="T166" s="131"/>
      <c r="AA166" s="132"/>
      <c r="AT166" s="128" t="s">
        <v>160</v>
      </c>
      <c r="AU166" s="128" t="s">
        <v>99</v>
      </c>
      <c r="AV166" s="133" t="s">
        <v>99</v>
      </c>
      <c r="AW166" s="133" t="s">
        <v>107</v>
      </c>
      <c r="AX166" s="133" t="s">
        <v>16</v>
      </c>
      <c r="AY166" s="128" t="s">
        <v>153</v>
      </c>
    </row>
    <row r="167" spans="2:64" s="6" customFormat="1" ht="27" customHeight="1">
      <c r="B167" s="21"/>
      <c r="C167" s="119" t="s">
        <v>213</v>
      </c>
      <c r="D167" s="119" t="s">
        <v>154</v>
      </c>
      <c r="E167" s="120" t="s">
        <v>214</v>
      </c>
      <c r="F167" s="141" t="s">
        <v>215</v>
      </c>
      <c r="G167" s="142"/>
      <c r="H167" s="142"/>
      <c r="I167" s="142"/>
      <c r="J167" s="121" t="s">
        <v>173</v>
      </c>
      <c r="K167" s="122">
        <v>0.071</v>
      </c>
      <c r="L167" s="143">
        <v>0</v>
      </c>
      <c r="M167" s="142"/>
      <c r="N167" s="144">
        <f>ROUND($L$167*$K$167,2)</f>
        <v>0</v>
      </c>
      <c r="O167" s="142"/>
      <c r="P167" s="142"/>
      <c r="Q167" s="142"/>
      <c r="R167" s="22"/>
      <c r="T167" s="123"/>
      <c r="U167" s="124" t="s">
        <v>38</v>
      </c>
      <c r="V167" s="125">
        <v>40.5</v>
      </c>
      <c r="W167" s="125">
        <f>$V$167*$K$167</f>
        <v>2.8754999999999997</v>
      </c>
      <c r="X167" s="125">
        <v>1.09</v>
      </c>
      <c r="Y167" s="125">
        <f>$X$167*$K$167</f>
        <v>0.07739</v>
      </c>
      <c r="Z167" s="125">
        <v>0</v>
      </c>
      <c r="AA167" s="126">
        <f>$Z$167*$K$167</f>
        <v>0</v>
      </c>
      <c r="AR167" s="6" t="s">
        <v>158</v>
      </c>
      <c r="AT167" s="6" t="s">
        <v>154</v>
      </c>
      <c r="AU167" s="6" t="s">
        <v>99</v>
      </c>
      <c r="AY167" s="6" t="s">
        <v>153</v>
      </c>
      <c r="BE167" s="76">
        <f>IF($U$167="základní",$N$167,0)</f>
        <v>0</v>
      </c>
      <c r="BF167" s="76">
        <f>IF($U$167="snížená",$N$167,0)</f>
        <v>0</v>
      </c>
      <c r="BG167" s="76">
        <f>IF($U$167="zákl. přenesená",$N$167,0)</f>
        <v>0</v>
      </c>
      <c r="BH167" s="76">
        <f>IF($U$167="sníž. přenesená",$N$167,0)</f>
        <v>0</v>
      </c>
      <c r="BI167" s="76">
        <f>IF($U$167="nulová",$N$167,0)</f>
        <v>0</v>
      </c>
      <c r="BJ167" s="6" t="s">
        <v>16</v>
      </c>
      <c r="BK167" s="76">
        <f>ROUND($L$167*$K$167,2)</f>
        <v>0</v>
      </c>
      <c r="BL167" s="6" t="s">
        <v>158</v>
      </c>
    </row>
    <row r="168" spans="2:51" s="6" customFormat="1" ht="15.75" customHeight="1">
      <c r="B168" s="127"/>
      <c r="E168" s="128"/>
      <c r="F168" s="146" t="s">
        <v>216</v>
      </c>
      <c r="G168" s="147"/>
      <c r="H168" s="147"/>
      <c r="I168" s="147"/>
      <c r="K168" s="129">
        <v>0.071</v>
      </c>
      <c r="N168" s="128"/>
      <c r="R168" s="130"/>
      <c r="T168" s="131"/>
      <c r="AA168" s="132"/>
      <c r="AT168" s="128" t="s">
        <v>160</v>
      </c>
      <c r="AU168" s="128" t="s">
        <v>99</v>
      </c>
      <c r="AV168" s="133" t="s">
        <v>99</v>
      </c>
      <c r="AW168" s="133" t="s">
        <v>107</v>
      </c>
      <c r="AX168" s="133" t="s">
        <v>16</v>
      </c>
      <c r="AY168" s="128" t="s">
        <v>153</v>
      </c>
    </row>
    <row r="169" spans="2:64" s="6" customFormat="1" ht="27" customHeight="1">
      <c r="B169" s="21"/>
      <c r="C169" s="119" t="s">
        <v>217</v>
      </c>
      <c r="D169" s="119" t="s">
        <v>154</v>
      </c>
      <c r="E169" s="120" t="s">
        <v>218</v>
      </c>
      <c r="F169" s="141" t="s">
        <v>219</v>
      </c>
      <c r="G169" s="142"/>
      <c r="H169" s="142"/>
      <c r="I169" s="142"/>
      <c r="J169" s="121" t="s">
        <v>192</v>
      </c>
      <c r="K169" s="122">
        <v>0.384</v>
      </c>
      <c r="L169" s="143">
        <v>0</v>
      </c>
      <c r="M169" s="142"/>
      <c r="N169" s="144">
        <f>ROUND($L$169*$K$169,2)</f>
        <v>0</v>
      </c>
      <c r="O169" s="142"/>
      <c r="P169" s="142"/>
      <c r="Q169" s="142"/>
      <c r="R169" s="22"/>
      <c r="T169" s="123"/>
      <c r="U169" s="124" t="s">
        <v>38</v>
      </c>
      <c r="V169" s="125">
        <v>1.21</v>
      </c>
      <c r="W169" s="125">
        <f>$V$169*$K$169</f>
        <v>0.46464</v>
      </c>
      <c r="X169" s="125">
        <v>0.17818</v>
      </c>
      <c r="Y169" s="125">
        <f>$X$169*$K$169</f>
        <v>0.06842112</v>
      </c>
      <c r="Z169" s="125">
        <v>0</v>
      </c>
      <c r="AA169" s="126">
        <f>$Z$169*$K$169</f>
        <v>0</v>
      </c>
      <c r="AR169" s="6" t="s">
        <v>158</v>
      </c>
      <c r="AT169" s="6" t="s">
        <v>154</v>
      </c>
      <c r="AU169" s="6" t="s">
        <v>99</v>
      </c>
      <c r="AY169" s="6" t="s">
        <v>153</v>
      </c>
      <c r="BE169" s="76">
        <f>IF($U$169="základní",$N$169,0)</f>
        <v>0</v>
      </c>
      <c r="BF169" s="76">
        <f>IF($U$169="snížená",$N$169,0)</f>
        <v>0</v>
      </c>
      <c r="BG169" s="76">
        <f>IF($U$169="zákl. přenesená",$N$169,0)</f>
        <v>0</v>
      </c>
      <c r="BH169" s="76">
        <f>IF($U$169="sníž. přenesená",$N$169,0)</f>
        <v>0</v>
      </c>
      <c r="BI169" s="76">
        <f>IF($U$169="nulová",$N$169,0)</f>
        <v>0</v>
      </c>
      <c r="BJ169" s="6" t="s">
        <v>16</v>
      </c>
      <c r="BK169" s="76">
        <f>ROUND($L$169*$K$169,2)</f>
        <v>0</v>
      </c>
      <c r="BL169" s="6" t="s">
        <v>158</v>
      </c>
    </row>
    <row r="170" spans="2:51" s="6" customFormat="1" ht="15.75" customHeight="1">
      <c r="B170" s="127"/>
      <c r="E170" s="128"/>
      <c r="F170" s="146" t="s">
        <v>220</v>
      </c>
      <c r="G170" s="147"/>
      <c r="H170" s="147"/>
      <c r="I170" s="147"/>
      <c r="K170" s="129">
        <v>0.384</v>
      </c>
      <c r="N170" s="128"/>
      <c r="R170" s="130"/>
      <c r="T170" s="131"/>
      <c r="AA170" s="132"/>
      <c r="AT170" s="128" t="s">
        <v>160</v>
      </c>
      <c r="AU170" s="128" t="s">
        <v>99</v>
      </c>
      <c r="AV170" s="133" t="s">
        <v>99</v>
      </c>
      <c r="AW170" s="133" t="s">
        <v>107</v>
      </c>
      <c r="AX170" s="133" t="s">
        <v>16</v>
      </c>
      <c r="AY170" s="128" t="s">
        <v>153</v>
      </c>
    </row>
    <row r="171" spans="2:63" s="109" customFormat="1" ht="30.75" customHeight="1">
      <c r="B171" s="110"/>
      <c r="D171" s="118" t="s">
        <v>112</v>
      </c>
      <c r="N171" s="160">
        <f>$BK$171</f>
        <v>0</v>
      </c>
      <c r="O171" s="139"/>
      <c r="P171" s="139"/>
      <c r="Q171" s="139"/>
      <c r="R171" s="113"/>
      <c r="T171" s="114"/>
      <c r="W171" s="115">
        <f>SUM($W$172:$W$199)</f>
        <v>43.92439499999999</v>
      </c>
      <c r="Y171" s="115">
        <f>SUM($Y$172:$Y$199)</f>
        <v>2.22409608</v>
      </c>
      <c r="AA171" s="116">
        <f>SUM($AA$172:$AA$199)</f>
        <v>0</v>
      </c>
      <c r="AR171" s="112" t="s">
        <v>16</v>
      </c>
      <c r="AT171" s="112" t="s">
        <v>72</v>
      </c>
      <c r="AU171" s="112" t="s">
        <v>16</v>
      </c>
      <c r="AY171" s="112" t="s">
        <v>153</v>
      </c>
      <c r="BK171" s="117">
        <f>SUM($BK$172:$BK$199)</f>
        <v>0</v>
      </c>
    </row>
    <row r="172" spans="2:64" s="6" customFormat="1" ht="27" customHeight="1">
      <c r="B172" s="21"/>
      <c r="C172" s="119" t="s">
        <v>221</v>
      </c>
      <c r="D172" s="119" t="s">
        <v>154</v>
      </c>
      <c r="E172" s="120" t="s">
        <v>222</v>
      </c>
      <c r="F172" s="141" t="s">
        <v>223</v>
      </c>
      <c r="G172" s="142"/>
      <c r="H172" s="142"/>
      <c r="I172" s="142"/>
      <c r="J172" s="121" t="s">
        <v>224</v>
      </c>
      <c r="K172" s="122">
        <v>4</v>
      </c>
      <c r="L172" s="143">
        <v>0</v>
      </c>
      <c r="M172" s="142"/>
      <c r="N172" s="144">
        <f>ROUND($L$172*$K$172,2)</f>
        <v>0</v>
      </c>
      <c r="O172" s="142"/>
      <c r="P172" s="142"/>
      <c r="Q172" s="142"/>
      <c r="R172" s="22"/>
      <c r="T172" s="123"/>
      <c r="U172" s="124" t="s">
        <v>38</v>
      </c>
      <c r="V172" s="125">
        <v>0.725</v>
      </c>
      <c r="W172" s="125">
        <f>$V$172*$K$172</f>
        <v>2.9</v>
      </c>
      <c r="X172" s="125">
        <v>0.0415</v>
      </c>
      <c r="Y172" s="125">
        <f>$X$172*$K$172</f>
        <v>0.166</v>
      </c>
      <c r="Z172" s="125">
        <v>0</v>
      </c>
      <c r="AA172" s="126">
        <f>$Z$172*$K$172</f>
        <v>0</v>
      </c>
      <c r="AR172" s="6" t="s">
        <v>158</v>
      </c>
      <c r="AT172" s="6" t="s">
        <v>154</v>
      </c>
      <c r="AU172" s="6" t="s">
        <v>99</v>
      </c>
      <c r="AY172" s="6" t="s">
        <v>153</v>
      </c>
      <c r="BE172" s="76">
        <f>IF($U$172="základní",$N$172,0)</f>
        <v>0</v>
      </c>
      <c r="BF172" s="76">
        <f>IF($U$172="snížená",$N$172,0)</f>
        <v>0</v>
      </c>
      <c r="BG172" s="76">
        <f>IF($U$172="zákl. přenesená",$N$172,0)</f>
        <v>0</v>
      </c>
      <c r="BH172" s="76">
        <f>IF($U$172="sníž. přenesená",$N$172,0)</f>
        <v>0</v>
      </c>
      <c r="BI172" s="76">
        <f>IF($U$172="nulová",$N$172,0)</f>
        <v>0</v>
      </c>
      <c r="BJ172" s="6" t="s">
        <v>16</v>
      </c>
      <c r="BK172" s="76">
        <f>ROUND($L$172*$K$172,2)</f>
        <v>0</v>
      </c>
      <c r="BL172" s="6" t="s">
        <v>158</v>
      </c>
    </row>
    <row r="173" spans="2:51" s="6" customFormat="1" ht="15.75" customHeight="1">
      <c r="B173" s="127"/>
      <c r="E173" s="128"/>
      <c r="F173" s="146" t="s">
        <v>225</v>
      </c>
      <c r="G173" s="147"/>
      <c r="H173" s="147"/>
      <c r="I173" s="147"/>
      <c r="K173" s="129">
        <v>1</v>
      </c>
      <c r="N173" s="128"/>
      <c r="R173" s="130"/>
      <c r="T173" s="131"/>
      <c r="AA173" s="132"/>
      <c r="AT173" s="128" t="s">
        <v>160</v>
      </c>
      <c r="AU173" s="128" t="s">
        <v>99</v>
      </c>
      <c r="AV173" s="133" t="s">
        <v>99</v>
      </c>
      <c r="AW173" s="133" t="s">
        <v>107</v>
      </c>
      <c r="AX173" s="133" t="s">
        <v>73</v>
      </c>
      <c r="AY173" s="128" t="s">
        <v>153</v>
      </c>
    </row>
    <row r="174" spans="2:51" s="6" customFormat="1" ht="15.75" customHeight="1">
      <c r="B174" s="127"/>
      <c r="E174" s="128"/>
      <c r="F174" s="146" t="s">
        <v>226</v>
      </c>
      <c r="G174" s="147"/>
      <c r="H174" s="147"/>
      <c r="I174" s="147"/>
      <c r="K174" s="129">
        <v>3</v>
      </c>
      <c r="N174" s="128"/>
      <c r="R174" s="130"/>
      <c r="T174" s="131"/>
      <c r="AA174" s="132"/>
      <c r="AT174" s="128" t="s">
        <v>160</v>
      </c>
      <c r="AU174" s="128" t="s">
        <v>99</v>
      </c>
      <c r="AV174" s="133" t="s">
        <v>99</v>
      </c>
      <c r="AW174" s="133" t="s">
        <v>107</v>
      </c>
      <c r="AX174" s="133" t="s">
        <v>73</v>
      </c>
      <c r="AY174" s="128" t="s">
        <v>153</v>
      </c>
    </row>
    <row r="175" spans="2:64" s="6" customFormat="1" ht="27" customHeight="1">
      <c r="B175" s="21"/>
      <c r="C175" s="119" t="s">
        <v>227</v>
      </c>
      <c r="D175" s="119" t="s">
        <v>154</v>
      </c>
      <c r="E175" s="120" t="s">
        <v>228</v>
      </c>
      <c r="F175" s="141" t="s">
        <v>229</v>
      </c>
      <c r="G175" s="142"/>
      <c r="H175" s="142"/>
      <c r="I175" s="142"/>
      <c r="J175" s="121" t="s">
        <v>192</v>
      </c>
      <c r="K175" s="122">
        <v>18.363</v>
      </c>
      <c r="L175" s="143">
        <v>0</v>
      </c>
      <c r="M175" s="142"/>
      <c r="N175" s="144">
        <f>ROUND($L$175*$K$175,2)</f>
        <v>0</v>
      </c>
      <c r="O175" s="142"/>
      <c r="P175" s="142"/>
      <c r="Q175" s="142"/>
      <c r="R175" s="22"/>
      <c r="T175" s="123"/>
      <c r="U175" s="124" t="s">
        <v>38</v>
      </c>
      <c r="V175" s="125">
        <v>1.355</v>
      </c>
      <c r="W175" s="125">
        <f>$V$175*$K$175</f>
        <v>24.881864999999998</v>
      </c>
      <c r="X175" s="125">
        <v>0.03358</v>
      </c>
      <c r="Y175" s="125">
        <f>$X$175*$K$175</f>
        <v>0.6166295399999999</v>
      </c>
      <c r="Z175" s="125">
        <v>0</v>
      </c>
      <c r="AA175" s="126">
        <f>$Z$175*$K$175</f>
        <v>0</v>
      </c>
      <c r="AR175" s="6" t="s">
        <v>158</v>
      </c>
      <c r="AT175" s="6" t="s">
        <v>154</v>
      </c>
      <c r="AU175" s="6" t="s">
        <v>99</v>
      </c>
      <c r="AY175" s="6" t="s">
        <v>153</v>
      </c>
      <c r="BE175" s="76">
        <f>IF($U$175="základní",$N$175,0)</f>
        <v>0</v>
      </c>
      <c r="BF175" s="76">
        <f>IF($U$175="snížená",$N$175,0)</f>
        <v>0</v>
      </c>
      <c r="BG175" s="76">
        <f>IF($U$175="zákl. přenesená",$N$175,0)</f>
        <v>0</v>
      </c>
      <c r="BH175" s="76">
        <f>IF($U$175="sníž. přenesená",$N$175,0)</f>
        <v>0</v>
      </c>
      <c r="BI175" s="76">
        <f>IF($U$175="nulová",$N$175,0)</f>
        <v>0</v>
      </c>
      <c r="BJ175" s="6" t="s">
        <v>16</v>
      </c>
      <c r="BK175" s="76">
        <f>ROUND($L$175*$K$175,2)</f>
        <v>0</v>
      </c>
      <c r="BL175" s="6" t="s">
        <v>158</v>
      </c>
    </row>
    <row r="176" spans="2:51" s="6" customFormat="1" ht="15.75" customHeight="1">
      <c r="B176" s="127"/>
      <c r="E176" s="128"/>
      <c r="F176" s="146" t="s">
        <v>230</v>
      </c>
      <c r="G176" s="147"/>
      <c r="H176" s="147"/>
      <c r="I176" s="147"/>
      <c r="K176" s="129">
        <v>4.673</v>
      </c>
      <c r="N176" s="128"/>
      <c r="R176" s="130"/>
      <c r="T176" s="131"/>
      <c r="AA176" s="132"/>
      <c r="AT176" s="128" t="s">
        <v>160</v>
      </c>
      <c r="AU176" s="128" t="s">
        <v>99</v>
      </c>
      <c r="AV176" s="133" t="s">
        <v>99</v>
      </c>
      <c r="AW176" s="133" t="s">
        <v>107</v>
      </c>
      <c r="AX176" s="133" t="s">
        <v>73</v>
      </c>
      <c r="AY176" s="128" t="s">
        <v>153</v>
      </c>
    </row>
    <row r="177" spans="2:51" s="6" customFormat="1" ht="15.75" customHeight="1">
      <c r="B177" s="127"/>
      <c r="E177" s="128"/>
      <c r="F177" s="146" t="s">
        <v>231</v>
      </c>
      <c r="G177" s="147"/>
      <c r="H177" s="147"/>
      <c r="I177" s="147"/>
      <c r="K177" s="129">
        <v>5.148</v>
      </c>
      <c r="N177" s="128"/>
      <c r="R177" s="130"/>
      <c r="T177" s="131"/>
      <c r="AA177" s="132"/>
      <c r="AT177" s="128" t="s">
        <v>160</v>
      </c>
      <c r="AU177" s="128" t="s">
        <v>99</v>
      </c>
      <c r="AV177" s="133" t="s">
        <v>99</v>
      </c>
      <c r="AW177" s="133" t="s">
        <v>107</v>
      </c>
      <c r="AX177" s="133" t="s">
        <v>73</v>
      </c>
      <c r="AY177" s="128" t="s">
        <v>153</v>
      </c>
    </row>
    <row r="178" spans="2:51" s="6" customFormat="1" ht="15.75" customHeight="1">
      <c r="B178" s="127"/>
      <c r="E178" s="128"/>
      <c r="F178" s="146" t="s">
        <v>232</v>
      </c>
      <c r="G178" s="147"/>
      <c r="H178" s="147"/>
      <c r="I178" s="147"/>
      <c r="K178" s="129">
        <v>5.057</v>
      </c>
      <c r="N178" s="128"/>
      <c r="R178" s="130"/>
      <c r="T178" s="131"/>
      <c r="AA178" s="132"/>
      <c r="AT178" s="128" t="s">
        <v>160</v>
      </c>
      <c r="AU178" s="128" t="s">
        <v>99</v>
      </c>
      <c r="AV178" s="133" t="s">
        <v>99</v>
      </c>
      <c r="AW178" s="133" t="s">
        <v>107</v>
      </c>
      <c r="AX178" s="133" t="s">
        <v>73</v>
      </c>
      <c r="AY178" s="128" t="s">
        <v>153</v>
      </c>
    </row>
    <row r="179" spans="2:51" s="6" customFormat="1" ht="15.75" customHeight="1">
      <c r="B179" s="127"/>
      <c r="E179" s="128"/>
      <c r="F179" s="146" t="s">
        <v>233</v>
      </c>
      <c r="G179" s="147"/>
      <c r="H179" s="147"/>
      <c r="I179" s="147"/>
      <c r="K179" s="129">
        <v>3.485</v>
      </c>
      <c r="N179" s="128"/>
      <c r="R179" s="130"/>
      <c r="T179" s="131"/>
      <c r="AA179" s="132"/>
      <c r="AT179" s="128" t="s">
        <v>160</v>
      </c>
      <c r="AU179" s="128" t="s">
        <v>99</v>
      </c>
      <c r="AV179" s="133" t="s">
        <v>99</v>
      </c>
      <c r="AW179" s="133" t="s">
        <v>107</v>
      </c>
      <c r="AX179" s="133" t="s">
        <v>73</v>
      </c>
      <c r="AY179" s="128" t="s">
        <v>153</v>
      </c>
    </row>
    <row r="180" spans="2:64" s="6" customFormat="1" ht="27" customHeight="1">
      <c r="B180" s="21"/>
      <c r="C180" s="119" t="s">
        <v>234</v>
      </c>
      <c r="D180" s="119" t="s">
        <v>154</v>
      </c>
      <c r="E180" s="120" t="s">
        <v>235</v>
      </c>
      <c r="F180" s="141" t="s">
        <v>236</v>
      </c>
      <c r="G180" s="142"/>
      <c r="H180" s="142"/>
      <c r="I180" s="142"/>
      <c r="J180" s="121" t="s">
        <v>237</v>
      </c>
      <c r="K180" s="122">
        <v>18.25</v>
      </c>
      <c r="L180" s="143">
        <v>0</v>
      </c>
      <c r="M180" s="142"/>
      <c r="N180" s="144">
        <f>ROUND($L$180*$K$180,2)</f>
        <v>0</v>
      </c>
      <c r="O180" s="142"/>
      <c r="P180" s="142"/>
      <c r="Q180" s="142"/>
      <c r="R180" s="22"/>
      <c r="T180" s="123"/>
      <c r="U180" s="124" t="s">
        <v>38</v>
      </c>
      <c r="V180" s="125">
        <v>0.37</v>
      </c>
      <c r="W180" s="125">
        <f>$V$180*$K$180</f>
        <v>6.7524999999999995</v>
      </c>
      <c r="X180" s="125">
        <v>0.0015</v>
      </c>
      <c r="Y180" s="125">
        <f>$X$180*$K$180</f>
        <v>0.027375</v>
      </c>
      <c r="Z180" s="125">
        <v>0</v>
      </c>
      <c r="AA180" s="126">
        <f>$Z$180*$K$180</f>
        <v>0</v>
      </c>
      <c r="AR180" s="6" t="s">
        <v>158</v>
      </c>
      <c r="AT180" s="6" t="s">
        <v>154</v>
      </c>
      <c r="AU180" s="6" t="s">
        <v>99</v>
      </c>
      <c r="AY180" s="6" t="s">
        <v>153</v>
      </c>
      <c r="BE180" s="76">
        <f>IF($U$180="základní",$N$180,0)</f>
        <v>0</v>
      </c>
      <c r="BF180" s="76">
        <f>IF($U$180="snížená",$N$180,0)</f>
        <v>0</v>
      </c>
      <c r="BG180" s="76">
        <f>IF($U$180="zákl. přenesená",$N$180,0)</f>
        <v>0</v>
      </c>
      <c r="BH180" s="76">
        <f>IF($U$180="sníž. přenesená",$N$180,0)</f>
        <v>0</v>
      </c>
      <c r="BI180" s="76">
        <f>IF($U$180="nulová",$N$180,0)</f>
        <v>0</v>
      </c>
      <c r="BJ180" s="6" t="s">
        <v>16</v>
      </c>
      <c r="BK180" s="76">
        <f>ROUND($L$180*$K$180,2)</f>
        <v>0</v>
      </c>
      <c r="BL180" s="6" t="s">
        <v>158</v>
      </c>
    </row>
    <row r="181" spans="2:51" s="6" customFormat="1" ht="15.75" customHeight="1">
      <c r="B181" s="127"/>
      <c r="E181" s="128"/>
      <c r="F181" s="146" t="s">
        <v>238</v>
      </c>
      <c r="G181" s="147"/>
      <c r="H181" s="147"/>
      <c r="I181" s="147"/>
      <c r="K181" s="129">
        <v>4.88</v>
      </c>
      <c r="N181" s="128"/>
      <c r="R181" s="130"/>
      <c r="T181" s="131"/>
      <c r="AA181" s="132"/>
      <c r="AT181" s="128" t="s">
        <v>160</v>
      </c>
      <c r="AU181" s="128" t="s">
        <v>99</v>
      </c>
      <c r="AV181" s="133" t="s">
        <v>99</v>
      </c>
      <c r="AW181" s="133" t="s">
        <v>107</v>
      </c>
      <c r="AX181" s="133" t="s">
        <v>73</v>
      </c>
      <c r="AY181" s="128" t="s">
        <v>153</v>
      </c>
    </row>
    <row r="182" spans="2:51" s="6" customFormat="1" ht="15.75" customHeight="1">
      <c r="B182" s="127"/>
      <c r="E182" s="128"/>
      <c r="F182" s="146" t="s">
        <v>239</v>
      </c>
      <c r="G182" s="147"/>
      <c r="H182" s="147"/>
      <c r="I182" s="147"/>
      <c r="K182" s="129">
        <v>4.64</v>
      </c>
      <c r="N182" s="128"/>
      <c r="R182" s="130"/>
      <c r="T182" s="131"/>
      <c r="AA182" s="132"/>
      <c r="AT182" s="128" t="s">
        <v>160</v>
      </c>
      <c r="AU182" s="128" t="s">
        <v>99</v>
      </c>
      <c r="AV182" s="133" t="s">
        <v>99</v>
      </c>
      <c r="AW182" s="133" t="s">
        <v>107</v>
      </c>
      <c r="AX182" s="133" t="s">
        <v>73</v>
      </c>
      <c r="AY182" s="128" t="s">
        <v>153</v>
      </c>
    </row>
    <row r="183" spans="2:51" s="6" customFormat="1" ht="15.75" customHeight="1">
      <c r="B183" s="127"/>
      <c r="E183" s="128"/>
      <c r="F183" s="146" t="s">
        <v>240</v>
      </c>
      <c r="G183" s="147"/>
      <c r="H183" s="147"/>
      <c r="I183" s="147"/>
      <c r="K183" s="129">
        <v>4.57</v>
      </c>
      <c r="N183" s="128"/>
      <c r="R183" s="130"/>
      <c r="T183" s="131"/>
      <c r="AA183" s="132"/>
      <c r="AT183" s="128" t="s">
        <v>160</v>
      </c>
      <c r="AU183" s="128" t="s">
        <v>99</v>
      </c>
      <c r="AV183" s="133" t="s">
        <v>99</v>
      </c>
      <c r="AW183" s="133" t="s">
        <v>107</v>
      </c>
      <c r="AX183" s="133" t="s">
        <v>73</v>
      </c>
      <c r="AY183" s="128" t="s">
        <v>153</v>
      </c>
    </row>
    <row r="184" spans="2:51" s="6" customFormat="1" ht="15.75" customHeight="1">
      <c r="B184" s="127"/>
      <c r="E184" s="128"/>
      <c r="F184" s="146" t="s">
        <v>241</v>
      </c>
      <c r="G184" s="147"/>
      <c r="H184" s="147"/>
      <c r="I184" s="147"/>
      <c r="K184" s="129">
        <v>4.16</v>
      </c>
      <c r="N184" s="128"/>
      <c r="R184" s="130"/>
      <c r="T184" s="131"/>
      <c r="AA184" s="132"/>
      <c r="AT184" s="128" t="s">
        <v>160</v>
      </c>
      <c r="AU184" s="128" t="s">
        <v>99</v>
      </c>
      <c r="AV184" s="133" t="s">
        <v>99</v>
      </c>
      <c r="AW184" s="133" t="s">
        <v>107</v>
      </c>
      <c r="AX184" s="133" t="s">
        <v>73</v>
      </c>
      <c r="AY184" s="128" t="s">
        <v>153</v>
      </c>
    </row>
    <row r="185" spans="2:64" s="6" customFormat="1" ht="27" customHeight="1">
      <c r="B185" s="21"/>
      <c r="C185" s="119" t="s">
        <v>7</v>
      </c>
      <c r="D185" s="119" t="s">
        <v>154</v>
      </c>
      <c r="E185" s="120" t="s">
        <v>242</v>
      </c>
      <c r="F185" s="141" t="s">
        <v>243</v>
      </c>
      <c r="G185" s="142"/>
      <c r="H185" s="142"/>
      <c r="I185" s="142"/>
      <c r="J185" s="121" t="s">
        <v>192</v>
      </c>
      <c r="K185" s="122">
        <v>9.112</v>
      </c>
      <c r="L185" s="143">
        <v>0</v>
      </c>
      <c r="M185" s="142"/>
      <c r="N185" s="144">
        <f>ROUND($L$185*$K$185,2)</f>
        <v>0</v>
      </c>
      <c r="O185" s="142"/>
      <c r="P185" s="142"/>
      <c r="Q185" s="142"/>
      <c r="R185" s="22"/>
      <c r="T185" s="123"/>
      <c r="U185" s="124" t="s">
        <v>38</v>
      </c>
      <c r="V185" s="125">
        <v>0.46</v>
      </c>
      <c r="W185" s="125">
        <f>$V$185*$K$185</f>
        <v>4.191520000000001</v>
      </c>
      <c r="X185" s="125">
        <v>0.02636</v>
      </c>
      <c r="Y185" s="125">
        <f>$X$185*$K$185</f>
        <v>0.24019232000000001</v>
      </c>
      <c r="Z185" s="125">
        <v>0</v>
      </c>
      <c r="AA185" s="126">
        <f>$Z$185*$K$185</f>
        <v>0</v>
      </c>
      <c r="AR185" s="6" t="s">
        <v>158</v>
      </c>
      <c r="AT185" s="6" t="s">
        <v>154</v>
      </c>
      <c r="AU185" s="6" t="s">
        <v>99</v>
      </c>
      <c r="AY185" s="6" t="s">
        <v>153</v>
      </c>
      <c r="BE185" s="76">
        <f>IF($U$185="základní",$N$185,0)</f>
        <v>0</v>
      </c>
      <c r="BF185" s="76">
        <f>IF($U$185="snížená",$N$185,0)</f>
        <v>0</v>
      </c>
      <c r="BG185" s="76">
        <f>IF($U$185="zákl. přenesená",$N$185,0)</f>
        <v>0</v>
      </c>
      <c r="BH185" s="76">
        <f>IF($U$185="sníž. přenesená",$N$185,0)</f>
        <v>0</v>
      </c>
      <c r="BI185" s="76">
        <f>IF($U$185="nulová",$N$185,0)</f>
        <v>0</v>
      </c>
      <c r="BJ185" s="6" t="s">
        <v>16</v>
      </c>
      <c r="BK185" s="76">
        <f>ROUND($L$185*$K$185,2)</f>
        <v>0</v>
      </c>
      <c r="BL185" s="6" t="s">
        <v>158</v>
      </c>
    </row>
    <row r="186" spans="2:51" s="6" customFormat="1" ht="15.75" customHeight="1">
      <c r="B186" s="127"/>
      <c r="E186" s="128"/>
      <c r="F186" s="146" t="s">
        <v>244</v>
      </c>
      <c r="G186" s="147"/>
      <c r="H186" s="147"/>
      <c r="I186" s="147"/>
      <c r="K186" s="129">
        <v>9.112</v>
      </c>
      <c r="N186" s="128"/>
      <c r="R186" s="130"/>
      <c r="T186" s="131"/>
      <c r="AA186" s="132"/>
      <c r="AT186" s="128" t="s">
        <v>160</v>
      </c>
      <c r="AU186" s="128" t="s">
        <v>99</v>
      </c>
      <c r="AV186" s="133" t="s">
        <v>99</v>
      </c>
      <c r="AW186" s="133" t="s">
        <v>107</v>
      </c>
      <c r="AX186" s="133" t="s">
        <v>16</v>
      </c>
      <c r="AY186" s="128" t="s">
        <v>153</v>
      </c>
    </row>
    <row r="187" spans="2:64" s="6" customFormat="1" ht="27" customHeight="1">
      <c r="B187" s="21"/>
      <c r="C187" s="119" t="s">
        <v>245</v>
      </c>
      <c r="D187" s="119" t="s">
        <v>154</v>
      </c>
      <c r="E187" s="120" t="s">
        <v>246</v>
      </c>
      <c r="F187" s="141" t="s">
        <v>247</v>
      </c>
      <c r="G187" s="142"/>
      <c r="H187" s="142"/>
      <c r="I187" s="142"/>
      <c r="J187" s="121" t="s">
        <v>192</v>
      </c>
      <c r="K187" s="122">
        <v>18.224</v>
      </c>
      <c r="L187" s="143">
        <v>0</v>
      </c>
      <c r="M187" s="142"/>
      <c r="N187" s="144">
        <f>ROUND($L$187*$K$187,2)</f>
        <v>0</v>
      </c>
      <c r="O187" s="142"/>
      <c r="P187" s="142"/>
      <c r="Q187" s="142"/>
      <c r="R187" s="22"/>
      <c r="T187" s="123"/>
      <c r="U187" s="124" t="s">
        <v>38</v>
      </c>
      <c r="V187" s="125">
        <v>0.09</v>
      </c>
      <c r="W187" s="125">
        <f>$V$187*$K$187</f>
        <v>1.64016</v>
      </c>
      <c r="X187" s="125">
        <v>0.0079</v>
      </c>
      <c r="Y187" s="125">
        <f>$X$187*$K$187</f>
        <v>0.1439696</v>
      </c>
      <c r="Z187" s="125">
        <v>0</v>
      </c>
      <c r="AA187" s="126">
        <f>$Z$187*$K$187</f>
        <v>0</v>
      </c>
      <c r="AR187" s="6" t="s">
        <v>158</v>
      </c>
      <c r="AT187" s="6" t="s">
        <v>154</v>
      </c>
      <c r="AU187" s="6" t="s">
        <v>99</v>
      </c>
      <c r="AY187" s="6" t="s">
        <v>153</v>
      </c>
      <c r="BE187" s="76">
        <f>IF($U$187="základní",$N$187,0)</f>
        <v>0</v>
      </c>
      <c r="BF187" s="76">
        <f>IF($U$187="snížená",$N$187,0)</f>
        <v>0</v>
      </c>
      <c r="BG187" s="76">
        <f>IF($U$187="zákl. přenesená",$N$187,0)</f>
        <v>0</v>
      </c>
      <c r="BH187" s="76">
        <f>IF($U$187="sníž. přenesená",$N$187,0)</f>
        <v>0</v>
      </c>
      <c r="BI187" s="76">
        <f>IF($U$187="nulová",$N$187,0)</f>
        <v>0</v>
      </c>
      <c r="BJ187" s="6" t="s">
        <v>16</v>
      </c>
      <c r="BK187" s="76">
        <f>ROUND($L$187*$K$187,2)</f>
        <v>0</v>
      </c>
      <c r="BL187" s="6" t="s">
        <v>158</v>
      </c>
    </row>
    <row r="188" spans="2:51" s="6" customFormat="1" ht="15.75" customHeight="1">
      <c r="B188" s="127"/>
      <c r="E188" s="128"/>
      <c r="F188" s="146" t="s">
        <v>248</v>
      </c>
      <c r="G188" s="147"/>
      <c r="H188" s="147"/>
      <c r="I188" s="147"/>
      <c r="K188" s="129">
        <v>18.224</v>
      </c>
      <c r="N188" s="128"/>
      <c r="R188" s="130"/>
      <c r="T188" s="131"/>
      <c r="AA188" s="132"/>
      <c r="AT188" s="128" t="s">
        <v>160</v>
      </c>
      <c r="AU188" s="128" t="s">
        <v>99</v>
      </c>
      <c r="AV188" s="133" t="s">
        <v>99</v>
      </c>
      <c r="AW188" s="133" t="s">
        <v>107</v>
      </c>
      <c r="AX188" s="133" t="s">
        <v>16</v>
      </c>
      <c r="AY188" s="128" t="s">
        <v>153</v>
      </c>
    </row>
    <row r="189" spans="2:64" s="6" customFormat="1" ht="39" customHeight="1">
      <c r="B189" s="21"/>
      <c r="C189" s="119" t="s">
        <v>249</v>
      </c>
      <c r="D189" s="119" t="s">
        <v>154</v>
      </c>
      <c r="E189" s="120" t="s">
        <v>250</v>
      </c>
      <c r="F189" s="141" t="s">
        <v>251</v>
      </c>
      <c r="G189" s="142"/>
      <c r="H189" s="142"/>
      <c r="I189" s="142"/>
      <c r="J189" s="121" t="s">
        <v>192</v>
      </c>
      <c r="K189" s="122">
        <v>9.112</v>
      </c>
      <c r="L189" s="143">
        <v>0</v>
      </c>
      <c r="M189" s="142"/>
      <c r="N189" s="144">
        <f>ROUND($L$189*$K$189,2)</f>
        <v>0</v>
      </c>
      <c r="O189" s="142"/>
      <c r="P189" s="142"/>
      <c r="Q189" s="142"/>
      <c r="R189" s="22"/>
      <c r="T189" s="123"/>
      <c r="U189" s="124" t="s">
        <v>38</v>
      </c>
      <c r="V189" s="125">
        <v>0.13</v>
      </c>
      <c r="W189" s="125">
        <f>$V$189*$K$189</f>
        <v>1.18456</v>
      </c>
      <c r="X189" s="125">
        <v>0.00052</v>
      </c>
      <c r="Y189" s="125">
        <f>$X$189*$K$189</f>
        <v>0.0047382399999999995</v>
      </c>
      <c r="Z189" s="125">
        <v>0</v>
      </c>
      <c r="AA189" s="126">
        <f>$Z$189*$K$189</f>
        <v>0</v>
      </c>
      <c r="AR189" s="6" t="s">
        <v>158</v>
      </c>
      <c r="AT189" s="6" t="s">
        <v>154</v>
      </c>
      <c r="AU189" s="6" t="s">
        <v>99</v>
      </c>
      <c r="AY189" s="6" t="s">
        <v>153</v>
      </c>
      <c r="BE189" s="76">
        <f>IF($U$189="základní",$N$189,0)</f>
        <v>0</v>
      </c>
      <c r="BF189" s="76">
        <f>IF($U$189="snížená",$N$189,0)</f>
        <v>0</v>
      </c>
      <c r="BG189" s="76">
        <f>IF($U$189="zákl. přenesená",$N$189,0)</f>
        <v>0</v>
      </c>
      <c r="BH189" s="76">
        <f>IF($U$189="sníž. přenesená",$N$189,0)</f>
        <v>0</v>
      </c>
      <c r="BI189" s="76">
        <f>IF($U$189="nulová",$N$189,0)</f>
        <v>0</v>
      </c>
      <c r="BJ189" s="6" t="s">
        <v>16</v>
      </c>
      <c r="BK189" s="76">
        <f>ROUND($L$189*$K$189,2)</f>
        <v>0</v>
      </c>
      <c r="BL189" s="6" t="s">
        <v>158</v>
      </c>
    </row>
    <row r="190" spans="2:64" s="6" customFormat="1" ht="27" customHeight="1">
      <c r="B190" s="21"/>
      <c r="C190" s="119" t="s">
        <v>252</v>
      </c>
      <c r="D190" s="119" t="s">
        <v>154</v>
      </c>
      <c r="E190" s="120" t="s">
        <v>253</v>
      </c>
      <c r="F190" s="141" t="s">
        <v>254</v>
      </c>
      <c r="G190" s="142"/>
      <c r="H190" s="142"/>
      <c r="I190" s="142"/>
      <c r="J190" s="121" t="s">
        <v>157</v>
      </c>
      <c r="K190" s="122">
        <v>0.228</v>
      </c>
      <c r="L190" s="143">
        <v>0</v>
      </c>
      <c r="M190" s="142"/>
      <c r="N190" s="144">
        <f>ROUND($L$190*$K$190,2)</f>
        <v>0</v>
      </c>
      <c r="O190" s="142"/>
      <c r="P190" s="142"/>
      <c r="Q190" s="142"/>
      <c r="R190" s="22"/>
      <c r="T190" s="123"/>
      <c r="U190" s="124" t="s">
        <v>38</v>
      </c>
      <c r="V190" s="125">
        <v>4.66</v>
      </c>
      <c r="W190" s="125">
        <f>$V$190*$K$190</f>
        <v>1.06248</v>
      </c>
      <c r="X190" s="125">
        <v>2.234</v>
      </c>
      <c r="Y190" s="125">
        <f>$X$190*$K$190</f>
        <v>0.509352</v>
      </c>
      <c r="Z190" s="125">
        <v>0</v>
      </c>
      <c r="AA190" s="126">
        <f>$Z$190*$K$190</f>
        <v>0</v>
      </c>
      <c r="AR190" s="6" t="s">
        <v>158</v>
      </c>
      <c r="AT190" s="6" t="s">
        <v>154</v>
      </c>
      <c r="AU190" s="6" t="s">
        <v>99</v>
      </c>
      <c r="AY190" s="6" t="s">
        <v>153</v>
      </c>
      <c r="BE190" s="76">
        <f>IF($U$190="základní",$N$190,0)</f>
        <v>0</v>
      </c>
      <c r="BF190" s="76">
        <f>IF($U$190="snížená",$N$190,0)</f>
        <v>0</v>
      </c>
      <c r="BG190" s="76">
        <f>IF($U$190="zákl. přenesená",$N$190,0)</f>
        <v>0</v>
      </c>
      <c r="BH190" s="76">
        <f>IF($U$190="sníž. přenesená",$N$190,0)</f>
        <v>0</v>
      </c>
      <c r="BI190" s="76">
        <f>IF($U$190="nulová",$N$190,0)</f>
        <v>0</v>
      </c>
      <c r="BJ190" s="6" t="s">
        <v>16</v>
      </c>
      <c r="BK190" s="76">
        <f>ROUND($L$190*$K$190,2)</f>
        <v>0</v>
      </c>
      <c r="BL190" s="6" t="s">
        <v>158</v>
      </c>
    </row>
    <row r="191" spans="2:51" s="6" customFormat="1" ht="15.75" customHeight="1">
      <c r="B191" s="127"/>
      <c r="E191" s="128"/>
      <c r="F191" s="146" t="s">
        <v>255</v>
      </c>
      <c r="G191" s="147"/>
      <c r="H191" s="147"/>
      <c r="I191" s="147"/>
      <c r="K191" s="129">
        <v>0.046</v>
      </c>
      <c r="N191" s="128"/>
      <c r="R191" s="130"/>
      <c r="T191" s="131"/>
      <c r="AA191" s="132"/>
      <c r="AT191" s="128" t="s">
        <v>160</v>
      </c>
      <c r="AU191" s="128" t="s">
        <v>99</v>
      </c>
      <c r="AV191" s="133" t="s">
        <v>99</v>
      </c>
      <c r="AW191" s="133" t="s">
        <v>107</v>
      </c>
      <c r="AX191" s="133" t="s">
        <v>73</v>
      </c>
      <c r="AY191" s="128" t="s">
        <v>153</v>
      </c>
    </row>
    <row r="192" spans="2:51" s="6" customFormat="1" ht="15.75" customHeight="1">
      <c r="B192" s="127"/>
      <c r="E192" s="128"/>
      <c r="F192" s="146" t="s">
        <v>256</v>
      </c>
      <c r="G192" s="147"/>
      <c r="H192" s="147"/>
      <c r="I192" s="147"/>
      <c r="K192" s="129">
        <v>0.066</v>
      </c>
      <c r="N192" s="128"/>
      <c r="R192" s="130"/>
      <c r="T192" s="131"/>
      <c r="AA192" s="132"/>
      <c r="AT192" s="128" t="s">
        <v>160</v>
      </c>
      <c r="AU192" s="128" t="s">
        <v>99</v>
      </c>
      <c r="AV192" s="133" t="s">
        <v>99</v>
      </c>
      <c r="AW192" s="133" t="s">
        <v>107</v>
      </c>
      <c r="AX192" s="133" t="s">
        <v>73</v>
      </c>
      <c r="AY192" s="128" t="s">
        <v>153</v>
      </c>
    </row>
    <row r="193" spans="2:51" s="6" customFormat="1" ht="15.75" customHeight="1">
      <c r="B193" s="127"/>
      <c r="E193" s="128"/>
      <c r="F193" s="146" t="s">
        <v>257</v>
      </c>
      <c r="G193" s="147"/>
      <c r="H193" s="147"/>
      <c r="I193" s="147"/>
      <c r="K193" s="129">
        <v>0.066</v>
      </c>
      <c r="N193" s="128"/>
      <c r="R193" s="130"/>
      <c r="T193" s="131"/>
      <c r="AA193" s="132"/>
      <c r="AT193" s="128" t="s">
        <v>160</v>
      </c>
      <c r="AU193" s="128" t="s">
        <v>99</v>
      </c>
      <c r="AV193" s="133" t="s">
        <v>99</v>
      </c>
      <c r="AW193" s="133" t="s">
        <v>107</v>
      </c>
      <c r="AX193" s="133" t="s">
        <v>73</v>
      </c>
      <c r="AY193" s="128" t="s">
        <v>153</v>
      </c>
    </row>
    <row r="194" spans="2:51" s="6" customFormat="1" ht="15.75" customHeight="1">
      <c r="B194" s="127"/>
      <c r="E194" s="128"/>
      <c r="F194" s="146" t="s">
        <v>258</v>
      </c>
      <c r="G194" s="147"/>
      <c r="H194" s="147"/>
      <c r="I194" s="147"/>
      <c r="K194" s="129">
        <v>0.05</v>
      </c>
      <c r="N194" s="128"/>
      <c r="R194" s="130"/>
      <c r="T194" s="131"/>
      <c r="AA194" s="132"/>
      <c r="AT194" s="128" t="s">
        <v>160</v>
      </c>
      <c r="AU194" s="128" t="s">
        <v>99</v>
      </c>
      <c r="AV194" s="133" t="s">
        <v>99</v>
      </c>
      <c r="AW194" s="133" t="s">
        <v>107</v>
      </c>
      <c r="AX194" s="133" t="s">
        <v>73</v>
      </c>
      <c r="AY194" s="128" t="s">
        <v>153</v>
      </c>
    </row>
    <row r="195" spans="2:64" s="6" customFormat="1" ht="27" customHeight="1">
      <c r="B195" s="21"/>
      <c r="C195" s="119" t="s">
        <v>259</v>
      </c>
      <c r="D195" s="119" t="s">
        <v>154</v>
      </c>
      <c r="E195" s="120" t="s">
        <v>260</v>
      </c>
      <c r="F195" s="141" t="s">
        <v>261</v>
      </c>
      <c r="G195" s="142"/>
      <c r="H195" s="142"/>
      <c r="I195" s="142"/>
      <c r="J195" s="121" t="s">
        <v>157</v>
      </c>
      <c r="K195" s="122">
        <v>0.189</v>
      </c>
      <c r="L195" s="143">
        <v>0</v>
      </c>
      <c r="M195" s="142"/>
      <c r="N195" s="144">
        <f>ROUND($L$195*$K$195,2)</f>
        <v>0</v>
      </c>
      <c r="O195" s="142"/>
      <c r="P195" s="142"/>
      <c r="Q195" s="142"/>
      <c r="R195" s="22"/>
      <c r="T195" s="123"/>
      <c r="U195" s="124" t="s">
        <v>38</v>
      </c>
      <c r="V195" s="125">
        <v>2.58</v>
      </c>
      <c r="W195" s="125">
        <f>$V$195*$K$195</f>
        <v>0.48762</v>
      </c>
      <c r="X195" s="125">
        <v>2.25634</v>
      </c>
      <c r="Y195" s="125">
        <f>$X$195*$K$195</f>
        <v>0.42644825999999997</v>
      </c>
      <c r="Z195" s="125">
        <v>0</v>
      </c>
      <c r="AA195" s="126">
        <f>$Z$195*$K$195</f>
        <v>0</v>
      </c>
      <c r="AR195" s="6" t="s">
        <v>158</v>
      </c>
      <c r="AT195" s="6" t="s">
        <v>154</v>
      </c>
      <c r="AU195" s="6" t="s">
        <v>99</v>
      </c>
      <c r="AY195" s="6" t="s">
        <v>153</v>
      </c>
      <c r="BE195" s="76">
        <f>IF($U$195="základní",$N$195,0)</f>
        <v>0</v>
      </c>
      <c r="BF195" s="76">
        <f>IF($U$195="snížená",$N$195,0)</f>
        <v>0</v>
      </c>
      <c r="BG195" s="76">
        <f>IF($U$195="zákl. přenesená",$N$195,0)</f>
        <v>0</v>
      </c>
      <c r="BH195" s="76">
        <f>IF($U$195="sníž. přenesená",$N$195,0)</f>
        <v>0</v>
      </c>
      <c r="BI195" s="76">
        <f>IF($U$195="nulová",$N$195,0)</f>
        <v>0</v>
      </c>
      <c r="BJ195" s="6" t="s">
        <v>16</v>
      </c>
      <c r="BK195" s="76">
        <f>ROUND($L$195*$K$195,2)</f>
        <v>0</v>
      </c>
      <c r="BL195" s="6" t="s">
        <v>158</v>
      </c>
    </row>
    <row r="196" spans="2:51" s="6" customFormat="1" ht="15.75" customHeight="1">
      <c r="B196" s="127"/>
      <c r="E196" s="128"/>
      <c r="F196" s="146" t="s">
        <v>262</v>
      </c>
      <c r="G196" s="147"/>
      <c r="H196" s="147"/>
      <c r="I196" s="147"/>
      <c r="K196" s="129">
        <v>0.189</v>
      </c>
      <c r="N196" s="128"/>
      <c r="R196" s="130"/>
      <c r="T196" s="131"/>
      <c r="AA196" s="132"/>
      <c r="AT196" s="128" t="s">
        <v>160</v>
      </c>
      <c r="AU196" s="128" t="s">
        <v>99</v>
      </c>
      <c r="AV196" s="133" t="s">
        <v>99</v>
      </c>
      <c r="AW196" s="133" t="s">
        <v>107</v>
      </c>
      <c r="AX196" s="133" t="s">
        <v>16</v>
      </c>
      <c r="AY196" s="128" t="s">
        <v>153</v>
      </c>
    </row>
    <row r="197" spans="2:64" s="6" customFormat="1" ht="27" customHeight="1">
      <c r="B197" s="21"/>
      <c r="C197" s="119" t="s">
        <v>263</v>
      </c>
      <c r="D197" s="119" t="s">
        <v>154</v>
      </c>
      <c r="E197" s="120" t="s">
        <v>264</v>
      </c>
      <c r="F197" s="141" t="s">
        <v>265</v>
      </c>
      <c r="G197" s="142"/>
      <c r="H197" s="142"/>
      <c r="I197" s="142"/>
      <c r="J197" s="121" t="s">
        <v>157</v>
      </c>
      <c r="K197" s="122">
        <v>0.189</v>
      </c>
      <c r="L197" s="143">
        <v>0</v>
      </c>
      <c r="M197" s="142"/>
      <c r="N197" s="144">
        <f>ROUND($L$197*$K$197,2)</f>
        <v>0</v>
      </c>
      <c r="O197" s="142"/>
      <c r="P197" s="142"/>
      <c r="Q197" s="142"/>
      <c r="R197" s="22"/>
      <c r="T197" s="123"/>
      <c r="U197" s="124" t="s">
        <v>38</v>
      </c>
      <c r="V197" s="125">
        <v>1.35</v>
      </c>
      <c r="W197" s="125">
        <f>$V$197*$K$197</f>
        <v>0.25515000000000004</v>
      </c>
      <c r="X197" s="125">
        <v>0.02</v>
      </c>
      <c r="Y197" s="125">
        <f>$X$197*$K$197</f>
        <v>0.00378</v>
      </c>
      <c r="Z197" s="125">
        <v>0</v>
      </c>
      <c r="AA197" s="126">
        <f>$Z$197*$K$197</f>
        <v>0</v>
      </c>
      <c r="AR197" s="6" t="s">
        <v>158</v>
      </c>
      <c r="AT197" s="6" t="s">
        <v>154</v>
      </c>
      <c r="AU197" s="6" t="s">
        <v>99</v>
      </c>
      <c r="AY197" s="6" t="s">
        <v>153</v>
      </c>
      <c r="BE197" s="76">
        <f>IF($U$197="základní",$N$197,0)</f>
        <v>0</v>
      </c>
      <c r="BF197" s="76">
        <f>IF($U$197="snížená",$N$197,0)</f>
        <v>0</v>
      </c>
      <c r="BG197" s="76">
        <f>IF($U$197="zákl. přenesená",$N$197,0)</f>
        <v>0</v>
      </c>
      <c r="BH197" s="76">
        <f>IF($U$197="sníž. přenesená",$N$197,0)</f>
        <v>0</v>
      </c>
      <c r="BI197" s="76">
        <f>IF($U$197="nulová",$N$197,0)</f>
        <v>0</v>
      </c>
      <c r="BJ197" s="6" t="s">
        <v>16</v>
      </c>
      <c r="BK197" s="76">
        <f>ROUND($L$197*$K$197,2)</f>
        <v>0</v>
      </c>
      <c r="BL197" s="6" t="s">
        <v>158</v>
      </c>
    </row>
    <row r="198" spans="2:64" s="6" customFormat="1" ht="27" customHeight="1">
      <c r="B198" s="21"/>
      <c r="C198" s="119" t="s">
        <v>266</v>
      </c>
      <c r="D198" s="119" t="s">
        <v>154</v>
      </c>
      <c r="E198" s="120" t="s">
        <v>267</v>
      </c>
      <c r="F198" s="141" t="s">
        <v>268</v>
      </c>
      <c r="G198" s="142"/>
      <c r="H198" s="142"/>
      <c r="I198" s="142"/>
      <c r="J198" s="121" t="s">
        <v>192</v>
      </c>
      <c r="K198" s="122">
        <v>0.917</v>
      </c>
      <c r="L198" s="143">
        <v>0</v>
      </c>
      <c r="M198" s="142"/>
      <c r="N198" s="144">
        <f>ROUND($L$198*$K$198,2)</f>
        <v>0</v>
      </c>
      <c r="O198" s="142"/>
      <c r="P198" s="142"/>
      <c r="Q198" s="142"/>
      <c r="R198" s="22"/>
      <c r="T198" s="123"/>
      <c r="U198" s="124" t="s">
        <v>38</v>
      </c>
      <c r="V198" s="125">
        <v>0.62</v>
      </c>
      <c r="W198" s="125">
        <f>$V$198*$K$198</f>
        <v>0.56854</v>
      </c>
      <c r="X198" s="125">
        <v>0.09336</v>
      </c>
      <c r="Y198" s="125">
        <f>$X$198*$K$198</f>
        <v>0.08561112</v>
      </c>
      <c r="Z198" s="125">
        <v>0</v>
      </c>
      <c r="AA198" s="126">
        <f>$Z$198*$K$198</f>
        <v>0</v>
      </c>
      <c r="AR198" s="6" t="s">
        <v>158</v>
      </c>
      <c r="AT198" s="6" t="s">
        <v>154</v>
      </c>
      <c r="AU198" s="6" t="s">
        <v>99</v>
      </c>
      <c r="AY198" s="6" t="s">
        <v>153</v>
      </c>
      <c r="BE198" s="76">
        <f>IF($U$198="základní",$N$198,0)</f>
        <v>0</v>
      </c>
      <c r="BF198" s="76">
        <f>IF($U$198="snížená",$N$198,0)</f>
        <v>0</v>
      </c>
      <c r="BG198" s="76">
        <f>IF($U$198="zákl. přenesená",$N$198,0)</f>
        <v>0</v>
      </c>
      <c r="BH198" s="76">
        <f>IF($U$198="sníž. přenesená",$N$198,0)</f>
        <v>0</v>
      </c>
      <c r="BI198" s="76">
        <f>IF($U$198="nulová",$N$198,0)</f>
        <v>0</v>
      </c>
      <c r="BJ198" s="6" t="s">
        <v>16</v>
      </c>
      <c r="BK198" s="76">
        <f>ROUND($L$198*$K$198,2)</f>
        <v>0</v>
      </c>
      <c r="BL198" s="6" t="s">
        <v>158</v>
      </c>
    </row>
    <row r="199" spans="2:51" s="6" customFormat="1" ht="15.75" customHeight="1">
      <c r="B199" s="127"/>
      <c r="E199" s="128"/>
      <c r="F199" s="146" t="s">
        <v>269</v>
      </c>
      <c r="G199" s="147"/>
      <c r="H199" s="147"/>
      <c r="I199" s="147"/>
      <c r="K199" s="129">
        <v>0.917</v>
      </c>
      <c r="N199" s="128"/>
      <c r="R199" s="130"/>
      <c r="T199" s="131"/>
      <c r="AA199" s="132"/>
      <c r="AT199" s="128" t="s">
        <v>160</v>
      </c>
      <c r="AU199" s="128" t="s">
        <v>99</v>
      </c>
      <c r="AV199" s="133" t="s">
        <v>99</v>
      </c>
      <c r="AW199" s="133" t="s">
        <v>107</v>
      </c>
      <c r="AX199" s="133" t="s">
        <v>16</v>
      </c>
      <c r="AY199" s="128" t="s">
        <v>153</v>
      </c>
    </row>
    <row r="200" spans="2:63" s="109" customFormat="1" ht="30.75" customHeight="1">
      <c r="B200" s="110"/>
      <c r="D200" s="118" t="s">
        <v>113</v>
      </c>
      <c r="N200" s="160">
        <f>$BK$200</f>
        <v>0</v>
      </c>
      <c r="O200" s="139"/>
      <c r="P200" s="139"/>
      <c r="Q200" s="139"/>
      <c r="R200" s="113"/>
      <c r="T200" s="114"/>
      <c r="W200" s="115">
        <f>SUM($W$201:$W$209)</f>
        <v>42.0228</v>
      </c>
      <c r="Y200" s="115">
        <f>SUM($Y$201:$Y$209)</f>
        <v>0.0015599999999999998</v>
      </c>
      <c r="AA200" s="116">
        <f>SUM($AA$201:$AA$209)</f>
        <v>0</v>
      </c>
      <c r="AR200" s="112" t="s">
        <v>16</v>
      </c>
      <c r="AT200" s="112" t="s">
        <v>72</v>
      </c>
      <c r="AU200" s="112" t="s">
        <v>16</v>
      </c>
      <c r="AY200" s="112" t="s">
        <v>153</v>
      </c>
      <c r="BK200" s="117">
        <f>SUM($BK$201:$BK$209)</f>
        <v>0</v>
      </c>
    </row>
    <row r="201" spans="2:64" s="6" customFormat="1" ht="39" customHeight="1">
      <c r="B201" s="21"/>
      <c r="C201" s="119" t="s">
        <v>270</v>
      </c>
      <c r="D201" s="119" t="s">
        <v>154</v>
      </c>
      <c r="E201" s="120" t="s">
        <v>271</v>
      </c>
      <c r="F201" s="141" t="s">
        <v>272</v>
      </c>
      <c r="G201" s="142"/>
      <c r="H201" s="142"/>
      <c r="I201" s="142"/>
      <c r="J201" s="121" t="s">
        <v>192</v>
      </c>
      <c r="K201" s="122">
        <v>156.78</v>
      </c>
      <c r="L201" s="143">
        <v>0</v>
      </c>
      <c r="M201" s="142"/>
      <c r="N201" s="144">
        <f>ROUND($L$201*$K$201,2)</f>
        <v>0</v>
      </c>
      <c r="O201" s="142"/>
      <c r="P201" s="142"/>
      <c r="Q201" s="142"/>
      <c r="R201" s="22"/>
      <c r="T201" s="123"/>
      <c r="U201" s="124" t="s">
        <v>38</v>
      </c>
      <c r="V201" s="125">
        <v>0.16</v>
      </c>
      <c r="W201" s="125">
        <f>$V$201*$K$201</f>
        <v>25.0848</v>
      </c>
      <c r="X201" s="125">
        <v>0</v>
      </c>
      <c r="Y201" s="125">
        <f>$X$201*$K$201</f>
        <v>0</v>
      </c>
      <c r="Z201" s="125">
        <v>0</v>
      </c>
      <c r="AA201" s="126">
        <f>$Z$201*$K$201</f>
        <v>0</v>
      </c>
      <c r="AR201" s="6" t="s">
        <v>158</v>
      </c>
      <c r="AT201" s="6" t="s">
        <v>154</v>
      </c>
      <c r="AU201" s="6" t="s">
        <v>99</v>
      </c>
      <c r="AY201" s="6" t="s">
        <v>153</v>
      </c>
      <c r="BE201" s="76">
        <f>IF($U$201="základní",$N$201,0)</f>
        <v>0</v>
      </c>
      <c r="BF201" s="76">
        <f>IF($U$201="snížená",$N$201,0)</f>
        <v>0</v>
      </c>
      <c r="BG201" s="76">
        <f>IF($U$201="zákl. přenesená",$N$201,0)</f>
        <v>0</v>
      </c>
      <c r="BH201" s="76">
        <f>IF($U$201="sníž. přenesená",$N$201,0)</f>
        <v>0</v>
      </c>
      <c r="BI201" s="76">
        <f>IF($U$201="nulová",$N$201,0)</f>
        <v>0</v>
      </c>
      <c r="BJ201" s="6" t="s">
        <v>16</v>
      </c>
      <c r="BK201" s="76">
        <f>ROUND($L$201*$K$201,2)</f>
        <v>0</v>
      </c>
      <c r="BL201" s="6" t="s">
        <v>158</v>
      </c>
    </row>
    <row r="202" spans="2:51" s="6" customFormat="1" ht="15.75" customHeight="1">
      <c r="B202" s="127"/>
      <c r="E202" s="128"/>
      <c r="F202" s="146" t="s">
        <v>273</v>
      </c>
      <c r="G202" s="147"/>
      <c r="H202" s="147"/>
      <c r="I202" s="147"/>
      <c r="K202" s="129">
        <v>40.95</v>
      </c>
      <c r="N202" s="128"/>
      <c r="R202" s="130"/>
      <c r="T202" s="131"/>
      <c r="AA202" s="132"/>
      <c r="AT202" s="128" t="s">
        <v>160</v>
      </c>
      <c r="AU202" s="128" t="s">
        <v>99</v>
      </c>
      <c r="AV202" s="133" t="s">
        <v>99</v>
      </c>
      <c r="AW202" s="133" t="s">
        <v>107</v>
      </c>
      <c r="AX202" s="133" t="s">
        <v>73</v>
      </c>
      <c r="AY202" s="128" t="s">
        <v>153</v>
      </c>
    </row>
    <row r="203" spans="2:51" s="6" customFormat="1" ht="27" customHeight="1">
      <c r="B203" s="127"/>
      <c r="E203" s="128"/>
      <c r="F203" s="146" t="s">
        <v>274</v>
      </c>
      <c r="G203" s="147"/>
      <c r="H203" s="147"/>
      <c r="I203" s="147"/>
      <c r="K203" s="129">
        <v>115.83</v>
      </c>
      <c r="N203" s="128"/>
      <c r="R203" s="130"/>
      <c r="T203" s="131"/>
      <c r="AA203" s="132"/>
      <c r="AT203" s="128" t="s">
        <v>160</v>
      </c>
      <c r="AU203" s="128" t="s">
        <v>99</v>
      </c>
      <c r="AV203" s="133" t="s">
        <v>99</v>
      </c>
      <c r="AW203" s="133" t="s">
        <v>107</v>
      </c>
      <c r="AX203" s="133" t="s">
        <v>73</v>
      </c>
      <c r="AY203" s="128" t="s">
        <v>153</v>
      </c>
    </row>
    <row r="204" spans="2:64" s="6" customFormat="1" ht="39" customHeight="1">
      <c r="B204" s="21"/>
      <c r="C204" s="119" t="s">
        <v>275</v>
      </c>
      <c r="D204" s="119" t="s">
        <v>154</v>
      </c>
      <c r="E204" s="120" t="s">
        <v>276</v>
      </c>
      <c r="F204" s="141" t="s">
        <v>277</v>
      </c>
      <c r="G204" s="142"/>
      <c r="H204" s="142"/>
      <c r="I204" s="142"/>
      <c r="J204" s="121" t="s">
        <v>192</v>
      </c>
      <c r="K204" s="122">
        <v>3714.75</v>
      </c>
      <c r="L204" s="143">
        <v>0</v>
      </c>
      <c r="M204" s="142"/>
      <c r="N204" s="144">
        <f>ROUND($L$204*$K$204,2)</f>
        <v>0</v>
      </c>
      <c r="O204" s="142"/>
      <c r="P204" s="142"/>
      <c r="Q204" s="142"/>
      <c r="R204" s="22"/>
      <c r="T204" s="123"/>
      <c r="U204" s="124" t="s">
        <v>38</v>
      </c>
      <c r="V204" s="125">
        <v>0</v>
      </c>
      <c r="W204" s="125">
        <f>$V$204*$K$204</f>
        <v>0</v>
      </c>
      <c r="X204" s="125">
        <v>0</v>
      </c>
      <c r="Y204" s="125">
        <f>$X$204*$K$204</f>
        <v>0</v>
      </c>
      <c r="Z204" s="125">
        <v>0</v>
      </c>
      <c r="AA204" s="126">
        <f>$Z$204*$K$204</f>
        <v>0</v>
      </c>
      <c r="AR204" s="6" t="s">
        <v>158</v>
      </c>
      <c r="AT204" s="6" t="s">
        <v>154</v>
      </c>
      <c r="AU204" s="6" t="s">
        <v>99</v>
      </c>
      <c r="AY204" s="6" t="s">
        <v>153</v>
      </c>
      <c r="BE204" s="76">
        <f>IF($U$204="základní",$N$204,0)</f>
        <v>0</v>
      </c>
      <c r="BF204" s="76">
        <f>IF($U$204="snížená",$N$204,0)</f>
        <v>0</v>
      </c>
      <c r="BG204" s="76">
        <f>IF($U$204="zákl. přenesená",$N$204,0)</f>
        <v>0</v>
      </c>
      <c r="BH204" s="76">
        <f>IF($U$204="sníž. přenesená",$N$204,0)</f>
        <v>0</v>
      </c>
      <c r="BI204" s="76">
        <f>IF($U$204="nulová",$N$204,0)</f>
        <v>0</v>
      </c>
      <c r="BJ204" s="6" t="s">
        <v>16</v>
      </c>
      <c r="BK204" s="76">
        <f>ROUND($L$204*$K$204,2)</f>
        <v>0</v>
      </c>
      <c r="BL204" s="6" t="s">
        <v>158</v>
      </c>
    </row>
    <row r="205" spans="2:51" s="6" customFormat="1" ht="15.75" customHeight="1">
      <c r="B205" s="127"/>
      <c r="E205" s="128"/>
      <c r="F205" s="146" t="s">
        <v>278</v>
      </c>
      <c r="G205" s="147"/>
      <c r="H205" s="147"/>
      <c r="I205" s="147"/>
      <c r="K205" s="129">
        <v>819</v>
      </c>
      <c r="N205" s="128"/>
      <c r="R205" s="130"/>
      <c r="T205" s="131"/>
      <c r="AA205" s="132"/>
      <c r="AT205" s="128" t="s">
        <v>160</v>
      </c>
      <c r="AU205" s="128" t="s">
        <v>99</v>
      </c>
      <c r="AV205" s="133" t="s">
        <v>99</v>
      </c>
      <c r="AW205" s="133" t="s">
        <v>107</v>
      </c>
      <c r="AX205" s="133" t="s">
        <v>73</v>
      </c>
      <c r="AY205" s="128" t="s">
        <v>153</v>
      </c>
    </row>
    <row r="206" spans="2:51" s="6" customFormat="1" ht="27" customHeight="1">
      <c r="B206" s="127"/>
      <c r="E206" s="128"/>
      <c r="F206" s="146" t="s">
        <v>279</v>
      </c>
      <c r="G206" s="147"/>
      <c r="H206" s="147"/>
      <c r="I206" s="147"/>
      <c r="K206" s="129">
        <v>2895.75</v>
      </c>
      <c r="N206" s="128"/>
      <c r="R206" s="130"/>
      <c r="T206" s="131"/>
      <c r="AA206" s="132"/>
      <c r="AT206" s="128" t="s">
        <v>160</v>
      </c>
      <c r="AU206" s="128" t="s">
        <v>99</v>
      </c>
      <c r="AV206" s="133" t="s">
        <v>99</v>
      </c>
      <c r="AW206" s="133" t="s">
        <v>107</v>
      </c>
      <c r="AX206" s="133" t="s">
        <v>73</v>
      </c>
      <c r="AY206" s="128" t="s">
        <v>153</v>
      </c>
    </row>
    <row r="207" spans="2:64" s="6" customFormat="1" ht="39" customHeight="1">
      <c r="B207" s="21"/>
      <c r="C207" s="119" t="s">
        <v>280</v>
      </c>
      <c r="D207" s="119" t="s">
        <v>154</v>
      </c>
      <c r="E207" s="120" t="s">
        <v>281</v>
      </c>
      <c r="F207" s="141" t="s">
        <v>282</v>
      </c>
      <c r="G207" s="142"/>
      <c r="H207" s="142"/>
      <c r="I207" s="142"/>
      <c r="J207" s="121" t="s">
        <v>192</v>
      </c>
      <c r="K207" s="122">
        <v>156.78</v>
      </c>
      <c r="L207" s="143">
        <v>0</v>
      </c>
      <c r="M207" s="142"/>
      <c r="N207" s="144">
        <f>ROUND($L$207*$K$207,2)</f>
        <v>0</v>
      </c>
      <c r="O207" s="142"/>
      <c r="P207" s="142"/>
      <c r="Q207" s="142"/>
      <c r="R207" s="22"/>
      <c r="T207" s="123"/>
      <c r="U207" s="124" t="s">
        <v>38</v>
      </c>
      <c r="V207" s="125">
        <v>0.1</v>
      </c>
      <c r="W207" s="125">
        <f>$V$207*$K$207</f>
        <v>15.678</v>
      </c>
      <c r="X207" s="125">
        <v>0</v>
      </c>
      <c r="Y207" s="125">
        <f>$X$207*$K$207</f>
        <v>0</v>
      </c>
      <c r="Z207" s="125">
        <v>0</v>
      </c>
      <c r="AA207" s="126">
        <f>$Z$207*$K$207</f>
        <v>0</v>
      </c>
      <c r="AR207" s="6" t="s">
        <v>158</v>
      </c>
      <c r="AT207" s="6" t="s">
        <v>154</v>
      </c>
      <c r="AU207" s="6" t="s">
        <v>99</v>
      </c>
      <c r="AY207" s="6" t="s">
        <v>153</v>
      </c>
      <c r="BE207" s="76">
        <f>IF($U$207="základní",$N$207,0)</f>
        <v>0</v>
      </c>
      <c r="BF207" s="76">
        <f>IF($U$207="snížená",$N$207,0)</f>
        <v>0</v>
      </c>
      <c r="BG207" s="76">
        <f>IF($U$207="zákl. přenesená",$N$207,0)</f>
        <v>0</v>
      </c>
      <c r="BH207" s="76">
        <f>IF($U$207="sníž. přenesená",$N$207,0)</f>
        <v>0</v>
      </c>
      <c r="BI207" s="76">
        <f>IF($U$207="nulová",$N$207,0)</f>
        <v>0</v>
      </c>
      <c r="BJ207" s="6" t="s">
        <v>16</v>
      </c>
      <c r="BK207" s="76">
        <f>ROUND($L$207*$K$207,2)</f>
        <v>0</v>
      </c>
      <c r="BL207" s="6" t="s">
        <v>158</v>
      </c>
    </row>
    <row r="208" spans="2:64" s="6" customFormat="1" ht="39" customHeight="1">
      <c r="B208" s="21"/>
      <c r="C208" s="119" t="s">
        <v>283</v>
      </c>
      <c r="D208" s="119" t="s">
        <v>154</v>
      </c>
      <c r="E208" s="120" t="s">
        <v>284</v>
      </c>
      <c r="F208" s="141" t="s">
        <v>285</v>
      </c>
      <c r="G208" s="142"/>
      <c r="H208" s="142"/>
      <c r="I208" s="142"/>
      <c r="J208" s="121" t="s">
        <v>192</v>
      </c>
      <c r="K208" s="122">
        <v>12</v>
      </c>
      <c r="L208" s="143">
        <v>0</v>
      </c>
      <c r="M208" s="142"/>
      <c r="N208" s="144">
        <f>ROUND($L$208*$K$208,2)</f>
        <v>0</v>
      </c>
      <c r="O208" s="142"/>
      <c r="P208" s="142"/>
      <c r="Q208" s="142"/>
      <c r="R208" s="22"/>
      <c r="T208" s="123"/>
      <c r="U208" s="124" t="s">
        <v>38</v>
      </c>
      <c r="V208" s="125">
        <v>0.105</v>
      </c>
      <c r="W208" s="125">
        <f>$V$208*$K$208</f>
        <v>1.26</v>
      </c>
      <c r="X208" s="125">
        <v>0.00013</v>
      </c>
      <c r="Y208" s="125">
        <f>$X$208*$K$208</f>
        <v>0.0015599999999999998</v>
      </c>
      <c r="Z208" s="125">
        <v>0</v>
      </c>
      <c r="AA208" s="126">
        <f>$Z$208*$K$208</f>
        <v>0</v>
      </c>
      <c r="AR208" s="6" t="s">
        <v>158</v>
      </c>
      <c r="AT208" s="6" t="s">
        <v>154</v>
      </c>
      <c r="AU208" s="6" t="s">
        <v>99</v>
      </c>
      <c r="AY208" s="6" t="s">
        <v>153</v>
      </c>
      <c r="BE208" s="76">
        <f>IF($U$208="základní",$N$208,0)</f>
        <v>0</v>
      </c>
      <c r="BF208" s="76">
        <f>IF($U$208="snížená",$N$208,0)</f>
        <v>0</v>
      </c>
      <c r="BG208" s="76">
        <f>IF($U$208="zákl. přenesená",$N$208,0)</f>
        <v>0</v>
      </c>
      <c r="BH208" s="76">
        <f>IF($U$208="sníž. přenesená",$N$208,0)</f>
        <v>0</v>
      </c>
      <c r="BI208" s="76">
        <f>IF($U$208="nulová",$N$208,0)</f>
        <v>0</v>
      </c>
      <c r="BJ208" s="6" t="s">
        <v>16</v>
      </c>
      <c r="BK208" s="76">
        <f>ROUND($L$208*$K$208,2)</f>
        <v>0</v>
      </c>
      <c r="BL208" s="6" t="s">
        <v>158</v>
      </c>
    </row>
    <row r="209" spans="2:51" s="6" customFormat="1" ht="15.75" customHeight="1">
      <c r="B209" s="127"/>
      <c r="E209" s="128"/>
      <c r="F209" s="146" t="s">
        <v>286</v>
      </c>
      <c r="G209" s="147"/>
      <c r="H209" s="147"/>
      <c r="I209" s="147"/>
      <c r="K209" s="129">
        <v>12</v>
      </c>
      <c r="N209" s="128"/>
      <c r="R209" s="130"/>
      <c r="T209" s="131"/>
      <c r="AA209" s="132"/>
      <c r="AT209" s="128" t="s">
        <v>160</v>
      </c>
      <c r="AU209" s="128" t="s">
        <v>99</v>
      </c>
      <c r="AV209" s="133" t="s">
        <v>99</v>
      </c>
      <c r="AW209" s="133" t="s">
        <v>107</v>
      </c>
      <c r="AX209" s="133" t="s">
        <v>16</v>
      </c>
      <c r="AY209" s="128" t="s">
        <v>153</v>
      </c>
    </row>
    <row r="210" spans="2:63" s="109" customFormat="1" ht="30.75" customHeight="1">
      <c r="B210" s="110"/>
      <c r="D210" s="118" t="s">
        <v>114</v>
      </c>
      <c r="N210" s="160">
        <f>$BK$210</f>
        <v>0</v>
      </c>
      <c r="O210" s="139"/>
      <c r="P210" s="139"/>
      <c r="Q210" s="139"/>
      <c r="R210" s="113"/>
      <c r="T210" s="114"/>
      <c r="W210" s="115">
        <f>SUM($W$211:$W$231)</f>
        <v>36.004863</v>
      </c>
      <c r="Y210" s="115">
        <f>SUM($Y$211:$Y$231)</f>
        <v>0</v>
      </c>
      <c r="AA210" s="116">
        <f>SUM($AA$211:$AA$231)</f>
        <v>10.623740999999999</v>
      </c>
      <c r="AR210" s="112" t="s">
        <v>16</v>
      </c>
      <c r="AT210" s="112" t="s">
        <v>72</v>
      </c>
      <c r="AU210" s="112" t="s">
        <v>16</v>
      </c>
      <c r="AY210" s="112" t="s">
        <v>153</v>
      </c>
      <c r="BK210" s="117">
        <f>SUM($BK$211:$BK$231)</f>
        <v>0</v>
      </c>
    </row>
    <row r="211" spans="2:64" s="6" customFormat="1" ht="27" customHeight="1">
      <c r="B211" s="21"/>
      <c r="C211" s="119" t="s">
        <v>287</v>
      </c>
      <c r="D211" s="119" t="s">
        <v>154</v>
      </c>
      <c r="E211" s="120" t="s">
        <v>288</v>
      </c>
      <c r="F211" s="141" t="s">
        <v>289</v>
      </c>
      <c r="G211" s="142"/>
      <c r="H211" s="142"/>
      <c r="I211" s="142"/>
      <c r="J211" s="121" t="s">
        <v>237</v>
      </c>
      <c r="K211" s="122">
        <v>3</v>
      </c>
      <c r="L211" s="143">
        <v>0</v>
      </c>
      <c r="M211" s="142"/>
      <c r="N211" s="144">
        <f>ROUND($L$211*$K$211,2)</f>
        <v>0</v>
      </c>
      <c r="O211" s="142"/>
      <c r="P211" s="142"/>
      <c r="Q211" s="142"/>
      <c r="R211" s="22"/>
      <c r="T211" s="123"/>
      <c r="U211" s="124" t="s">
        <v>38</v>
      </c>
      <c r="V211" s="125">
        <v>0.804</v>
      </c>
      <c r="W211" s="125">
        <f>$V$211*$K$211</f>
        <v>2.412</v>
      </c>
      <c r="X211" s="125">
        <v>0</v>
      </c>
      <c r="Y211" s="125">
        <f>$X$211*$K$211</f>
        <v>0</v>
      </c>
      <c r="Z211" s="125">
        <v>0.11</v>
      </c>
      <c r="AA211" s="126">
        <f>$Z$211*$K$211</f>
        <v>0.33</v>
      </c>
      <c r="AR211" s="6" t="s">
        <v>158</v>
      </c>
      <c r="AT211" s="6" t="s">
        <v>154</v>
      </c>
      <c r="AU211" s="6" t="s">
        <v>99</v>
      </c>
      <c r="AY211" s="6" t="s">
        <v>153</v>
      </c>
      <c r="BE211" s="76">
        <f>IF($U$211="základní",$N$211,0)</f>
        <v>0</v>
      </c>
      <c r="BF211" s="76">
        <f>IF($U$211="snížená",$N$211,0)</f>
        <v>0</v>
      </c>
      <c r="BG211" s="76">
        <f>IF($U$211="zákl. přenesená",$N$211,0)</f>
        <v>0</v>
      </c>
      <c r="BH211" s="76">
        <f>IF($U$211="sníž. přenesená",$N$211,0)</f>
        <v>0</v>
      </c>
      <c r="BI211" s="76">
        <f>IF($U$211="nulová",$N$211,0)</f>
        <v>0</v>
      </c>
      <c r="BJ211" s="6" t="s">
        <v>16</v>
      </c>
      <c r="BK211" s="76">
        <f>ROUND($L$211*$K$211,2)</f>
        <v>0</v>
      </c>
      <c r="BL211" s="6" t="s">
        <v>158</v>
      </c>
    </row>
    <row r="212" spans="2:51" s="6" customFormat="1" ht="15.75" customHeight="1">
      <c r="B212" s="127"/>
      <c r="E212" s="128"/>
      <c r="F212" s="146" t="s">
        <v>290</v>
      </c>
      <c r="G212" s="147"/>
      <c r="H212" s="147"/>
      <c r="I212" s="147"/>
      <c r="K212" s="129">
        <v>3</v>
      </c>
      <c r="N212" s="128"/>
      <c r="R212" s="130"/>
      <c r="T212" s="131"/>
      <c r="AA212" s="132"/>
      <c r="AT212" s="128" t="s">
        <v>160</v>
      </c>
      <c r="AU212" s="128" t="s">
        <v>99</v>
      </c>
      <c r="AV212" s="133" t="s">
        <v>99</v>
      </c>
      <c r="AW212" s="133" t="s">
        <v>107</v>
      </c>
      <c r="AX212" s="133" t="s">
        <v>16</v>
      </c>
      <c r="AY212" s="128" t="s">
        <v>153</v>
      </c>
    </row>
    <row r="213" spans="2:64" s="6" customFormat="1" ht="27" customHeight="1">
      <c r="B213" s="21"/>
      <c r="C213" s="119" t="s">
        <v>291</v>
      </c>
      <c r="D213" s="119" t="s">
        <v>154</v>
      </c>
      <c r="E213" s="120" t="s">
        <v>292</v>
      </c>
      <c r="F213" s="141" t="s">
        <v>293</v>
      </c>
      <c r="G213" s="142"/>
      <c r="H213" s="142"/>
      <c r="I213" s="142"/>
      <c r="J213" s="121" t="s">
        <v>192</v>
      </c>
      <c r="K213" s="122">
        <v>1.082</v>
      </c>
      <c r="L213" s="143">
        <v>0</v>
      </c>
      <c r="M213" s="142"/>
      <c r="N213" s="144">
        <f>ROUND($L$213*$K$213,2)</f>
        <v>0</v>
      </c>
      <c r="O213" s="142"/>
      <c r="P213" s="142"/>
      <c r="Q213" s="142"/>
      <c r="R213" s="22"/>
      <c r="T213" s="123"/>
      <c r="U213" s="124" t="s">
        <v>38</v>
      </c>
      <c r="V213" s="125">
        <v>0.425</v>
      </c>
      <c r="W213" s="125">
        <f>$V$213*$K$213</f>
        <v>0.45985000000000004</v>
      </c>
      <c r="X213" s="125">
        <v>0</v>
      </c>
      <c r="Y213" s="125">
        <f>$X$213*$K$213</f>
        <v>0</v>
      </c>
      <c r="Z213" s="125">
        <v>0.055</v>
      </c>
      <c r="AA213" s="126">
        <f>$Z$213*$K$213</f>
        <v>0.05951000000000001</v>
      </c>
      <c r="AR213" s="6" t="s">
        <v>158</v>
      </c>
      <c r="AT213" s="6" t="s">
        <v>154</v>
      </c>
      <c r="AU213" s="6" t="s">
        <v>99</v>
      </c>
      <c r="AY213" s="6" t="s">
        <v>153</v>
      </c>
      <c r="BE213" s="76">
        <f>IF($U$213="základní",$N$213,0)</f>
        <v>0</v>
      </c>
      <c r="BF213" s="76">
        <f>IF($U$213="snížená",$N$213,0)</f>
        <v>0</v>
      </c>
      <c r="BG213" s="76">
        <f>IF($U$213="zákl. přenesená",$N$213,0)</f>
        <v>0</v>
      </c>
      <c r="BH213" s="76">
        <f>IF($U$213="sníž. přenesená",$N$213,0)</f>
        <v>0</v>
      </c>
      <c r="BI213" s="76">
        <f>IF($U$213="nulová",$N$213,0)</f>
        <v>0</v>
      </c>
      <c r="BJ213" s="6" t="s">
        <v>16</v>
      </c>
      <c r="BK213" s="76">
        <f>ROUND($L$213*$K$213,2)</f>
        <v>0</v>
      </c>
      <c r="BL213" s="6" t="s">
        <v>158</v>
      </c>
    </row>
    <row r="214" spans="2:51" s="6" customFormat="1" ht="27" customHeight="1">
      <c r="B214" s="127"/>
      <c r="E214" s="128"/>
      <c r="F214" s="146" t="s">
        <v>294</v>
      </c>
      <c r="G214" s="147"/>
      <c r="H214" s="147"/>
      <c r="I214" s="147"/>
      <c r="K214" s="129">
        <v>1.082</v>
      </c>
      <c r="N214" s="128"/>
      <c r="R214" s="130"/>
      <c r="T214" s="131"/>
      <c r="AA214" s="132"/>
      <c r="AT214" s="128" t="s">
        <v>160</v>
      </c>
      <c r="AU214" s="128" t="s">
        <v>99</v>
      </c>
      <c r="AV214" s="133" t="s">
        <v>99</v>
      </c>
      <c r="AW214" s="133" t="s">
        <v>107</v>
      </c>
      <c r="AX214" s="133" t="s">
        <v>16</v>
      </c>
      <c r="AY214" s="128" t="s">
        <v>153</v>
      </c>
    </row>
    <row r="215" spans="2:64" s="6" customFormat="1" ht="27" customHeight="1">
      <c r="B215" s="21"/>
      <c r="C215" s="119" t="s">
        <v>295</v>
      </c>
      <c r="D215" s="119" t="s">
        <v>154</v>
      </c>
      <c r="E215" s="120" t="s">
        <v>296</v>
      </c>
      <c r="F215" s="141" t="s">
        <v>297</v>
      </c>
      <c r="G215" s="142"/>
      <c r="H215" s="142"/>
      <c r="I215" s="142"/>
      <c r="J215" s="121" t="s">
        <v>192</v>
      </c>
      <c r="K215" s="122">
        <v>2.078</v>
      </c>
      <c r="L215" s="143">
        <v>0</v>
      </c>
      <c r="M215" s="142"/>
      <c r="N215" s="144">
        <f>ROUND($L$215*$K$215,2)</f>
        <v>0</v>
      </c>
      <c r="O215" s="142"/>
      <c r="P215" s="142"/>
      <c r="Q215" s="142"/>
      <c r="R215" s="22"/>
      <c r="T215" s="123"/>
      <c r="U215" s="124" t="s">
        <v>38</v>
      </c>
      <c r="V215" s="125">
        <v>0.5</v>
      </c>
      <c r="W215" s="125">
        <f>$V$215*$K$215</f>
        <v>1.039</v>
      </c>
      <c r="X215" s="125">
        <v>0</v>
      </c>
      <c r="Y215" s="125">
        <f>$X$215*$K$215</f>
        <v>0</v>
      </c>
      <c r="Z215" s="125">
        <v>0.183</v>
      </c>
      <c r="AA215" s="126">
        <f>$Z$215*$K$215</f>
        <v>0.38027399999999995</v>
      </c>
      <c r="AR215" s="6" t="s">
        <v>158</v>
      </c>
      <c r="AT215" s="6" t="s">
        <v>154</v>
      </c>
      <c r="AU215" s="6" t="s">
        <v>99</v>
      </c>
      <c r="AY215" s="6" t="s">
        <v>153</v>
      </c>
      <c r="BE215" s="76">
        <f>IF($U$215="základní",$N$215,0)</f>
        <v>0</v>
      </c>
      <c r="BF215" s="76">
        <f>IF($U$215="snížená",$N$215,0)</f>
        <v>0</v>
      </c>
      <c r="BG215" s="76">
        <f>IF($U$215="zákl. přenesená",$N$215,0)</f>
        <v>0</v>
      </c>
      <c r="BH215" s="76">
        <f>IF($U$215="sníž. přenesená",$N$215,0)</f>
        <v>0</v>
      </c>
      <c r="BI215" s="76">
        <f>IF($U$215="nulová",$N$215,0)</f>
        <v>0</v>
      </c>
      <c r="BJ215" s="6" t="s">
        <v>16</v>
      </c>
      <c r="BK215" s="76">
        <f>ROUND($L$215*$K$215,2)</f>
        <v>0</v>
      </c>
      <c r="BL215" s="6" t="s">
        <v>158</v>
      </c>
    </row>
    <row r="216" spans="2:51" s="6" customFormat="1" ht="15.75" customHeight="1">
      <c r="B216" s="127"/>
      <c r="E216" s="128"/>
      <c r="F216" s="146" t="s">
        <v>298</v>
      </c>
      <c r="G216" s="147"/>
      <c r="H216" s="147"/>
      <c r="I216" s="147"/>
      <c r="K216" s="129">
        <v>0.655</v>
      </c>
      <c r="N216" s="128"/>
      <c r="R216" s="130"/>
      <c r="T216" s="131"/>
      <c r="AA216" s="132"/>
      <c r="AT216" s="128" t="s">
        <v>160</v>
      </c>
      <c r="AU216" s="128" t="s">
        <v>99</v>
      </c>
      <c r="AV216" s="133" t="s">
        <v>99</v>
      </c>
      <c r="AW216" s="133" t="s">
        <v>107</v>
      </c>
      <c r="AX216" s="133" t="s">
        <v>73</v>
      </c>
      <c r="AY216" s="128" t="s">
        <v>153</v>
      </c>
    </row>
    <row r="217" spans="2:51" s="6" customFormat="1" ht="15.75" customHeight="1">
      <c r="B217" s="127"/>
      <c r="E217" s="128"/>
      <c r="F217" s="146" t="s">
        <v>299</v>
      </c>
      <c r="G217" s="147"/>
      <c r="H217" s="147"/>
      <c r="I217" s="147"/>
      <c r="K217" s="129">
        <v>1.423</v>
      </c>
      <c r="N217" s="128"/>
      <c r="R217" s="130"/>
      <c r="T217" s="131"/>
      <c r="AA217" s="132"/>
      <c r="AT217" s="128" t="s">
        <v>160</v>
      </c>
      <c r="AU217" s="128" t="s">
        <v>99</v>
      </c>
      <c r="AV217" s="133" t="s">
        <v>99</v>
      </c>
      <c r="AW217" s="133" t="s">
        <v>107</v>
      </c>
      <c r="AX217" s="133" t="s">
        <v>73</v>
      </c>
      <c r="AY217" s="128" t="s">
        <v>153</v>
      </c>
    </row>
    <row r="218" spans="2:64" s="6" customFormat="1" ht="27" customHeight="1">
      <c r="B218" s="21"/>
      <c r="C218" s="119" t="s">
        <v>300</v>
      </c>
      <c r="D218" s="119" t="s">
        <v>154</v>
      </c>
      <c r="E218" s="120" t="s">
        <v>301</v>
      </c>
      <c r="F218" s="141" t="s">
        <v>302</v>
      </c>
      <c r="G218" s="142"/>
      <c r="H218" s="142"/>
      <c r="I218" s="142"/>
      <c r="J218" s="121" t="s">
        <v>192</v>
      </c>
      <c r="K218" s="122">
        <v>8.007</v>
      </c>
      <c r="L218" s="143">
        <v>0</v>
      </c>
      <c r="M218" s="142"/>
      <c r="N218" s="144">
        <f>ROUND($L$218*$K$218,2)</f>
        <v>0</v>
      </c>
      <c r="O218" s="142"/>
      <c r="P218" s="142"/>
      <c r="Q218" s="142"/>
      <c r="R218" s="22"/>
      <c r="T218" s="123"/>
      <c r="U218" s="124" t="s">
        <v>38</v>
      </c>
      <c r="V218" s="125">
        <v>0.503</v>
      </c>
      <c r="W218" s="125">
        <f>$V$218*$K$218</f>
        <v>4.027521</v>
      </c>
      <c r="X218" s="125">
        <v>0</v>
      </c>
      <c r="Y218" s="125">
        <f>$X$218*$K$218</f>
        <v>0</v>
      </c>
      <c r="Z218" s="125">
        <v>0.054</v>
      </c>
      <c r="AA218" s="126">
        <f>$Z$218*$K$218</f>
        <v>0.432378</v>
      </c>
      <c r="AR218" s="6" t="s">
        <v>158</v>
      </c>
      <c r="AT218" s="6" t="s">
        <v>154</v>
      </c>
      <c r="AU218" s="6" t="s">
        <v>99</v>
      </c>
      <c r="AY218" s="6" t="s">
        <v>153</v>
      </c>
      <c r="BE218" s="76">
        <f>IF($U$218="základní",$N$218,0)</f>
        <v>0</v>
      </c>
      <c r="BF218" s="76">
        <f>IF($U$218="snížená",$N$218,0)</f>
        <v>0</v>
      </c>
      <c r="BG218" s="76">
        <f>IF($U$218="zákl. přenesená",$N$218,0)</f>
        <v>0</v>
      </c>
      <c r="BH218" s="76">
        <f>IF($U$218="sníž. přenesená",$N$218,0)</f>
        <v>0</v>
      </c>
      <c r="BI218" s="76">
        <f>IF($U$218="nulová",$N$218,0)</f>
        <v>0</v>
      </c>
      <c r="BJ218" s="6" t="s">
        <v>16</v>
      </c>
      <c r="BK218" s="76">
        <f>ROUND($L$218*$K$218,2)</f>
        <v>0</v>
      </c>
      <c r="BL218" s="6" t="s">
        <v>158</v>
      </c>
    </row>
    <row r="219" spans="2:51" s="6" customFormat="1" ht="15.75" customHeight="1">
      <c r="B219" s="127"/>
      <c r="E219" s="128"/>
      <c r="F219" s="146" t="s">
        <v>303</v>
      </c>
      <c r="G219" s="147"/>
      <c r="H219" s="147"/>
      <c r="I219" s="147"/>
      <c r="K219" s="129">
        <v>8.007</v>
      </c>
      <c r="N219" s="128"/>
      <c r="R219" s="130"/>
      <c r="T219" s="131"/>
      <c r="AA219" s="132"/>
      <c r="AT219" s="128" t="s">
        <v>160</v>
      </c>
      <c r="AU219" s="128" t="s">
        <v>99</v>
      </c>
      <c r="AV219" s="133" t="s">
        <v>99</v>
      </c>
      <c r="AW219" s="133" t="s">
        <v>107</v>
      </c>
      <c r="AX219" s="133" t="s">
        <v>16</v>
      </c>
      <c r="AY219" s="128" t="s">
        <v>153</v>
      </c>
    </row>
    <row r="220" spans="2:64" s="6" customFormat="1" ht="27" customHeight="1">
      <c r="B220" s="21"/>
      <c r="C220" s="119" t="s">
        <v>304</v>
      </c>
      <c r="D220" s="119" t="s">
        <v>154</v>
      </c>
      <c r="E220" s="120" t="s">
        <v>305</v>
      </c>
      <c r="F220" s="141" t="s">
        <v>306</v>
      </c>
      <c r="G220" s="142"/>
      <c r="H220" s="142"/>
      <c r="I220" s="142"/>
      <c r="J220" s="121" t="s">
        <v>192</v>
      </c>
      <c r="K220" s="122">
        <v>0.81</v>
      </c>
      <c r="L220" s="143">
        <v>0</v>
      </c>
      <c r="M220" s="142"/>
      <c r="N220" s="144">
        <f>ROUND($L$220*$K$220,2)</f>
        <v>0</v>
      </c>
      <c r="O220" s="142"/>
      <c r="P220" s="142"/>
      <c r="Q220" s="142"/>
      <c r="R220" s="22"/>
      <c r="T220" s="123"/>
      <c r="U220" s="124" t="s">
        <v>38</v>
      </c>
      <c r="V220" s="125">
        <v>0.7</v>
      </c>
      <c r="W220" s="125">
        <f>$V$220*$K$220</f>
        <v>0.567</v>
      </c>
      <c r="X220" s="125">
        <v>0</v>
      </c>
      <c r="Y220" s="125">
        <f>$X$220*$K$220</f>
        <v>0</v>
      </c>
      <c r="Z220" s="125">
        <v>0.048</v>
      </c>
      <c r="AA220" s="126">
        <f>$Z$220*$K$220</f>
        <v>0.038880000000000005</v>
      </c>
      <c r="AR220" s="6" t="s">
        <v>158</v>
      </c>
      <c r="AT220" s="6" t="s">
        <v>154</v>
      </c>
      <c r="AU220" s="6" t="s">
        <v>99</v>
      </c>
      <c r="AY220" s="6" t="s">
        <v>153</v>
      </c>
      <c r="BE220" s="76">
        <f>IF($U$220="základní",$N$220,0)</f>
        <v>0</v>
      </c>
      <c r="BF220" s="76">
        <f>IF($U$220="snížená",$N$220,0)</f>
        <v>0</v>
      </c>
      <c r="BG220" s="76">
        <f>IF($U$220="zákl. přenesená",$N$220,0)</f>
        <v>0</v>
      </c>
      <c r="BH220" s="76">
        <f>IF($U$220="sníž. přenesená",$N$220,0)</f>
        <v>0</v>
      </c>
      <c r="BI220" s="76">
        <f>IF($U$220="nulová",$N$220,0)</f>
        <v>0</v>
      </c>
      <c r="BJ220" s="6" t="s">
        <v>16</v>
      </c>
      <c r="BK220" s="76">
        <f>ROUND($L$220*$K$220,2)</f>
        <v>0</v>
      </c>
      <c r="BL220" s="6" t="s">
        <v>158</v>
      </c>
    </row>
    <row r="221" spans="2:51" s="6" customFormat="1" ht="15.75" customHeight="1">
      <c r="B221" s="127"/>
      <c r="E221" s="128"/>
      <c r="F221" s="146" t="s">
        <v>307</v>
      </c>
      <c r="G221" s="147"/>
      <c r="H221" s="147"/>
      <c r="I221" s="147"/>
      <c r="K221" s="129">
        <v>0.81</v>
      </c>
      <c r="N221" s="128"/>
      <c r="R221" s="130"/>
      <c r="T221" s="131"/>
      <c r="AA221" s="132"/>
      <c r="AT221" s="128" t="s">
        <v>160</v>
      </c>
      <c r="AU221" s="128" t="s">
        <v>99</v>
      </c>
      <c r="AV221" s="133" t="s">
        <v>99</v>
      </c>
      <c r="AW221" s="133" t="s">
        <v>107</v>
      </c>
      <c r="AX221" s="133" t="s">
        <v>16</v>
      </c>
      <c r="AY221" s="128" t="s">
        <v>153</v>
      </c>
    </row>
    <row r="222" spans="2:64" s="6" customFormat="1" ht="27" customHeight="1">
      <c r="B222" s="21"/>
      <c r="C222" s="119" t="s">
        <v>308</v>
      </c>
      <c r="D222" s="119" t="s">
        <v>154</v>
      </c>
      <c r="E222" s="120" t="s">
        <v>309</v>
      </c>
      <c r="F222" s="141" t="s">
        <v>310</v>
      </c>
      <c r="G222" s="142"/>
      <c r="H222" s="142"/>
      <c r="I222" s="142"/>
      <c r="J222" s="121" t="s">
        <v>157</v>
      </c>
      <c r="K222" s="122">
        <v>2.569</v>
      </c>
      <c r="L222" s="143">
        <v>0</v>
      </c>
      <c r="M222" s="142"/>
      <c r="N222" s="144">
        <f>ROUND($L$222*$K$222,2)</f>
        <v>0</v>
      </c>
      <c r="O222" s="142"/>
      <c r="P222" s="142"/>
      <c r="Q222" s="142"/>
      <c r="R222" s="22"/>
      <c r="T222" s="123"/>
      <c r="U222" s="124" t="s">
        <v>38</v>
      </c>
      <c r="V222" s="125">
        <v>3.608</v>
      </c>
      <c r="W222" s="125">
        <f>$V$222*$K$222</f>
        <v>9.268952</v>
      </c>
      <c r="X222" s="125">
        <v>0</v>
      </c>
      <c r="Y222" s="125">
        <f>$X$222*$K$222</f>
        <v>0</v>
      </c>
      <c r="Z222" s="125">
        <v>1.8</v>
      </c>
      <c r="AA222" s="126">
        <f>$Z$222*$K$222</f>
        <v>4.6242</v>
      </c>
      <c r="AR222" s="6" t="s">
        <v>158</v>
      </c>
      <c r="AT222" s="6" t="s">
        <v>154</v>
      </c>
      <c r="AU222" s="6" t="s">
        <v>99</v>
      </c>
      <c r="AY222" s="6" t="s">
        <v>153</v>
      </c>
      <c r="BE222" s="76">
        <f>IF($U$222="základní",$N$222,0)</f>
        <v>0</v>
      </c>
      <c r="BF222" s="76">
        <f>IF($U$222="snížená",$N$222,0)</f>
        <v>0</v>
      </c>
      <c r="BG222" s="76">
        <f>IF($U$222="zákl. přenesená",$N$222,0)</f>
        <v>0</v>
      </c>
      <c r="BH222" s="76">
        <f>IF($U$222="sníž. přenesená",$N$222,0)</f>
        <v>0</v>
      </c>
      <c r="BI222" s="76">
        <f>IF($U$222="nulová",$N$222,0)</f>
        <v>0</v>
      </c>
      <c r="BJ222" s="6" t="s">
        <v>16</v>
      </c>
      <c r="BK222" s="76">
        <f>ROUND($L$222*$K$222,2)</f>
        <v>0</v>
      </c>
      <c r="BL222" s="6" t="s">
        <v>158</v>
      </c>
    </row>
    <row r="223" spans="2:51" s="6" customFormat="1" ht="15.75" customHeight="1">
      <c r="B223" s="127"/>
      <c r="E223" s="128"/>
      <c r="F223" s="146" t="s">
        <v>311</v>
      </c>
      <c r="G223" s="147"/>
      <c r="H223" s="147"/>
      <c r="I223" s="147"/>
      <c r="K223" s="129">
        <v>0.917</v>
      </c>
      <c r="N223" s="128"/>
      <c r="R223" s="130"/>
      <c r="T223" s="131"/>
      <c r="AA223" s="132"/>
      <c r="AT223" s="128" t="s">
        <v>160</v>
      </c>
      <c r="AU223" s="128" t="s">
        <v>99</v>
      </c>
      <c r="AV223" s="133" t="s">
        <v>99</v>
      </c>
      <c r="AW223" s="133" t="s">
        <v>107</v>
      </c>
      <c r="AX223" s="133" t="s">
        <v>73</v>
      </c>
      <c r="AY223" s="128" t="s">
        <v>153</v>
      </c>
    </row>
    <row r="224" spans="2:51" s="6" customFormat="1" ht="15.75" customHeight="1">
      <c r="B224" s="127"/>
      <c r="E224" s="128"/>
      <c r="F224" s="146" t="s">
        <v>312</v>
      </c>
      <c r="G224" s="147"/>
      <c r="H224" s="147"/>
      <c r="I224" s="147"/>
      <c r="K224" s="129">
        <v>1.008</v>
      </c>
      <c r="N224" s="128"/>
      <c r="R224" s="130"/>
      <c r="T224" s="131"/>
      <c r="AA224" s="132"/>
      <c r="AT224" s="128" t="s">
        <v>160</v>
      </c>
      <c r="AU224" s="128" t="s">
        <v>99</v>
      </c>
      <c r="AV224" s="133" t="s">
        <v>99</v>
      </c>
      <c r="AW224" s="133" t="s">
        <v>107</v>
      </c>
      <c r="AX224" s="133" t="s">
        <v>73</v>
      </c>
      <c r="AY224" s="128" t="s">
        <v>153</v>
      </c>
    </row>
    <row r="225" spans="2:51" s="6" customFormat="1" ht="15.75" customHeight="1">
      <c r="B225" s="127"/>
      <c r="E225" s="128"/>
      <c r="F225" s="146" t="s">
        <v>313</v>
      </c>
      <c r="G225" s="147"/>
      <c r="H225" s="147"/>
      <c r="I225" s="147"/>
      <c r="K225" s="129">
        <v>0.644</v>
      </c>
      <c r="N225" s="128"/>
      <c r="R225" s="130"/>
      <c r="T225" s="131"/>
      <c r="AA225" s="132"/>
      <c r="AT225" s="128" t="s">
        <v>160</v>
      </c>
      <c r="AU225" s="128" t="s">
        <v>99</v>
      </c>
      <c r="AV225" s="133" t="s">
        <v>99</v>
      </c>
      <c r="AW225" s="133" t="s">
        <v>107</v>
      </c>
      <c r="AX225" s="133" t="s">
        <v>73</v>
      </c>
      <c r="AY225" s="128" t="s">
        <v>153</v>
      </c>
    </row>
    <row r="226" spans="2:64" s="6" customFormat="1" ht="27" customHeight="1">
      <c r="B226" s="21"/>
      <c r="C226" s="119" t="s">
        <v>314</v>
      </c>
      <c r="D226" s="119" t="s">
        <v>154</v>
      </c>
      <c r="E226" s="120" t="s">
        <v>315</v>
      </c>
      <c r="F226" s="141" t="s">
        <v>316</v>
      </c>
      <c r="G226" s="142"/>
      <c r="H226" s="142"/>
      <c r="I226" s="142"/>
      <c r="J226" s="121" t="s">
        <v>157</v>
      </c>
      <c r="K226" s="122">
        <v>2.086</v>
      </c>
      <c r="L226" s="143">
        <v>0</v>
      </c>
      <c r="M226" s="142"/>
      <c r="N226" s="144">
        <f>ROUND($L$226*$K$226,2)</f>
        <v>0</v>
      </c>
      <c r="O226" s="142"/>
      <c r="P226" s="142"/>
      <c r="Q226" s="142"/>
      <c r="R226" s="22"/>
      <c r="T226" s="123"/>
      <c r="U226" s="124" t="s">
        <v>38</v>
      </c>
      <c r="V226" s="125">
        <v>4.67</v>
      </c>
      <c r="W226" s="125">
        <f>$V$226*$K$226</f>
        <v>9.74162</v>
      </c>
      <c r="X226" s="125">
        <v>0</v>
      </c>
      <c r="Y226" s="125">
        <f>$X$226*$K$226</f>
        <v>0</v>
      </c>
      <c r="Z226" s="125">
        <v>1.8</v>
      </c>
      <c r="AA226" s="126">
        <f>$Z$226*$K$226</f>
        <v>3.7548</v>
      </c>
      <c r="AR226" s="6" t="s">
        <v>158</v>
      </c>
      <c r="AT226" s="6" t="s">
        <v>154</v>
      </c>
      <c r="AU226" s="6" t="s">
        <v>99</v>
      </c>
      <c r="AY226" s="6" t="s">
        <v>153</v>
      </c>
      <c r="BE226" s="76">
        <f>IF($U$226="základní",$N$226,0)</f>
        <v>0</v>
      </c>
      <c r="BF226" s="76">
        <f>IF($U$226="snížená",$N$226,0)</f>
        <v>0</v>
      </c>
      <c r="BG226" s="76">
        <f>IF($U$226="zákl. přenesená",$N$226,0)</f>
        <v>0</v>
      </c>
      <c r="BH226" s="76">
        <f>IF($U$226="sníž. přenesená",$N$226,0)</f>
        <v>0</v>
      </c>
      <c r="BI226" s="76">
        <f>IF($U$226="nulová",$N$226,0)</f>
        <v>0</v>
      </c>
      <c r="BJ226" s="6" t="s">
        <v>16</v>
      </c>
      <c r="BK226" s="76">
        <f>ROUND($L$226*$K$226,2)</f>
        <v>0</v>
      </c>
      <c r="BL226" s="6" t="s">
        <v>158</v>
      </c>
    </row>
    <row r="227" spans="2:51" s="6" customFormat="1" ht="15.75" customHeight="1">
      <c r="B227" s="127"/>
      <c r="E227" s="128"/>
      <c r="F227" s="146" t="s">
        <v>317</v>
      </c>
      <c r="G227" s="147"/>
      <c r="H227" s="147"/>
      <c r="I227" s="147"/>
      <c r="K227" s="129">
        <v>2.086</v>
      </c>
      <c r="N227" s="128"/>
      <c r="R227" s="130"/>
      <c r="T227" s="131"/>
      <c r="AA227" s="132"/>
      <c r="AT227" s="128" t="s">
        <v>160</v>
      </c>
      <c r="AU227" s="128" t="s">
        <v>99</v>
      </c>
      <c r="AV227" s="133" t="s">
        <v>99</v>
      </c>
      <c r="AW227" s="133" t="s">
        <v>107</v>
      </c>
      <c r="AX227" s="133" t="s">
        <v>16</v>
      </c>
      <c r="AY227" s="128" t="s">
        <v>153</v>
      </c>
    </row>
    <row r="228" spans="2:64" s="6" customFormat="1" ht="27" customHeight="1">
      <c r="B228" s="21"/>
      <c r="C228" s="119" t="s">
        <v>318</v>
      </c>
      <c r="D228" s="119" t="s">
        <v>154</v>
      </c>
      <c r="E228" s="120" t="s">
        <v>319</v>
      </c>
      <c r="F228" s="141" t="s">
        <v>320</v>
      </c>
      <c r="G228" s="142"/>
      <c r="H228" s="142"/>
      <c r="I228" s="142"/>
      <c r="J228" s="121" t="s">
        <v>237</v>
      </c>
      <c r="K228" s="122">
        <v>8.5</v>
      </c>
      <c r="L228" s="143">
        <v>0</v>
      </c>
      <c r="M228" s="142"/>
      <c r="N228" s="144">
        <f>ROUND($L$228*$K$228,2)</f>
        <v>0</v>
      </c>
      <c r="O228" s="142"/>
      <c r="P228" s="142"/>
      <c r="Q228" s="142"/>
      <c r="R228" s="22"/>
      <c r="T228" s="123"/>
      <c r="U228" s="124" t="s">
        <v>38</v>
      </c>
      <c r="V228" s="125">
        <v>0.715</v>
      </c>
      <c r="W228" s="125">
        <f>$V$228*$K$228</f>
        <v>6.0775</v>
      </c>
      <c r="X228" s="125">
        <v>0</v>
      </c>
      <c r="Y228" s="125">
        <f>$X$228*$K$228</f>
        <v>0</v>
      </c>
      <c r="Z228" s="125">
        <v>0.042</v>
      </c>
      <c r="AA228" s="126">
        <f>$Z$228*$K$228</f>
        <v>0.35700000000000004</v>
      </c>
      <c r="AR228" s="6" t="s">
        <v>158</v>
      </c>
      <c r="AT228" s="6" t="s">
        <v>154</v>
      </c>
      <c r="AU228" s="6" t="s">
        <v>99</v>
      </c>
      <c r="AY228" s="6" t="s">
        <v>153</v>
      </c>
      <c r="BE228" s="76">
        <f>IF($U$228="základní",$N$228,0)</f>
        <v>0</v>
      </c>
      <c r="BF228" s="76">
        <f>IF($U$228="snížená",$N$228,0)</f>
        <v>0</v>
      </c>
      <c r="BG228" s="76">
        <f>IF($U$228="zákl. přenesená",$N$228,0)</f>
        <v>0</v>
      </c>
      <c r="BH228" s="76">
        <f>IF($U$228="sníž. přenesená",$N$228,0)</f>
        <v>0</v>
      </c>
      <c r="BI228" s="76">
        <f>IF($U$228="nulová",$N$228,0)</f>
        <v>0</v>
      </c>
      <c r="BJ228" s="6" t="s">
        <v>16</v>
      </c>
      <c r="BK228" s="76">
        <f>ROUND($L$228*$K$228,2)</f>
        <v>0</v>
      </c>
      <c r="BL228" s="6" t="s">
        <v>158</v>
      </c>
    </row>
    <row r="229" spans="2:51" s="6" customFormat="1" ht="15.75" customHeight="1">
      <c r="B229" s="127"/>
      <c r="E229" s="128"/>
      <c r="F229" s="146" t="s">
        <v>321</v>
      </c>
      <c r="G229" s="147"/>
      <c r="H229" s="147"/>
      <c r="I229" s="147"/>
      <c r="K229" s="129">
        <v>8.5</v>
      </c>
      <c r="N229" s="128"/>
      <c r="R229" s="130"/>
      <c r="T229" s="131"/>
      <c r="AA229" s="132"/>
      <c r="AT229" s="128" t="s">
        <v>160</v>
      </c>
      <c r="AU229" s="128" t="s">
        <v>99</v>
      </c>
      <c r="AV229" s="133" t="s">
        <v>99</v>
      </c>
      <c r="AW229" s="133" t="s">
        <v>107</v>
      </c>
      <c r="AX229" s="133" t="s">
        <v>16</v>
      </c>
      <c r="AY229" s="128" t="s">
        <v>153</v>
      </c>
    </row>
    <row r="230" spans="2:64" s="6" customFormat="1" ht="27" customHeight="1">
      <c r="B230" s="21"/>
      <c r="C230" s="119" t="s">
        <v>322</v>
      </c>
      <c r="D230" s="119" t="s">
        <v>154</v>
      </c>
      <c r="E230" s="120" t="s">
        <v>323</v>
      </c>
      <c r="F230" s="141" t="s">
        <v>324</v>
      </c>
      <c r="G230" s="142"/>
      <c r="H230" s="142"/>
      <c r="I230" s="142"/>
      <c r="J230" s="121" t="s">
        <v>192</v>
      </c>
      <c r="K230" s="122">
        <v>10.961</v>
      </c>
      <c r="L230" s="143">
        <v>0</v>
      </c>
      <c r="M230" s="142"/>
      <c r="N230" s="144">
        <f>ROUND($L$230*$K$230,2)</f>
        <v>0</v>
      </c>
      <c r="O230" s="142"/>
      <c r="P230" s="142"/>
      <c r="Q230" s="142"/>
      <c r="R230" s="22"/>
      <c r="T230" s="123"/>
      <c r="U230" s="124" t="s">
        <v>38</v>
      </c>
      <c r="V230" s="125">
        <v>0.22</v>
      </c>
      <c r="W230" s="125">
        <f>$V$230*$K$230</f>
        <v>2.41142</v>
      </c>
      <c r="X230" s="125">
        <v>0</v>
      </c>
      <c r="Y230" s="125">
        <f>$X$230*$K$230</f>
        <v>0</v>
      </c>
      <c r="Z230" s="125">
        <v>0.059</v>
      </c>
      <c r="AA230" s="126">
        <f>$Z$230*$K$230</f>
        <v>0.646699</v>
      </c>
      <c r="AR230" s="6" t="s">
        <v>158</v>
      </c>
      <c r="AT230" s="6" t="s">
        <v>154</v>
      </c>
      <c r="AU230" s="6" t="s">
        <v>99</v>
      </c>
      <c r="AY230" s="6" t="s">
        <v>153</v>
      </c>
      <c r="BE230" s="76">
        <f>IF($U$230="základní",$N$230,0)</f>
        <v>0</v>
      </c>
      <c r="BF230" s="76">
        <f>IF($U$230="snížená",$N$230,0)</f>
        <v>0</v>
      </c>
      <c r="BG230" s="76">
        <f>IF($U$230="zákl. přenesená",$N$230,0)</f>
        <v>0</v>
      </c>
      <c r="BH230" s="76">
        <f>IF($U$230="sníž. přenesená",$N$230,0)</f>
        <v>0</v>
      </c>
      <c r="BI230" s="76">
        <f>IF($U$230="nulová",$N$230,0)</f>
        <v>0</v>
      </c>
      <c r="BJ230" s="6" t="s">
        <v>16</v>
      </c>
      <c r="BK230" s="76">
        <f>ROUND($L$230*$K$230,2)</f>
        <v>0</v>
      </c>
      <c r="BL230" s="6" t="s">
        <v>158</v>
      </c>
    </row>
    <row r="231" spans="2:51" s="6" customFormat="1" ht="15.75" customHeight="1">
      <c r="B231" s="127"/>
      <c r="E231" s="128"/>
      <c r="F231" s="146" t="s">
        <v>325</v>
      </c>
      <c r="G231" s="147"/>
      <c r="H231" s="147"/>
      <c r="I231" s="147"/>
      <c r="K231" s="129">
        <v>10.961</v>
      </c>
      <c r="N231" s="128"/>
      <c r="R231" s="130"/>
      <c r="T231" s="131"/>
      <c r="AA231" s="132"/>
      <c r="AT231" s="128" t="s">
        <v>160</v>
      </c>
      <c r="AU231" s="128" t="s">
        <v>99</v>
      </c>
      <c r="AV231" s="133" t="s">
        <v>99</v>
      </c>
      <c r="AW231" s="133" t="s">
        <v>107</v>
      </c>
      <c r="AX231" s="133" t="s">
        <v>16</v>
      </c>
      <c r="AY231" s="128" t="s">
        <v>153</v>
      </c>
    </row>
    <row r="232" spans="2:63" s="109" customFormat="1" ht="30.75" customHeight="1">
      <c r="B232" s="110"/>
      <c r="D232" s="118" t="s">
        <v>115</v>
      </c>
      <c r="N232" s="160">
        <f>$BK$232</f>
        <v>0</v>
      </c>
      <c r="O232" s="139"/>
      <c r="P232" s="139"/>
      <c r="Q232" s="139"/>
      <c r="R232" s="113"/>
      <c r="T232" s="114"/>
      <c r="W232" s="115">
        <f>SUM($W$233:$W$240)</f>
        <v>71.976159</v>
      </c>
      <c r="Y232" s="115">
        <f>SUM($Y$233:$Y$240)</f>
        <v>0</v>
      </c>
      <c r="AA232" s="116">
        <f>SUM($AA$233:$AA$240)</f>
        <v>0</v>
      </c>
      <c r="AR232" s="112" t="s">
        <v>16</v>
      </c>
      <c r="AT232" s="112" t="s">
        <v>72</v>
      </c>
      <c r="AU232" s="112" t="s">
        <v>16</v>
      </c>
      <c r="AY232" s="112" t="s">
        <v>153</v>
      </c>
      <c r="BK232" s="117">
        <f>SUM($BK$233:$BK$240)</f>
        <v>0</v>
      </c>
    </row>
    <row r="233" spans="2:64" s="6" customFormat="1" ht="39" customHeight="1">
      <c r="B233" s="21"/>
      <c r="C233" s="119" t="s">
        <v>326</v>
      </c>
      <c r="D233" s="119" t="s">
        <v>154</v>
      </c>
      <c r="E233" s="120" t="s">
        <v>327</v>
      </c>
      <c r="F233" s="141" t="s">
        <v>328</v>
      </c>
      <c r="G233" s="142"/>
      <c r="H233" s="142"/>
      <c r="I233" s="142"/>
      <c r="J233" s="121" t="s">
        <v>173</v>
      </c>
      <c r="K233" s="122">
        <v>10.777</v>
      </c>
      <c r="L233" s="143">
        <v>0</v>
      </c>
      <c r="M233" s="142"/>
      <c r="N233" s="144">
        <f>ROUND($L$233*$K$233,2)</f>
        <v>0</v>
      </c>
      <c r="O233" s="142"/>
      <c r="P233" s="142"/>
      <c r="Q233" s="142"/>
      <c r="R233" s="22"/>
      <c r="T233" s="123"/>
      <c r="U233" s="124" t="s">
        <v>38</v>
      </c>
      <c r="V233" s="125">
        <v>2.46</v>
      </c>
      <c r="W233" s="125">
        <f>$V$233*$K$233</f>
        <v>26.511419999999998</v>
      </c>
      <c r="X233" s="125">
        <v>0</v>
      </c>
      <c r="Y233" s="125">
        <f>$X$233*$K$233</f>
        <v>0</v>
      </c>
      <c r="Z233" s="125">
        <v>0</v>
      </c>
      <c r="AA233" s="126">
        <f>$Z$233*$K$233</f>
        <v>0</v>
      </c>
      <c r="AR233" s="6" t="s">
        <v>158</v>
      </c>
      <c r="AT233" s="6" t="s">
        <v>154</v>
      </c>
      <c r="AU233" s="6" t="s">
        <v>99</v>
      </c>
      <c r="AY233" s="6" t="s">
        <v>153</v>
      </c>
      <c r="BE233" s="76">
        <f>IF($U$233="základní",$N$233,0)</f>
        <v>0</v>
      </c>
      <c r="BF233" s="76">
        <f>IF($U$233="snížená",$N$233,0)</f>
        <v>0</v>
      </c>
      <c r="BG233" s="76">
        <f>IF($U$233="zákl. přenesená",$N$233,0)</f>
        <v>0</v>
      </c>
      <c r="BH233" s="76">
        <f>IF($U$233="sníž. přenesená",$N$233,0)</f>
        <v>0</v>
      </c>
      <c r="BI233" s="76">
        <f>IF($U$233="nulová",$N$233,0)</f>
        <v>0</v>
      </c>
      <c r="BJ233" s="6" t="s">
        <v>16</v>
      </c>
      <c r="BK233" s="76">
        <f>ROUND($L$233*$K$233,2)</f>
        <v>0</v>
      </c>
      <c r="BL233" s="6" t="s">
        <v>158</v>
      </c>
    </row>
    <row r="234" spans="2:64" s="6" customFormat="1" ht="15.75" customHeight="1">
      <c r="B234" s="21"/>
      <c r="C234" s="119" t="s">
        <v>329</v>
      </c>
      <c r="D234" s="119" t="s">
        <v>154</v>
      </c>
      <c r="E234" s="120" t="s">
        <v>330</v>
      </c>
      <c r="F234" s="141" t="s">
        <v>331</v>
      </c>
      <c r="G234" s="142"/>
      <c r="H234" s="142"/>
      <c r="I234" s="142"/>
      <c r="J234" s="121" t="s">
        <v>237</v>
      </c>
      <c r="K234" s="122">
        <v>11</v>
      </c>
      <c r="L234" s="143">
        <v>0</v>
      </c>
      <c r="M234" s="142"/>
      <c r="N234" s="144">
        <f>ROUND($L$234*$K$234,2)</f>
        <v>0</v>
      </c>
      <c r="O234" s="142"/>
      <c r="P234" s="142"/>
      <c r="Q234" s="142"/>
      <c r="R234" s="22"/>
      <c r="T234" s="123"/>
      <c r="U234" s="124" t="s">
        <v>38</v>
      </c>
      <c r="V234" s="125">
        <v>1.461</v>
      </c>
      <c r="W234" s="125">
        <f>$V$234*$K$234</f>
        <v>16.071</v>
      </c>
      <c r="X234" s="125">
        <v>0</v>
      </c>
      <c r="Y234" s="125">
        <f>$X$234*$K$234</f>
        <v>0</v>
      </c>
      <c r="Z234" s="125">
        <v>0</v>
      </c>
      <c r="AA234" s="126">
        <f>$Z$234*$K$234</f>
        <v>0</v>
      </c>
      <c r="AR234" s="6" t="s">
        <v>158</v>
      </c>
      <c r="AT234" s="6" t="s">
        <v>154</v>
      </c>
      <c r="AU234" s="6" t="s">
        <v>99</v>
      </c>
      <c r="AY234" s="6" t="s">
        <v>153</v>
      </c>
      <c r="BE234" s="76">
        <f>IF($U$234="základní",$N$234,0)</f>
        <v>0</v>
      </c>
      <c r="BF234" s="76">
        <f>IF($U$234="snížená",$N$234,0)</f>
        <v>0</v>
      </c>
      <c r="BG234" s="76">
        <f>IF($U$234="zákl. přenesená",$N$234,0)</f>
        <v>0</v>
      </c>
      <c r="BH234" s="76">
        <f>IF($U$234="sníž. přenesená",$N$234,0)</f>
        <v>0</v>
      </c>
      <c r="BI234" s="76">
        <f>IF($U$234="nulová",$N$234,0)</f>
        <v>0</v>
      </c>
      <c r="BJ234" s="6" t="s">
        <v>16</v>
      </c>
      <c r="BK234" s="76">
        <f>ROUND($L$234*$K$234,2)</f>
        <v>0</v>
      </c>
      <c r="BL234" s="6" t="s">
        <v>158</v>
      </c>
    </row>
    <row r="235" spans="2:64" s="6" customFormat="1" ht="27" customHeight="1">
      <c r="B235" s="21"/>
      <c r="C235" s="119" t="s">
        <v>332</v>
      </c>
      <c r="D235" s="119" t="s">
        <v>154</v>
      </c>
      <c r="E235" s="120" t="s">
        <v>333</v>
      </c>
      <c r="F235" s="141" t="s">
        <v>334</v>
      </c>
      <c r="G235" s="142"/>
      <c r="H235" s="142"/>
      <c r="I235" s="142"/>
      <c r="J235" s="121" t="s">
        <v>237</v>
      </c>
      <c r="K235" s="122">
        <v>55</v>
      </c>
      <c r="L235" s="143">
        <v>0</v>
      </c>
      <c r="M235" s="142"/>
      <c r="N235" s="144">
        <f>ROUND($L$235*$K$235,2)</f>
        <v>0</v>
      </c>
      <c r="O235" s="142"/>
      <c r="P235" s="142"/>
      <c r="Q235" s="142"/>
      <c r="R235" s="22"/>
      <c r="T235" s="123"/>
      <c r="U235" s="124" t="s">
        <v>38</v>
      </c>
      <c r="V235" s="125">
        <v>0</v>
      </c>
      <c r="W235" s="125">
        <f>$V$235*$K$235</f>
        <v>0</v>
      </c>
      <c r="X235" s="125">
        <v>0</v>
      </c>
      <c r="Y235" s="125">
        <f>$X$235*$K$235</f>
        <v>0</v>
      </c>
      <c r="Z235" s="125">
        <v>0</v>
      </c>
      <c r="AA235" s="126">
        <f>$Z$235*$K$235</f>
        <v>0</v>
      </c>
      <c r="AR235" s="6" t="s">
        <v>158</v>
      </c>
      <c r="AT235" s="6" t="s">
        <v>154</v>
      </c>
      <c r="AU235" s="6" t="s">
        <v>99</v>
      </c>
      <c r="AY235" s="6" t="s">
        <v>153</v>
      </c>
      <c r="BE235" s="76">
        <f>IF($U$235="základní",$N$235,0)</f>
        <v>0</v>
      </c>
      <c r="BF235" s="76">
        <f>IF($U$235="snížená",$N$235,0)</f>
        <v>0</v>
      </c>
      <c r="BG235" s="76">
        <f>IF($U$235="zákl. přenesená",$N$235,0)</f>
        <v>0</v>
      </c>
      <c r="BH235" s="76">
        <f>IF($U$235="sníž. přenesená",$N$235,0)</f>
        <v>0</v>
      </c>
      <c r="BI235" s="76">
        <f>IF($U$235="nulová",$N$235,0)</f>
        <v>0</v>
      </c>
      <c r="BJ235" s="6" t="s">
        <v>16</v>
      </c>
      <c r="BK235" s="76">
        <f>ROUND($L$235*$K$235,2)</f>
        <v>0</v>
      </c>
      <c r="BL235" s="6" t="s">
        <v>158</v>
      </c>
    </row>
    <row r="236" spans="2:51" s="6" customFormat="1" ht="15.75" customHeight="1">
      <c r="B236" s="127"/>
      <c r="E236" s="128"/>
      <c r="F236" s="146" t="s">
        <v>335</v>
      </c>
      <c r="G236" s="147"/>
      <c r="H236" s="147"/>
      <c r="I236" s="147"/>
      <c r="K236" s="129">
        <v>55</v>
      </c>
      <c r="N236" s="128"/>
      <c r="R236" s="130"/>
      <c r="T236" s="131"/>
      <c r="AA236" s="132"/>
      <c r="AT236" s="128" t="s">
        <v>160</v>
      </c>
      <c r="AU236" s="128" t="s">
        <v>99</v>
      </c>
      <c r="AV236" s="133" t="s">
        <v>99</v>
      </c>
      <c r="AW236" s="133" t="s">
        <v>107</v>
      </c>
      <c r="AX236" s="133" t="s">
        <v>16</v>
      </c>
      <c r="AY236" s="128" t="s">
        <v>153</v>
      </c>
    </row>
    <row r="237" spans="2:64" s="6" customFormat="1" ht="27" customHeight="1">
      <c r="B237" s="21"/>
      <c r="C237" s="119" t="s">
        <v>336</v>
      </c>
      <c r="D237" s="119" t="s">
        <v>154</v>
      </c>
      <c r="E237" s="120" t="s">
        <v>337</v>
      </c>
      <c r="F237" s="141" t="s">
        <v>338</v>
      </c>
      <c r="G237" s="142"/>
      <c r="H237" s="142"/>
      <c r="I237" s="142"/>
      <c r="J237" s="121" t="s">
        <v>173</v>
      </c>
      <c r="K237" s="122">
        <v>10.777</v>
      </c>
      <c r="L237" s="143">
        <v>0</v>
      </c>
      <c r="M237" s="142"/>
      <c r="N237" s="144">
        <f>ROUND($L$237*$K$237,2)</f>
        <v>0</v>
      </c>
      <c r="O237" s="142"/>
      <c r="P237" s="142"/>
      <c r="Q237" s="142"/>
      <c r="R237" s="22"/>
      <c r="T237" s="123"/>
      <c r="U237" s="124" t="s">
        <v>38</v>
      </c>
      <c r="V237" s="125">
        <v>0.125</v>
      </c>
      <c r="W237" s="125">
        <f>$V$237*$K$237</f>
        <v>1.347125</v>
      </c>
      <c r="X237" s="125">
        <v>0</v>
      </c>
      <c r="Y237" s="125">
        <f>$X$237*$K$237</f>
        <v>0</v>
      </c>
      <c r="Z237" s="125">
        <v>0</v>
      </c>
      <c r="AA237" s="126">
        <f>$Z$237*$K$237</f>
        <v>0</v>
      </c>
      <c r="AR237" s="6" t="s">
        <v>158</v>
      </c>
      <c r="AT237" s="6" t="s">
        <v>154</v>
      </c>
      <c r="AU237" s="6" t="s">
        <v>99</v>
      </c>
      <c r="AY237" s="6" t="s">
        <v>153</v>
      </c>
      <c r="BE237" s="76">
        <f>IF($U$237="základní",$N$237,0)</f>
        <v>0</v>
      </c>
      <c r="BF237" s="76">
        <f>IF($U$237="snížená",$N$237,0)</f>
        <v>0</v>
      </c>
      <c r="BG237" s="76">
        <f>IF($U$237="zákl. přenesená",$N$237,0)</f>
        <v>0</v>
      </c>
      <c r="BH237" s="76">
        <f>IF($U$237="sníž. přenesená",$N$237,0)</f>
        <v>0</v>
      </c>
      <c r="BI237" s="76">
        <f>IF($U$237="nulová",$N$237,0)</f>
        <v>0</v>
      </c>
      <c r="BJ237" s="6" t="s">
        <v>16</v>
      </c>
      <c r="BK237" s="76">
        <f>ROUND($L$237*$K$237,2)</f>
        <v>0</v>
      </c>
      <c r="BL237" s="6" t="s">
        <v>158</v>
      </c>
    </row>
    <row r="238" spans="2:64" s="6" customFormat="1" ht="27" customHeight="1">
      <c r="B238" s="21"/>
      <c r="C238" s="119" t="s">
        <v>339</v>
      </c>
      <c r="D238" s="119" t="s">
        <v>154</v>
      </c>
      <c r="E238" s="120" t="s">
        <v>340</v>
      </c>
      <c r="F238" s="141" t="s">
        <v>341</v>
      </c>
      <c r="G238" s="142"/>
      <c r="H238" s="142"/>
      <c r="I238" s="142"/>
      <c r="J238" s="121" t="s">
        <v>173</v>
      </c>
      <c r="K238" s="122">
        <v>204.763</v>
      </c>
      <c r="L238" s="143">
        <v>0</v>
      </c>
      <c r="M238" s="142"/>
      <c r="N238" s="144">
        <f>ROUND($L$238*$K$238,2)</f>
        <v>0</v>
      </c>
      <c r="O238" s="142"/>
      <c r="P238" s="142"/>
      <c r="Q238" s="142"/>
      <c r="R238" s="22"/>
      <c r="T238" s="123"/>
      <c r="U238" s="124" t="s">
        <v>38</v>
      </c>
      <c r="V238" s="125">
        <v>0.006</v>
      </c>
      <c r="W238" s="125">
        <f>$V$238*$K$238</f>
        <v>1.228578</v>
      </c>
      <c r="X238" s="125">
        <v>0</v>
      </c>
      <c r="Y238" s="125">
        <f>$X$238*$K$238</f>
        <v>0</v>
      </c>
      <c r="Z238" s="125">
        <v>0</v>
      </c>
      <c r="AA238" s="126">
        <f>$Z$238*$K$238</f>
        <v>0</v>
      </c>
      <c r="AR238" s="6" t="s">
        <v>158</v>
      </c>
      <c r="AT238" s="6" t="s">
        <v>154</v>
      </c>
      <c r="AU238" s="6" t="s">
        <v>99</v>
      </c>
      <c r="AY238" s="6" t="s">
        <v>153</v>
      </c>
      <c r="BE238" s="76">
        <f>IF($U$238="základní",$N$238,0)</f>
        <v>0</v>
      </c>
      <c r="BF238" s="76">
        <f>IF($U$238="snížená",$N$238,0)</f>
        <v>0</v>
      </c>
      <c r="BG238" s="76">
        <f>IF($U$238="zákl. přenesená",$N$238,0)</f>
        <v>0</v>
      </c>
      <c r="BH238" s="76">
        <f>IF($U$238="sníž. přenesená",$N$238,0)</f>
        <v>0</v>
      </c>
      <c r="BI238" s="76">
        <f>IF($U$238="nulová",$N$238,0)</f>
        <v>0</v>
      </c>
      <c r="BJ238" s="6" t="s">
        <v>16</v>
      </c>
      <c r="BK238" s="76">
        <f>ROUND($L$238*$K$238,2)</f>
        <v>0</v>
      </c>
      <c r="BL238" s="6" t="s">
        <v>158</v>
      </c>
    </row>
    <row r="239" spans="2:64" s="6" customFormat="1" ht="27" customHeight="1">
      <c r="B239" s="21"/>
      <c r="C239" s="119" t="s">
        <v>342</v>
      </c>
      <c r="D239" s="119" t="s">
        <v>154</v>
      </c>
      <c r="E239" s="120" t="s">
        <v>343</v>
      </c>
      <c r="F239" s="141" t="s">
        <v>344</v>
      </c>
      <c r="G239" s="142"/>
      <c r="H239" s="142"/>
      <c r="I239" s="142"/>
      <c r="J239" s="121" t="s">
        <v>173</v>
      </c>
      <c r="K239" s="122">
        <v>10.777</v>
      </c>
      <c r="L239" s="143">
        <v>0</v>
      </c>
      <c r="M239" s="142"/>
      <c r="N239" s="144">
        <f>ROUND($L$239*$K$239,2)</f>
        <v>0</v>
      </c>
      <c r="O239" s="142"/>
      <c r="P239" s="142"/>
      <c r="Q239" s="142"/>
      <c r="R239" s="22"/>
      <c r="T239" s="123"/>
      <c r="U239" s="124" t="s">
        <v>38</v>
      </c>
      <c r="V239" s="125">
        <v>0</v>
      </c>
      <c r="W239" s="125">
        <f>$V$239*$K$239</f>
        <v>0</v>
      </c>
      <c r="X239" s="125">
        <v>0</v>
      </c>
      <c r="Y239" s="125">
        <f>$X$239*$K$239</f>
        <v>0</v>
      </c>
      <c r="Z239" s="125">
        <v>0</v>
      </c>
      <c r="AA239" s="126">
        <f>$Z$239*$K$239</f>
        <v>0</v>
      </c>
      <c r="AR239" s="6" t="s">
        <v>158</v>
      </c>
      <c r="AT239" s="6" t="s">
        <v>154</v>
      </c>
      <c r="AU239" s="6" t="s">
        <v>99</v>
      </c>
      <c r="AY239" s="6" t="s">
        <v>153</v>
      </c>
      <c r="BE239" s="76">
        <f>IF($U$239="základní",$N$239,0)</f>
        <v>0</v>
      </c>
      <c r="BF239" s="76">
        <f>IF($U$239="snížená",$N$239,0)</f>
        <v>0</v>
      </c>
      <c r="BG239" s="76">
        <f>IF($U$239="zákl. přenesená",$N$239,0)</f>
        <v>0</v>
      </c>
      <c r="BH239" s="76">
        <f>IF($U$239="sníž. přenesená",$N$239,0)</f>
        <v>0</v>
      </c>
      <c r="BI239" s="76">
        <f>IF($U$239="nulová",$N$239,0)</f>
        <v>0</v>
      </c>
      <c r="BJ239" s="6" t="s">
        <v>16</v>
      </c>
      <c r="BK239" s="76">
        <f>ROUND($L$239*$K$239,2)</f>
        <v>0</v>
      </c>
      <c r="BL239" s="6" t="s">
        <v>158</v>
      </c>
    </row>
    <row r="240" spans="2:64" s="6" customFormat="1" ht="27" customHeight="1">
      <c r="B240" s="21"/>
      <c r="C240" s="119" t="s">
        <v>345</v>
      </c>
      <c r="D240" s="119" t="s">
        <v>154</v>
      </c>
      <c r="E240" s="120" t="s">
        <v>346</v>
      </c>
      <c r="F240" s="141" t="s">
        <v>347</v>
      </c>
      <c r="G240" s="142"/>
      <c r="H240" s="142"/>
      <c r="I240" s="142"/>
      <c r="J240" s="121" t="s">
        <v>173</v>
      </c>
      <c r="K240" s="122">
        <v>9.626</v>
      </c>
      <c r="L240" s="143">
        <v>0</v>
      </c>
      <c r="M240" s="142"/>
      <c r="N240" s="144">
        <f>ROUND($L$240*$K$240,2)</f>
        <v>0</v>
      </c>
      <c r="O240" s="142"/>
      <c r="P240" s="142"/>
      <c r="Q240" s="142"/>
      <c r="R240" s="22"/>
      <c r="T240" s="123"/>
      <c r="U240" s="124" t="s">
        <v>38</v>
      </c>
      <c r="V240" s="125">
        <v>2.786</v>
      </c>
      <c r="W240" s="125">
        <f>$V$240*$K$240</f>
        <v>26.818036</v>
      </c>
      <c r="X240" s="125">
        <v>0</v>
      </c>
      <c r="Y240" s="125">
        <f>$X$240*$K$240</f>
        <v>0</v>
      </c>
      <c r="Z240" s="125">
        <v>0</v>
      </c>
      <c r="AA240" s="126">
        <f>$Z$240*$K$240</f>
        <v>0</v>
      </c>
      <c r="AR240" s="6" t="s">
        <v>158</v>
      </c>
      <c r="AT240" s="6" t="s">
        <v>154</v>
      </c>
      <c r="AU240" s="6" t="s">
        <v>99</v>
      </c>
      <c r="AY240" s="6" t="s">
        <v>153</v>
      </c>
      <c r="BE240" s="76">
        <f>IF($U$240="základní",$N$240,0)</f>
        <v>0</v>
      </c>
      <c r="BF240" s="76">
        <f>IF($U$240="snížená",$N$240,0)</f>
        <v>0</v>
      </c>
      <c r="BG240" s="76">
        <f>IF($U$240="zákl. přenesená",$N$240,0)</f>
        <v>0</v>
      </c>
      <c r="BH240" s="76">
        <f>IF($U$240="sníž. přenesená",$N$240,0)</f>
        <v>0</v>
      </c>
      <c r="BI240" s="76">
        <f>IF($U$240="nulová",$N$240,0)</f>
        <v>0</v>
      </c>
      <c r="BJ240" s="6" t="s">
        <v>16</v>
      </c>
      <c r="BK240" s="76">
        <f>ROUND($L$240*$K$240,2)</f>
        <v>0</v>
      </c>
      <c r="BL240" s="6" t="s">
        <v>158</v>
      </c>
    </row>
    <row r="241" spans="2:63" s="109" customFormat="1" ht="37.5" customHeight="1">
      <c r="B241" s="110"/>
      <c r="D241" s="111" t="s">
        <v>116</v>
      </c>
      <c r="N241" s="140">
        <f>$BK$241</f>
        <v>0</v>
      </c>
      <c r="O241" s="139"/>
      <c r="P241" s="139"/>
      <c r="Q241" s="139"/>
      <c r="R241" s="113"/>
      <c r="T241" s="114"/>
      <c r="W241" s="115">
        <f>$W$242+$W$258+$W$269+$W$271+$W$281+$W$292+$W$300+$W$303</f>
        <v>60.15206400000001</v>
      </c>
      <c r="Y241" s="115">
        <f>$Y$242+$Y$258+$Y$269+$Y$271+$Y$281+$Y$292+$Y$300+$Y$303</f>
        <v>0.84902591</v>
      </c>
      <c r="AA241" s="116">
        <f>$AA$242+$AA$258+$AA$269+$AA$271+$AA$281+$AA$292+$AA$300+$AA$303</f>
        <v>0.15315800000000002</v>
      </c>
      <c r="AR241" s="112" t="s">
        <v>99</v>
      </c>
      <c r="AT241" s="112" t="s">
        <v>72</v>
      </c>
      <c r="AU241" s="112" t="s">
        <v>73</v>
      </c>
      <c r="AY241" s="112" t="s">
        <v>153</v>
      </c>
      <c r="BK241" s="117">
        <f>$BK$242+$BK$258+$BK$269+$BK$271+$BK$281+$BK$292+$BK$300+$BK$303</f>
        <v>0</v>
      </c>
    </row>
    <row r="242" spans="2:63" s="109" customFormat="1" ht="21" customHeight="1">
      <c r="B242" s="110"/>
      <c r="D242" s="118" t="s">
        <v>117</v>
      </c>
      <c r="N242" s="160">
        <f>$BK$242</f>
        <v>0</v>
      </c>
      <c r="O242" s="139"/>
      <c r="P242" s="139"/>
      <c r="Q242" s="139"/>
      <c r="R242" s="113"/>
      <c r="T242" s="114"/>
      <c r="W242" s="115">
        <f>SUM($W$243:$W$257)</f>
        <v>4.738518999999999</v>
      </c>
      <c r="Y242" s="115">
        <f>SUM($Y$243:$Y$257)</f>
        <v>0.12012945000000001</v>
      </c>
      <c r="AA242" s="116">
        <f>SUM($AA$243:$AA$257)</f>
        <v>0</v>
      </c>
      <c r="AR242" s="112" t="s">
        <v>99</v>
      </c>
      <c r="AT242" s="112" t="s">
        <v>72</v>
      </c>
      <c r="AU242" s="112" t="s">
        <v>16</v>
      </c>
      <c r="AY242" s="112" t="s">
        <v>153</v>
      </c>
      <c r="BK242" s="117">
        <f>SUM($BK$243:$BK$257)</f>
        <v>0</v>
      </c>
    </row>
    <row r="243" spans="2:64" s="6" customFormat="1" ht="27" customHeight="1">
      <c r="B243" s="21"/>
      <c r="C243" s="119" t="s">
        <v>348</v>
      </c>
      <c r="D243" s="119" t="s">
        <v>154</v>
      </c>
      <c r="E243" s="120" t="s">
        <v>349</v>
      </c>
      <c r="F243" s="141" t="s">
        <v>350</v>
      </c>
      <c r="G243" s="142"/>
      <c r="H243" s="142"/>
      <c r="I243" s="142"/>
      <c r="J243" s="121" t="s">
        <v>192</v>
      </c>
      <c r="K243" s="122">
        <v>3.857</v>
      </c>
      <c r="L243" s="143">
        <v>0</v>
      </c>
      <c r="M243" s="142"/>
      <c r="N243" s="144">
        <f>ROUND($L$243*$K$243,2)</f>
        <v>0</v>
      </c>
      <c r="O243" s="142"/>
      <c r="P243" s="142"/>
      <c r="Q243" s="142"/>
      <c r="R243" s="22"/>
      <c r="T243" s="123"/>
      <c r="U243" s="124" t="s">
        <v>38</v>
      </c>
      <c r="V243" s="125">
        <v>0.024</v>
      </c>
      <c r="W243" s="125">
        <f>$V$243*$K$243</f>
        <v>0.09256800000000001</v>
      </c>
      <c r="X243" s="125">
        <v>0</v>
      </c>
      <c r="Y243" s="125">
        <f>$X$243*$K$243</f>
        <v>0</v>
      </c>
      <c r="Z243" s="125">
        <v>0</v>
      </c>
      <c r="AA243" s="126">
        <f>$Z$243*$K$243</f>
        <v>0</v>
      </c>
      <c r="AR243" s="6" t="s">
        <v>213</v>
      </c>
      <c r="AT243" s="6" t="s">
        <v>154</v>
      </c>
      <c r="AU243" s="6" t="s">
        <v>99</v>
      </c>
      <c r="AY243" s="6" t="s">
        <v>153</v>
      </c>
      <c r="BE243" s="76">
        <f>IF($U$243="základní",$N$243,0)</f>
        <v>0</v>
      </c>
      <c r="BF243" s="76">
        <f>IF($U$243="snížená",$N$243,0)</f>
        <v>0</v>
      </c>
      <c r="BG243" s="76">
        <f>IF($U$243="zákl. přenesená",$N$243,0)</f>
        <v>0</v>
      </c>
      <c r="BH243" s="76">
        <f>IF($U$243="sníž. přenesená",$N$243,0)</f>
        <v>0</v>
      </c>
      <c r="BI243" s="76">
        <f>IF($U$243="nulová",$N$243,0)</f>
        <v>0</v>
      </c>
      <c r="BJ243" s="6" t="s">
        <v>16</v>
      </c>
      <c r="BK243" s="76">
        <f>ROUND($L$243*$K$243,2)</f>
        <v>0</v>
      </c>
      <c r="BL243" s="6" t="s">
        <v>213</v>
      </c>
    </row>
    <row r="244" spans="2:51" s="6" customFormat="1" ht="15.75" customHeight="1">
      <c r="B244" s="127"/>
      <c r="E244" s="128"/>
      <c r="F244" s="146" t="s">
        <v>351</v>
      </c>
      <c r="G244" s="147"/>
      <c r="H244" s="147"/>
      <c r="I244" s="147"/>
      <c r="K244" s="129">
        <v>3.857</v>
      </c>
      <c r="N244" s="128"/>
      <c r="R244" s="130"/>
      <c r="T244" s="131"/>
      <c r="AA244" s="132"/>
      <c r="AT244" s="128" t="s">
        <v>160</v>
      </c>
      <c r="AU244" s="128" t="s">
        <v>99</v>
      </c>
      <c r="AV244" s="133" t="s">
        <v>99</v>
      </c>
      <c r="AW244" s="133" t="s">
        <v>107</v>
      </c>
      <c r="AX244" s="133" t="s">
        <v>16</v>
      </c>
      <c r="AY244" s="128" t="s">
        <v>153</v>
      </c>
    </row>
    <row r="245" spans="2:64" s="6" customFormat="1" ht="27" customHeight="1">
      <c r="B245" s="21"/>
      <c r="C245" s="119" t="s">
        <v>352</v>
      </c>
      <c r="D245" s="119" t="s">
        <v>154</v>
      </c>
      <c r="E245" s="120" t="s">
        <v>353</v>
      </c>
      <c r="F245" s="141" t="s">
        <v>354</v>
      </c>
      <c r="G245" s="142"/>
      <c r="H245" s="142"/>
      <c r="I245" s="142"/>
      <c r="J245" s="121" t="s">
        <v>192</v>
      </c>
      <c r="K245" s="122">
        <v>8.213</v>
      </c>
      <c r="L245" s="143">
        <v>0</v>
      </c>
      <c r="M245" s="142"/>
      <c r="N245" s="144">
        <f>ROUND($L$245*$K$245,2)</f>
        <v>0</v>
      </c>
      <c r="O245" s="142"/>
      <c r="P245" s="142"/>
      <c r="Q245" s="142"/>
      <c r="R245" s="22"/>
      <c r="T245" s="123"/>
      <c r="U245" s="124" t="s">
        <v>38</v>
      </c>
      <c r="V245" s="125">
        <v>0.054</v>
      </c>
      <c r="W245" s="125">
        <f>$V$245*$K$245</f>
        <v>0.44350199999999995</v>
      </c>
      <c r="X245" s="125">
        <v>0</v>
      </c>
      <c r="Y245" s="125">
        <f>$X$245*$K$245</f>
        <v>0</v>
      </c>
      <c r="Z245" s="125">
        <v>0</v>
      </c>
      <c r="AA245" s="126">
        <f>$Z$245*$K$245</f>
        <v>0</v>
      </c>
      <c r="AR245" s="6" t="s">
        <v>213</v>
      </c>
      <c r="AT245" s="6" t="s">
        <v>154</v>
      </c>
      <c r="AU245" s="6" t="s">
        <v>99</v>
      </c>
      <c r="AY245" s="6" t="s">
        <v>153</v>
      </c>
      <c r="BE245" s="76">
        <f>IF($U$245="základní",$N$245,0)</f>
        <v>0</v>
      </c>
      <c r="BF245" s="76">
        <f>IF($U$245="snížená",$N$245,0)</f>
        <v>0</v>
      </c>
      <c r="BG245" s="76">
        <f>IF($U$245="zákl. přenesená",$N$245,0)</f>
        <v>0</v>
      </c>
      <c r="BH245" s="76">
        <f>IF($U$245="sníž. přenesená",$N$245,0)</f>
        <v>0</v>
      </c>
      <c r="BI245" s="76">
        <f>IF($U$245="nulová",$N$245,0)</f>
        <v>0</v>
      </c>
      <c r="BJ245" s="6" t="s">
        <v>16</v>
      </c>
      <c r="BK245" s="76">
        <f>ROUND($L$245*$K$245,2)</f>
        <v>0</v>
      </c>
      <c r="BL245" s="6" t="s">
        <v>213</v>
      </c>
    </row>
    <row r="246" spans="2:51" s="6" customFormat="1" ht="15.75" customHeight="1">
      <c r="B246" s="127"/>
      <c r="E246" s="128"/>
      <c r="F246" s="146" t="s">
        <v>355</v>
      </c>
      <c r="G246" s="147"/>
      <c r="H246" s="147"/>
      <c r="I246" s="147"/>
      <c r="K246" s="129">
        <v>8.213</v>
      </c>
      <c r="N246" s="128"/>
      <c r="R246" s="130"/>
      <c r="T246" s="131"/>
      <c r="AA246" s="132"/>
      <c r="AT246" s="128" t="s">
        <v>160</v>
      </c>
      <c r="AU246" s="128" t="s">
        <v>99</v>
      </c>
      <c r="AV246" s="133" t="s">
        <v>99</v>
      </c>
      <c r="AW246" s="133" t="s">
        <v>107</v>
      </c>
      <c r="AX246" s="133" t="s">
        <v>16</v>
      </c>
      <c r="AY246" s="128" t="s">
        <v>153</v>
      </c>
    </row>
    <row r="247" spans="2:64" s="6" customFormat="1" ht="15.75" customHeight="1">
      <c r="B247" s="21"/>
      <c r="C247" s="134" t="s">
        <v>356</v>
      </c>
      <c r="D247" s="134" t="s">
        <v>357</v>
      </c>
      <c r="E247" s="135" t="s">
        <v>358</v>
      </c>
      <c r="F247" s="148" t="s">
        <v>359</v>
      </c>
      <c r="G247" s="192"/>
      <c r="H247" s="192"/>
      <c r="I247" s="192"/>
      <c r="J247" s="136" t="s">
        <v>173</v>
      </c>
      <c r="K247" s="137">
        <v>0.042</v>
      </c>
      <c r="L247" s="193">
        <v>0</v>
      </c>
      <c r="M247" s="192"/>
      <c r="N247" s="194">
        <f>ROUND($L$247*$K$247,2)</f>
        <v>0</v>
      </c>
      <c r="O247" s="142"/>
      <c r="P247" s="142"/>
      <c r="Q247" s="142"/>
      <c r="R247" s="22"/>
      <c r="T247" s="123"/>
      <c r="U247" s="124" t="s">
        <v>38</v>
      </c>
      <c r="V247" s="125">
        <v>0</v>
      </c>
      <c r="W247" s="125">
        <f>$V$247*$K$247</f>
        <v>0</v>
      </c>
      <c r="X247" s="125">
        <v>1</v>
      </c>
      <c r="Y247" s="125">
        <f>$X$247*$K$247</f>
        <v>0.042</v>
      </c>
      <c r="Z247" s="125">
        <v>0</v>
      </c>
      <c r="AA247" s="126">
        <f>$Z$247*$K$247</f>
        <v>0</v>
      </c>
      <c r="AR247" s="6" t="s">
        <v>287</v>
      </c>
      <c r="AT247" s="6" t="s">
        <v>357</v>
      </c>
      <c r="AU247" s="6" t="s">
        <v>99</v>
      </c>
      <c r="AY247" s="6" t="s">
        <v>153</v>
      </c>
      <c r="BE247" s="76">
        <f>IF($U$247="základní",$N$247,0)</f>
        <v>0</v>
      </c>
      <c r="BF247" s="76">
        <f>IF($U$247="snížená",$N$247,0)</f>
        <v>0</v>
      </c>
      <c r="BG247" s="76">
        <f>IF($U$247="zákl. přenesená",$N$247,0)</f>
        <v>0</v>
      </c>
      <c r="BH247" s="76">
        <f>IF($U$247="sníž. přenesená",$N$247,0)</f>
        <v>0</v>
      </c>
      <c r="BI247" s="76">
        <f>IF($U$247="nulová",$N$247,0)</f>
        <v>0</v>
      </c>
      <c r="BJ247" s="6" t="s">
        <v>16</v>
      </c>
      <c r="BK247" s="76">
        <f>ROUND($L$247*$K$247,2)</f>
        <v>0</v>
      </c>
      <c r="BL247" s="6" t="s">
        <v>213</v>
      </c>
    </row>
    <row r="248" spans="2:51" s="6" customFormat="1" ht="15.75" customHeight="1">
      <c r="B248" s="127"/>
      <c r="E248" s="128"/>
      <c r="F248" s="146" t="s">
        <v>360</v>
      </c>
      <c r="G248" s="147"/>
      <c r="H248" s="147"/>
      <c r="I248" s="147"/>
      <c r="K248" s="129">
        <v>0.042</v>
      </c>
      <c r="N248" s="128"/>
      <c r="R248" s="130"/>
      <c r="T248" s="131"/>
      <c r="AA248" s="132"/>
      <c r="AT248" s="128" t="s">
        <v>160</v>
      </c>
      <c r="AU248" s="128" t="s">
        <v>99</v>
      </c>
      <c r="AV248" s="133" t="s">
        <v>99</v>
      </c>
      <c r="AW248" s="133" t="s">
        <v>107</v>
      </c>
      <c r="AX248" s="133" t="s">
        <v>73</v>
      </c>
      <c r="AY248" s="128" t="s">
        <v>153</v>
      </c>
    </row>
    <row r="249" spans="2:64" s="6" customFormat="1" ht="27" customHeight="1">
      <c r="B249" s="21"/>
      <c r="C249" s="119" t="s">
        <v>361</v>
      </c>
      <c r="D249" s="119" t="s">
        <v>154</v>
      </c>
      <c r="E249" s="120" t="s">
        <v>362</v>
      </c>
      <c r="F249" s="141" t="s">
        <v>363</v>
      </c>
      <c r="G249" s="142"/>
      <c r="H249" s="142"/>
      <c r="I249" s="142"/>
      <c r="J249" s="121" t="s">
        <v>192</v>
      </c>
      <c r="K249" s="122">
        <v>3.857</v>
      </c>
      <c r="L249" s="143">
        <v>0</v>
      </c>
      <c r="M249" s="142"/>
      <c r="N249" s="144">
        <f>ROUND($L$249*$K$249,2)</f>
        <v>0</v>
      </c>
      <c r="O249" s="142"/>
      <c r="P249" s="142"/>
      <c r="Q249" s="142"/>
      <c r="R249" s="22"/>
      <c r="T249" s="123"/>
      <c r="U249" s="124" t="s">
        <v>38</v>
      </c>
      <c r="V249" s="125">
        <v>0.222</v>
      </c>
      <c r="W249" s="125">
        <f>$V$249*$K$249</f>
        <v>0.8562540000000001</v>
      </c>
      <c r="X249" s="125">
        <v>0.0004</v>
      </c>
      <c r="Y249" s="125">
        <f>$X$249*$K$249</f>
        <v>0.0015428000000000002</v>
      </c>
      <c r="Z249" s="125">
        <v>0</v>
      </c>
      <c r="AA249" s="126">
        <f>$Z$249*$K$249</f>
        <v>0</v>
      </c>
      <c r="AR249" s="6" t="s">
        <v>213</v>
      </c>
      <c r="AT249" s="6" t="s">
        <v>154</v>
      </c>
      <c r="AU249" s="6" t="s">
        <v>99</v>
      </c>
      <c r="AY249" s="6" t="s">
        <v>153</v>
      </c>
      <c r="BE249" s="76">
        <f>IF($U$249="základní",$N$249,0)</f>
        <v>0</v>
      </c>
      <c r="BF249" s="76">
        <f>IF($U$249="snížená",$N$249,0)</f>
        <v>0</v>
      </c>
      <c r="BG249" s="76">
        <f>IF($U$249="zákl. přenesená",$N$249,0)</f>
        <v>0</v>
      </c>
      <c r="BH249" s="76">
        <f>IF($U$249="sníž. přenesená",$N$249,0)</f>
        <v>0</v>
      </c>
      <c r="BI249" s="76">
        <f>IF($U$249="nulová",$N$249,0)</f>
        <v>0</v>
      </c>
      <c r="BJ249" s="6" t="s">
        <v>16</v>
      </c>
      <c r="BK249" s="76">
        <f>ROUND($L$249*$K$249,2)</f>
        <v>0</v>
      </c>
      <c r="BL249" s="6" t="s">
        <v>213</v>
      </c>
    </row>
    <row r="250" spans="2:64" s="6" customFormat="1" ht="27" customHeight="1">
      <c r="B250" s="21"/>
      <c r="C250" s="119" t="s">
        <v>364</v>
      </c>
      <c r="D250" s="119" t="s">
        <v>154</v>
      </c>
      <c r="E250" s="120" t="s">
        <v>365</v>
      </c>
      <c r="F250" s="141" t="s">
        <v>366</v>
      </c>
      <c r="G250" s="142"/>
      <c r="H250" s="142"/>
      <c r="I250" s="142"/>
      <c r="J250" s="121" t="s">
        <v>192</v>
      </c>
      <c r="K250" s="122">
        <v>8.213</v>
      </c>
      <c r="L250" s="143">
        <v>0</v>
      </c>
      <c r="M250" s="142"/>
      <c r="N250" s="144">
        <f>ROUND($L$250*$K$250,2)</f>
        <v>0</v>
      </c>
      <c r="O250" s="142"/>
      <c r="P250" s="142"/>
      <c r="Q250" s="142"/>
      <c r="R250" s="22"/>
      <c r="T250" s="123"/>
      <c r="U250" s="124" t="s">
        <v>38</v>
      </c>
      <c r="V250" s="125">
        <v>0.26</v>
      </c>
      <c r="W250" s="125">
        <f>$V$250*$K$250</f>
        <v>2.13538</v>
      </c>
      <c r="X250" s="125">
        <v>0.0004</v>
      </c>
      <c r="Y250" s="125">
        <f>$X$250*$K$250</f>
        <v>0.0032852</v>
      </c>
      <c r="Z250" s="125">
        <v>0</v>
      </c>
      <c r="AA250" s="126">
        <f>$Z$250*$K$250</f>
        <v>0</v>
      </c>
      <c r="AR250" s="6" t="s">
        <v>213</v>
      </c>
      <c r="AT250" s="6" t="s">
        <v>154</v>
      </c>
      <c r="AU250" s="6" t="s">
        <v>99</v>
      </c>
      <c r="AY250" s="6" t="s">
        <v>153</v>
      </c>
      <c r="BE250" s="76">
        <f>IF($U$250="základní",$N$250,0)</f>
        <v>0</v>
      </c>
      <c r="BF250" s="76">
        <f>IF($U$250="snížená",$N$250,0)</f>
        <v>0</v>
      </c>
      <c r="BG250" s="76">
        <f>IF($U$250="zákl. přenesená",$N$250,0)</f>
        <v>0</v>
      </c>
      <c r="BH250" s="76">
        <f>IF($U$250="sníž. přenesená",$N$250,0)</f>
        <v>0</v>
      </c>
      <c r="BI250" s="76">
        <f>IF($U$250="nulová",$N$250,0)</f>
        <v>0</v>
      </c>
      <c r="BJ250" s="6" t="s">
        <v>16</v>
      </c>
      <c r="BK250" s="76">
        <f>ROUND($L$250*$K$250,2)</f>
        <v>0</v>
      </c>
      <c r="BL250" s="6" t="s">
        <v>213</v>
      </c>
    </row>
    <row r="251" spans="2:51" s="6" customFormat="1" ht="15.75" customHeight="1">
      <c r="B251" s="127"/>
      <c r="E251" s="128"/>
      <c r="F251" s="146" t="s">
        <v>355</v>
      </c>
      <c r="G251" s="147"/>
      <c r="H251" s="147"/>
      <c r="I251" s="147"/>
      <c r="K251" s="129">
        <v>8.213</v>
      </c>
      <c r="N251" s="128"/>
      <c r="R251" s="130"/>
      <c r="T251" s="131"/>
      <c r="AA251" s="132"/>
      <c r="AT251" s="128" t="s">
        <v>160</v>
      </c>
      <c r="AU251" s="128" t="s">
        <v>99</v>
      </c>
      <c r="AV251" s="133" t="s">
        <v>99</v>
      </c>
      <c r="AW251" s="133" t="s">
        <v>107</v>
      </c>
      <c r="AX251" s="133" t="s">
        <v>16</v>
      </c>
      <c r="AY251" s="128" t="s">
        <v>153</v>
      </c>
    </row>
    <row r="252" spans="2:64" s="6" customFormat="1" ht="27" customHeight="1">
      <c r="B252" s="21"/>
      <c r="C252" s="134" t="s">
        <v>367</v>
      </c>
      <c r="D252" s="134" t="s">
        <v>357</v>
      </c>
      <c r="E252" s="135" t="s">
        <v>368</v>
      </c>
      <c r="F252" s="148" t="s">
        <v>369</v>
      </c>
      <c r="G252" s="192"/>
      <c r="H252" s="192"/>
      <c r="I252" s="192"/>
      <c r="J252" s="136" t="s">
        <v>192</v>
      </c>
      <c r="K252" s="137">
        <v>13.688</v>
      </c>
      <c r="L252" s="193">
        <v>0</v>
      </c>
      <c r="M252" s="192"/>
      <c r="N252" s="194">
        <f>ROUND($L$252*$K$252,2)</f>
        <v>0</v>
      </c>
      <c r="O252" s="142"/>
      <c r="P252" s="142"/>
      <c r="Q252" s="142"/>
      <c r="R252" s="22"/>
      <c r="T252" s="123"/>
      <c r="U252" s="124" t="s">
        <v>38</v>
      </c>
      <c r="V252" s="125">
        <v>0</v>
      </c>
      <c r="W252" s="125">
        <f>$V$252*$K$252</f>
        <v>0</v>
      </c>
      <c r="X252" s="125">
        <v>0.0049</v>
      </c>
      <c r="Y252" s="125">
        <f>$X$252*$K$252</f>
        <v>0.0670712</v>
      </c>
      <c r="Z252" s="125">
        <v>0</v>
      </c>
      <c r="AA252" s="126">
        <f>$Z$252*$K$252</f>
        <v>0</v>
      </c>
      <c r="AR252" s="6" t="s">
        <v>287</v>
      </c>
      <c r="AT252" s="6" t="s">
        <v>357</v>
      </c>
      <c r="AU252" s="6" t="s">
        <v>99</v>
      </c>
      <c r="AY252" s="6" t="s">
        <v>153</v>
      </c>
      <c r="BE252" s="76">
        <f>IF($U$252="základní",$N$252,0)</f>
        <v>0</v>
      </c>
      <c r="BF252" s="76">
        <f>IF($U$252="snížená",$N$252,0)</f>
        <v>0</v>
      </c>
      <c r="BG252" s="76">
        <f>IF($U$252="zákl. přenesená",$N$252,0)</f>
        <v>0</v>
      </c>
      <c r="BH252" s="76">
        <f>IF($U$252="sníž. přenesená",$N$252,0)</f>
        <v>0</v>
      </c>
      <c r="BI252" s="76">
        <f>IF($U$252="nulová",$N$252,0)</f>
        <v>0</v>
      </c>
      <c r="BJ252" s="6" t="s">
        <v>16</v>
      </c>
      <c r="BK252" s="76">
        <f>ROUND($L$252*$K$252,2)</f>
        <v>0</v>
      </c>
      <c r="BL252" s="6" t="s">
        <v>213</v>
      </c>
    </row>
    <row r="253" spans="2:51" s="6" customFormat="1" ht="15.75" customHeight="1">
      <c r="B253" s="127"/>
      <c r="E253" s="128"/>
      <c r="F253" s="146" t="s">
        <v>370</v>
      </c>
      <c r="G253" s="147"/>
      <c r="H253" s="147"/>
      <c r="I253" s="147"/>
      <c r="K253" s="129">
        <v>13.688</v>
      </c>
      <c r="N253" s="128"/>
      <c r="R253" s="130"/>
      <c r="T253" s="131"/>
      <c r="AA253" s="132"/>
      <c r="AT253" s="128" t="s">
        <v>160</v>
      </c>
      <c r="AU253" s="128" t="s">
        <v>99</v>
      </c>
      <c r="AV253" s="133" t="s">
        <v>99</v>
      </c>
      <c r="AW253" s="133" t="s">
        <v>107</v>
      </c>
      <c r="AX253" s="133" t="s">
        <v>16</v>
      </c>
      <c r="AY253" s="128" t="s">
        <v>153</v>
      </c>
    </row>
    <row r="254" spans="2:64" s="6" customFormat="1" ht="27" customHeight="1">
      <c r="B254" s="21"/>
      <c r="C254" s="119" t="s">
        <v>371</v>
      </c>
      <c r="D254" s="119" t="s">
        <v>154</v>
      </c>
      <c r="E254" s="120" t="s">
        <v>372</v>
      </c>
      <c r="F254" s="141" t="s">
        <v>373</v>
      </c>
      <c r="G254" s="142"/>
      <c r="H254" s="142"/>
      <c r="I254" s="142"/>
      <c r="J254" s="121" t="s">
        <v>192</v>
      </c>
      <c r="K254" s="122">
        <v>8.775</v>
      </c>
      <c r="L254" s="143">
        <v>0</v>
      </c>
      <c r="M254" s="142"/>
      <c r="N254" s="144">
        <f>ROUND($L$254*$K$254,2)</f>
        <v>0</v>
      </c>
      <c r="O254" s="142"/>
      <c r="P254" s="142"/>
      <c r="Q254" s="142"/>
      <c r="R254" s="22"/>
      <c r="T254" s="123"/>
      <c r="U254" s="124" t="s">
        <v>38</v>
      </c>
      <c r="V254" s="125">
        <v>0.097</v>
      </c>
      <c r="W254" s="125">
        <f>$V$254*$K$254</f>
        <v>0.851175</v>
      </c>
      <c r="X254" s="125">
        <v>0.00071</v>
      </c>
      <c r="Y254" s="125">
        <f>$X$254*$K$254</f>
        <v>0.0062302500000000005</v>
      </c>
      <c r="Z254" s="125">
        <v>0</v>
      </c>
      <c r="AA254" s="126">
        <f>$Z$254*$K$254</f>
        <v>0</v>
      </c>
      <c r="AR254" s="6" t="s">
        <v>213</v>
      </c>
      <c r="AT254" s="6" t="s">
        <v>154</v>
      </c>
      <c r="AU254" s="6" t="s">
        <v>99</v>
      </c>
      <c r="AY254" s="6" t="s">
        <v>153</v>
      </c>
      <c r="BE254" s="76">
        <f>IF($U$254="základní",$N$254,0)</f>
        <v>0</v>
      </c>
      <c r="BF254" s="76">
        <f>IF($U$254="snížená",$N$254,0)</f>
        <v>0</v>
      </c>
      <c r="BG254" s="76">
        <f>IF($U$254="zákl. přenesená",$N$254,0)</f>
        <v>0</v>
      </c>
      <c r="BH254" s="76">
        <f>IF($U$254="sníž. přenesená",$N$254,0)</f>
        <v>0</v>
      </c>
      <c r="BI254" s="76">
        <f>IF($U$254="nulová",$N$254,0)</f>
        <v>0</v>
      </c>
      <c r="BJ254" s="6" t="s">
        <v>16</v>
      </c>
      <c r="BK254" s="76">
        <f>ROUND($L$254*$K$254,2)</f>
        <v>0</v>
      </c>
      <c r="BL254" s="6" t="s">
        <v>213</v>
      </c>
    </row>
    <row r="255" spans="2:51" s="6" customFormat="1" ht="15.75" customHeight="1">
      <c r="B255" s="127"/>
      <c r="E255" s="128"/>
      <c r="F255" s="146" t="s">
        <v>374</v>
      </c>
      <c r="G255" s="147"/>
      <c r="H255" s="147"/>
      <c r="I255" s="147"/>
      <c r="K255" s="129">
        <v>8.775</v>
      </c>
      <c r="N255" s="128"/>
      <c r="R255" s="130"/>
      <c r="T255" s="131"/>
      <c r="AA255" s="132"/>
      <c r="AT255" s="128" t="s">
        <v>160</v>
      </c>
      <c r="AU255" s="128" t="s">
        <v>99</v>
      </c>
      <c r="AV255" s="133" t="s">
        <v>99</v>
      </c>
      <c r="AW255" s="133" t="s">
        <v>107</v>
      </c>
      <c r="AX255" s="133" t="s">
        <v>16</v>
      </c>
      <c r="AY255" s="128" t="s">
        <v>153</v>
      </c>
    </row>
    <row r="256" spans="2:64" s="6" customFormat="1" ht="27" customHeight="1">
      <c r="B256" s="21"/>
      <c r="C256" s="119" t="s">
        <v>375</v>
      </c>
      <c r="D256" s="119" t="s">
        <v>154</v>
      </c>
      <c r="E256" s="120" t="s">
        <v>376</v>
      </c>
      <c r="F256" s="141" t="s">
        <v>377</v>
      </c>
      <c r="G256" s="142"/>
      <c r="H256" s="142"/>
      <c r="I256" s="142"/>
      <c r="J256" s="121" t="s">
        <v>173</v>
      </c>
      <c r="K256" s="122">
        <v>0.12</v>
      </c>
      <c r="L256" s="143">
        <v>0</v>
      </c>
      <c r="M256" s="142"/>
      <c r="N256" s="144">
        <f>ROUND($L$256*$K$256,2)</f>
        <v>0</v>
      </c>
      <c r="O256" s="142"/>
      <c r="P256" s="142"/>
      <c r="Q256" s="142"/>
      <c r="R256" s="22"/>
      <c r="T256" s="123"/>
      <c r="U256" s="124" t="s">
        <v>38</v>
      </c>
      <c r="V256" s="125">
        <v>1.637</v>
      </c>
      <c r="W256" s="125">
        <f>$V$256*$K$256</f>
        <v>0.19644</v>
      </c>
      <c r="X256" s="125">
        <v>0</v>
      </c>
      <c r="Y256" s="125">
        <f>$X$256*$K$256</f>
        <v>0</v>
      </c>
      <c r="Z256" s="125">
        <v>0</v>
      </c>
      <c r="AA256" s="126">
        <f>$Z$256*$K$256</f>
        <v>0</v>
      </c>
      <c r="AR256" s="6" t="s">
        <v>213</v>
      </c>
      <c r="AT256" s="6" t="s">
        <v>154</v>
      </c>
      <c r="AU256" s="6" t="s">
        <v>99</v>
      </c>
      <c r="AY256" s="6" t="s">
        <v>153</v>
      </c>
      <c r="BE256" s="76">
        <f>IF($U$256="základní",$N$256,0)</f>
        <v>0</v>
      </c>
      <c r="BF256" s="76">
        <f>IF($U$256="snížená",$N$256,0)</f>
        <v>0</v>
      </c>
      <c r="BG256" s="76">
        <f>IF($U$256="zákl. přenesená",$N$256,0)</f>
        <v>0</v>
      </c>
      <c r="BH256" s="76">
        <f>IF($U$256="sníž. přenesená",$N$256,0)</f>
        <v>0</v>
      </c>
      <c r="BI256" s="76">
        <f>IF($U$256="nulová",$N$256,0)</f>
        <v>0</v>
      </c>
      <c r="BJ256" s="6" t="s">
        <v>16</v>
      </c>
      <c r="BK256" s="76">
        <f>ROUND($L$256*$K$256,2)</f>
        <v>0</v>
      </c>
      <c r="BL256" s="6" t="s">
        <v>213</v>
      </c>
    </row>
    <row r="257" spans="2:64" s="6" customFormat="1" ht="27" customHeight="1">
      <c r="B257" s="21"/>
      <c r="C257" s="119" t="s">
        <v>378</v>
      </c>
      <c r="D257" s="119" t="s">
        <v>154</v>
      </c>
      <c r="E257" s="120" t="s">
        <v>379</v>
      </c>
      <c r="F257" s="141" t="s">
        <v>380</v>
      </c>
      <c r="G257" s="142"/>
      <c r="H257" s="142"/>
      <c r="I257" s="142"/>
      <c r="J257" s="121" t="s">
        <v>173</v>
      </c>
      <c r="K257" s="122">
        <v>0.12</v>
      </c>
      <c r="L257" s="143">
        <v>0</v>
      </c>
      <c r="M257" s="142"/>
      <c r="N257" s="144">
        <f>ROUND($L$257*$K$257,2)</f>
        <v>0</v>
      </c>
      <c r="O257" s="142"/>
      <c r="P257" s="142"/>
      <c r="Q257" s="142"/>
      <c r="R257" s="22"/>
      <c r="T257" s="123"/>
      <c r="U257" s="124" t="s">
        <v>38</v>
      </c>
      <c r="V257" s="125">
        <v>1.36</v>
      </c>
      <c r="W257" s="125">
        <f>$V$257*$K$257</f>
        <v>0.1632</v>
      </c>
      <c r="X257" s="125">
        <v>0</v>
      </c>
      <c r="Y257" s="125">
        <f>$X$257*$K$257</f>
        <v>0</v>
      </c>
      <c r="Z257" s="125">
        <v>0</v>
      </c>
      <c r="AA257" s="126">
        <f>$Z$257*$K$257</f>
        <v>0</v>
      </c>
      <c r="AR257" s="6" t="s">
        <v>213</v>
      </c>
      <c r="AT257" s="6" t="s">
        <v>154</v>
      </c>
      <c r="AU257" s="6" t="s">
        <v>99</v>
      </c>
      <c r="AY257" s="6" t="s">
        <v>153</v>
      </c>
      <c r="BE257" s="76">
        <f>IF($U$257="základní",$N$257,0)</f>
        <v>0</v>
      </c>
      <c r="BF257" s="76">
        <f>IF($U$257="snížená",$N$257,0)</f>
        <v>0</v>
      </c>
      <c r="BG257" s="76">
        <f>IF($U$257="zákl. přenesená",$N$257,0)</f>
        <v>0</v>
      </c>
      <c r="BH257" s="76">
        <f>IF($U$257="sníž. přenesená",$N$257,0)</f>
        <v>0</v>
      </c>
      <c r="BI257" s="76">
        <f>IF($U$257="nulová",$N$257,0)</f>
        <v>0</v>
      </c>
      <c r="BJ257" s="6" t="s">
        <v>16</v>
      </c>
      <c r="BK257" s="76">
        <f>ROUND($L$257*$K$257,2)</f>
        <v>0</v>
      </c>
      <c r="BL257" s="6" t="s">
        <v>213</v>
      </c>
    </row>
    <row r="258" spans="2:63" s="109" customFormat="1" ht="30.75" customHeight="1">
      <c r="B258" s="110"/>
      <c r="D258" s="118" t="s">
        <v>118</v>
      </c>
      <c r="N258" s="160">
        <f>$BK$258</f>
        <v>0</v>
      </c>
      <c r="O258" s="139"/>
      <c r="P258" s="139"/>
      <c r="Q258" s="139"/>
      <c r="R258" s="113"/>
      <c r="T258" s="114"/>
      <c r="W258" s="115">
        <f>SUM($W$259:$W$268)</f>
        <v>2.64979</v>
      </c>
      <c r="Y258" s="115">
        <f>SUM($Y$259:$Y$268)</f>
        <v>0.15712</v>
      </c>
      <c r="AA258" s="116">
        <f>SUM($AA$259:$AA$268)</f>
        <v>0.15315800000000002</v>
      </c>
      <c r="AR258" s="112" t="s">
        <v>99</v>
      </c>
      <c r="AT258" s="112" t="s">
        <v>72</v>
      </c>
      <c r="AU258" s="112" t="s">
        <v>16</v>
      </c>
      <c r="AY258" s="112" t="s">
        <v>153</v>
      </c>
      <c r="BK258" s="117">
        <f>SUM($BK$259:$BK$268)</f>
        <v>0</v>
      </c>
    </row>
    <row r="259" spans="2:64" s="6" customFormat="1" ht="27" customHeight="1">
      <c r="B259" s="21"/>
      <c r="C259" s="119" t="s">
        <v>381</v>
      </c>
      <c r="D259" s="119" t="s">
        <v>154</v>
      </c>
      <c r="E259" s="120" t="s">
        <v>382</v>
      </c>
      <c r="F259" s="141" t="s">
        <v>383</v>
      </c>
      <c r="G259" s="142"/>
      <c r="H259" s="142"/>
      <c r="I259" s="142"/>
      <c r="J259" s="121" t="s">
        <v>224</v>
      </c>
      <c r="K259" s="122">
        <v>2</v>
      </c>
      <c r="L259" s="143">
        <v>0</v>
      </c>
      <c r="M259" s="142"/>
      <c r="N259" s="144">
        <f>ROUND($L$259*$K$259,2)</f>
        <v>0</v>
      </c>
      <c r="O259" s="142"/>
      <c r="P259" s="142"/>
      <c r="Q259" s="142"/>
      <c r="R259" s="22"/>
      <c r="T259" s="123"/>
      <c r="U259" s="124" t="s">
        <v>38</v>
      </c>
      <c r="V259" s="125">
        <v>0.035</v>
      </c>
      <c r="W259" s="125">
        <f>$V$259*$K$259</f>
        <v>0.07</v>
      </c>
      <c r="X259" s="125">
        <v>0.00014</v>
      </c>
      <c r="Y259" s="125">
        <f>$X$259*$K$259</f>
        <v>0.00028</v>
      </c>
      <c r="Z259" s="125">
        <v>0</v>
      </c>
      <c r="AA259" s="126">
        <f>$Z$259*$K$259</f>
        <v>0</v>
      </c>
      <c r="AR259" s="6" t="s">
        <v>213</v>
      </c>
      <c r="AT259" s="6" t="s">
        <v>154</v>
      </c>
      <c r="AU259" s="6" t="s">
        <v>99</v>
      </c>
      <c r="AY259" s="6" t="s">
        <v>153</v>
      </c>
      <c r="BE259" s="76">
        <f>IF($U$259="základní",$N$259,0)</f>
        <v>0</v>
      </c>
      <c r="BF259" s="76">
        <f>IF($U$259="snížená",$N$259,0)</f>
        <v>0</v>
      </c>
      <c r="BG259" s="76">
        <f>IF($U$259="zákl. přenesená",$N$259,0)</f>
        <v>0</v>
      </c>
      <c r="BH259" s="76">
        <f>IF($U$259="sníž. přenesená",$N$259,0)</f>
        <v>0</v>
      </c>
      <c r="BI259" s="76">
        <f>IF($U$259="nulová",$N$259,0)</f>
        <v>0</v>
      </c>
      <c r="BJ259" s="6" t="s">
        <v>16</v>
      </c>
      <c r="BK259" s="76">
        <f>ROUND($L$259*$K$259,2)</f>
        <v>0</v>
      </c>
      <c r="BL259" s="6" t="s">
        <v>213</v>
      </c>
    </row>
    <row r="260" spans="2:64" s="6" customFormat="1" ht="27" customHeight="1">
      <c r="B260" s="21"/>
      <c r="C260" s="119" t="s">
        <v>384</v>
      </c>
      <c r="D260" s="119" t="s">
        <v>154</v>
      </c>
      <c r="E260" s="120" t="s">
        <v>385</v>
      </c>
      <c r="F260" s="141" t="s">
        <v>386</v>
      </c>
      <c r="G260" s="142"/>
      <c r="H260" s="142"/>
      <c r="I260" s="142"/>
      <c r="J260" s="121" t="s">
        <v>224</v>
      </c>
      <c r="K260" s="122">
        <v>2</v>
      </c>
      <c r="L260" s="143">
        <v>0</v>
      </c>
      <c r="M260" s="142"/>
      <c r="N260" s="144">
        <f>ROUND($L$260*$K$260,2)</f>
        <v>0</v>
      </c>
      <c r="O260" s="142"/>
      <c r="P260" s="142"/>
      <c r="Q260" s="142"/>
      <c r="R260" s="22"/>
      <c r="T260" s="123"/>
      <c r="U260" s="124" t="s">
        <v>38</v>
      </c>
      <c r="V260" s="125">
        <v>0.165</v>
      </c>
      <c r="W260" s="125">
        <f>$V$260*$K$260</f>
        <v>0.33</v>
      </c>
      <c r="X260" s="125">
        <v>0.00071</v>
      </c>
      <c r="Y260" s="125">
        <f>$X$260*$K$260</f>
        <v>0.00142</v>
      </c>
      <c r="Z260" s="125">
        <v>0</v>
      </c>
      <c r="AA260" s="126">
        <f>$Z$260*$K$260</f>
        <v>0</v>
      </c>
      <c r="AR260" s="6" t="s">
        <v>213</v>
      </c>
      <c r="AT260" s="6" t="s">
        <v>154</v>
      </c>
      <c r="AU260" s="6" t="s">
        <v>99</v>
      </c>
      <c r="AY260" s="6" t="s">
        <v>153</v>
      </c>
      <c r="BE260" s="76">
        <f>IF($U$260="základní",$N$260,0)</f>
        <v>0</v>
      </c>
      <c r="BF260" s="76">
        <f>IF($U$260="snížená",$N$260,0)</f>
        <v>0</v>
      </c>
      <c r="BG260" s="76">
        <f>IF($U$260="zákl. přenesená",$N$260,0)</f>
        <v>0</v>
      </c>
      <c r="BH260" s="76">
        <f>IF($U$260="sníž. přenesená",$N$260,0)</f>
        <v>0</v>
      </c>
      <c r="BI260" s="76">
        <f>IF($U$260="nulová",$N$260,0)</f>
        <v>0</v>
      </c>
      <c r="BJ260" s="6" t="s">
        <v>16</v>
      </c>
      <c r="BK260" s="76">
        <f>ROUND($L$260*$K$260,2)</f>
        <v>0</v>
      </c>
      <c r="BL260" s="6" t="s">
        <v>213</v>
      </c>
    </row>
    <row r="261" spans="2:64" s="6" customFormat="1" ht="27" customHeight="1">
      <c r="B261" s="21"/>
      <c r="C261" s="119" t="s">
        <v>387</v>
      </c>
      <c r="D261" s="119" t="s">
        <v>154</v>
      </c>
      <c r="E261" s="120" t="s">
        <v>388</v>
      </c>
      <c r="F261" s="141" t="s">
        <v>389</v>
      </c>
      <c r="G261" s="142"/>
      <c r="H261" s="142"/>
      <c r="I261" s="142"/>
      <c r="J261" s="121" t="s">
        <v>192</v>
      </c>
      <c r="K261" s="122">
        <v>4.86</v>
      </c>
      <c r="L261" s="143">
        <v>0</v>
      </c>
      <c r="M261" s="142"/>
      <c r="N261" s="144">
        <f>ROUND($L$261*$K$261,2)</f>
        <v>0</v>
      </c>
      <c r="O261" s="142"/>
      <c r="P261" s="142"/>
      <c r="Q261" s="142"/>
      <c r="R261" s="22"/>
      <c r="T261" s="123"/>
      <c r="U261" s="124" t="s">
        <v>38</v>
      </c>
      <c r="V261" s="125">
        <v>0.082</v>
      </c>
      <c r="W261" s="125">
        <f>$V$261*$K$261</f>
        <v>0.39852000000000004</v>
      </c>
      <c r="X261" s="125">
        <v>0</v>
      </c>
      <c r="Y261" s="125">
        <f>$X$261*$K$261</f>
        <v>0</v>
      </c>
      <c r="Z261" s="125">
        <v>0.0238</v>
      </c>
      <c r="AA261" s="126">
        <f>$Z$261*$K$261</f>
        <v>0.11566800000000002</v>
      </c>
      <c r="AR261" s="6" t="s">
        <v>213</v>
      </c>
      <c r="AT261" s="6" t="s">
        <v>154</v>
      </c>
      <c r="AU261" s="6" t="s">
        <v>99</v>
      </c>
      <c r="AY261" s="6" t="s">
        <v>153</v>
      </c>
      <c r="BE261" s="76">
        <f>IF($U$261="základní",$N$261,0)</f>
        <v>0</v>
      </c>
      <c r="BF261" s="76">
        <f>IF($U$261="snížená",$N$261,0)</f>
        <v>0</v>
      </c>
      <c r="BG261" s="76">
        <f>IF($U$261="zákl. přenesená",$N$261,0)</f>
        <v>0</v>
      </c>
      <c r="BH261" s="76">
        <f>IF($U$261="sníž. přenesená",$N$261,0)</f>
        <v>0</v>
      </c>
      <c r="BI261" s="76">
        <f>IF($U$261="nulová",$N$261,0)</f>
        <v>0</v>
      </c>
      <c r="BJ261" s="6" t="s">
        <v>16</v>
      </c>
      <c r="BK261" s="76">
        <f>ROUND($L$261*$K$261,2)</f>
        <v>0</v>
      </c>
      <c r="BL261" s="6" t="s">
        <v>213</v>
      </c>
    </row>
    <row r="262" spans="2:51" s="6" customFormat="1" ht="15.75" customHeight="1">
      <c r="B262" s="127"/>
      <c r="E262" s="128"/>
      <c r="F262" s="146" t="s">
        <v>390</v>
      </c>
      <c r="G262" s="147"/>
      <c r="H262" s="147"/>
      <c r="I262" s="147"/>
      <c r="K262" s="129">
        <v>4.86</v>
      </c>
      <c r="N262" s="128"/>
      <c r="R262" s="130"/>
      <c r="T262" s="131"/>
      <c r="AA262" s="132"/>
      <c r="AT262" s="128" t="s">
        <v>160</v>
      </c>
      <c r="AU262" s="128" t="s">
        <v>99</v>
      </c>
      <c r="AV262" s="133" t="s">
        <v>99</v>
      </c>
      <c r="AW262" s="133" t="s">
        <v>107</v>
      </c>
      <c r="AX262" s="133" t="s">
        <v>16</v>
      </c>
      <c r="AY262" s="128" t="s">
        <v>153</v>
      </c>
    </row>
    <row r="263" spans="2:64" s="6" customFormat="1" ht="27" customHeight="1">
      <c r="B263" s="21"/>
      <c r="C263" s="119" t="s">
        <v>391</v>
      </c>
      <c r="D263" s="119" t="s">
        <v>154</v>
      </c>
      <c r="E263" s="120" t="s">
        <v>392</v>
      </c>
      <c r="F263" s="141" t="s">
        <v>393</v>
      </c>
      <c r="G263" s="142"/>
      <c r="H263" s="142"/>
      <c r="I263" s="142"/>
      <c r="J263" s="121" t="s">
        <v>224</v>
      </c>
      <c r="K263" s="122">
        <v>1</v>
      </c>
      <c r="L263" s="143">
        <v>0</v>
      </c>
      <c r="M263" s="142"/>
      <c r="N263" s="144">
        <f>ROUND($L$263*$K$263,2)</f>
        <v>0</v>
      </c>
      <c r="O263" s="142"/>
      <c r="P263" s="142"/>
      <c r="Q263" s="142"/>
      <c r="R263" s="22"/>
      <c r="T263" s="123"/>
      <c r="U263" s="124" t="s">
        <v>38</v>
      </c>
      <c r="V263" s="125">
        <v>0.35</v>
      </c>
      <c r="W263" s="125">
        <f>$V$263*$K$263</f>
        <v>0.35</v>
      </c>
      <c r="X263" s="125">
        <v>0.0001</v>
      </c>
      <c r="Y263" s="125">
        <f>$X$263*$K$263</f>
        <v>0.0001</v>
      </c>
      <c r="Z263" s="125">
        <v>0.03749</v>
      </c>
      <c r="AA263" s="126">
        <f>$Z$263*$K$263</f>
        <v>0.03749</v>
      </c>
      <c r="AR263" s="6" t="s">
        <v>213</v>
      </c>
      <c r="AT263" s="6" t="s">
        <v>154</v>
      </c>
      <c r="AU263" s="6" t="s">
        <v>99</v>
      </c>
      <c r="AY263" s="6" t="s">
        <v>153</v>
      </c>
      <c r="BE263" s="76">
        <f>IF($U$263="základní",$N$263,0)</f>
        <v>0</v>
      </c>
      <c r="BF263" s="76">
        <f>IF($U$263="snížená",$N$263,0)</f>
        <v>0</v>
      </c>
      <c r="BG263" s="76">
        <f>IF($U$263="zákl. přenesená",$N$263,0)</f>
        <v>0</v>
      </c>
      <c r="BH263" s="76">
        <f>IF($U$263="sníž. přenesená",$N$263,0)</f>
        <v>0</v>
      </c>
      <c r="BI263" s="76">
        <f>IF($U$263="nulová",$N$263,0)</f>
        <v>0</v>
      </c>
      <c r="BJ263" s="6" t="s">
        <v>16</v>
      </c>
      <c r="BK263" s="76">
        <f>ROUND($L$263*$K$263,2)</f>
        <v>0</v>
      </c>
      <c r="BL263" s="6" t="s">
        <v>213</v>
      </c>
    </row>
    <row r="264" spans="2:64" s="6" customFormat="1" ht="27" customHeight="1">
      <c r="B264" s="21"/>
      <c r="C264" s="119" t="s">
        <v>394</v>
      </c>
      <c r="D264" s="119" t="s">
        <v>154</v>
      </c>
      <c r="E264" s="120" t="s">
        <v>395</v>
      </c>
      <c r="F264" s="141" t="s">
        <v>396</v>
      </c>
      <c r="G264" s="142"/>
      <c r="H264" s="142"/>
      <c r="I264" s="142"/>
      <c r="J264" s="121" t="s">
        <v>224</v>
      </c>
      <c r="K264" s="122">
        <v>2</v>
      </c>
      <c r="L264" s="143">
        <v>0</v>
      </c>
      <c r="M264" s="142"/>
      <c r="N264" s="144">
        <f>ROUND($L$264*$K$264,2)</f>
        <v>0</v>
      </c>
      <c r="O264" s="142"/>
      <c r="P264" s="142"/>
      <c r="Q264" s="142"/>
      <c r="R264" s="22"/>
      <c r="T264" s="123"/>
      <c r="U264" s="124" t="s">
        <v>38</v>
      </c>
      <c r="V264" s="125">
        <v>0.428</v>
      </c>
      <c r="W264" s="125">
        <f>$V$264*$K$264</f>
        <v>0.856</v>
      </c>
      <c r="X264" s="125">
        <v>0.07766</v>
      </c>
      <c r="Y264" s="125">
        <f>$X$264*$K$264</f>
        <v>0.15532</v>
      </c>
      <c r="Z264" s="125">
        <v>0</v>
      </c>
      <c r="AA264" s="126">
        <f>$Z$264*$K$264</f>
        <v>0</v>
      </c>
      <c r="AR264" s="6" t="s">
        <v>213</v>
      </c>
      <c r="AT264" s="6" t="s">
        <v>154</v>
      </c>
      <c r="AU264" s="6" t="s">
        <v>99</v>
      </c>
      <c r="AY264" s="6" t="s">
        <v>153</v>
      </c>
      <c r="BE264" s="76">
        <f>IF($U$264="základní",$N$264,0)</f>
        <v>0</v>
      </c>
      <c r="BF264" s="76">
        <f>IF($U$264="snížená",$N$264,0)</f>
        <v>0</v>
      </c>
      <c r="BG264" s="76">
        <f>IF($U$264="zákl. přenesená",$N$264,0)</f>
        <v>0</v>
      </c>
      <c r="BH264" s="76">
        <f>IF($U$264="sníž. přenesená",$N$264,0)</f>
        <v>0</v>
      </c>
      <c r="BI264" s="76">
        <f>IF($U$264="nulová",$N$264,0)</f>
        <v>0</v>
      </c>
      <c r="BJ264" s="6" t="s">
        <v>16</v>
      </c>
      <c r="BK264" s="76">
        <f>ROUND($L$264*$K$264,2)</f>
        <v>0</v>
      </c>
      <c r="BL264" s="6" t="s">
        <v>213</v>
      </c>
    </row>
    <row r="265" spans="2:64" s="6" customFormat="1" ht="27" customHeight="1">
      <c r="B265" s="21"/>
      <c r="C265" s="119" t="s">
        <v>397</v>
      </c>
      <c r="D265" s="119" t="s">
        <v>154</v>
      </c>
      <c r="E265" s="120" t="s">
        <v>398</v>
      </c>
      <c r="F265" s="141" t="s">
        <v>399</v>
      </c>
      <c r="G265" s="142"/>
      <c r="H265" s="142"/>
      <c r="I265" s="142"/>
      <c r="J265" s="121" t="s">
        <v>400</v>
      </c>
      <c r="K265" s="122">
        <v>2</v>
      </c>
      <c r="L265" s="143">
        <v>0</v>
      </c>
      <c r="M265" s="142"/>
      <c r="N265" s="144">
        <f>ROUND($L$265*$K$265,2)</f>
        <v>0</v>
      </c>
      <c r="O265" s="142"/>
      <c r="P265" s="142"/>
      <c r="Q265" s="142"/>
      <c r="R265" s="22"/>
      <c r="T265" s="123"/>
      <c r="U265" s="124" t="s">
        <v>38</v>
      </c>
      <c r="V265" s="125">
        <v>0</v>
      </c>
      <c r="W265" s="125">
        <f>$V$265*$K$265</f>
        <v>0</v>
      </c>
      <c r="X265" s="125">
        <v>0</v>
      </c>
      <c r="Y265" s="125">
        <f>$X$265*$K$265</f>
        <v>0</v>
      </c>
      <c r="Z265" s="125">
        <v>0</v>
      </c>
      <c r="AA265" s="126">
        <f>$Z$265*$K$265</f>
        <v>0</v>
      </c>
      <c r="AR265" s="6" t="s">
        <v>213</v>
      </c>
      <c r="AT265" s="6" t="s">
        <v>154</v>
      </c>
      <c r="AU265" s="6" t="s">
        <v>99</v>
      </c>
      <c r="AY265" s="6" t="s">
        <v>153</v>
      </c>
      <c r="BE265" s="76">
        <f>IF($U$265="základní",$N$265,0)</f>
        <v>0</v>
      </c>
      <c r="BF265" s="76">
        <f>IF($U$265="snížená",$N$265,0)</f>
        <v>0</v>
      </c>
      <c r="BG265" s="76">
        <f>IF($U$265="zákl. přenesená",$N$265,0)</f>
        <v>0</v>
      </c>
      <c r="BH265" s="76">
        <f>IF($U$265="sníž. přenesená",$N$265,0)</f>
        <v>0</v>
      </c>
      <c r="BI265" s="76">
        <f>IF($U$265="nulová",$N$265,0)</f>
        <v>0</v>
      </c>
      <c r="BJ265" s="6" t="s">
        <v>16</v>
      </c>
      <c r="BK265" s="76">
        <f>ROUND($L$265*$K$265,2)</f>
        <v>0</v>
      </c>
      <c r="BL265" s="6" t="s">
        <v>213</v>
      </c>
    </row>
    <row r="266" spans="2:64" s="6" customFormat="1" ht="27" customHeight="1">
      <c r="B266" s="21"/>
      <c r="C266" s="119" t="s">
        <v>401</v>
      </c>
      <c r="D266" s="119" t="s">
        <v>154</v>
      </c>
      <c r="E266" s="120" t="s">
        <v>402</v>
      </c>
      <c r="F266" s="141" t="s">
        <v>403</v>
      </c>
      <c r="G266" s="142"/>
      <c r="H266" s="142"/>
      <c r="I266" s="142"/>
      <c r="J266" s="121" t="s">
        <v>400</v>
      </c>
      <c r="K266" s="122">
        <v>1</v>
      </c>
      <c r="L266" s="143">
        <v>0</v>
      </c>
      <c r="M266" s="142"/>
      <c r="N266" s="144">
        <f>ROUND($L$266*$K$266,2)</f>
        <v>0</v>
      </c>
      <c r="O266" s="142"/>
      <c r="P266" s="142"/>
      <c r="Q266" s="142"/>
      <c r="R266" s="22"/>
      <c r="T266" s="123"/>
      <c r="U266" s="124" t="s">
        <v>38</v>
      </c>
      <c r="V266" s="125">
        <v>0</v>
      </c>
      <c r="W266" s="125">
        <f>$V$266*$K$266</f>
        <v>0</v>
      </c>
      <c r="X266" s="125">
        <v>0</v>
      </c>
      <c r="Y266" s="125">
        <f>$X$266*$K$266</f>
        <v>0</v>
      </c>
      <c r="Z266" s="125">
        <v>0</v>
      </c>
      <c r="AA266" s="126">
        <f>$Z$266*$K$266</f>
        <v>0</v>
      </c>
      <c r="AR266" s="6" t="s">
        <v>213</v>
      </c>
      <c r="AT266" s="6" t="s">
        <v>154</v>
      </c>
      <c r="AU266" s="6" t="s">
        <v>99</v>
      </c>
      <c r="AY266" s="6" t="s">
        <v>153</v>
      </c>
      <c r="BE266" s="76">
        <f>IF($U$266="základní",$N$266,0)</f>
        <v>0</v>
      </c>
      <c r="BF266" s="76">
        <f>IF($U$266="snížená",$N$266,0)</f>
        <v>0</v>
      </c>
      <c r="BG266" s="76">
        <f>IF($U$266="zákl. přenesená",$N$266,0)</f>
        <v>0</v>
      </c>
      <c r="BH266" s="76">
        <f>IF($U$266="sníž. přenesená",$N$266,0)</f>
        <v>0</v>
      </c>
      <c r="BI266" s="76">
        <f>IF($U$266="nulová",$N$266,0)</f>
        <v>0</v>
      </c>
      <c r="BJ266" s="6" t="s">
        <v>16</v>
      </c>
      <c r="BK266" s="76">
        <f>ROUND($L$266*$K$266,2)</f>
        <v>0</v>
      </c>
      <c r="BL266" s="6" t="s">
        <v>213</v>
      </c>
    </row>
    <row r="267" spans="2:64" s="6" customFormat="1" ht="27" customHeight="1">
      <c r="B267" s="21"/>
      <c r="C267" s="119" t="s">
        <v>404</v>
      </c>
      <c r="D267" s="119" t="s">
        <v>154</v>
      </c>
      <c r="E267" s="120" t="s">
        <v>405</v>
      </c>
      <c r="F267" s="141" t="s">
        <v>406</v>
      </c>
      <c r="G267" s="142"/>
      <c r="H267" s="142"/>
      <c r="I267" s="142"/>
      <c r="J267" s="121" t="s">
        <v>173</v>
      </c>
      <c r="K267" s="122">
        <v>0.157</v>
      </c>
      <c r="L267" s="143">
        <v>0</v>
      </c>
      <c r="M267" s="142"/>
      <c r="N267" s="144">
        <f>ROUND($L$267*$K$267,2)</f>
        <v>0</v>
      </c>
      <c r="O267" s="142"/>
      <c r="P267" s="142"/>
      <c r="Q267" s="142"/>
      <c r="R267" s="22"/>
      <c r="T267" s="123"/>
      <c r="U267" s="124" t="s">
        <v>38</v>
      </c>
      <c r="V267" s="125">
        <v>2.72</v>
      </c>
      <c r="W267" s="125">
        <f>$V$267*$K$267</f>
        <v>0.42704000000000003</v>
      </c>
      <c r="X267" s="125">
        <v>0</v>
      </c>
      <c r="Y267" s="125">
        <f>$X$267*$K$267</f>
        <v>0</v>
      </c>
      <c r="Z267" s="125">
        <v>0</v>
      </c>
      <c r="AA267" s="126">
        <f>$Z$267*$K$267</f>
        <v>0</v>
      </c>
      <c r="AR267" s="6" t="s">
        <v>213</v>
      </c>
      <c r="AT267" s="6" t="s">
        <v>154</v>
      </c>
      <c r="AU267" s="6" t="s">
        <v>99</v>
      </c>
      <c r="AY267" s="6" t="s">
        <v>153</v>
      </c>
      <c r="BE267" s="76">
        <f>IF($U$267="základní",$N$267,0)</f>
        <v>0</v>
      </c>
      <c r="BF267" s="76">
        <f>IF($U$267="snížená",$N$267,0)</f>
        <v>0</v>
      </c>
      <c r="BG267" s="76">
        <f>IF($U$267="zákl. přenesená",$N$267,0)</f>
        <v>0</v>
      </c>
      <c r="BH267" s="76">
        <f>IF($U$267="sníž. přenesená",$N$267,0)</f>
        <v>0</v>
      </c>
      <c r="BI267" s="76">
        <f>IF($U$267="nulová",$N$267,0)</f>
        <v>0</v>
      </c>
      <c r="BJ267" s="6" t="s">
        <v>16</v>
      </c>
      <c r="BK267" s="76">
        <f>ROUND($L$267*$K$267,2)</f>
        <v>0</v>
      </c>
      <c r="BL267" s="6" t="s">
        <v>213</v>
      </c>
    </row>
    <row r="268" spans="2:64" s="6" customFormat="1" ht="27" customHeight="1">
      <c r="B268" s="21"/>
      <c r="C268" s="119" t="s">
        <v>407</v>
      </c>
      <c r="D268" s="119" t="s">
        <v>154</v>
      </c>
      <c r="E268" s="120" t="s">
        <v>408</v>
      </c>
      <c r="F268" s="141" t="s">
        <v>409</v>
      </c>
      <c r="G268" s="142"/>
      <c r="H268" s="142"/>
      <c r="I268" s="142"/>
      <c r="J268" s="121" t="s">
        <v>173</v>
      </c>
      <c r="K268" s="122">
        <v>0.157</v>
      </c>
      <c r="L268" s="143">
        <v>0</v>
      </c>
      <c r="M268" s="142"/>
      <c r="N268" s="144">
        <f>ROUND($L$268*$K$268,2)</f>
        <v>0</v>
      </c>
      <c r="O268" s="142"/>
      <c r="P268" s="142"/>
      <c r="Q268" s="142"/>
      <c r="R268" s="22"/>
      <c r="T268" s="123"/>
      <c r="U268" s="124" t="s">
        <v>38</v>
      </c>
      <c r="V268" s="125">
        <v>1.39</v>
      </c>
      <c r="W268" s="125">
        <f>$V$268*$K$268</f>
        <v>0.21822999999999998</v>
      </c>
      <c r="X268" s="125">
        <v>0</v>
      </c>
      <c r="Y268" s="125">
        <f>$X$268*$K$268</f>
        <v>0</v>
      </c>
      <c r="Z268" s="125">
        <v>0</v>
      </c>
      <c r="AA268" s="126">
        <f>$Z$268*$K$268</f>
        <v>0</v>
      </c>
      <c r="AR268" s="6" t="s">
        <v>213</v>
      </c>
      <c r="AT268" s="6" t="s">
        <v>154</v>
      </c>
      <c r="AU268" s="6" t="s">
        <v>99</v>
      </c>
      <c r="AY268" s="6" t="s">
        <v>153</v>
      </c>
      <c r="BE268" s="76">
        <f>IF($U$268="základní",$N$268,0)</f>
        <v>0</v>
      </c>
      <c r="BF268" s="76">
        <f>IF($U$268="snížená",$N$268,0)</f>
        <v>0</v>
      </c>
      <c r="BG268" s="76">
        <f>IF($U$268="zákl. přenesená",$N$268,0)</f>
        <v>0</v>
      </c>
      <c r="BH268" s="76">
        <f>IF($U$268="sníž. přenesená",$N$268,0)</f>
        <v>0</v>
      </c>
      <c r="BI268" s="76">
        <f>IF($U$268="nulová",$N$268,0)</f>
        <v>0</v>
      </c>
      <c r="BJ268" s="6" t="s">
        <v>16</v>
      </c>
      <c r="BK268" s="76">
        <f>ROUND($L$268*$K$268,2)</f>
        <v>0</v>
      </c>
      <c r="BL268" s="6" t="s">
        <v>213</v>
      </c>
    </row>
    <row r="269" spans="2:63" s="109" customFormat="1" ht="30.75" customHeight="1">
      <c r="B269" s="110"/>
      <c r="D269" s="118" t="s">
        <v>119</v>
      </c>
      <c r="N269" s="160">
        <f>$BK$269</f>
        <v>0</v>
      </c>
      <c r="O269" s="139"/>
      <c r="P269" s="139"/>
      <c r="Q269" s="139"/>
      <c r="R269" s="113"/>
      <c r="T269" s="114"/>
      <c r="W269" s="115">
        <f>$W$270</f>
        <v>0</v>
      </c>
      <c r="Y269" s="115">
        <f>$Y$270</f>
        <v>0</v>
      </c>
      <c r="AA269" s="116">
        <f>$AA$270</f>
        <v>0</v>
      </c>
      <c r="AR269" s="112" t="s">
        <v>99</v>
      </c>
      <c r="AT269" s="112" t="s">
        <v>72</v>
      </c>
      <c r="AU269" s="112" t="s">
        <v>16</v>
      </c>
      <c r="AY269" s="112" t="s">
        <v>153</v>
      </c>
      <c r="BK269" s="117">
        <f>$BK$270</f>
        <v>0</v>
      </c>
    </row>
    <row r="270" spans="2:64" s="6" customFormat="1" ht="27" customHeight="1">
      <c r="B270" s="21"/>
      <c r="C270" s="119" t="s">
        <v>410</v>
      </c>
      <c r="D270" s="119" t="s">
        <v>154</v>
      </c>
      <c r="E270" s="120" t="s">
        <v>411</v>
      </c>
      <c r="F270" s="141" t="s">
        <v>412</v>
      </c>
      <c r="G270" s="142"/>
      <c r="H270" s="142"/>
      <c r="I270" s="142"/>
      <c r="J270" s="121" t="s">
        <v>400</v>
      </c>
      <c r="K270" s="122">
        <v>1</v>
      </c>
      <c r="L270" s="143">
        <v>0</v>
      </c>
      <c r="M270" s="142"/>
      <c r="N270" s="144">
        <f>ROUND($L$270*$K$270,2)</f>
        <v>0</v>
      </c>
      <c r="O270" s="142"/>
      <c r="P270" s="142"/>
      <c r="Q270" s="142"/>
      <c r="R270" s="22"/>
      <c r="T270" s="123"/>
      <c r="U270" s="124" t="s">
        <v>38</v>
      </c>
      <c r="V270" s="125">
        <v>0</v>
      </c>
      <c r="W270" s="125">
        <f>$V$270*$K$270</f>
        <v>0</v>
      </c>
      <c r="X270" s="125">
        <v>0</v>
      </c>
      <c r="Y270" s="125">
        <f>$X$270*$K$270</f>
        <v>0</v>
      </c>
      <c r="Z270" s="125">
        <v>0</v>
      </c>
      <c r="AA270" s="126">
        <f>$Z$270*$K$270</f>
        <v>0</v>
      </c>
      <c r="AR270" s="6" t="s">
        <v>213</v>
      </c>
      <c r="AT270" s="6" t="s">
        <v>154</v>
      </c>
      <c r="AU270" s="6" t="s">
        <v>99</v>
      </c>
      <c r="AY270" s="6" t="s">
        <v>153</v>
      </c>
      <c r="BE270" s="76">
        <f>IF($U$270="základní",$N$270,0)</f>
        <v>0</v>
      </c>
      <c r="BF270" s="76">
        <f>IF($U$270="snížená",$N$270,0)</f>
        <v>0</v>
      </c>
      <c r="BG270" s="76">
        <f>IF($U$270="zákl. přenesená",$N$270,0)</f>
        <v>0</v>
      </c>
      <c r="BH270" s="76">
        <f>IF($U$270="sníž. přenesená",$N$270,0)</f>
        <v>0</v>
      </c>
      <c r="BI270" s="76">
        <f>IF($U$270="nulová",$N$270,0)</f>
        <v>0</v>
      </c>
      <c r="BJ270" s="6" t="s">
        <v>16</v>
      </c>
      <c r="BK270" s="76">
        <f>ROUND($L$270*$K$270,2)</f>
        <v>0</v>
      </c>
      <c r="BL270" s="6" t="s">
        <v>213</v>
      </c>
    </row>
    <row r="271" spans="2:63" s="109" customFormat="1" ht="30.75" customHeight="1">
      <c r="B271" s="110"/>
      <c r="D271" s="118" t="s">
        <v>120</v>
      </c>
      <c r="N271" s="160">
        <f>$BK$271</f>
        <v>0</v>
      </c>
      <c r="O271" s="139"/>
      <c r="P271" s="139"/>
      <c r="Q271" s="139"/>
      <c r="R271" s="113"/>
      <c r="T271" s="114"/>
      <c r="W271" s="115">
        <f>SUM($W$272:$W$280)</f>
        <v>37.492688</v>
      </c>
      <c r="Y271" s="115">
        <f>SUM($Y$272:$Y$280)</f>
        <v>0.248</v>
      </c>
      <c r="AA271" s="116">
        <f>SUM($AA$272:$AA$280)</f>
        <v>0</v>
      </c>
      <c r="AR271" s="112" t="s">
        <v>99</v>
      </c>
      <c r="AT271" s="112" t="s">
        <v>72</v>
      </c>
      <c r="AU271" s="112" t="s">
        <v>16</v>
      </c>
      <c r="AY271" s="112" t="s">
        <v>153</v>
      </c>
      <c r="BK271" s="117">
        <f>SUM($BK$272:$BK$280)</f>
        <v>0</v>
      </c>
    </row>
    <row r="272" spans="2:64" s="6" customFormat="1" ht="27" customHeight="1">
      <c r="B272" s="21"/>
      <c r="C272" s="119" t="s">
        <v>413</v>
      </c>
      <c r="D272" s="119" t="s">
        <v>154</v>
      </c>
      <c r="E272" s="120" t="s">
        <v>414</v>
      </c>
      <c r="F272" s="141" t="s">
        <v>415</v>
      </c>
      <c r="G272" s="142"/>
      <c r="H272" s="142"/>
      <c r="I272" s="142"/>
      <c r="J272" s="121" t="s">
        <v>224</v>
      </c>
      <c r="K272" s="122">
        <v>4</v>
      </c>
      <c r="L272" s="143">
        <v>0</v>
      </c>
      <c r="M272" s="142"/>
      <c r="N272" s="144">
        <f>ROUND($L$272*$K$272,2)</f>
        <v>0</v>
      </c>
      <c r="O272" s="142"/>
      <c r="P272" s="142"/>
      <c r="Q272" s="142"/>
      <c r="R272" s="22"/>
      <c r="T272" s="123"/>
      <c r="U272" s="124" t="s">
        <v>38</v>
      </c>
      <c r="V272" s="125">
        <v>9.1</v>
      </c>
      <c r="W272" s="125">
        <f>$V$272*$K$272</f>
        <v>36.4</v>
      </c>
      <c r="X272" s="125">
        <v>0</v>
      </c>
      <c r="Y272" s="125">
        <f>$X$272*$K$272</f>
        <v>0</v>
      </c>
      <c r="Z272" s="125">
        <v>0</v>
      </c>
      <c r="AA272" s="126">
        <f>$Z$272*$K$272</f>
        <v>0</v>
      </c>
      <c r="AR272" s="6" t="s">
        <v>213</v>
      </c>
      <c r="AT272" s="6" t="s">
        <v>154</v>
      </c>
      <c r="AU272" s="6" t="s">
        <v>99</v>
      </c>
      <c r="AY272" s="6" t="s">
        <v>153</v>
      </c>
      <c r="BE272" s="76">
        <f>IF($U$272="základní",$N$272,0)</f>
        <v>0</v>
      </c>
      <c r="BF272" s="76">
        <f>IF($U$272="snížená",$N$272,0)</f>
        <v>0</v>
      </c>
      <c r="BG272" s="76">
        <f>IF($U$272="zákl. přenesená",$N$272,0)</f>
        <v>0</v>
      </c>
      <c r="BH272" s="76">
        <f>IF($U$272="sníž. přenesená",$N$272,0)</f>
        <v>0</v>
      </c>
      <c r="BI272" s="76">
        <f>IF($U$272="nulová",$N$272,0)</f>
        <v>0</v>
      </c>
      <c r="BJ272" s="6" t="s">
        <v>16</v>
      </c>
      <c r="BK272" s="76">
        <f>ROUND($L$272*$K$272,2)</f>
        <v>0</v>
      </c>
      <c r="BL272" s="6" t="s">
        <v>213</v>
      </c>
    </row>
    <row r="273" spans="2:64" s="6" customFormat="1" ht="27" customHeight="1">
      <c r="B273" s="21"/>
      <c r="C273" s="134" t="s">
        <v>416</v>
      </c>
      <c r="D273" s="134" t="s">
        <v>357</v>
      </c>
      <c r="E273" s="135" t="s">
        <v>417</v>
      </c>
      <c r="F273" s="148" t="s">
        <v>418</v>
      </c>
      <c r="G273" s="192"/>
      <c r="H273" s="192"/>
      <c r="I273" s="192"/>
      <c r="J273" s="136" t="s">
        <v>224</v>
      </c>
      <c r="K273" s="137">
        <v>1</v>
      </c>
      <c r="L273" s="193">
        <v>0</v>
      </c>
      <c r="M273" s="192"/>
      <c r="N273" s="194">
        <f>ROUND($L$273*$K$273,2)</f>
        <v>0</v>
      </c>
      <c r="O273" s="142"/>
      <c r="P273" s="142"/>
      <c r="Q273" s="142"/>
      <c r="R273" s="22"/>
      <c r="T273" s="123"/>
      <c r="U273" s="124" t="s">
        <v>38</v>
      </c>
      <c r="V273" s="125">
        <v>0</v>
      </c>
      <c r="W273" s="125">
        <f>$V$273*$K$273</f>
        <v>0</v>
      </c>
      <c r="X273" s="125">
        <v>0.031</v>
      </c>
      <c r="Y273" s="125">
        <f>$X$273*$K$273</f>
        <v>0.031</v>
      </c>
      <c r="Z273" s="125">
        <v>0</v>
      </c>
      <c r="AA273" s="126">
        <f>$Z$273*$K$273</f>
        <v>0</v>
      </c>
      <c r="AR273" s="6" t="s">
        <v>287</v>
      </c>
      <c r="AT273" s="6" t="s">
        <v>357</v>
      </c>
      <c r="AU273" s="6" t="s">
        <v>99</v>
      </c>
      <c r="AY273" s="6" t="s">
        <v>153</v>
      </c>
      <c r="BE273" s="76">
        <f>IF($U$273="základní",$N$273,0)</f>
        <v>0</v>
      </c>
      <c r="BF273" s="76">
        <f>IF($U$273="snížená",$N$273,0)</f>
        <v>0</v>
      </c>
      <c r="BG273" s="76">
        <f>IF($U$273="zákl. přenesená",$N$273,0)</f>
        <v>0</v>
      </c>
      <c r="BH273" s="76">
        <f>IF($U$273="sníž. přenesená",$N$273,0)</f>
        <v>0</v>
      </c>
      <c r="BI273" s="76">
        <f>IF($U$273="nulová",$N$273,0)</f>
        <v>0</v>
      </c>
      <c r="BJ273" s="6" t="s">
        <v>16</v>
      </c>
      <c r="BK273" s="76">
        <f>ROUND($L$273*$K$273,2)</f>
        <v>0</v>
      </c>
      <c r="BL273" s="6" t="s">
        <v>213</v>
      </c>
    </row>
    <row r="274" spans="2:64" s="6" customFormat="1" ht="27" customHeight="1">
      <c r="B274" s="21"/>
      <c r="C274" s="134" t="s">
        <v>419</v>
      </c>
      <c r="D274" s="134" t="s">
        <v>357</v>
      </c>
      <c r="E274" s="135" t="s">
        <v>420</v>
      </c>
      <c r="F274" s="148" t="s">
        <v>421</v>
      </c>
      <c r="G274" s="192"/>
      <c r="H274" s="192"/>
      <c r="I274" s="192"/>
      <c r="J274" s="136" t="s">
        <v>224</v>
      </c>
      <c r="K274" s="137">
        <v>1</v>
      </c>
      <c r="L274" s="193">
        <v>0</v>
      </c>
      <c r="M274" s="192"/>
      <c r="N274" s="194">
        <f>ROUND($L$274*$K$274,2)</f>
        <v>0</v>
      </c>
      <c r="O274" s="142"/>
      <c r="P274" s="142"/>
      <c r="Q274" s="142"/>
      <c r="R274" s="22"/>
      <c r="T274" s="123"/>
      <c r="U274" s="124" t="s">
        <v>38</v>
      </c>
      <c r="V274" s="125">
        <v>0</v>
      </c>
      <c r="W274" s="125">
        <f>$V$274*$K$274</f>
        <v>0</v>
      </c>
      <c r="X274" s="125">
        <v>0.031</v>
      </c>
      <c r="Y274" s="125">
        <f>$X$274*$K$274</f>
        <v>0.031</v>
      </c>
      <c r="Z274" s="125">
        <v>0</v>
      </c>
      <c r="AA274" s="126">
        <f>$Z$274*$K$274</f>
        <v>0</v>
      </c>
      <c r="AR274" s="6" t="s">
        <v>287</v>
      </c>
      <c r="AT274" s="6" t="s">
        <v>357</v>
      </c>
      <c r="AU274" s="6" t="s">
        <v>99</v>
      </c>
      <c r="AY274" s="6" t="s">
        <v>153</v>
      </c>
      <c r="BE274" s="76">
        <f>IF($U$274="základní",$N$274,0)</f>
        <v>0</v>
      </c>
      <c r="BF274" s="76">
        <f>IF($U$274="snížená",$N$274,0)</f>
        <v>0</v>
      </c>
      <c r="BG274" s="76">
        <f>IF($U$274="zákl. přenesená",$N$274,0)</f>
        <v>0</v>
      </c>
      <c r="BH274" s="76">
        <f>IF($U$274="sníž. přenesená",$N$274,0)</f>
        <v>0</v>
      </c>
      <c r="BI274" s="76">
        <f>IF($U$274="nulová",$N$274,0)</f>
        <v>0</v>
      </c>
      <c r="BJ274" s="6" t="s">
        <v>16</v>
      </c>
      <c r="BK274" s="76">
        <f>ROUND($L$274*$K$274,2)</f>
        <v>0</v>
      </c>
      <c r="BL274" s="6" t="s">
        <v>213</v>
      </c>
    </row>
    <row r="275" spans="2:64" s="6" customFormat="1" ht="27" customHeight="1">
      <c r="B275" s="21"/>
      <c r="C275" s="134" t="s">
        <v>422</v>
      </c>
      <c r="D275" s="134" t="s">
        <v>357</v>
      </c>
      <c r="E275" s="135" t="s">
        <v>423</v>
      </c>
      <c r="F275" s="148" t="s">
        <v>424</v>
      </c>
      <c r="G275" s="192"/>
      <c r="H275" s="192"/>
      <c r="I275" s="192"/>
      <c r="J275" s="136" t="s">
        <v>224</v>
      </c>
      <c r="K275" s="137">
        <v>1</v>
      </c>
      <c r="L275" s="193">
        <v>0</v>
      </c>
      <c r="M275" s="192"/>
      <c r="N275" s="194">
        <f>ROUND($L$275*$K$275,2)</f>
        <v>0</v>
      </c>
      <c r="O275" s="142"/>
      <c r="P275" s="142"/>
      <c r="Q275" s="142"/>
      <c r="R275" s="22"/>
      <c r="T275" s="123"/>
      <c r="U275" s="124" t="s">
        <v>38</v>
      </c>
      <c r="V275" s="125">
        <v>0</v>
      </c>
      <c r="W275" s="125">
        <f>$V$275*$K$275</f>
        <v>0</v>
      </c>
      <c r="X275" s="125">
        <v>0.031</v>
      </c>
      <c r="Y275" s="125">
        <f>$X$275*$K$275</f>
        <v>0.031</v>
      </c>
      <c r="Z275" s="125">
        <v>0</v>
      </c>
      <c r="AA275" s="126">
        <f>$Z$275*$K$275</f>
        <v>0</v>
      </c>
      <c r="AR275" s="6" t="s">
        <v>287</v>
      </c>
      <c r="AT275" s="6" t="s">
        <v>357</v>
      </c>
      <c r="AU275" s="6" t="s">
        <v>99</v>
      </c>
      <c r="AY275" s="6" t="s">
        <v>153</v>
      </c>
      <c r="BE275" s="76">
        <f>IF($U$275="základní",$N$275,0)</f>
        <v>0</v>
      </c>
      <c r="BF275" s="76">
        <f>IF($U$275="snížená",$N$275,0)</f>
        <v>0</v>
      </c>
      <c r="BG275" s="76">
        <f>IF($U$275="zákl. přenesená",$N$275,0)</f>
        <v>0</v>
      </c>
      <c r="BH275" s="76">
        <f>IF($U$275="sníž. přenesená",$N$275,0)</f>
        <v>0</v>
      </c>
      <c r="BI275" s="76">
        <f>IF($U$275="nulová",$N$275,0)</f>
        <v>0</v>
      </c>
      <c r="BJ275" s="6" t="s">
        <v>16</v>
      </c>
      <c r="BK275" s="76">
        <f>ROUND($L$275*$K$275,2)</f>
        <v>0</v>
      </c>
      <c r="BL275" s="6" t="s">
        <v>213</v>
      </c>
    </row>
    <row r="276" spans="2:64" s="6" customFormat="1" ht="27" customHeight="1">
      <c r="B276" s="21"/>
      <c r="C276" s="134" t="s">
        <v>425</v>
      </c>
      <c r="D276" s="134" t="s">
        <v>357</v>
      </c>
      <c r="E276" s="135" t="s">
        <v>426</v>
      </c>
      <c r="F276" s="148" t="s">
        <v>427</v>
      </c>
      <c r="G276" s="192"/>
      <c r="H276" s="192"/>
      <c r="I276" s="192"/>
      <c r="J276" s="136" t="s">
        <v>224</v>
      </c>
      <c r="K276" s="137">
        <v>1</v>
      </c>
      <c r="L276" s="193">
        <v>0</v>
      </c>
      <c r="M276" s="192"/>
      <c r="N276" s="194">
        <f>ROUND($L$276*$K$276,2)</f>
        <v>0</v>
      </c>
      <c r="O276" s="142"/>
      <c r="P276" s="142"/>
      <c r="Q276" s="142"/>
      <c r="R276" s="22"/>
      <c r="T276" s="123"/>
      <c r="U276" s="124" t="s">
        <v>38</v>
      </c>
      <c r="V276" s="125">
        <v>0</v>
      </c>
      <c r="W276" s="125">
        <f>$V$276*$K$276</f>
        <v>0</v>
      </c>
      <c r="X276" s="125">
        <v>0.031</v>
      </c>
      <c r="Y276" s="125">
        <f>$X$276*$K$276</f>
        <v>0.031</v>
      </c>
      <c r="Z276" s="125">
        <v>0</v>
      </c>
      <c r="AA276" s="126">
        <f>$Z$276*$K$276</f>
        <v>0</v>
      </c>
      <c r="AR276" s="6" t="s">
        <v>287</v>
      </c>
      <c r="AT276" s="6" t="s">
        <v>357</v>
      </c>
      <c r="AU276" s="6" t="s">
        <v>99</v>
      </c>
      <c r="AY276" s="6" t="s">
        <v>153</v>
      </c>
      <c r="BE276" s="76">
        <f>IF($U$276="základní",$N$276,0)</f>
        <v>0</v>
      </c>
      <c r="BF276" s="76">
        <f>IF($U$276="snížená",$N$276,0)</f>
        <v>0</v>
      </c>
      <c r="BG276" s="76">
        <f>IF($U$276="zákl. přenesená",$N$276,0)</f>
        <v>0</v>
      </c>
      <c r="BH276" s="76">
        <f>IF($U$276="sníž. přenesená",$N$276,0)</f>
        <v>0</v>
      </c>
      <c r="BI276" s="76">
        <f>IF($U$276="nulová",$N$276,0)</f>
        <v>0</v>
      </c>
      <c r="BJ276" s="6" t="s">
        <v>16</v>
      </c>
      <c r="BK276" s="76">
        <f>ROUND($L$276*$K$276,2)</f>
        <v>0</v>
      </c>
      <c r="BL276" s="6" t="s">
        <v>213</v>
      </c>
    </row>
    <row r="277" spans="2:64" s="6" customFormat="1" ht="27" customHeight="1">
      <c r="B277" s="21"/>
      <c r="C277" s="134" t="s">
        <v>428</v>
      </c>
      <c r="D277" s="134" t="s">
        <v>357</v>
      </c>
      <c r="E277" s="135" t="s">
        <v>429</v>
      </c>
      <c r="F277" s="148" t="s">
        <v>430</v>
      </c>
      <c r="G277" s="192"/>
      <c r="H277" s="192"/>
      <c r="I277" s="192"/>
      <c r="J277" s="136" t="s">
        <v>224</v>
      </c>
      <c r="K277" s="137">
        <v>4</v>
      </c>
      <c r="L277" s="193">
        <v>0</v>
      </c>
      <c r="M277" s="192"/>
      <c r="N277" s="194">
        <f>ROUND($L$277*$K$277,2)</f>
        <v>0</v>
      </c>
      <c r="O277" s="142"/>
      <c r="P277" s="142"/>
      <c r="Q277" s="142"/>
      <c r="R277" s="22"/>
      <c r="T277" s="123"/>
      <c r="U277" s="124" t="s">
        <v>38</v>
      </c>
      <c r="V277" s="125">
        <v>0</v>
      </c>
      <c r="W277" s="125">
        <f>$V$277*$K$277</f>
        <v>0</v>
      </c>
      <c r="X277" s="125">
        <v>0.031</v>
      </c>
      <c r="Y277" s="125">
        <f>$X$277*$K$277</f>
        <v>0.124</v>
      </c>
      <c r="Z277" s="125">
        <v>0</v>
      </c>
      <c r="AA277" s="126">
        <f>$Z$277*$K$277</f>
        <v>0</v>
      </c>
      <c r="AR277" s="6" t="s">
        <v>287</v>
      </c>
      <c r="AT277" s="6" t="s">
        <v>357</v>
      </c>
      <c r="AU277" s="6" t="s">
        <v>99</v>
      </c>
      <c r="AY277" s="6" t="s">
        <v>153</v>
      </c>
      <c r="BE277" s="76">
        <f>IF($U$277="základní",$N$277,0)</f>
        <v>0</v>
      </c>
      <c r="BF277" s="76">
        <f>IF($U$277="snížená",$N$277,0)</f>
        <v>0</v>
      </c>
      <c r="BG277" s="76">
        <f>IF($U$277="zákl. přenesená",$N$277,0)</f>
        <v>0</v>
      </c>
      <c r="BH277" s="76">
        <f>IF($U$277="sníž. přenesená",$N$277,0)</f>
        <v>0</v>
      </c>
      <c r="BI277" s="76">
        <f>IF($U$277="nulová",$N$277,0)</f>
        <v>0</v>
      </c>
      <c r="BJ277" s="6" t="s">
        <v>16</v>
      </c>
      <c r="BK277" s="76">
        <f>ROUND($L$277*$K$277,2)</f>
        <v>0</v>
      </c>
      <c r="BL277" s="6" t="s">
        <v>213</v>
      </c>
    </row>
    <row r="278" spans="2:64" s="6" customFormat="1" ht="27" customHeight="1">
      <c r="B278" s="21"/>
      <c r="C278" s="119" t="s">
        <v>431</v>
      </c>
      <c r="D278" s="119" t="s">
        <v>154</v>
      </c>
      <c r="E278" s="120" t="s">
        <v>432</v>
      </c>
      <c r="F278" s="141" t="s">
        <v>433</v>
      </c>
      <c r="G278" s="142"/>
      <c r="H278" s="142"/>
      <c r="I278" s="142"/>
      <c r="J278" s="121" t="s">
        <v>400</v>
      </c>
      <c r="K278" s="122">
        <v>1</v>
      </c>
      <c r="L278" s="143">
        <v>0</v>
      </c>
      <c r="M278" s="142"/>
      <c r="N278" s="144">
        <f>ROUND($L$278*$K$278,2)</f>
        <v>0</v>
      </c>
      <c r="O278" s="142"/>
      <c r="P278" s="142"/>
      <c r="Q278" s="142"/>
      <c r="R278" s="22"/>
      <c r="T278" s="123"/>
      <c r="U278" s="124" t="s">
        <v>38</v>
      </c>
      <c r="V278" s="125">
        <v>0</v>
      </c>
      <c r="W278" s="125">
        <f>$V$278*$K$278</f>
        <v>0</v>
      </c>
      <c r="X278" s="125">
        <v>0</v>
      </c>
      <c r="Y278" s="125">
        <f>$X$278*$K$278</f>
        <v>0</v>
      </c>
      <c r="Z278" s="125">
        <v>0</v>
      </c>
      <c r="AA278" s="126">
        <f>$Z$278*$K$278</f>
        <v>0</v>
      </c>
      <c r="AR278" s="6" t="s">
        <v>213</v>
      </c>
      <c r="AT278" s="6" t="s">
        <v>154</v>
      </c>
      <c r="AU278" s="6" t="s">
        <v>99</v>
      </c>
      <c r="AY278" s="6" t="s">
        <v>153</v>
      </c>
      <c r="BE278" s="76">
        <f>IF($U$278="základní",$N$278,0)</f>
        <v>0</v>
      </c>
      <c r="BF278" s="76">
        <f>IF($U$278="snížená",$N$278,0)</f>
        <v>0</v>
      </c>
      <c r="BG278" s="76">
        <f>IF($U$278="zákl. přenesená",$N$278,0)</f>
        <v>0</v>
      </c>
      <c r="BH278" s="76">
        <f>IF($U$278="sníž. přenesená",$N$278,0)</f>
        <v>0</v>
      </c>
      <c r="BI278" s="76">
        <f>IF($U$278="nulová",$N$278,0)</f>
        <v>0</v>
      </c>
      <c r="BJ278" s="6" t="s">
        <v>16</v>
      </c>
      <c r="BK278" s="76">
        <f>ROUND($L$278*$K$278,2)</f>
        <v>0</v>
      </c>
      <c r="BL278" s="6" t="s">
        <v>213</v>
      </c>
    </row>
    <row r="279" spans="2:64" s="6" customFormat="1" ht="27" customHeight="1">
      <c r="B279" s="21"/>
      <c r="C279" s="119" t="s">
        <v>434</v>
      </c>
      <c r="D279" s="119" t="s">
        <v>154</v>
      </c>
      <c r="E279" s="120" t="s">
        <v>435</v>
      </c>
      <c r="F279" s="141" t="s">
        <v>436</v>
      </c>
      <c r="G279" s="142"/>
      <c r="H279" s="142"/>
      <c r="I279" s="142"/>
      <c r="J279" s="121" t="s">
        <v>173</v>
      </c>
      <c r="K279" s="122">
        <v>0.248</v>
      </c>
      <c r="L279" s="143">
        <v>0</v>
      </c>
      <c r="M279" s="142"/>
      <c r="N279" s="144">
        <f>ROUND($L$279*$K$279,2)</f>
        <v>0</v>
      </c>
      <c r="O279" s="142"/>
      <c r="P279" s="142"/>
      <c r="Q279" s="142"/>
      <c r="R279" s="22"/>
      <c r="T279" s="123"/>
      <c r="U279" s="124" t="s">
        <v>38</v>
      </c>
      <c r="V279" s="125">
        <v>3.016</v>
      </c>
      <c r="W279" s="125">
        <f>$V$279*$K$279</f>
        <v>0.747968</v>
      </c>
      <c r="X279" s="125">
        <v>0</v>
      </c>
      <c r="Y279" s="125">
        <f>$X$279*$K$279</f>
        <v>0</v>
      </c>
      <c r="Z279" s="125">
        <v>0</v>
      </c>
      <c r="AA279" s="126">
        <f>$Z$279*$K$279</f>
        <v>0</v>
      </c>
      <c r="AR279" s="6" t="s">
        <v>213</v>
      </c>
      <c r="AT279" s="6" t="s">
        <v>154</v>
      </c>
      <c r="AU279" s="6" t="s">
        <v>99</v>
      </c>
      <c r="AY279" s="6" t="s">
        <v>153</v>
      </c>
      <c r="BE279" s="76">
        <f>IF($U$279="základní",$N$279,0)</f>
        <v>0</v>
      </c>
      <c r="BF279" s="76">
        <f>IF($U$279="snížená",$N$279,0)</f>
        <v>0</v>
      </c>
      <c r="BG279" s="76">
        <f>IF($U$279="zákl. přenesená",$N$279,0)</f>
        <v>0</v>
      </c>
      <c r="BH279" s="76">
        <f>IF($U$279="sníž. přenesená",$N$279,0)</f>
        <v>0</v>
      </c>
      <c r="BI279" s="76">
        <f>IF($U$279="nulová",$N$279,0)</f>
        <v>0</v>
      </c>
      <c r="BJ279" s="6" t="s">
        <v>16</v>
      </c>
      <c r="BK279" s="76">
        <f>ROUND($L$279*$K$279,2)</f>
        <v>0</v>
      </c>
      <c r="BL279" s="6" t="s">
        <v>213</v>
      </c>
    </row>
    <row r="280" spans="2:64" s="6" customFormat="1" ht="27" customHeight="1">
      <c r="B280" s="21"/>
      <c r="C280" s="119" t="s">
        <v>437</v>
      </c>
      <c r="D280" s="119" t="s">
        <v>154</v>
      </c>
      <c r="E280" s="120" t="s">
        <v>438</v>
      </c>
      <c r="F280" s="141" t="s">
        <v>439</v>
      </c>
      <c r="G280" s="142"/>
      <c r="H280" s="142"/>
      <c r="I280" s="142"/>
      <c r="J280" s="121" t="s">
        <v>173</v>
      </c>
      <c r="K280" s="122">
        <v>0.248</v>
      </c>
      <c r="L280" s="143">
        <v>0</v>
      </c>
      <c r="M280" s="142"/>
      <c r="N280" s="144">
        <f>ROUND($L$280*$K$280,2)</f>
        <v>0</v>
      </c>
      <c r="O280" s="142"/>
      <c r="P280" s="142"/>
      <c r="Q280" s="142"/>
      <c r="R280" s="22"/>
      <c r="T280" s="123"/>
      <c r="U280" s="124" t="s">
        <v>38</v>
      </c>
      <c r="V280" s="125">
        <v>1.39</v>
      </c>
      <c r="W280" s="125">
        <f>$V$280*$K$280</f>
        <v>0.34471999999999997</v>
      </c>
      <c r="X280" s="125">
        <v>0</v>
      </c>
      <c r="Y280" s="125">
        <f>$X$280*$K$280</f>
        <v>0</v>
      </c>
      <c r="Z280" s="125">
        <v>0</v>
      </c>
      <c r="AA280" s="126">
        <f>$Z$280*$K$280</f>
        <v>0</v>
      </c>
      <c r="AR280" s="6" t="s">
        <v>213</v>
      </c>
      <c r="AT280" s="6" t="s">
        <v>154</v>
      </c>
      <c r="AU280" s="6" t="s">
        <v>99</v>
      </c>
      <c r="AY280" s="6" t="s">
        <v>153</v>
      </c>
      <c r="BE280" s="76">
        <f>IF($U$280="základní",$N$280,0)</f>
        <v>0</v>
      </c>
      <c r="BF280" s="76">
        <f>IF($U$280="snížená",$N$280,0)</f>
        <v>0</v>
      </c>
      <c r="BG280" s="76">
        <f>IF($U$280="zákl. přenesená",$N$280,0)</f>
        <v>0</v>
      </c>
      <c r="BH280" s="76">
        <f>IF($U$280="sníž. přenesená",$N$280,0)</f>
        <v>0</v>
      </c>
      <c r="BI280" s="76">
        <f>IF($U$280="nulová",$N$280,0)</f>
        <v>0</v>
      </c>
      <c r="BJ280" s="6" t="s">
        <v>16</v>
      </c>
      <c r="BK280" s="76">
        <f>ROUND($L$280*$K$280,2)</f>
        <v>0</v>
      </c>
      <c r="BL280" s="6" t="s">
        <v>213</v>
      </c>
    </row>
    <row r="281" spans="2:63" s="109" customFormat="1" ht="30.75" customHeight="1">
      <c r="B281" s="110"/>
      <c r="D281" s="118" t="s">
        <v>121</v>
      </c>
      <c r="N281" s="160">
        <f>$BK$281</f>
        <v>0</v>
      </c>
      <c r="O281" s="139"/>
      <c r="P281" s="139"/>
      <c r="Q281" s="139"/>
      <c r="R281" s="113"/>
      <c r="T281" s="114"/>
      <c r="W281" s="115">
        <f>SUM($W$282:$W$291)</f>
        <v>1.1535000000000002</v>
      </c>
      <c r="Y281" s="115">
        <f>SUM($Y$282:$Y$291)</f>
        <v>0.03233739</v>
      </c>
      <c r="AA281" s="116">
        <f>SUM($AA$282:$AA$291)</f>
        <v>0</v>
      </c>
      <c r="AR281" s="112" t="s">
        <v>99</v>
      </c>
      <c r="AT281" s="112" t="s">
        <v>72</v>
      </c>
      <c r="AU281" s="112" t="s">
        <v>16</v>
      </c>
      <c r="AY281" s="112" t="s">
        <v>153</v>
      </c>
      <c r="BK281" s="117">
        <f>SUM($BK$282:$BK$291)</f>
        <v>0</v>
      </c>
    </row>
    <row r="282" spans="2:64" s="6" customFormat="1" ht="27" customHeight="1">
      <c r="B282" s="21"/>
      <c r="C282" s="119" t="s">
        <v>440</v>
      </c>
      <c r="D282" s="119" t="s">
        <v>154</v>
      </c>
      <c r="E282" s="120" t="s">
        <v>441</v>
      </c>
      <c r="F282" s="141" t="s">
        <v>442</v>
      </c>
      <c r="G282" s="142"/>
      <c r="H282" s="142"/>
      <c r="I282" s="142"/>
      <c r="J282" s="121" t="s">
        <v>237</v>
      </c>
      <c r="K282" s="122">
        <v>2.6</v>
      </c>
      <c r="L282" s="143">
        <v>0</v>
      </c>
      <c r="M282" s="142"/>
      <c r="N282" s="144">
        <f>ROUND($L$282*$K$282,2)</f>
        <v>0</v>
      </c>
      <c r="O282" s="142"/>
      <c r="P282" s="142"/>
      <c r="Q282" s="142"/>
      <c r="R282" s="22"/>
      <c r="T282" s="123"/>
      <c r="U282" s="124" t="s">
        <v>38</v>
      </c>
      <c r="V282" s="125">
        <v>0.209</v>
      </c>
      <c r="W282" s="125">
        <f>$V$282*$K$282</f>
        <v>0.5434</v>
      </c>
      <c r="X282" s="125">
        <v>0.00062</v>
      </c>
      <c r="Y282" s="125">
        <f>$X$282*$K$282</f>
        <v>0.0016120000000000002</v>
      </c>
      <c r="Z282" s="125">
        <v>0</v>
      </c>
      <c r="AA282" s="126">
        <f>$Z$282*$K$282</f>
        <v>0</v>
      </c>
      <c r="AR282" s="6" t="s">
        <v>213</v>
      </c>
      <c r="AT282" s="6" t="s">
        <v>154</v>
      </c>
      <c r="AU282" s="6" t="s">
        <v>99</v>
      </c>
      <c r="AY282" s="6" t="s">
        <v>153</v>
      </c>
      <c r="BE282" s="76">
        <f>IF($U$282="základní",$N$282,0)</f>
        <v>0</v>
      </c>
      <c r="BF282" s="76">
        <f>IF($U$282="snížená",$N$282,0)</f>
        <v>0</v>
      </c>
      <c r="BG282" s="76">
        <f>IF($U$282="zákl. přenesená",$N$282,0)</f>
        <v>0</v>
      </c>
      <c r="BH282" s="76">
        <f>IF($U$282="sníž. přenesená",$N$282,0)</f>
        <v>0</v>
      </c>
      <c r="BI282" s="76">
        <f>IF($U$282="nulová",$N$282,0)</f>
        <v>0</v>
      </c>
      <c r="BJ282" s="6" t="s">
        <v>16</v>
      </c>
      <c r="BK282" s="76">
        <f>ROUND($L$282*$K$282,2)</f>
        <v>0</v>
      </c>
      <c r="BL282" s="6" t="s">
        <v>213</v>
      </c>
    </row>
    <row r="283" spans="2:51" s="6" customFormat="1" ht="15.75" customHeight="1">
      <c r="B283" s="127"/>
      <c r="E283" s="128"/>
      <c r="F283" s="146" t="s">
        <v>443</v>
      </c>
      <c r="G283" s="147"/>
      <c r="H283" s="147"/>
      <c r="I283" s="147"/>
      <c r="K283" s="129">
        <v>2.6</v>
      </c>
      <c r="N283" s="128"/>
      <c r="R283" s="130"/>
      <c r="T283" s="131"/>
      <c r="AA283" s="132"/>
      <c r="AT283" s="128" t="s">
        <v>160</v>
      </c>
      <c r="AU283" s="128" t="s">
        <v>99</v>
      </c>
      <c r="AV283" s="133" t="s">
        <v>99</v>
      </c>
      <c r="AW283" s="133" t="s">
        <v>107</v>
      </c>
      <c r="AX283" s="133" t="s">
        <v>16</v>
      </c>
      <c r="AY283" s="128" t="s">
        <v>153</v>
      </c>
    </row>
    <row r="284" spans="2:64" s="6" customFormat="1" ht="27" customHeight="1">
      <c r="B284" s="21"/>
      <c r="C284" s="119" t="s">
        <v>444</v>
      </c>
      <c r="D284" s="119" t="s">
        <v>154</v>
      </c>
      <c r="E284" s="120" t="s">
        <v>445</v>
      </c>
      <c r="F284" s="141" t="s">
        <v>446</v>
      </c>
      <c r="G284" s="142"/>
      <c r="H284" s="142"/>
      <c r="I284" s="142"/>
      <c r="J284" s="121" t="s">
        <v>192</v>
      </c>
      <c r="K284" s="122">
        <v>0.917</v>
      </c>
      <c r="L284" s="143">
        <v>0</v>
      </c>
      <c r="M284" s="142"/>
      <c r="N284" s="144">
        <f>ROUND($L$284*$K$284,2)</f>
        <v>0</v>
      </c>
      <c r="O284" s="142"/>
      <c r="P284" s="142"/>
      <c r="Q284" s="142"/>
      <c r="R284" s="22"/>
      <c r="T284" s="123"/>
      <c r="U284" s="124" t="s">
        <v>38</v>
      </c>
      <c r="V284" s="125">
        <v>0.55</v>
      </c>
      <c r="W284" s="125">
        <f>$V$284*$K$284</f>
        <v>0.5043500000000001</v>
      </c>
      <c r="X284" s="125">
        <v>0.00367</v>
      </c>
      <c r="Y284" s="125">
        <f>$X$284*$K$284</f>
        <v>0.0033653900000000002</v>
      </c>
      <c r="Z284" s="125">
        <v>0</v>
      </c>
      <c r="AA284" s="126">
        <f>$Z$284*$K$284</f>
        <v>0</v>
      </c>
      <c r="AR284" s="6" t="s">
        <v>213</v>
      </c>
      <c r="AT284" s="6" t="s">
        <v>154</v>
      </c>
      <c r="AU284" s="6" t="s">
        <v>99</v>
      </c>
      <c r="AY284" s="6" t="s">
        <v>153</v>
      </c>
      <c r="BE284" s="76">
        <f>IF($U$284="základní",$N$284,0)</f>
        <v>0</v>
      </c>
      <c r="BF284" s="76">
        <f>IF($U$284="snížená",$N$284,0)</f>
        <v>0</v>
      </c>
      <c r="BG284" s="76">
        <f>IF($U$284="zákl. přenesená",$N$284,0)</f>
        <v>0</v>
      </c>
      <c r="BH284" s="76">
        <f>IF($U$284="sníž. přenesená",$N$284,0)</f>
        <v>0</v>
      </c>
      <c r="BI284" s="76">
        <f>IF($U$284="nulová",$N$284,0)</f>
        <v>0</v>
      </c>
      <c r="BJ284" s="6" t="s">
        <v>16</v>
      </c>
      <c r="BK284" s="76">
        <f>ROUND($L$284*$K$284,2)</f>
        <v>0</v>
      </c>
      <c r="BL284" s="6" t="s">
        <v>213</v>
      </c>
    </row>
    <row r="285" spans="2:51" s="6" customFormat="1" ht="15.75" customHeight="1">
      <c r="B285" s="127"/>
      <c r="E285" s="128"/>
      <c r="F285" s="146" t="s">
        <v>447</v>
      </c>
      <c r="G285" s="147"/>
      <c r="H285" s="147"/>
      <c r="I285" s="147"/>
      <c r="K285" s="129">
        <v>0.917</v>
      </c>
      <c r="N285" s="128"/>
      <c r="R285" s="130"/>
      <c r="T285" s="131"/>
      <c r="AA285" s="132"/>
      <c r="AT285" s="128" t="s">
        <v>160</v>
      </c>
      <c r="AU285" s="128" t="s">
        <v>99</v>
      </c>
      <c r="AV285" s="133" t="s">
        <v>99</v>
      </c>
      <c r="AW285" s="133" t="s">
        <v>107</v>
      </c>
      <c r="AX285" s="133" t="s">
        <v>16</v>
      </c>
      <c r="AY285" s="128" t="s">
        <v>153</v>
      </c>
    </row>
    <row r="286" spans="2:64" s="6" customFormat="1" ht="27" customHeight="1">
      <c r="B286" s="21"/>
      <c r="C286" s="119" t="s">
        <v>448</v>
      </c>
      <c r="D286" s="119" t="s">
        <v>154</v>
      </c>
      <c r="E286" s="120" t="s">
        <v>449</v>
      </c>
      <c r="F286" s="141" t="s">
        <v>450</v>
      </c>
      <c r="G286" s="142"/>
      <c r="H286" s="142"/>
      <c r="I286" s="142"/>
      <c r="J286" s="121" t="s">
        <v>192</v>
      </c>
      <c r="K286" s="122">
        <v>0.917</v>
      </c>
      <c r="L286" s="143">
        <v>0</v>
      </c>
      <c r="M286" s="142"/>
      <c r="N286" s="144">
        <f>ROUND($L$286*$K$286,2)</f>
        <v>0</v>
      </c>
      <c r="O286" s="142"/>
      <c r="P286" s="142"/>
      <c r="Q286" s="142"/>
      <c r="R286" s="22"/>
      <c r="T286" s="123"/>
      <c r="U286" s="124" t="s">
        <v>38</v>
      </c>
      <c r="V286" s="125">
        <v>0.03</v>
      </c>
      <c r="W286" s="125">
        <f>$V$286*$K$286</f>
        <v>0.02751</v>
      </c>
      <c r="X286" s="125">
        <v>0</v>
      </c>
      <c r="Y286" s="125">
        <f>$X$286*$K$286</f>
        <v>0</v>
      </c>
      <c r="Z286" s="125">
        <v>0</v>
      </c>
      <c r="AA286" s="126">
        <f>$Z$286*$K$286</f>
        <v>0</v>
      </c>
      <c r="AR286" s="6" t="s">
        <v>213</v>
      </c>
      <c r="AT286" s="6" t="s">
        <v>154</v>
      </c>
      <c r="AU286" s="6" t="s">
        <v>99</v>
      </c>
      <c r="AY286" s="6" t="s">
        <v>153</v>
      </c>
      <c r="BE286" s="76">
        <f>IF($U$286="základní",$N$286,0)</f>
        <v>0</v>
      </c>
      <c r="BF286" s="76">
        <f>IF($U$286="snížená",$N$286,0)</f>
        <v>0</v>
      </c>
      <c r="BG286" s="76">
        <f>IF($U$286="zákl. přenesená",$N$286,0)</f>
        <v>0</v>
      </c>
      <c r="BH286" s="76">
        <f>IF($U$286="sníž. přenesená",$N$286,0)</f>
        <v>0</v>
      </c>
      <c r="BI286" s="76">
        <f>IF($U$286="nulová",$N$286,0)</f>
        <v>0</v>
      </c>
      <c r="BJ286" s="6" t="s">
        <v>16</v>
      </c>
      <c r="BK286" s="76">
        <f>ROUND($L$286*$K$286,2)</f>
        <v>0</v>
      </c>
      <c r="BL286" s="6" t="s">
        <v>213</v>
      </c>
    </row>
    <row r="287" spans="2:64" s="6" customFormat="1" ht="15.75" customHeight="1">
      <c r="B287" s="21"/>
      <c r="C287" s="134" t="s">
        <v>451</v>
      </c>
      <c r="D287" s="134" t="s">
        <v>357</v>
      </c>
      <c r="E287" s="135" t="s">
        <v>452</v>
      </c>
      <c r="F287" s="148" t="s">
        <v>453</v>
      </c>
      <c r="G287" s="192"/>
      <c r="H287" s="192"/>
      <c r="I287" s="192"/>
      <c r="J287" s="136" t="s">
        <v>192</v>
      </c>
      <c r="K287" s="137">
        <v>1.425</v>
      </c>
      <c r="L287" s="193">
        <v>0</v>
      </c>
      <c r="M287" s="192"/>
      <c r="N287" s="194">
        <f>ROUND($L$287*$K$287,2)</f>
        <v>0</v>
      </c>
      <c r="O287" s="142"/>
      <c r="P287" s="142"/>
      <c r="Q287" s="142"/>
      <c r="R287" s="22"/>
      <c r="T287" s="123"/>
      <c r="U287" s="124" t="s">
        <v>38</v>
      </c>
      <c r="V287" s="125">
        <v>0</v>
      </c>
      <c r="W287" s="125">
        <f>$V$287*$K$287</f>
        <v>0</v>
      </c>
      <c r="X287" s="125">
        <v>0.0192</v>
      </c>
      <c r="Y287" s="125">
        <f>$X$287*$K$287</f>
        <v>0.02736</v>
      </c>
      <c r="Z287" s="125">
        <v>0</v>
      </c>
      <c r="AA287" s="126">
        <f>$Z$287*$K$287</f>
        <v>0</v>
      </c>
      <c r="AR287" s="6" t="s">
        <v>287</v>
      </c>
      <c r="AT287" s="6" t="s">
        <v>357</v>
      </c>
      <c r="AU287" s="6" t="s">
        <v>99</v>
      </c>
      <c r="AY287" s="6" t="s">
        <v>153</v>
      </c>
      <c r="BE287" s="76">
        <f>IF($U$287="základní",$N$287,0)</f>
        <v>0</v>
      </c>
      <c r="BF287" s="76">
        <f>IF($U$287="snížená",$N$287,0)</f>
        <v>0</v>
      </c>
      <c r="BG287" s="76">
        <f>IF($U$287="zákl. přenesená",$N$287,0)</f>
        <v>0</v>
      </c>
      <c r="BH287" s="76">
        <f>IF($U$287="sníž. přenesená",$N$287,0)</f>
        <v>0</v>
      </c>
      <c r="BI287" s="76">
        <f>IF($U$287="nulová",$N$287,0)</f>
        <v>0</v>
      </c>
      <c r="BJ287" s="6" t="s">
        <v>16</v>
      </c>
      <c r="BK287" s="76">
        <f>ROUND($L$287*$K$287,2)</f>
        <v>0</v>
      </c>
      <c r="BL287" s="6" t="s">
        <v>213</v>
      </c>
    </row>
    <row r="288" spans="2:51" s="6" customFormat="1" ht="15.75" customHeight="1">
      <c r="B288" s="127"/>
      <c r="E288" s="128"/>
      <c r="F288" s="146" t="s">
        <v>454</v>
      </c>
      <c r="G288" s="147"/>
      <c r="H288" s="147"/>
      <c r="I288" s="147"/>
      <c r="K288" s="129">
        <v>1.009</v>
      </c>
      <c r="N288" s="128"/>
      <c r="R288" s="130"/>
      <c r="T288" s="131"/>
      <c r="AA288" s="132"/>
      <c r="AT288" s="128" t="s">
        <v>160</v>
      </c>
      <c r="AU288" s="128" t="s">
        <v>99</v>
      </c>
      <c r="AV288" s="133" t="s">
        <v>99</v>
      </c>
      <c r="AW288" s="133" t="s">
        <v>107</v>
      </c>
      <c r="AX288" s="133" t="s">
        <v>73</v>
      </c>
      <c r="AY288" s="128" t="s">
        <v>153</v>
      </c>
    </row>
    <row r="289" spans="2:51" s="6" customFormat="1" ht="15.75" customHeight="1">
      <c r="B289" s="127"/>
      <c r="E289" s="128"/>
      <c r="F289" s="146" t="s">
        <v>455</v>
      </c>
      <c r="G289" s="147"/>
      <c r="H289" s="147"/>
      <c r="I289" s="147"/>
      <c r="K289" s="129">
        <v>0.286</v>
      </c>
      <c r="N289" s="128"/>
      <c r="R289" s="130"/>
      <c r="T289" s="131"/>
      <c r="AA289" s="132"/>
      <c r="AT289" s="128" t="s">
        <v>160</v>
      </c>
      <c r="AU289" s="128" t="s">
        <v>99</v>
      </c>
      <c r="AV289" s="133" t="s">
        <v>99</v>
      </c>
      <c r="AW289" s="133" t="s">
        <v>107</v>
      </c>
      <c r="AX289" s="133" t="s">
        <v>73</v>
      </c>
      <c r="AY289" s="128" t="s">
        <v>153</v>
      </c>
    </row>
    <row r="290" spans="2:64" s="6" customFormat="1" ht="27" customHeight="1">
      <c r="B290" s="21"/>
      <c r="C290" s="119" t="s">
        <v>456</v>
      </c>
      <c r="D290" s="119" t="s">
        <v>154</v>
      </c>
      <c r="E290" s="120" t="s">
        <v>457</v>
      </c>
      <c r="F290" s="141" t="s">
        <v>458</v>
      </c>
      <c r="G290" s="142"/>
      <c r="H290" s="142"/>
      <c r="I290" s="142"/>
      <c r="J290" s="121" t="s">
        <v>173</v>
      </c>
      <c r="K290" s="122">
        <v>0.032</v>
      </c>
      <c r="L290" s="143">
        <v>0</v>
      </c>
      <c r="M290" s="142"/>
      <c r="N290" s="144">
        <f>ROUND($L$290*$K$290,2)</f>
        <v>0</v>
      </c>
      <c r="O290" s="142"/>
      <c r="P290" s="142"/>
      <c r="Q290" s="142"/>
      <c r="R290" s="22"/>
      <c r="T290" s="123"/>
      <c r="U290" s="124" t="s">
        <v>38</v>
      </c>
      <c r="V290" s="125">
        <v>1.305</v>
      </c>
      <c r="W290" s="125">
        <f>$V$290*$K$290</f>
        <v>0.04176</v>
      </c>
      <c r="X290" s="125">
        <v>0</v>
      </c>
      <c r="Y290" s="125">
        <f>$X$290*$K$290</f>
        <v>0</v>
      </c>
      <c r="Z290" s="125">
        <v>0</v>
      </c>
      <c r="AA290" s="126">
        <f>$Z$290*$K$290</f>
        <v>0</v>
      </c>
      <c r="AR290" s="6" t="s">
        <v>213</v>
      </c>
      <c r="AT290" s="6" t="s">
        <v>154</v>
      </c>
      <c r="AU290" s="6" t="s">
        <v>99</v>
      </c>
      <c r="AY290" s="6" t="s">
        <v>153</v>
      </c>
      <c r="BE290" s="76">
        <f>IF($U$290="základní",$N$290,0)</f>
        <v>0</v>
      </c>
      <c r="BF290" s="76">
        <f>IF($U$290="snížená",$N$290,0)</f>
        <v>0</v>
      </c>
      <c r="BG290" s="76">
        <f>IF($U$290="zákl. přenesená",$N$290,0)</f>
        <v>0</v>
      </c>
      <c r="BH290" s="76">
        <f>IF($U$290="sníž. přenesená",$N$290,0)</f>
        <v>0</v>
      </c>
      <c r="BI290" s="76">
        <f>IF($U$290="nulová",$N$290,0)</f>
        <v>0</v>
      </c>
      <c r="BJ290" s="6" t="s">
        <v>16</v>
      </c>
      <c r="BK290" s="76">
        <f>ROUND($L$290*$K$290,2)</f>
        <v>0</v>
      </c>
      <c r="BL290" s="6" t="s">
        <v>213</v>
      </c>
    </row>
    <row r="291" spans="2:64" s="6" customFormat="1" ht="27" customHeight="1">
      <c r="B291" s="21"/>
      <c r="C291" s="119" t="s">
        <v>459</v>
      </c>
      <c r="D291" s="119" t="s">
        <v>154</v>
      </c>
      <c r="E291" s="120" t="s">
        <v>460</v>
      </c>
      <c r="F291" s="141" t="s">
        <v>461</v>
      </c>
      <c r="G291" s="142"/>
      <c r="H291" s="142"/>
      <c r="I291" s="142"/>
      <c r="J291" s="121" t="s">
        <v>173</v>
      </c>
      <c r="K291" s="122">
        <v>0.032</v>
      </c>
      <c r="L291" s="143">
        <v>0</v>
      </c>
      <c r="M291" s="142"/>
      <c r="N291" s="144">
        <f>ROUND($L$291*$K$291,2)</f>
        <v>0</v>
      </c>
      <c r="O291" s="142"/>
      <c r="P291" s="142"/>
      <c r="Q291" s="142"/>
      <c r="R291" s="22"/>
      <c r="T291" s="123"/>
      <c r="U291" s="124" t="s">
        <v>38</v>
      </c>
      <c r="V291" s="125">
        <v>1.14</v>
      </c>
      <c r="W291" s="125">
        <f>$V$291*$K$291</f>
        <v>0.03648</v>
      </c>
      <c r="X291" s="125">
        <v>0</v>
      </c>
      <c r="Y291" s="125">
        <f>$X$291*$K$291</f>
        <v>0</v>
      </c>
      <c r="Z291" s="125">
        <v>0</v>
      </c>
      <c r="AA291" s="126">
        <f>$Z$291*$K$291</f>
        <v>0</v>
      </c>
      <c r="AR291" s="6" t="s">
        <v>213</v>
      </c>
      <c r="AT291" s="6" t="s">
        <v>154</v>
      </c>
      <c r="AU291" s="6" t="s">
        <v>99</v>
      </c>
      <c r="AY291" s="6" t="s">
        <v>153</v>
      </c>
      <c r="BE291" s="76">
        <f>IF($U$291="základní",$N$291,0)</f>
        <v>0</v>
      </c>
      <c r="BF291" s="76">
        <f>IF($U$291="snížená",$N$291,0)</f>
        <v>0</v>
      </c>
      <c r="BG291" s="76">
        <f>IF($U$291="zákl. přenesená",$N$291,0)</f>
        <v>0</v>
      </c>
      <c r="BH291" s="76">
        <f>IF($U$291="sníž. přenesená",$N$291,0)</f>
        <v>0</v>
      </c>
      <c r="BI291" s="76">
        <f>IF($U$291="nulová",$N$291,0)</f>
        <v>0</v>
      </c>
      <c r="BJ291" s="6" t="s">
        <v>16</v>
      </c>
      <c r="BK291" s="76">
        <f>ROUND($L$291*$K$291,2)</f>
        <v>0</v>
      </c>
      <c r="BL291" s="6" t="s">
        <v>213</v>
      </c>
    </row>
    <row r="292" spans="2:63" s="109" customFormat="1" ht="30.75" customHeight="1">
      <c r="B292" s="110"/>
      <c r="D292" s="118" t="s">
        <v>122</v>
      </c>
      <c r="N292" s="160">
        <f>$BK$292</f>
        <v>0</v>
      </c>
      <c r="O292" s="139"/>
      <c r="P292" s="139"/>
      <c r="Q292" s="139"/>
      <c r="R292" s="113"/>
      <c r="T292" s="114"/>
      <c r="W292" s="115">
        <f>SUM($W$293:$W$299)</f>
        <v>6.672280000000001</v>
      </c>
      <c r="Y292" s="115">
        <f>SUM($Y$293:$Y$299)</f>
        <v>0.25600396000000003</v>
      </c>
      <c r="AA292" s="116">
        <f>SUM($AA$293:$AA$299)</f>
        <v>0</v>
      </c>
      <c r="AR292" s="112" t="s">
        <v>99</v>
      </c>
      <c r="AT292" s="112" t="s">
        <v>72</v>
      </c>
      <c r="AU292" s="112" t="s">
        <v>16</v>
      </c>
      <c r="AY292" s="112" t="s">
        <v>153</v>
      </c>
      <c r="BK292" s="117">
        <f>SUM($BK$293:$BK$299)</f>
        <v>0</v>
      </c>
    </row>
    <row r="293" spans="2:64" s="6" customFormat="1" ht="27" customHeight="1">
      <c r="B293" s="21"/>
      <c r="C293" s="119" t="s">
        <v>462</v>
      </c>
      <c r="D293" s="119" t="s">
        <v>154</v>
      </c>
      <c r="E293" s="120" t="s">
        <v>463</v>
      </c>
      <c r="F293" s="141" t="s">
        <v>464</v>
      </c>
      <c r="G293" s="142"/>
      <c r="H293" s="142"/>
      <c r="I293" s="142"/>
      <c r="J293" s="121" t="s">
        <v>237</v>
      </c>
      <c r="K293" s="122">
        <v>5.28</v>
      </c>
      <c r="L293" s="143">
        <v>0</v>
      </c>
      <c r="M293" s="142"/>
      <c r="N293" s="144">
        <f>ROUND($L$293*$K$293,2)</f>
        <v>0</v>
      </c>
      <c r="O293" s="142"/>
      <c r="P293" s="142"/>
      <c r="Q293" s="142"/>
      <c r="R293" s="22"/>
      <c r="T293" s="123"/>
      <c r="U293" s="124" t="s">
        <v>38</v>
      </c>
      <c r="V293" s="125">
        <v>0.552</v>
      </c>
      <c r="W293" s="125">
        <f>$V$293*$K$293</f>
        <v>2.9145600000000003</v>
      </c>
      <c r="X293" s="125">
        <v>0.01374</v>
      </c>
      <c r="Y293" s="125">
        <f>$X$293*$K$293</f>
        <v>0.0725472</v>
      </c>
      <c r="Z293" s="125">
        <v>0</v>
      </c>
      <c r="AA293" s="126">
        <f>$Z$293*$K$293</f>
        <v>0</v>
      </c>
      <c r="AR293" s="6" t="s">
        <v>213</v>
      </c>
      <c r="AT293" s="6" t="s">
        <v>154</v>
      </c>
      <c r="AU293" s="6" t="s">
        <v>99</v>
      </c>
      <c r="AY293" s="6" t="s">
        <v>153</v>
      </c>
      <c r="BE293" s="76">
        <f>IF($U$293="základní",$N$293,0)</f>
        <v>0</v>
      </c>
      <c r="BF293" s="76">
        <f>IF($U$293="snížená",$N$293,0)</f>
        <v>0</v>
      </c>
      <c r="BG293" s="76">
        <f>IF($U$293="zákl. přenesená",$N$293,0)</f>
        <v>0</v>
      </c>
      <c r="BH293" s="76">
        <f>IF($U$293="sníž. přenesená",$N$293,0)</f>
        <v>0</v>
      </c>
      <c r="BI293" s="76">
        <f>IF($U$293="nulová",$N$293,0)</f>
        <v>0</v>
      </c>
      <c r="BJ293" s="6" t="s">
        <v>16</v>
      </c>
      <c r="BK293" s="76">
        <f>ROUND($L$293*$K$293,2)</f>
        <v>0</v>
      </c>
      <c r="BL293" s="6" t="s">
        <v>213</v>
      </c>
    </row>
    <row r="294" spans="2:51" s="6" customFormat="1" ht="15.75" customHeight="1">
      <c r="B294" s="127"/>
      <c r="E294" s="128"/>
      <c r="F294" s="146" t="s">
        <v>465</v>
      </c>
      <c r="G294" s="147"/>
      <c r="H294" s="147"/>
      <c r="I294" s="147"/>
      <c r="K294" s="129">
        <v>5.28</v>
      </c>
      <c r="N294" s="128"/>
      <c r="R294" s="130"/>
      <c r="T294" s="131"/>
      <c r="AA294" s="132"/>
      <c r="AT294" s="128" t="s">
        <v>160</v>
      </c>
      <c r="AU294" s="128" t="s">
        <v>99</v>
      </c>
      <c r="AV294" s="133" t="s">
        <v>99</v>
      </c>
      <c r="AW294" s="133" t="s">
        <v>107</v>
      </c>
      <c r="AX294" s="133" t="s">
        <v>16</v>
      </c>
      <c r="AY294" s="128" t="s">
        <v>153</v>
      </c>
    </row>
    <row r="295" spans="2:64" s="6" customFormat="1" ht="27" customHeight="1">
      <c r="B295" s="21"/>
      <c r="C295" s="119" t="s">
        <v>466</v>
      </c>
      <c r="D295" s="119" t="s">
        <v>154</v>
      </c>
      <c r="E295" s="120" t="s">
        <v>467</v>
      </c>
      <c r="F295" s="141" t="s">
        <v>468</v>
      </c>
      <c r="G295" s="142"/>
      <c r="H295" s="142"/>
      <c r="I295" s="142"/>
      <c r="J295" s="121" t="s">
        <v>192</v>
      </c>
      <c r="K295" s="122">
        <v>2.262</v>
      </c>
      <c r="L295" s="143">
        <v>0</v>
      </c>
      <c r="M295" s="142"/>
      <c r="N295" s="144">
        <f>ROUND($L$295*$K$295,2)</f>
        <v>0</v>
      </c>
      <c r="O295" s="142"/>
      <c r="P295" s="142"/>
      <c r="Q295" s="142"/>
      <c r="R295" s="22"/>
      <c r="T295" s="123"/>
      <c r="U295" s="124" t="s">
        <v>38</v>
      </c>
      <c r="V295" s="125">
        <v>1.109</v>
      </c>
      <c r="W295" s="125">
        <f>$V$295*$K$295</f>
        <v>2.508558</v>
      </c>
      <c r="X295" s="125">
        <v>0.02098</v>
      </c>
      <c r="Y295" s="125">
        <f>$X$295*$K$295</f>
        <v>0.04745676</v>
      </c>
      <c r="Z295" s="125">
        <v>0</v>
      </c>
      <c r="AA295" s="126">
        <f>$Z$295*$K$295</f>
        <v>0</v>
      </c>
      <c r="AR295" s="6" t="s">
        <v>213</v>
      </c>
      <c r="AT295" s="6" t="s">
        <v>154</v>
      </c>
      <c r="AU295" s="6" t="s">
        <v>99</v>
      </c>
      <c r="AY295" s="6" t="s">
        <v>153</v>
      </c>
      <c r="BE295" s="76">
        <f>IF($U$295="základní",$N$295,0)</f>
        <v>0</v>
      </c>
      <c r="BF295" s="76">
        <f>IF($U$295="snížená",$N$295,0)</f>
        <v>0</v>
      </c>
      <c r="BG295" s="76">
        <f>IF($U$295="zákl. přenesená",$N$295,0)</f>
        <v>0</v>
      </c>
      <c r="BH295" s="76">
        <f>IF($U$295="sníž. přenesená",$N$295,0)</f>
        <v>0</v>
      </c>
      <c r="BI295" s="76">
        <f>IF($U$295="nulová",$N$295,0)</f>
        <v>0</v>
      </c>
      <c r="BJ295" s="6" t="s">
        <v>16</v>
      </c>
      <c r="BK295" s="76">
        <f>ROUND($L$295*$K$295,2)</f>
        <v>0</v>
      </c>
      <c r="BL295" s="6" t="s">
        <v>213</v>
      </c>
    </row>
    <row r="296" spans="2:64" s="6" customFormat="1" ht="15.75" customHeight="1">
      <c r="B296" s="21"/>
      <c r="C296" s="134" t="s">
        <v>469</v>
      </c>
      <c r="D296" s="134" t="s">
        <v>357</v>
      </c>
      <c r="E296" s="135" t="s">
        <v>470</v>
      </c>
      <c r="F296" s="148" t="s">
        <v>471</v>
      </c>
      <c r="G296" s="192"/>
      <c r="H296" s="192"/>
      <c r="I296" s="192"/>
      <c r="J296" s="136" t="s">
        <v>173</v>
      </c>
      <c r="K296" s="137">
        <v>0.136</v>
      </c>
      <c r="L296" s="193">
        <v>0</v>
      </c>
      <c r="M296" s="192"/>
      <c r="N296" s="194">
        <f>ROUND($L$296*$K$296,2)</f>
        <v>0</v>
      </c>
      <c r="O296" s="142"/>
      <c r="P296" s="142"/>
      <c r="Q296" s="142"/>
      <c r="R296" s="22"/>
      <c r="T296" s="123"/>
      <c r="U296" s="124" t="s">
        <v>38</v>
      </c>
      <c r="V296" s="125">
        <v>0</v>
      </c>
      <c r="W296" s="125">
        <f>$V$296*$K$296</f>
        <v>0</v>
      </c>
      <c r="X296" s="125">
        <v>1</v>
      </c>
      <c r="Y296" s="125">
        <f>$X$296*$K$296</f>
        <v>0.136</v>
      </c>
      <c r="Z296" s="125">
        <v>0</v>
      </c>
      <c r="AA296" s="126">
        <f>$Z$296*$K$296</f>
        <v>0</v>
      </c>
      <c r="AR296" s="6" t="s">
        <v>287</v>
      </c>
      <c r="AT296" s="6" t="s">
        <v>357</v>
      </c>
      <c r="AU296" s="6" t="s">
        <v>99</v>
      </c>
      <c r="AY296" s="6" t="s">
        <v>153</v>
      </c>
      <c r="BE296" s="76">
        <f>IF($U$296="základní",$N$296,0)</f>
        <v>0</v>
      </c>
      <c r="BF296" s="76">
        <f>IF($U$296="snížená",$N$296,0)</f>
        <v>0</v>
      </c>
      <c r="BG296" s="76">
        <f>IF($U$296="zákl. přenesená",$N$296,0)</f>
        <v>0</v>
      </c>
      <c r="BH296" s="76">
        <f>IF($U$296="sníž. přenesená",$N$296,0)</f>
        <v>0</v>
      </c>
      <c r="BI296" s="76">
        <f>IF($U$296="nulová",$N$296,0)</f>
        <v>0</v>
      </c>
      <c r="BJ296" s="6" t="s">
        <v>16</v>
      </c>
      <c r="BK296" s="76">
        <f>ROUND($L$296*$K$296,2)</f>
        <v>0</v>
      </c>
      <c r="BL296" s="6" t="s">
        <v>213</v>
      </c>
    </row>
    <row r="297" spans="2:64" s="6" customFormat="1" ht="27" customHeight="1">
      <c r="B297" s="21"/>
      <c r="C297" s="119" t="s">
        <v>472</v>
      </c>
      <c r="D297" s="119" t="s">
        <v>154</v>
      </c>
      <c r="E297" s="120" t="s">
        <v>473</v>
      </c>
      <c r="F297" s="141" t="s">
        <v>474</v>
      </c>
      <c r="G297" s="142"/>
      <c r="H297" s="142"/>
      <c r="I297" s="142"/>
      <c r="J297" s="121" t="s">
        <v>192</v>
      </c>
      <c r="K297" s="122">
        <v>2.262</v>
      </c>
      <c r="L297" s="143">
        <v>0</v>
      </c>
      <c r="M297" s="142"/>
      <c r="N297" s="144">
        <f>ROUND($L$297*$K$297,2)</f>
        <v>0</v>
      </c>
      <c r="O297" s="142"/>
      <c r="P297" s="142"/>
      <c r="Q297" s="142"/>
      <c r="R297" s="22"/>
      <c r="T297" s="123"/>
      <c r="U297" s="124" t="s">
        <v>38</v>
      </c>
      <c r="V297" s="125">
        <v>0.271</v>
      </c>
      <c r="W297" s="125">
        <f>$V$297*$K$297</f>
        <v>0.613002</v>
      </c>
      <c r="X297" s="125">
        <v>0</v>
      </c>
      <c r="Y297" s="125">
        <f>$X$297*$K$297</f>
        <v>0</v>
      </c>
      <c r="Z297" s="125">
        <v>0</v>
      </c>
      <c r="AA297" s="126">
        <f>$Z$297*$K$297</f>
        <v>0</v>
      </c>
      <c r="AR297" s="6" t="s">
        <v>213</v>
      </c>
      <c r="AT297" s="6" t="s">
        <v>154</v>
      </c>
      <c r="AU297" s="6" t="s">
        <v>99</v>
      </c>
      <c r="AY297" s="6" t="s">
        <v>153</v>
      </c>
      <c r="BE297" s="76">
        <f>IF($U$297="základní",$N$297,0)</f>
        <v>0</v>
      </c>
      <c r="BF297" s="76">
        <f>IF($U$297="snížená",$N$297,0)</f>
        <v>0</v>
      </c>
      <c r="BG297" s="76">
        <f>IF($U$297="zákl. přenesená",$N$297,0)</f>
        <v>0</v>
      </c>
      <c r="BH297" s="76">
        <f>IF($U$297="sníž. přenesená",$N$297,0)</f>
        <v>0</v>
      </c>
      <c r="BI297" s="76">
        <f>IF($U$297="nulová",$N$297,0)</f>
        <v>0</v>
      </c>
      <c r="BJ297" s="6" t="s">
        <v>16</v>
      </c>
      <c r="BK297" s="76">
        <f>ROUND($L$297*$K$297,2)</f>
        <v>0</v>
      </c>
      <c r="BL297" s="6" t="s">
        <v>213</v>
      </c>
    </row>
    <row r="298" spans="2:64" s="6" customFormat="1" ht="27" customHeight="1">
      <c r="B298" s="21"/>
      <c r="C298" s="119" t="s">
        <v>475</v>
      </c>
      <c r="D298" s="119" t="s">
        <v>154</v>
      </c>
      <c r="E298" s="120" t="s">
        <v>476</v>
      </c>
      <c r="F298" s="141" t="s">
        <v>477</v>
      </c>
      <c r="G298" s="142"/>
      <c r="H298" s="142"/>
      <c r="I298" s="142"/>
      <c r="J298" s="121" t="s">
        <v>173</v>
      </c>
      <c r="K298" s="122">
        <v>0.256</v>
      </c>
      <c r="L298" s="143">
        <v>0</v>
      </c>
      <c r="M298" s="142"/>
      <c r="N298" s="144">
        <f>ROUND($L$298*$K$298,2)</f>
        <v>0</v>
      </c>
      <c r="O298" s="142"/>
      <c r="P298" s="142"/>
      <c r="Q298" s="142"/>
      <c r="R298" s="22"/>
      <c r="T298" s="123"/>
      <c r="U298" s="124" t="s">
        <v>38</v>
      </c>
      <c r="V298" s="125">
        <v>1.375</v>
      </c>
      <c r="W298" s="125">
        <f>$V$298*$K$298</f>
        <v>0.352</v>
      </c>
      <c r="X298" s="125">
        <v>0</v>
      </c>
      <c r="Y298" s="125">
        <f>$X$298*$K$298</f>
        <v>0</v>
      </c>
      <c r="Z298" s="125">
        <v>0</v>
      </c>
      <c r="AA298" s="126">
        <f>$Z$298*$K$298</f>
        <v>0</v>
      </c>
      <c r="AR298" s="6" t="s">
        <v>213</v>
      </c>
      <c r="AT298" s="6" t="s">
        <v>154</v>
      </c>
      <c r="AU298" s="6" t="s">
        <v>99</v>
      </c>
      <c r="AY298" s="6" t="s">
        <v>153</v>
      </c>
      <c r="BE298" s="76">
        <f>IF($U$298="základní",$N$298,0)</f>
        <v>0</v>
      </c>
      <c r="BF298" s="76">
        <f>IF($U$298="snížená",$N$298,0)</f>
        <v>0</v>
      </c>
      <c r="BG298" s="76">
        <f>IF($U$298="zákl. přenesená",$N$298,0)</f>
        <v>0</v>
      </c>
      <c r="BH298" s="76">
        <f>IF($U$298="sníž. přenesená",$N$298,0)</f>
        <v>0</v>
      </c>
      <c r="BI298" s="76">
        <f>IF($U$298="nulová",$N$298,0)</f>
        <v>0</v>
      </c>
      <c r="BJ298" s="6" t="s">
        <v>16</v>
      </c>
      <c r="BK298" s="76">
        <f>ROUND($L$298*$K$298,2)</f>
        <v>0</v>
      </c>
      <c r="BL298" s="6" t="s">
        <v>213</v>
      </c>
    </row>
    <row r="299" spans="2:64" s="6" customFormat="1" ht="27" customHeight="1">
      <c r="B299" s="21"/>
      <c r="C299" s="119" t="s">
        <v>478</v>
      </c>
      <c r="D299" s="119" t="s">
        <v>154</v>
      </c>
      <c r="E299" s="120" t="s">
        <v>479</v>
      </c>
      <c r="F299" s="141" t="s">
        <v>480</v>
      </c>
      <c r="G299" s="142"/>
      <c r="H299" s="142"/>
      <c r="I299" s="142"/>
      <c r="J299" s="121" t="s">
        <v>173</v>
      </c>
      <c r="K299" s="122">
        <v>0.256</v>
      </c>
      <c r="L299" s="143">
        <v>0</v>
      </c>
      <c r="M299" s="142"/>
      <c r="N299" s="144">
        <f>ROUND($L$299*$K$299,2)</f>
        <v>0</v>
      </c>
      <c r="O299" s="142"/>
      <c r="P299" s="142"/>
      <c r="Q299" s="142"/>
      <c r="R299" s="22"/>
      <c r="T299" s="123"/>
      <c r="U299" s="124" t="s">
        <v>38</v>
      </c>
      <c r="V299" s="125">
        <v>1.11</v>
      </c>
      <c r="W299" s="125">
        <f>$V$299*$K$299</f>
        <v>0.28416</v>
      </c>
      <c r="X299" s="125">
        <v>0</v>
      </c>
      <c r="Y299" s="125">
        <f>$X$299*$K$299</f>
        <v>0</v>
      </c>
      <c r="Z299" s="125">
        <v>0</v>
      </c>
      <c r="AA299" s="126">
        <f>$Z$299*$K$299</f>
        <v>0</v>
      </c>
      <c r="AR299" s="6" t="s">
        <v>213</v>
      </c>
      <c r="AT299" s="6" t="s">
        <v>154</v>
      </c>
      <c r="AU299" s="6" t="s">
        <v>99</v>
      </c>
      <c r="AY299" s="6" t="s">
        <v>153</v>
      </c>
      <c r="BE299" s="76">
        <f>IF($U$299="základní",$N$299,0)</f>
        <v>0</v>
      </c>
      <c r="BF299" s="76">
        <f>IF($U$299="snížená",$N$299,0)</f>
        <v>0</v>
      </c>
      <c r="BG299" s="76">
        <f>IF($U$299="zákl. přenesená",$N$299,0)</f>
        <v>0</v>
      </c>
      <c r="BH299" s="76">
        <f>IF($U$299="sníž. přenesená",$N$299,0)</f>
        <v>0</v>
      </c>
      <c r="BI299" s="76">
        <f>IF($U$299="nulová",$N$299,0)</f>
        <v>0</v>
      </c>
      <c r="BJ299" s="6" t="s">
        <v>16</v>
      </c>
      <c r="BK299" s="76">
        <f>ROUND($L$299*$K$299,2)</f>
        <v>0</v>
      </c>
      <c r="BL299" s="6" t="s">
        <v>213</v>
      </c>
    </row>
    <row r="300" spans="2:63" s="109" customFormat="1" ht="30.75" customHeight="1">
      <c r="B300" s="110"/>
      <c r="D300" s="118" t="s">
        <v>123</v>
      </c>
      <c r="N300" s="160">
        <f>$BK$300</f>
        <v>0</v>
      </c>
      <c r="O300" s="139"/>
      <c r="P300" s="139"/>
      <c r="Q300" s="139"/>
      <c r="R300" s="113"/>
      <c r="T300" s="114"/>
      <c r="W300" s="115">
        <f>SUM($W$301:$W$302)</f>
        <v>0.479232</v>
      </c>
      <c r="Y300" s="115">
        <f>SUM($Y$301:$Y$302)</f>
        <v>0.00024576000000000003</v>
      </c>
      <c r="AA300" s="116">
        <f>SUM($AA$301:$AA$302)</f>
        <v>0</v>
      </c>
      <c r="AR300" s="112" t="s">
        <v>99</v>
      </c>
      <c r="AT300" s="112" t="s">
        <v>72</v>
      </c>
      <c r="AU300" s="112" t="s">
        <v>16</v>
      </c>
      <c r="AY300" s="112" t="s">
        <v>153</v>
      </c>
      <c r="BK300" s="117">
        <f>SUM($BK$301:$BK$302)</f>
        <v>0</v>
      </c>
    </row>
    <row r="301" spans="2:64" s="6" customFormat="1" ht="27" customHeight="1">
      <c r="B301" s="21"/>
      <c r="C301" s="119" t="s">
        <v>481</v>
      </c>
      <c r="D301" s="119" t="s">
        <v>154</v>
      </c>
      <c r="E301" s="120" t="s">
        <v>482</v>
      </c>
      <c r="F301" s="141" t="s">
        <v>483</v>
      </c>
      <c r="G301" s="142"/>
      <c r="H301" s="142"/>
      <c r="I301" s="142"/>
      <c r="J301" s="121" t="s">
        <v>192</v>
      </c>
      <c r="K301" s="122">
        <v>3.072</v>
      </c>
      <c r="L301" s="143">
        <v>0</v>
      </c>
      <c r="M301" s="142"/>
      <c r="N301" s="144">
        <f>ROUND($L$301*$K$301,2)</f>
        <v>0</v>
      </c>
      <c r="O301" s="142"/>
      <c r="P301" s="142"/>
      <c r="Q301" s="142"/>
      <c r="R301" s="22"/>
      <c r="T301" s="123"/>
      <c r="U301" s="124" t="s">
        <v>38</v>
      </c>
      <c r="V301" s="125">
        <v>0.156</v>
      </c>
      <c r="W301" s="125">
        <f>$V$301*$K$301</f>
        <v>0.479232</v>
      </c>
      <c r="X301" s="125">
        <v>8E-05</v>
      </c>
      <c r="Y301" s="125">
        <f>$X$301*$K$301</f>
        <v>0.00024576000000000003</v>
      </c>
      <c r="Z301" s="125">
        <v>0</v>
      </c>
      <c r="AA301" s="126">
        <f>$Z$301*$K$301</f>
        <v>0</v>
      </c>
      <c r="AR301" s="6" t="s">
        <v>213</v>
      </c>
      <c r="AT301" s="6" t="s">
        <v>154</v>
      </c>
      <c r="AU301" s="6" t="s">
        <v>99</v>
      </c>
      <c r="AY301" s="6" t="s">
        <v>153</v>
      </c>
      <c r="BE301" s="76">
        <f>IF($U$301="základní",$N$301,0)</f>
        <v>0</v>
      </c>
      <c r="BF301" s="76">
        <f>IF($U$301="snížená",$N$301,0)</f>
        <v>0</v>
      </c>
      <c r="BG301" s="76">
        <f>IF($U$301="zákl. přenesená",$N$301,0)</f>
        <v>0</v>
      </c>
      <c r="BH301" s="76">
        <f>IF($U$301="sníž. přenesená",$N$301,0)</f>
        <v>0</v>
      </c>
      <c r="BI301" s="76">
        <f>IF($U$301="nulová",$N$301,0)</f>
        <v>0</v>
      </c>
      <c r="BJ301" s="6" t="s">
        <v>16</v>
      </c>
      <c r="BK301" s="76">
        <f>ROUND($L$301*$K$301,2)</f>
        <v>0</v>
      </c>
      <c r="BL301" s="6" t="s">
        <v>213</v>
      </c>
    </row>
    <row r="302" spans="2:51" s="6" customFormat="1" ht="15.75" customHeight="1">
      <c r="B302" s="127"/>
      <c r="E302" s="128"/>
      <c r="F302" s="146" t="s">
        <v>484</v>
      </c>
      <c r="G302" s="147"/>
      <c r="H302" s="147"/>
      <c r="I302" s="147"/>
      <c r="K302" s="129">
        <v>3.072</v>
      </c>
      <c r="N302" s="128"/>
      <c r="R302" s="130"/>
      <c r="T302" s="131"/>
      <c r="AA302" s="132"/>
      <c r="AT302" s="128" t="s">
        <v>160</v>
      </c>
      <c r="AU302" s="128" t="s">
        <v>99</v>
      </c>
      <c r="AV302" s="133" t="s">
        <v>99</v>
      </c>
      <c r="AW302" s="133" t="s">
        <v>107</v>
      </c>
      <c r="AX302" s="133" t="s">
        <v>16</v>
      </c>
      <c r="AY302" s="128" t="s">
        <v>153</v>
      </c>
    </row>
    <row r="303" spans="2:63" s="109" customFormat="1" ht="30.75" customHeight="1">
      <c r="B303" s="110"/>
      <c r="D303" s="118" t="s">
        <v>124</v>
      </c>
      <c r="N303" s="160">
        <f>$BK$303</f>
        <v>0</v>
      </c>
      <c r="O303" s="139"/>
      <c r="P303" s="139"/>
      <c r="Q303" s="139"/>
      <c r="R303" s="113"/>
      <c r="T303" s="114"/>
      <c r="W303" s="115">
        <f>SUM($W$304:$W$306)</f>
        <v>6.966055000000001</v>
      </c>
      <c r="Y303" s="115">
        <f>SUM($Y$304:$Y$306)</f>
        <v>0.03518935</v>
      </c>
      <c r="AA303" s="116">
        <f>SUM($AA$304:$AA$306)</f>
        <v>0</v>
      </c>
      <c r="AR303" s="112" t="s">
        <v>99</v>
      </c>
      <c r="AT303" s="112" t="s">
        <v>72</v>
      </c>
      <c r="AU303" s="112" t="s">
        <v>16</v>
      </c>
      <c r="AY303" s="112" t="s">
        <v>153</v>
      </c>
      <c r="BK303" s="117">
        <f>SUM($BK$304:$BK$306)</f>
        <v>0</v>
      </c>
    </row>
    <row r="304" spans="2:64" s="6" customFormat="1" ht="27" customHeight="1">
      <c r="B304" s="21"/>
      <c r="C304" s="119" t="s">
        <v>485</v>
      </c>
      <c r="D304" s="119" t="s">
        <v>154</v>
      </c>
      <c r="E304" s="120" t="s">
        <v>486</v>
      </c>
      <c r="F304" s="141" t="s">
        <v>487</v>
      </c>
      <c r="G304" s="142"/>
      <c r="H304" s="142"/>
      <c r="I304" s="142"/>
      <c r="J304" s="121" t="s">
        <v>192</v>
      </c>
      <c r="K304" s="122">
        <v>71.815</v>
      </c>
      <c r="L304" s="143">
        <v>0</v>
      </c>
      <c r="M304" s="142"/>
      <c r="N304" s="144">
        <f>ROUND($L$304*$K$304,2)</f>
        <v>0</v>
      </c>
      <c r="O304" s="142"/>
      <c r="P304" s="142"/>
      <c r="Q304" s="142"/>
      <c r="R304" s="22"/>
      <c r="T304" s="123"/>
      <c r="U304" s="124" t="s">
        <v>38</v>
      </c>
      <c r="V304" s="125">
        <v>0.033</v>
      </c>
      <c r="W304" s="125">
        <f>$V$304*$K$304</f>
        <v>2.369895</v>
      </c>
      <c r="X304" s="125">
        <v>0.0002</v>
      </c>
      <c r="Y304" s="125">
        <f>$X$304*$K$304</f>
        <v>0.014363</v>
      </c>
      <c r="Z304" s="125">
        <v>0</v>
      </c>
      <c r="AA304" s="126">
        <f>$Z$304*$K$304</f>
        <v>0</v>
      </c>
      <c r="AR304" s="6" t="s">
        <v>213</v>
      </c>
      <c r="AT304" s="6" t="s">
        <v>154</v>
      </c>
      <c r="AU304" s="6" t="s">
        <v>99</v>
      </c>
      <c r="AY304" s="6" t="s">
        <v>153</v>
      </c>
      <c r="BE304" s="76">
        <f>IF($U$304="základní",$N$304,0)</f>
        <v>0</v>
      </c>
      <c r="BF304" s="76">
        <f>IF($U$304="snížená",$N$304,0)</f>
        <v>0</v>
      </c>
      <c r="BG304" s="76">
        <f>IF($U$304="zákl. přenesená",$N$304,0)</f>
        <v>0</v>
      </c>
      <c r="BH304" s="76">
        <f>IF($U$304="sníž. přenesená",$N$304,0)</f>
        <v>0</v>
      </c>
      <c r="BI304" s="76">
        <f>IF($U$304="nulová",$N$304,0)</f>
        <v>0</v>
      </c>
      <c r="BJ304" s="6" t="s">
        <v>16</v>
      </c>
      <c r="BK304" s="76">
        <f>ROUND($L$304*$K$304,2)</f>
        <v>0</v>
      </c>
      <c r="BL304" s="6" t="s">
        <v>213</v>
      </c>
    </row>
    <row r="305" spans="2:51" s="6" customFormat="1" ht="27" customHeight="1">
      <c r="B305" s="127"/>
      <c r="E305" s="128"/>
      <c r="F305" s="146" t="s">
        <v>488</v>
      </c>
      <c r="G305" s="147"/>
      <c r="H305" s="147"/>
      <c r="I305" s="147"/>
      <c r="K305" s="129">
        <v>71.815</v>
      </c>
      <c r="N305" s="128"/>
      <c r="R305" s="130"/>
      <c r="T305" s="131"/>
      <c r="AA305" s="132"/>
      <c r="AT305" s="128" t="s">
        <v>160</v>
      </c>
      <c r="AU305" s="128" t="s">
        <v>99</v>
      </c>
      <c r="AV305" s="133" t="s">
        <v>99</v>
      </c>
      <c r="AW305" s="133" t="s">
        <v>107</v>
      </c>
      <c r="AX305" s="133" t="s">
        <v>16</v>
      </c>
      <c r="AY305" s="128" t="s">
        <v>153</v>
      </c>
    </row>
    <row r="306" spans="2:64" s="6" customFormat="1" ht="27" customHeight="1">
      <c r="B306" s="21"/>
      <c r="C306" s="119" t="s">
        <v>489</v>
      </c>
      <c r="D306" s="119" t="s">
        <v>154</v>
      </c>
      <c r="E306" s="120" t="s">
        <v>490</v>
      </c>
      <c r="F306" s="141" t="s">
        <v>491</v>
      </c>
      <c r="G306" s="142"/>
      <c r="H306" s="142"/>
      <c r="I306" s="142"/>
      <c r="J306" s="121" t="s">
        <v>192</v>
      </c>
      <c r="K306" s="122">
        <v>71.815</v>
      </c>
      <c r="L306" s="143">
        <v>0</v>
      </c>
      <c r="M306" s="142"/>
      <c r="N306" s="144">
        <f>ROUND($L$306*$K$306,2)</f>
        <v>0</v>
      </c>
      <c r="O306" s="142"/>
      <c r="P306" s="142"/>
      <c r="Q306" s="142"/>
      <c r="R306" s="22"/>
      <c r="T306" s="123"/>
      <c r="U306" s="124" t="s">
        <v>38</v>
      </c>
      <c r="V306" s="125">
        <v>0.064</v>
      </c>
      <c r="W306" s="125">
        <f>$V$306*$K$306</f>
        <v>4.59616</v>
      </c>
      <c r="X306" s="125">
        <v>0.00029</v>
      </c>
      <c r="Y306" s="125">
        <f>$X$306*$K$306</f>
        <v>0.02082635</v>
      </c>
      <c r="Z306" s="125">
        <v>0</v>
      </c>
      <c r="AA306" s="126">
        <f>$Z$306*$K$306</f>
        <v>0</v>
      </c>
      <c r="AR306" s="6" t="s">
        <v>213</v>
      </c>
      <c r="AT306" s="6" t="s">
        <v>154</v>
      </c>
      <c r="AU306" s="6" t="s">
        <v>99</v>
      </c>
      <c r="AY306" s="6" t="s">
        <v>153</v>
      </c>
      <c r="BE306" s="76">
        <f>IF($U$306="základní",$N$306,0)</f>
        <v>0</v>
      </c>
      <c r="BF306" s="76">
        <f>IF($U$306="snížená",$N$306,0)</f>
        <v>0</v>
      </c>
      <c r="BG306" s="76">
        <f>IF($U$306="zákl. přenesená",$N$306,0)</f>
        <v>0</v>
      </c>
      <c r="BH306" s="76">
        <f>IF($U$306="sníž. přenesená",$N$306,0)</f>
        <v>0</v>
      </c>
      <c r="BI306" s="76">
        <f>IF($U$306="nulová",$N$306,0)</f>
        <v>0</v>
      </c>
      <c r="BJ306" s="6" t="s">
        <v>16</v>
      </c>
      <c r="BK306" s="76">
        <f>ROUND($L$306*$K$306,2)</f>
        <v>0</v>
      </c>
      <c r="BL306" s="6" t="s">
        <v>213</v>
      </c>
    </row>
    <row r="307" spans="2:63" s="109" customFormat="1" ht="37.5" customHeight="1">
      <c r="B307" s="110"/>
      <c r="D307" s="111" t="s">
        <v>125</v>
      </c>
      <c r="N307" s="140">
        <f>$BK$307</f>
        <v>0</v>
      </c>
      <c r="O307" s="139"/>
      <c r="P307" s="139"/>
      <c r="Q307" s="139"/>
      <c r="R307" s="113"/>
      <c r="T307" s="114"/>
      <c r="W307" s="115">
        <f>$W$308</f>
        <v>0</v>
      </c>
      <c r="Y307" s="115">
        <f>$Y$308</f>
        <v>0</v>
      </c>
      <c r="AA307" s="116">
        <f>$AA$308</f>
        <v>0</v>
      </c>
      <c r="AR307" s="112" t="s">
        <v>164</v>
      </c>
      <c r="AT307" s="112" t="s">
        <v>72</v>
      </c>
      <c r="AU307" s="112" t="s">
        <v>73</v>
      </c>
      <c r="AY307" s="112" t="s">
        <v>153</v>
      </c>
      <c r="BK307" s="117">
        <f>$BK$308</f>
        <v>0</v>
      </c>
    </row>
    <row r="308" spans="2:63" s="109" customFormat="1" ht="21" customHeight="1">
      <c r="B308" s="110"/>
      <c r="D308" s="118" t="s">
        <v>126</v>
      </c>
      <c r="N308" s="160">
        <f>$BK$308</f>
        <v>0</v>
      </c>
      <c r="O308" s="139"/>
      <c r="P308" s="139"/>
      <c r="Q308" s="139"/>
      <c r="R308" s="113"/>
      <c r="T308" s="114"/>
      <c r="W308" s="115">
        <f>$W$309</f>
        <v>0</v>
      </c>
      <c r="Y308" s="115">
        <f>$Y$309</f>
        <v>0</v>
      </c>
      <c r="AA308" s="116">
        <f>$AA$309</f>
        <v>0</v>
      </c>
      <c r="AR308" s="112" t="s">
        <v>164</v>
      </c>
      <c r="AT308" s="112" t="s">
        <v>72</v>
      </c>
      <c r="AU308" s="112" t="s">
        <v>16</v>
      </c>
      <c r="AY308" s="112" t="s">
        <v>153</v>
      </c>
      <c r="BK308" s="117">
        <f>$BK$309</f>
        <v>0</v>
      </c>
    </row>
    <row r="309" spans="2:64" s="6" customFormat="1" ht="15.75" customHeight="1">
      <c r="B309" s="21"/>
      <c r="C309" s="119" t="s">
        <v>492</v>
      </c>
      <c r="D309" s="119" t="s">
        <v>154</v>
      </c>
      <c r="E309" s="120" t="s">
        <v>493</v>
      </c>
      <c r="F309" s="141" t="s">
        <v>494</v>
      </c>
      <c r="G309" s="142"/>
      <c r="H309" s="142"/>
      <c r="I309" s="142"/>
      <c r="J309" s="121" t="s">
        <v>400</v>
      </c>
      <c r="K309" s="122">
        <v>1</v>
      </c>
      <c r="L309" s="143">
        <v>0</v>
      </c>
      <c r="M309" s="142"/>
      <c r="N309" s="144">
        <f>ROUND($L$309*$K$309,2)</f>
        <v>0</v>
      </c>
      <c r="O309" s="142"/>
      <c r="P309" s="142"/>
      <c r="Q309" s="142"/>
      <c r="R309" s="22"/>
      <c r="T309" s="123"/>
      <c r="U309" s="124" t="s">
        <v>38</v>
      </c>
      <c r="V309" s="125">
        <v>0</v>
      </c>
      <c r="W309" s="125">
        <f>$V$309*$K$309</f>
        <v>0</v>
      </c>
      <c r="X309" s="125">
        <v>0</v>
      </c>
      <c r="Y309" s="125">
        <f>$X$309*$K$309</f>
        <v>0</v>
      </c>
      <c r="Z309" s="125">
        <v>0</v>
      </c>
      <c r="AA309" s="126">
        <f>$Z$309*$K$309</f>
        <v>0</v>
      </c>
      <c r="AR309" s="6" t="s">
        <v>404</v>
      </c>
      <c r="AT309" s="6" t="s">
        <v>154</v>
      </c>
      <c r="AU309" s="6" t="s">
        <v>99</v>
      </c>
      <c r="AY309" s="6" t="s">
        <v>153</v>
      </c>
      <c r="BE309" s="76">
        <f>IF($U$309="základní",$N$309,0)</f>
        <v>0</v>
      </c>
      <c r="BF309" s="76">
        <f>IF($U$309="snížená",$N$309,0)</f>
        <v>0</v>
      </c>
      <c r="BG309" s="76">
        <f>IF($U$309="zákl. přenesená",$N$309,0)</f>
        <v>0</v>
      </c>
      <c r="BH309" s="76">
        <f>IF($U$309="sníž. přenesená",$N$309,0)</f>
        <v>0</v>
      </c>
      <c r="BI309" s="76">
        <f>IF($U$309="nulová",$N$309,0)</f>
        <v>0</v>
      </c>
      <c r="BJ309" s="6" t="s">
        <v>16</v>
      </c>
      <c r="BK309" s="76">
        <f>ROUND($L$309*$K$309,2)</f>
        <v>0</v>
      </c>
      <c r="BL309" s="6" t="s">
        <v>404</v>
      </c>
    </row>
    <row r="310" spans="2:63" s="109" customFormat="1" ht="37.5" customHeight="1">
      <c r="B310" s="110"/>
      <c r="D310" s="111" t="s">
        <v>127</v>
      </c>
      <c r="N310" s="140">
        <f>$BK$310</f>
        <v>0</v>
      </c>
      <c r="O310" s="139"/>
      <c r="P310" s="139"/>
      <c r="Q310" s="139"/>
      <c r="R310" s="113"/>
      <c r="T310" s="114"/>
      <c r="W310" s="115">
        <f>$W$311</f>
        <v>0</v>
      </c>
      <c r="Y310" s="115">
        <f>$Y$311</f>
        <v>0</v>
      </c>
      <c r="AA310" s="116">
        <f>$AA$311</f>
        <v>0</v>
      </c>
      <c r="AR310" s="112" t="s">
        <v>170</v>
      </c>
      <c r="AT310" s="112" t="s">
        <v>72</v>
      </c>
      <c r="AU310" s="112" t="s">
        <v>73</v>
      </c>
      <c r="AY310" s="112" t="s">
        <v>153</v>
      </c>
      <c r="BK310" s="117">
        <f>$BK$311</f>
        <v>0</v>
      </c>
    </row>
    <row r="311" spans="2:63" s="109" customFormat="1" ht="21" customHeight="1">
      <c r="B311" s="110"/>
      <c r="D311" s="118" t="s">
        <v>128</v>
      </c>
      <c r="N311" s="160">
        <f>$BK$311</f>
        <v>0</v>
      </c>
      <c r="O311" s="139"/>
      <c r="P311" s="139"/>
      <c r="Q311" s="139"/>
      <c r="R311" s="113"/>
      <c r="T311" s="114"/>
      <c r="W311" s="115">
        <f>SUM($W$312:$W$313)</f>
        <v>0</v>
      </c>
      <c r="Y311" s="115">
        <f>SUM($Y$312:$Y$313)</f>
        <v>0</v>
      </c>
      <c r="AA311" s="116">
        <f>SUM($AA$312:$AA$313)</f>
        <v>0</v>
      </c>
      <c r="AR311" s="112" t="s">
        <v>170</v>
      </c>
      <c r="AT311" s="112" t="s">
        <v>72</v>
      </c>
      <c r="AU311" s="112" t="s">
        <v>16</v>
      </c>
      <c r="AY311" s="112" t="s">
        <v>153</v>
      </c>
      <c r="BK311" s="117">
        <f>SUM($BK$312:$BK$313)</f>
        <v>0</v>
      </c>
    </row>
    <row r="312" spans="2:64" s="6" customFormat="1" ht="15.75" customHeight="1">
      <c r="B312" s="21"/>
      <c r="C312" s="119" t="s">
        <v>495</v>
      </c>
      <c r="D312" s="119" t="s">
        <v>154</v>
      </c>
      <c r="E312" s="120" t="s">
        <v>496</v>
      </c>
      <c r="F312" s="141" t="s">
        <v>130</v>
      </c>
      <c r="G312" s="142"/>
      <c r="H312" s="142"/>
      <c r="I312" s="142"/>
      <c r="J312" s="121" t="s">
        <v>497</v>
      </c>
      <c r="K312" s="122">
        <v>13871.91</v>
      </c>
      <c r="L312" s="143">
        <v>0</v>
      </c>
      <c r="M312" s="142"/>
      <c r="N312" s="144">
        <f>ROUND($L$312*$K$312,2)</f>
        <v>0</v>
      </c>
      <c r="O312" s="142"/>
      <c r="P312" s="142"/>
      <c r="Q312" s="142"/>
      <c r="R312" s="22"/>
      <c r="T312" s="123"/>
      <c r="U312" s="124" t="s">
        <v>38</v>
      </c>
      <c r="V312" s="125">
        <v>0</v>
      </c>
      <c r="W312" s="125">
        <f>$V$312*$K$312</f>
        <v>0</v>
      </c>
      <c r="X312" s="125">
        <v>0</v>
      </c>
      <c r="Y312" s="125">
        <f>$X$312*$K$312</f>
        <v>0</v>
      </c>
      <c r="Z312" s="125">
        <v>0</v>
      </c>
      <c r="AA312" s="126">
        <f>$Z$312*$K$312</f>
        <v>0</v>
      </c>
      <c r="AR312" s="6" t="s">
        <v>498</v>
      </c>
      <c r="AT312" s="6" t="s">
        <v>154</v>
      </c>
      <c r="AU312" s="6" t="s">
        <v>99</v>
      </c>
      <c r="AY312" s="6" t="s">
        <v>153</v>
      </c>
      <c r="BE312" s="76">
        <f>IF($U$312="základní",$N$312,0)</f>
        <v>0</v>
      </c>
      <c r="BF312" s="76">
        <f>IF($U$312="snížená",$N$312,0)</f>
        <v>0</v>
      </c>
      <c r="BG312" s="76">
        <f>IF($U$312="zákl. přenesená",$N$312,0)</f>
        <v>0</v>
      </c>
      <c r="BH312" s="76">
        <f>IF($U$312="sníž. přenesená",$N$312,0)</f>
        <v>0</v>
      </c>
      <c r="BI312" s="76">
        <f>IF($U$312="nulová",$N$312,0)</f>
        <v>0</v>
      </c>
      <c r="BJ312" s="6" t="s">
        <v>16</v>
      </c>
      <c r="BK312" s="76">
        <f>ROUND($L$312*$K$312,2)</f>
        <v>0</v>
      </c>
      <c r="BL312" s="6" t="s">
        <v>498</v>
      </c>
    </row>
    <row r="313" spans="2:64" s="6" customFormat="1" ht="15.75" customHeight="1">
      <c r="B313" s="21"/>
      <c r="C313" s="119" t="s">
        <v>499</v>
      </c>
      <c r="D313" s="119" t="s">
        <v>154</v>
      </c>
      <c r="E313" s="120" t="s">
        <v>500</v>
      </c>
      <c r="F313" s="141" t="s">
        <v>134</v>
      </c>
      <c r="G313" s="142"/>
      <c r="H313" s="142"/>
      <c r="I313" s="142"/>
      <c r="J313" s="121" t="s">
        <v>497</v>
      </c>
      <c r="K313" s="122">
        <v>13871.91</v>
      </c>
      <c r="L313" s="143">
        <v>0</v>
      </c>
      <c r="M313" s="142"/>
      <c r="N313" s="144">
        <f>ROUND($L$313*$K$313,2)</f>
        <v>0</v>
      </c>
      <c r="O313" s="142"/>
      <c r="P313" s="142"/>
      <c r="Q313" s="142"/>
      <c r="R313" s="22"/>
      <c r="T313" s="123"/>
      <c r="U313" s="124" t="s">
        <v>38</v>
      </c>
      <c r="V313" s="125">
        <v>0</v>
      </c>
      <c r="W313" s="125">
        <f>$V$313*$K$313</f>
        <v>0</v>
      </c>
      <c r="X313" s="125">
        <v>0</v>
      </c>
      <c r="Y313" s="125">
        <f>$X$313*$K$313</f>
        <v>0</v>
      </c>
      <c r="Z313" s="125">
        <v>0</v>
      </c>
      <c r="AA313" s="126">
        <f>$Z$313*$K$313</f>
        <v>0</v>
      </c>
      <c r="AR313" s="6" t="s">
        <v>501</v>
      </c>
      <c r="AT313" s="6" t="s">
        <v>154</v>
      </c>
      <c r="AU313" s="6" t="s">
        <v>99</v>
      </c>
      <c r="AY313" s="6" t="s">
        <v>153</v>
      </c>
      <c r="BE313" s="76">
        <f>IF($U$313="základní",$N$313,0)</f>
        <v>0</v>
      </c>
      <c r="BF313" s="76">
        <f>IF($U$313="snížená",$N$313,0)</f>
        <v>0</v>
      </c>
      <c r="BG313" s="76">
        <f>IF($U$313="zákl. přenesená",$N$313,0)</f>
        <v>0</v>
      </c>
      <c r="BH313" s="76">
        <f>IF($U$313="sníž. přenesená",$N$313,0)</f>
        <v>0</v>
      </c>
      <c r="BI313" s="76">
        <f>IF($U$313="nulová",$N$313,0)</f>
        <v>0</v>
      </c>
      <c r="BJ313" s="6" t="s">
        <v>16</v>
      </c>
      <c r="BK313" s="76">
        <f>ROUND($L$313*$K$313,2)</f>
        <v>0</v>
      </c>
      <c r="BL313" s="6" t="s">
        <v>501</v>
      </c>
    </row>
    <row r="314" spans="2:63" s="6" customFormat="1" ht="51" customHeight="1">
      <c r="B314" s="21"/>
      <c r="D314" s="111" t="s">
        <v>502</v>
      </c>
      <c r="N314" s="140">
        <f>$BK$314</f>
        <v>0</v>
      </c>
      <c r="O314" s="167"/>
      <c r="P314" s="167"/>
      <c r="Q314" s="167"/>
      <c r="R314" s="22"/>
      <c r="T314" s="138"/>
      <c r="U314" s="40"/>
      <c r="V314" s="40"/>
      <c r="W314" s="40"/>
      <c r="X314" s="40"/>
      <c r="Y314" s="40"/>
      <c r="Z314" s="40"/>
      <c r="AA314" s="42"/>
      <c r="AT314" s="6" t="s">
        <v>72</v>
      </c>
      <c r="AU314" s="6" t="s">
        <v>73</v>
      </c>
      <c r="AY314" s="6" t="s">
        <v>503</v>
      </c>
      <c r="BK314" s="76">
        <v>0</v>
      </c>
    </row>
    <row r="315" spans="2:18" s="6" customFormat="1" ht="7.5" customHeight="1">
      <c r="B315" s="43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5"/>
    </row>
    <row r="316" s="2" customFormat="1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$N$314</f>
        <v>0</v>
      </c>
    </row>
  </sheetData>
  <mergeCells count="446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F201:I201"/>
    <mergeCell ref="L201:M201"/>
    <mergeCell ref="N201:Q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3:I243"/>
    <mergeCell ref="L243:M243"/>
    <mergeCell ref="N243:Q243"/>
    <mergeCell ref="F244:I244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57:I257"/>
    <mergeCell ref="L257:M257"/>
    <mergeCell ref="N257:Q257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70:I270"/>
    <mergeCell ref="L270:M270"/>
    <mergeCell ref="N270:Q270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2:I282"/>
    <mergeCell ref="L282:M282"/>
    <mergeCell ref="N282:Q282"/>
    <mergeCell ref="F283:I283"/>
    <mergeCell ref="F284:I284"/>
    <mergeCell ref="L284:M284"/>
    <mergeCell ref="N284:Q284"/>
    <mergeCell ref="F285:I285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F290:I290"/>
    <mergeCell ref="L290:M290"/>
    <mergeCell ref="N290:Q290"/>
    <mergeCell ref="F291:I291"/>
    <mergeCell ref="L291:M291"/>
    <mergeCell ref="N291:Q291"/>
    <mergeCell ref="F293:I293"/>
    <mergeCell ref="L293:M293"/>
    <mergeCell ref="N293:Q293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L304:M304"/>
    <mergeCell ref="N304:Q304"/>
    <mergeCell ref="F299:I299"/>
    <mergeCell ref="L299:M299"/>
    <mergeCell ref="N299:Q299"/>
    <mergeCell ref="F301:I301"/>
    <mergeCell ref="L301:M301"/>
    <mergeCell ref="N301:Q301"/>
    <mergeCell ref="N160:Q160"/>
    <mergeCell ref="N171:Q171"/>
    <mergeCell ref="N200:Q200"/>
    <mergeCell ref="F309:I309"/>
    <mergeCell ref="L309:M309"/>
    <mergeCell ref="N309:Q309"/>
    <mergeCell ref="F305:I305"/>
    <mergeCell ref="F306:I306"/>
    <mergeCell ref="L306:M306"/>
    <mergeCell ref="N306:Q306"/>
    <mergeCell ref="N134:Q134"/>
    <mergeCell ref="N135:Q135"/>
    <mergeCell ref="N136:Q136"/>
    <mergeCell ref="N149:Q149"/>
    <mergeCell ref="N241:Q241"/>
    <mergeCell ref="N242:Q242"/>
    <mergeCell ref="F313:I313"/>
    <mergeCell ref="L313:M313"/>
    <mergeCell ref="N313:Q313"/>
    <mergeCell ref="F312:I312"/>
    <mergeCell ref="L312:M312"/>
    <mergeCell ref="N312:Q312"/>
    <mergeCell ref="F302:I302"/>
    <mergeCell ref="F304:I304"/>
    <mergeCell ref="N311:Q311"/>
    <mergeCell ref="N314:Q314"/>
    <mergeCell ref="N292:Q292"/>
    <mergeCell ref="N300:Q300"/>
    <mergeCell ref="N303:Q303"/>
    <mergeCell ref="N307:Q307"/>
    <mergeCell ref="H1:K1"/>
    <mergeCell ref="S2:AC2"/>
    <mergeCell ref="N308:Q308"/>
    <mergeCell ref="N310:Q310"/>
    <mergeCell ref="N258:Q258"/>
    <mergeCell ref="N269:Q269"/>
    <mergeCell ref="N271:Q271"/>
    <mergeCell ref="N281:Q281"/>
    <mergeCell ref="N210:Q210"/>
    <mergeCell ref="N232:Q232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Hrba Pavel</cp:lastModifiedBy>
  <dcterms:modified xsi:type="dcterms:W3CDTF">2013-04-01T07:22:34Z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