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1570" windowHeight="7980" activeTab="0"/>
  </bookViews>
  <sheets>
    <sheet name="Stavební rozpočet" sheetId="1" r:id="rId1"/>
    <sheet name="Stavební rozpočet - součet" sheetId="2" r:id="rId2"/>
    <sheet name="Výkaz výměr" sheetId="3" r:id="rId3"/>
    <sheet name="Harmonogram" sheetId="4" r:id="rId4"/>
    <sheet name="Čerpání rozpočtu a fakturace" sheetId="5" r:id="rId5"/>
    <sheet name="Krycí list rozpočtu" sheetId="6" r:id="rId6"/>
  </sheets>
  <definedNames/>
  <calcPr fullCalcOnLoad="1"/>
</workbook>
</file>

<file path=xl/sharedStrings.xml><?xml version="1.0" encoding="utf-8"?>
<sst xmlns="http://schemas.openxmlformats.org/spreadsheetml/2006/main" count="1860" uniqueCount="426">
  <si>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</si>
  <si>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</si>
  <si>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</si>
  <si>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</si>
  <si>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</si>
  <si>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</si>
  <si>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</si>
  <si>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</si>
  <si>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</si>
  <si>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</si>
  <si>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</si>
  <si>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</si>
  <si>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</si>
  <si>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</si>
  <si>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</si>
  <si>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</si>
  <si>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</si>
  <si>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</si>
  <si>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</si>
  <si>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</si>
  <si>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</si>
  <si>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</si>
  <si>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</si>
  <si>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</si>
  <si>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</si>
  <si>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</si>
  <si>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</si>
  <si>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</si>
  <si>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</si>
  <si>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</si>
  <si>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</si>
  <si>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</si>
  <si>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</si>
  <si>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</si>
  <si>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</si>
  <si>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</si>
  <si>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</si>
  <si>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</si>
  <si>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</si>
  <si>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</si>
  <si>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</si>
  <si>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</si>
  <si>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</si>
  <si>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</si>
  <si>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</si>
  <si>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</si>
  <si>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</si>
  <si>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</si>
  <si>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</si>
  <si>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</si>
  <si>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</si>
  <si>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</si>
  <si>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</si>
  <si>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</si>
  <si>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</si>
  <si>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</si>
  <si>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</si>
  <si>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</si>
  <si>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</si>
  <si>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</si>
  <si>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</si>
  <si>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</si>
  <si>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</si>
  <si>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</si>
  <si>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</si>
  <si>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</si>
  <si>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</si>
  <si>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</si>
  <si>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</si>
  <si>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</si>
  <si>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</si>
  <si>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</si>
  <si>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</si>
  <si>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</si>
  <si>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</si>
  <si>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</si>
  <si>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</si>
  <si>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</si>
  <si>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</si>
  <si>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</si>
  <si>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</si>
  <si>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</si>
  <si>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</si>
  <si>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</si>
  <si>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</si>
  <si>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</si>
  <si>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</si>
  <si>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</si>
  <si>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</si>
  <si>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</si>
  <si>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</si>
  <si>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</si>
  <si>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</si>
  <si>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</si>
  <si>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</si>
  <si>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</si>
  <si>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</si>
  <si>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</si>
  <si>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</si>
  <si>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</si>
  <si>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Poznámka:</t>
  </si>
  <si>
    <t>Objekt</t>
  </si>
  <si>
    <t>Kód</t>
  </si>
  <si>
    <t>713</t>
  </si>
  <si>
    <t>713571115R00</t>
  </si>
  <si>
    <t>721</t>
  </si>
  <si>
    <t>721110915R00</t>
  </si>
  <si>
    <t>721140802R00</t>
  </si>
  <si>
    <t>721140806R00</t>
  </si>
  <si>
    <t>721140915R00</t>
  </si>
  <si>
    <t>721140917R00</t>
  </si>
  <si>
    <t>721140935R00</t>
  </si>
  <si>
    <t>721176101R00</t>
  </si>
  <si>
    <t>721176103R00</t>
  </si>
  <si>
    <t>721176113R00</t>
  </si>
  <si>
    <t>721176115R00</t>
  </si>
  <si>
    <t>721176117R00</t>
  </si>
  <si>
    <t>721176222R00</t>
  </si>
  <si>
    <t>721194105R00</t>
  </si>
  <si>
    <t>721194109R00</t>
  </si>
  <si>
    <t>721213315R00</t>
  </si>
  <si>
    <t>721213316R00</t>
  </si>
  <si>
    <t>721223423RT2</t>
  </si>
  <si>
    <t>721273150R00</t>
  </si>
  <si>
    <t>721290111R00</t>
  </si>
  <si>
    <t>721290123R00</t>
  </si>
  <si>
    <t>721300922R00</t>
  </si>
  <si>
    <t>721152215R00</t>
  </si>
  <si>
    <t>721152216R00</t>
  </si>
  <si>
    <t>721153206R00</t>
  </si>
  <si>
    <t>722</t>
  </si>
  <si>
    <t>722130233R00</t>
  </si>
  <si>
    <t>722130803R00</t>
  </si>
  <si>
    <t>722131936R00</t>
  </si>
  <si>
    <t>722172632R00</t>
  </si>
  <si>
    <t>722172633R00</t>
  </si>
  <si>
    <t>722172634R00</t>
  </si>
  <si>
    <t>722172635R00</t>
  </si>
  <si>
    <t>722172636R00</t>
  </si>
  <si>
    <t>722172915R00</t>
  </si>
  <si>
    <t>722172917R00</t>
  </si>
  <si>
    <t>722181214RT8</t>
  </si>
  <si>
    <t>722181214RU1</t>
  </si>
  <si>
    <t>722181214RV9</t>
  </si>
  <si>
    <t>722181214RW6</t>
  </si>
  <si>
    <t>722181214RY3</t>
  </si>
  <si>
    <t>722212440R00</t>
  </si>
  <si>
    <t>722220111R00</t>
  </si>
  <si>
    <t>722220121R00</t>
  </si>
  <si>
    <t>722235141R00</t>
  </si>
  <si>
    <t>722235142R00</t>
  </si>
  <si>
    <t>722235143R00</t>
  </si>
  <si>
    <t>722235145R00</t>
  </si>
  <si>
    <t>722254201RT4</t>
  </si>
  <si>
    <t>722290226R00</t>
  </si>
  <si>
    <t>722290234R00</t>
  </si>
  <si>
    <t>722110917R00</t>
  </si>
  <si>
    <t>722181245RZ2</t>
  </si>
  <si>
    <t>722181245RZ4</t>
  </si>
  <si>
    <t>722181245RZ6</t>
  </si>
  <si>
    <t>725</t>
  </si>
  <si>
    <t>725014141R00</t>
  </si>
  <si>
    <t>725014173R00</t>
  </si>
  <si>
    <t>725017153R00</t>
  </si>
  <si>
    <t>725017163R00</t>
  </si>
  <si>
    <t>725017168R00</t>
  </si>
  <si>
    <t>725017371R00</t>
  </si>
  <si>
    <t>725110814R00</t>
  </si>
  <si>
    <t>725111622R00</t>
  </si>
  <si>
    <t>725210821R00</t>
  </si>
  <si>
    <t>725220841R00</t>
  </si>
  <si>
    <t>725291141R00</t>
  </si>
  <si>
    <t>725291142R00</t>
  </si>
  <si>
    <t>725291146R00</t>
  </si>
  <si>
    <t>725291175R00</t>
  </si>
  <si>
    <t>725310821R00</t>
  </si>
  <si>
    <t>725314290R00</t>
  </si>
  <si>
    <t>725330820R00</t>
  </si>
  <si>
    <t>725810402R00</t>
  </si>
  <si>
    <t>725823121RT2</t>
  </si>
  <si>
    <t>725823134RT1</t>
  </si>
  <si>
    <t>725845111RT2</t>
  </si>
  <si>
    <t>725851005R00</t>
  </si>
  <si>
    <t>725851007R00</t>
  </si>
  <si>
    <t>725860109R00</t>
  </si>
  <si>
    <t>725860212R00</t>
  </si>
  <si>
    <t>725860254R00</t>
  </si>
  <si>
    <t>725980122R00</t>
  </si>
  <si>
    <t>725012121R00</t>
  </si>
  <si>
    <t>725012123R00</t>
  </si>
  <si>
    <t>725019121R00</t>
  </si>
  <si>
    <t>725121611R00</t>
  </si>
  <si>
    <t>725224138R00</t>
  </si>
  <si>
    <t>725823121RT0</t>
  </si>
  <si>
    <t>725845811RT1</t>
  </si>
  <si>
    <t>725941170R00</t>
  </si>
  <si>
    <t>H713</t>
  </si>
  <si>
    <t>998713102R00</t>
  </si>
  <si>
    <t>H721</t>
  </si>
  <si>
    <t>998721102R00</t>
  </si>
  <si>
    <t>H722</t>
  </si>
  <si>
    <t>998722102R00</t>
  </si>
  <si>
    <t>H725</t>
  </si>
  <si>
    <t>998725102R00</t>
  </si>
  <si>
    <t>Oddělení následné péče 1.etapa - východní křídlo</t>
  </si>
  <si>
    <t>Zdravotní instalace</t>
  </si>
  <si>
    <t>Stodská nemocnice</t>
  </si>
  <si>
    <t>Zkrácený popis</t>
  </si>
  <si>
    <t>Rozměry</t>
  </si>
  <si>
    <t>Izolace tepelné</t>
  </si>
  <si>
    <t>Požárně ochranná manžeta hl. 60mm, EI 90, D 110 mm</t>
  </si>
  <si>
    <t>Vnitřní kanalizace</t>
  </si>
  <si>
    <t>Oprava-propojení dosavadního potrubí kamenin.DN100</t>
  </si>
  <si>
    <t>Demontáž potrubí litinového DN 100</t>
  </si>
  <si>
    <t>Demontáž potrubí litinového DN 200</t>
  </si>
  <si>
    <t>Oprava-propoj.dosavadního potrubí litinového DN100</t>
  </si>
  <si>
    <t>Oprava-propoj.dosavadního potrubí litinového DN150</t>
  </si>
  <si>
    <t>Oprava - přechod z plastových trub na litinu DN100</t>
  </si>
  <si>
    <t>Potrubí HT připojovací D 32 x 1,8 mm</t>
  </si>
  <si>
    <t>Potrubí HT připojovací D 50 x 1,8 mm</t>
  </si>
  <si>
    <t>Potrubí HT odpadní svislé D 50 x 1,8 mm</t>
  </si>
  <si>
    <t>Potrubí HT odpadní svislé D 110 x 2,7 mm</t>
  </si>
  <si>
    <t>Potrubí HT odpadní svislé D 160 x 3,9 mm</t>
  </si>
  <si>
    <t>Potrubí KG svodné (ležaté) v zemi D 110 x 3,2 mm</t>
  </si>
  <si>
    <t>Vyvedení odpadních výpustek D 50 x 1,8</t>
  </si>
  <si>
    <t>Vyvedení odpadních výpustek D 110 x 2,3</t>
  </si>
  <si>
    <t>Žlab odtok.do prostoru,pro dlažbu,dl. 900mm</t>
  </si>
  <si>
    <t>Žlab odtok.do prostoru,pro dlažbu,dl.1000mm</t>
  </si>
  <si>
    <t>Vpusť podlahová se spec. zápachovou uzávěrkou DN 110</t>
  </si>
  <si>
    <t>Hlavice ventilační přivětrávací, přivzdušňovací ventil DN 110</t>
  </si>
  <si>
    <t>Zkouška těsnosti kanalizace vodou DN 125</t>
  </si>
  <si>
    <t>Zkouška těsnosti kanalizace kouřem DN 300</t>
  </si>
  <si>
    <t>Pročištění ležatých svodů do DN 300</t>
  </si>
  <si>
    <t>Objímky s pryžovou vložkou</t>
  </si>
  <si>
    <t>Kalich pro úkapy DN 32</t>
  </si>
  <si>
    <t>Zednické výpomoci u vnitřní kanalizace</t>
  </si>
  <si>
    <t>Vnitřní vodovod</t>
  </si>
  <si>
    <t>Potrubí z trub.závit.pozink.svařovan. 11343,DN 25</t>
  </si>
  <si>
    <t>Demontáž potrubí ocelových závitových DN 50</t>
  </si>
  <si>
    <t>Oprava-propojení dosavadního potrubí závit. DN 50</t>
  </si>
  <si>
    <t>Potrubí z PPR teplá, D 25x4,2 mm</t>
  </si>
  <si>
    <t>Potrubí z PPR teplá, D 32x5,4 mm</t>
  </si>
  <si>
    <t>Potrubí z PPR teplá, D 40x6,7 mm</t>
  </si>
  <si>
    <t>Potrubí z PPR teplá, D 50x8,3 mm</t>
  </si>
  <si>
    <t>Potrubí z PPR teplá, D 63x10,5 mm</t>
  </si>
  <si>
    <t>Propojení plastového potrubí polyf.D 40 mm,vodovod</t>
  </si>
  <si>
    <t>Propojení plastového potrubí polyf.D 63 mm,vodovod</t>
  </si>
  <si>
    <t>Izolace návleková tl. stěny 20 mm, prům.25</t>
  </si>
  <si>
    <t>Izolace návleková tl. stěny 20 mm, prům.32</t>
  </si>
  <si>
    <t>Izolace návleková tl. stěny 20 mm, prům.40</t>
  </si>
  <si>
    <t>Izolace návleková tl. stěny 20 mm, prům.50</t>
  </si>
  <si>
    <t>Izolace návleková tl. stěny 20 mm, prům.63</t>
  </si>
  <si>
    <t>Štítky orientační na zeď</t>
  </si>
  <si>
    <t>Nástěnka K 247, pro výtokový ventil G 1/2</t>
  </si>
  <si>
    <t>Nástěnka K 247, pro baterii G 1/2</t>
  </si>
  <si>
    <t>Kohout vod.kul.s odvodn.vnitř.-vnitř.z.DN 15</t>
  </si>
  <si>
    <t>Kohout vod.kul.s odvodn.vnitř.-vnitř.z.DN 20</t>
  </si>
  <si>
    <t>Kohout vod.kul.s odvodn.vnitř.-vnitř.z.DN 25</t>
  </si>
  <si>
    <t>Kohout vod.kul.s odvodn.vnitř.-vnitř.z.DN 40</t>
  </si>
  <si>
    <t>Hydrantový systém, box s plnými dveřmi, 19/30</t>
  </si>
  <si>
    <t>Zkouška tlaku potrubí závitového DN 50</t>
  </si>
  <si>
    <t>Proplach a dezinfekce vodovod.potrubí DN 80</t>
  </si>
  <si>
    <t>Zednické výpomoci na vodovodu</t>
  </si>
  <si>
    <t>Objímka s pryžovou vložkou pro potrubí</t>
  </si>
  <si>
    <t>Ocelová konzola 80 cm</t>
  </si>
  <si>
    <t>Elektrikářský žebřík 54/450</t>
  </si>
  <si>
    <t>Zařizovací předměty</t>
  </si>
  <si>
    <t>Klozet závěsný ZTP + sedátko, bílý</t>
  </si>
  <si>
    <t>Klozet závěsný + sedátko, bílý</t>
  </si>
  <si>
    <t>Umyvadlo invalidní  64 x 55 cm, bílé</t>
  </si>
  <si>
    <t>Umyvadlo na šrouby 60 x 49 cm, bílé</t>
  </si>
  <si>
    <t>Kryt sifonu umyvadel, bílý</t>
  </si>
  <si>
    <t>Umývátko na šrouby 45 x 36 cm, bílé</t>
  </si>
  <si>
    <t>Demontáž klozetů kombinovaných</t>
  </si>
  <si>
    <t>Splachovač WC automatický</t>
  </si>
  <si>
    <t>Demontáž umyvadel bez výtokových armatur</t>
  </si>
  <si>
    <t>Demontáž ocelové vany</t>
  </si>
  <si>
    <t>Madlo dvojité pevné nerez dl. 564 mm</t>
  </si>
  <si>
    <t>Madlo dvojité pevné nerez dl. 844 mm</t>
  </si>
  <si>
    <t>Madlo dvojité sklopné nerez dl. 852 mm</t>
  </si>
  <si>
    <t>Sedátko sklopné s opěrnou nohou nerez</t>
  </si>
  <si>
    <t>Demontáž dřezů jednodílných na konzolách</t>
  </si>
  <si>
    <t>Příslušenství k dřezu v kuchyňské sestavě</t>
  </si>
  <si>
    <t>Demontáž výlevky diturvitové</t>
  </si>
  <si>
    <t>Ventil rohový bez přípoj. trubičky TE 66 G 1/2</t>
  </si>
  <si>
    <t>Baterie umyvadlová stoján. ruční, vč. otvír.odpadu</t>
  </si>
  <si>
    <t>Baterie dřezová stojánková ruční s výsuv. sprchou</t>
  </si>
  <si>
    <t>Baterie sprchová nástěnná ruční, bez příslušenství</t>
  </si>
  <si>
    <t>Odtoková souprava pro dvojdřezy PP D 40 mm</t>
  </si>
  <si>
    <t>Odtoková souprava pro dřezy PP D 40 mm</t>
  </si>
  <si>
    <t>Uzávěrka zápachová umyvadlová T 1016,D 40</t>
  </si>
  <si>
    <t>Sifon umyvadlový pod omítku</t>
  </si>
  <si>
    <t>Sifon umyvadlový oválný chromovaný</t>
  </si>
  <si>
    <t>Dvířka z plastu, 200 x 300 mm</t>
  </si>
  <si>
    <t>Pračkový kohout kulový se zpětnou klapkou</t>
  </si>
  <si>
    <t>Dřez nerezový s odpkapovou plochou</t>
  </si>
  <si>
    <t>Dřez nerezový dvojitý</t>
  </si>
  <si>
    <t>Předstěnový systém do sádrokartonu pro splach.nádrže</t>
  </si>
  <si>
    <t>Sprch.vanička Radius 90PU, zást.SKKP2-90</t>
  </si>
  <si>
    <t>Lékařská ručka pro baterie</t>
  </si>
  <si>
    <t>Příslušenství ke sprše-držák se sprchou, typ 38423</t>
  </si>
  <si>
    <t>Oddálené splachování pneumat.pro WC ZTP</t>
  </si>
  <si>
    <t>Přesun hmot pro izolace tepelné, výšky do 12 m</t>
  </si>
  <si>
    <t>Přesun hmot pro vnitřní kanalizaci, výšky do 12 m</t>
  </si>
  <si>
    <t>Přesun hmot pro vnitřní vodovod, výšky do 12 m</t>
  </si>
  <si>
    <t>Přesun hmot pro zařizovací předměty, výšky do 12 m</t>
  </si>
  <si>
    <t>Doba výstavby:</t>
  </si>
  <si>
    <t>Začátek výstavby:</t>
  </si>
  <si>
    <t>Konec výstavby:</t>
  </si>
  <si>
    <t>Zpracováno dne:</t>
  </si>
  <si>
    <t>M.j.</t>
  </si>
  <si>
    <t>kus</t>
  </si>
  <si>
    <t>m</t>
  </si>
  <si>
    <t>hod</t>
  </si>
  <si>
    <t>soubor</t>
  </si>
  <si>
    <t>pár</t>
  </si>
  <si>
    <t>t</t>
  </si>
  <si>
    <t>Množství</t>
  </si>
  <si>
    <t>08.06.2018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</si>
  <si>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</si>
  <si>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</si>
  <si>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</si>
  <si>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</si>
  <si>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</si>
  <si>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</si>
  <si>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</si>
  <si>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</si>
  <si>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</si>
  <si>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</si>
  <si>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Stodská nemocnice a.s.</t>
  </si>
  <si>
    <t>Ing.arch.V.Mastný</t>
  </si>
  <si>
    <t>V.Přibyl</t>
  </si>
  <si>
    <t>Celkem</t>
  </si>
  <si>
    <t>Hmotnost (t)</t>
  </si>
  <si>
    <t>Cenová</t>
  </si>
  <si>
    <t>soustava</t>
  </si>
  <si>
    <t>RTS I / 2018</t>
  </si>
  <si>
    <t>RTS II / 2013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</si>
  <si>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</si>
  <si>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</si>
  <si>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</si>
  <si>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</si>
  <si>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</si>
  <si>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</si>
  <si>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</si>
  <si>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</si>
  <si>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</si>
  <si>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713_</t>
  </si>
  <si>
    <t>721_</t>
  </si>
  <si>
    <t>722_</t>
  </si>
  <si>
    <t>725_</t>
  </si>
  <si>
    <t>H713_</t>
  </si>
  <si>
    <t>H721_</t>
  </si>
  <si>
    <t>H722_</t>
  </si>
  <si>
    <t>H725_</t>
  </si>
  <si>
    <t>71_</t>
  </si>
  <si>
    <t>72_</t>
  </si>
  <si>
    <t>9_</t>
  </si>
  <si>
    <t>_</t>
  </si>
  <si>
    <t>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</si>
  <si>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</si>
  <si>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</si>
  <si>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</si>
  <si>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</si>
  <si>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</si>
  <si>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Výkaz výměr</t>
  </si>
  <si>
    <t>Cenová soustava</t>
  </si>
  <si>
    <t>Harmonogram</t>
  </si>
  <si>
    <t>Nh</t>
  </si>
  <si>
    <t>Zdroje</t>
  </si>
  <si>
    <t>Trvání</t>
  </si>
  <si>
    <t>Rozpočet (Kč)</t>
  </si>
  <si>
    <t>Čerpání rozpočtu a fakturace</t>
  </si>
  <si>
    <t>Rozpočtové náklady (Kč)</t>
  </si>
  <si>
    <t>Fakturovaná cena (Kč)</t>
  </si>
  <si>
    <t>Rozdíl v Kč</t>
  </si>
  <si>
    <t>Rozdíl v %</t>
  </si>
  <si>
    <t>Fakturované množství</t>
  </si>
  <si>
    <t>Rozdíl</t>
  </si>
  <si>
    <t>Uhrazená cena (Kč)</t>
  </si>
  <si>
    <t>Rozdíl úhrady v Kč</t>
  </si>
  <si>
    <t>Rozdíl úhrady v %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</si>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</sst>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47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name val="Arial"/>
      <family val="0"/>
    </font>
    <font>
      <sz val="18"/>
      <color indexed="23"/>
      <name val="Calibri Light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2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35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7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left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3" fillId="0" borderId="28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3" fillId="0" borderId="29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right" vertical="center"/>
      <protection/>
    </xf>
    <xf numFmtId="4" fontId="5" fillId="0" borderId="30" xfId="0" applyNumberFormat="1" applyFont="1" applyFill="1" applyBorder="1" applyAlignment="1" applyProtection="1">
      <alignment horizontal="right" vertical="center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/>
    </xf>
    <xf numFmtId="4" fontId="7" fillId="33" borderId="31" xfId="0" applyNumberFormat="1" applyFont="1" applyFill="1" applyBorder="1" applyAlignment="1" applyProtection="1">
      <alignment horizontal="right" vertical="center"/>
      <protection/>
    </xf>
    <xf numFmtId="4" fontId="7" fillId="33" borderId="30" xfId="0" applyNumberFormat="1" applyFont="1" applyFill="1" applyBorder="1" applyAlignment="1" applyProtection="1">
      <alignment horizontal="right" vertical="center"/>
      <protection/>
    </xf>
    <xf numFmtId="4" fontId="7" fillId="33" borderId="32" xfId="0" applyNumberFormat="1" applyFont="1" applyFill="1" applyBorder="1" applyAlignment="1" applyProtection="1">
      <alignment horizontal="right" vertical="center"/>
      <protection/>
    </xf>
    <xf numFmtId="4" fontId="5" fillId="0" borderId="25" xfId="0" applyNumberFormat="1" applyFont="1" applyFill="1" applyBorder="1" applyAlignment="1" applyProtection="1">
      <alignment horizontal="right" vertical="center"/>
      <protection/>
    </xf>
    <xf numFmtId="4" fontId="7" fillId="33" borderId="25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9" fillId="34" borderId="33" xfId="0" applyNumberFormat="1" applyFont="1" applyFill="1" applyBorder="1" applyAlignment="1" applyProtection="1">
      <alignment horizontal="center" vertical="center"/>
      <protection/>
    </xf>
    <xf numFmtId="49" fontId="10" fillId="0" borderId="34" xfId="0" applyNumberFormat="1" applyFont="1" applyFill="1" applyBorder="1" applyAlignment="1" applyProtection="1">
      <alignment horizontal="left" vertical="center"/>
      <protection/>
    </xf>
    <xf numFmtId="49" fontId="10" fillId="0" borderId="35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9" fontId="1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4" fontId="11" fillId="0" borderId="33" xfId="0" applyNumberFormat="1" applyFont="1" applyFill="1" applyBorder="1" applyAlignment="1" applyProtection="1">
      <alignment horizontal="right" vertical="center"/>
      <protection/>
    </xf>
    <xf numFmtId="49" fontId="11" fillId="0" borderId="33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4" fontId="10" fillId="34" borderId="41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Fill="1" applyBorder="1" applyAlignment="1" applyProtection="1">
      <alignment horizontal="right" vertical="center"/>
      <protection/>
    </xf>
    <xf numFmtId="0" fontId="3" fillId="0" borderId="50" xfId="0" applyNumberFormat="1" applyFont="1" applyFill="1" applyBorder="1" applyAlignment="1" applyProtection="1">
      <alignment horizontal="right" vertical="center"/>
      <protection/>
    </xf>
    <xf numFmtId="0" fontId="3" fillId="0" borderId="51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0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49" xfId="0" applyNumberFormat="1" applyFont="1" applyFill="1" applyBorder="1" applyAlignment="1" applyProtection="1">
      <alignment horizontal="left" vertical="center"/>
      <protection/>
    </xf>
    <xf numFmtId="0" fontId="3" fillId="0" borderId="52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0" fontId="7" fillId="33" borderId="12" xfId="0" applyNumberFormat="1" applyFont="1" applyFill="1" applyBorder="1" applyAlignment="1" applyProtection="1">
      <alignment horizontal="left" vertical="center"/>
      <protection/>
    </xf>
    <xf numFmtId="49" fontId="1" fillId="0" borderId="37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 wrapText="1"/>
      <protection/>
    </xf>
    <xf numFmtId="0" fontId="1" fillId="0" borderId="53" xfId="0" applyNumberFormat="1" applyFont="1" applyFill="1" applyBorder="1" applyAlignment="1" applyProtection="1">
      <alignment horizontal="left" vertical="center"/>
      <protection/>
    </xf>
    <xf numFmtId="49" fontId="11" fillId="0" borderId="54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49" fontId="8" fillId="0" borderId="55" xfId="0" applyNumberFormat="1" applyFont="1" applyFill="1" applyBorder="1" applyAlignment="1" applyProtection="1">
      <alignment horizontal="center" vertical="center"/>
      <protection/>
    </xf>
    <xf numFmtId="0" fontId="8" fillId="0" borderId="55" xfId="0" applyNumberFormat="1" applyFont="1" applyFill="1" applyBorder="1" applyAlignment="1" applyProtection="1">
      <alignment horizontal="center" vertical="center"/>
      <protection/>
    </xf>
    <xf numFmtId="49" fontId="12" fillId="0" borderId="54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49" fontId="10" fillId="0" borderId="54" xfId="0" applyNumberFormat="1" applyFont="1" applyFill="1" applyBorder="1" applyAlignment="1" applyProtection="1">
      <alignment horizontal="left" vertical="center"/>
      <protection/>
    </xf>
    <xf numFmtId="0" fontId="10" fillId="0" borderId="41" xfId="0" applyNumberFormat="1" applyFont="1" applyFill="1" applyBorder="1" applyAlignment="1" applyProtection="1">
      <alignment horizontal="left" vertical="center"/>
      <protection/>
    </xf>
    <xf numFmtId="49" fontId="10" fillId="34" borderId="54" xfId="0" applyNumberFormat="1" applyFont="1" applyFill="1" applyBorder="1" applyAlignment="1" applyProtection="1">
      <alignment horizontal="left" vertical="center"/>
      <protection/>
    </xf>
    <xf numFmtId="0" fontId="10" fillId="34" borderId="55" xfId="0" applyNumberFormat="1" applyFont="1" applyFill="1" applyBorder="1" applyAlignment="1" applyProtection="1">
      <alignment horizontal="left" vertical="center"/>
      <protection/>
    </xf>
    <xf numFmtId="49" fontId="11" fillId="0" borderId="32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31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30" xfId="0" applyNumberFormat="1" applyFont="1" applyFill="1" applyBorder="1" applyAlignment="1" applyProtection="1">
      <alignment horizontal="left" vertical="center"/>
      <protection/>
    </xf>
    <xf numFmtId="49" fontId="11" fillId="0" borderId="56" xfId="0" applyNumberFormat="1" applyFont="1" applyFill="1" applyBorder="1" applyAlignment="1" applyProtection="1">
      <alignment horizontal="left" vertical="center"/>
      <protection/>
    </xf>
    <xf numFmtId="0" fontId="11" fillId="0" borderId="43" xfId="0" applyNumberFormat="1" applyFont="1" applyFill="1" applyBorder="1" applyAlignment="1" applyProtection="1">
      <alignment horizontal="left" vertical="center"/>
      <protection/>
    </xf>
    <xf numFmtId="0" fontId="11" fillId="0" borderId="57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15"/>
  <sheetViews>
    <sheetView tabSelected="1" zoomScalePageLayoutView="0" workbookViewId="0" topLeftCell="A1">
      <pane ySplit="11" topLeftCell="A104" activePane="bottomLeft" state="frozen"/>
      <selection pane="topLeft" activeCell="A1" sqref="A1"/>
      <selection pane="bottomLeft" activeCell="AW7" sqref="AW7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48.8515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14062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4" ht="12.75">
      <c r="A2" s="79" t="s">
        <v>1</v>
      </c>
      <c r="B2" s="80"/>
      <c r="C2" s="80"/>
      <c r="D2" s="82" t="s">
        <v>204</v>
      </c>
      <c r="E2" s="84" t="s">
        <v>306</v>
      </c>
      <c r="F2" s="80"/>
      <c r="G2" s="84" t="s">
        <v>6</v>
      </c>
      <c r="H2" s="80"/>
      <c r="I2" s="85" t="s">
        <v>324</v>
      </c>
      <c r="J2" s="85" t="s">
        <v>329</v>
      </c>
      <c r="K2" s="80"/>
      <c r="L2" s="80"/>
      <c r="M2" s="86"/>
      <c r="N2" s="29"/>
    </row>
    <row r="3" spans="1:14" ht="12.75">
      <c r="A3" s="81"/>
      <c r="B3" s="76"/>
      <c r="C3" s="76"/>
      <c r="D3" s="83"/>
      <c r="E3" s="76"/>
      <c r="F3" s="76"/>
      <c r="G3" s="76"/>
      <c r="H3" s="76"/>
      <c r="I3" s="76"/>
      <c r="J3" s="76"/>
      <c r="K3" s="76"/>
      <c r="L3" s="76"/>
      <c r="M3" s="87"/>
      <c r="N3" s="29"/>
    </row>
    <row r="4" spans="1:14" ht="12.75">
      <c r="A4" s="89" t="s">
        <v>2</v>
      </c>
      <c r="B4" s="76"/>
      <c r="C4" s="76"/>
      <c r="D4" s="88" t="s">
        <v>205</v>
      </c>
      <c r="E4" s="75" t="s">
        <v>307</v>
      </c>
      <c r="F4" s="76"/>
      <c r="G4" s="75" t="s">
        <v>6</v>
      </c>
      <c r="H4" s="76"/>
      <c r="I4" s="88" t="s">
        <v>325</v>
      </c>
      <c r="J4" s="88" t="s">
        <v>330</v>
      </c>
      <c r="K4" s="76"/>
      <c r="L4" s="76"/>
      <c r="M4" s="87"/>
      <c r="N4" s="29"/>
    </row>
    <row r="5" spans="1:14" ht="12.75">
      <c r="A5" s="81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87"/>
      <c r="N5" s="29"/>
    </row>
    <row r="6" spans="1:14" ht="12.75">
      <c r="A6" s="89" t="s">
        <v>3</v>
      </c>
      <c r="B6" s="76"/>
      <c r="C6" s="76"/>
      <c r="D6" s="88" t="s">
        <v>206</v>
      </c>
      <c r="E6" s="75" t="s">
        <v>308</v>
      </c>
      <c r="F6" s="76"/>
      <c r="G6" s="75" t="s">
        <v>6</v>
      </c>
      <c r="H6" s="76"/>
      <c r="I6" s="88" t="s">
        <v>326</v>
      </c>
      <c r="J6" s="88" t="s">
        <v>331</v>
      </c>
      <c r="K6" s="76"/>
      <c r="L6" s="76"/>
      <c r="M6" s="87"/>
      <c r="N6" s="29"/>
    </row>
    <row r="7" spans="1:14" ht="12.75">
      <c r="A7" s="81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87"/>
      <c r="N7" s="29"/>
    </row>
    <row r="8" spans="1:14" ht="12.75">
      <c r="A8" s="89" t="s">
        <v>4</v>
      </c>
      <c r="B8" s="76"/>
      <c r="C8" s="76"/>
      <c r="D8" s="88" t="s">
        <v>6</v>
      </c>
      <c r="E8" s="75" t="s">
        <v>309</v>
      </c>
      <c r="F8" s="76"/>
      <c r="G8" s="75" t="s">
        <v>318</v>
      </c>
      <c r="H8" s="76"/>
      <c r="I8" s="88" t="s">
        <v>327</v>
      </c>
      <c r="J8" s="88" t="s">
        <v>331</v>
      </c>
      <c r="K8" s="76"/>
      <c r="L8" s="76"/>
      <c r="M8" s="87"/>
      <c r="N8" s="29"/>
    </row>
    <row r="9" spans="1:14" ht="12.75">
      <c r="A9" s="97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3"/>
      <c r="N9" s="29"/>
    </row>
    <row r="10" spans="1:14" ht="12.75">
      <c r="A10" s="1" t="s">
        <v>5</v>
      </c>
      <c r="B10" s="9" t="s">
        <v>101</v>
      </c>
      <c r="C10" s="9" t="s">
        <v>102</v>
      </c>
      <c r="D10" s="9" t="s">
        <v>207</v>
      </c>
      <c r="E10" s="9" t="s">
        <v>310</v>
      </c>
      <c r="F10" s="15" t="s">
        <v>317</v>
      </c>
      <c r="G10" s="18" t="s">
        <v>319</v>
      </c>
      <c r="H10" s="94" t="s">
        <v>321</v>
      </c>
      <c r="I10" s="95"/>
      <c r="J10" s="96"/>
      <c r="K10" s="94" t="s">
        <v>333</v>
      </c>
      <c r="L10" s="96"/>
      <c r="M10" s="25" t="s">
        <v>334</v>
      </c>
      <c r="N10" s="30"/>
    </row>
    <row r="11" spans="1:24" ht="12.75">
      <c r="A11" s="2" t="s">
        <v>6</v>
      </c>
      <c r="B11" s="10" t="s">
        <v>6</v>
      </c>
      <c r="C11" s="10" t="s">
        <v>6</v>
      </c>
      <c r="D11" s="13" t="s">
        <v>208</v>
      </c>
      <c r="E11" s="10" t="s">
        <v>6</v>
      </c>
      <c r="F11" s="10" t="s">
        <v>6</v>
      </c>
      <c r="G11" s="19" t="s">
        <v>320</v>
      </c>
      <c r="H11" s="20" t="s">
        <v>322</v>
      </c>
      <c r="I11" s="21" t="s">
        <v>328</v>
      </c>
      <c r="J11" s="22" t="s">
        <v>332</v>
      </c>
      <c r="K11" s="20" t="s">
        <v>319</v>
      </c>
      <c r="L11" s="22" t="s">
        <v>332</v>
      </c>
      <c r="M11" s="26" t="s">
        <v>335</v>
      </c>
      <c r="N11" s="30"/>
      <c r="P11" s="24" t="s">
        <v>338</v>
      </c>
      <c r="Q11" s="24" t="s">
        <v>339</v>
      </c>
      <c r="R11" s="24" t="s">
        <v>340</v>
      </c>
      <c r="S11" s="24" t="s">
        <v>341</v>
      </c>
      <c r="T11" s="24" t="s">
        <v>342</v>
      </c>
      <c r="U11" s="24" t="s">
        <v>343</v>
      </c>
      <c r="V11" s="24" t="s">
        <v>344</v>
      </c>
      <c r="W11" s="24" t="s">
        <v>345</v>
      </c>
      <c r="X11" s="24" t="s">
        <v>346</v>
      </c>
    </row>
    <row r="12" spans="1:37" ht="12.75">
      <c r="A12" s="3"/>
      <c r="B12" s="11"/>
      <c r="C12" s="11" t="s">
        <v>103</v>
      </c>
      <c r="D12" s="11" t="s">
        <v>209</v>
      </c>
      <c r="E12" s="3" t="s">
        <v>6</v>
      </c>
      <c r="F12" s="3" t="s">
        <v>6</v>
      </c>
      <c r="G12" s="3"/>
      <c r="H12" s="33"/>
      <c r="I12" s="33"/>
      <c r="J12" s="33"/>
      <c r="K12" s="23"/>
      <c r="L12" s="33"/>
      <c r="M12" s="23"/>
      <c r="Y12" s="24"/>
      <c r="AI12" s="34">
        <f>SUM(Z13:Z13)</f>
        <v>0</v>
      </c>
      <c r="AJ12" s="34">
        <f>SUM(AA13:AA13)</f>
        <v>0</v>
      </c>
      <c r="AK12" s="34">
        <f>SUM(AB13:AB13)</f>
        <v>0</v>
      </c>
    </row>
    <row r="13" spans="1:48" ht="12.75">
      <c r="A13" s="4" t="s">
        <v>7</v>
      </c>
      <c r="B13" s="4"/>
      <c r="C13" s="4" t="s">
        <v>104</v>
      </c>
      <c r="D13" s="4" t="s">
        <v>210</v>
      </c>
      <c r="E13" s="4" t="s">
        <v>311</v>
      </c>
      <c r="F13" s="16">
        <v>52</v>
      </c>
      <c r="G13" s="16"/>
      <c r="H13" s="16"/>
      <c r="I13" s="16"/>
      <c r="J13" s="16"/>
      <c r="K13" s="16"/>
      <c r="L13" s="16"/>
      <c r="M13" s="27" t="s">
        <v>336</v>
      </c>
      <c r="P13" s="31">
        <f>IF(AG13="5",J13,0)</f>
        <v>0</v>
      </c>
      <c r="R13" s="31">
        <f>IF(AG13="1",H13,0)</f>
        <v>0</v>
      </c>
      <c r="S13" s="31">
        <f>IF(AG13="1",I13,0)</f>
        <v>0</v>
      </c>
      <c r="T13" s="31">
        <f>IF(AG13="7",H13,0)</f>
        <v>0</v>
      </c>
      <c r="U13" s="31">
        <f>IF(AG13="7",I13,0)</f>
        <v>0</v>
      </c>
      <c r="V13" s="31">
        <f>IF(AG13="2",H13,0)</f>
        <v>0</v>
      </c>
      <c r="W13" s="31">
        <f>IF(AG13="2",I13,0)</f>
        <v>0</v>
      </c>
      <c r="X13" s="31">
        <f>IF(AG13="0",J13,0)</f>
        <v>0</v>
      </c>
      <c r="Y13" s="24"/>
      <c r="Z13" s="16">
        <f>IF(AD13=0,J13,0)</f>
        <v>0</v>
      </c>
      <c r="AA13" s="16">
        <f>IF(AD13=15,J13,0)</f>
        <v>0</v>
      </c>
      <c r="AB13" s="16">
        <f>IF(AD13=21,J13,0)</f>
        <v>0</v>
      </c>
      <c r="AD13" s="31">
        <v>21</v>
      </c>
      <c r="AE13" s="31">
        <f>G13*0.826310975609756</f>
        <v>0</v>
      </c>
      <c r="AF13" s="31">
        <f>G13*(1-0.826310975609756)</f>
        <v>0</v>
      </c>
      <c r="AG13" s="27" t="s">
        <v>13</v>
      </c>
      <c r="AM13" s="31">
        <f>F13*AE13</f>
        <v>0</v>
      </c>
      <c r="AN13" s="31">
        <f>F13*AF13</f>
        <v>0</v>
      </c>
      <c r="AO13" s="32" t="s">
        <v>347</v>
      </c>
      <c r="AP13" s="32" t="s">
        <v>355</v>
      </c>
      <c r="AQ13" s="24" t="s">
        <v>358</v>
      </c>
      <c r="AS13" s="31">
        <f>AM13+AN13</f>
        <v>0</v>
      </c>
      <c r="AT13" s="31">
        <f>G13/(100-AU13)*100</f>
        <v>0</v>
      </c>
      <c r="AU13" s="31">
        <v>0</v>
      </c>
      <c r="AV13" s="31">
        <f>L13</f>
        <v>0</v>
      </c>
    </row>
    <row r="14" spans="1:37" ht="12.75">
      <c r="A14" s="5"/>
      <c r="B14" s="12"/>
      <c r="C14" s="12" t="s">
        <v>105</v>
      </c>
      <c r="D14" s="12" t="s">
        <v>211</v>
      </c>
      <c r="E14" s="5" t="s">
        <v>6</v>
      </c>
      <c r="F14" s="5" t="s">
        <v>6</v>
      </c>
      <c r="G14" s="5"/>
      <c r="H14" s="34"/>
      <c r="I14" s="34"/>
      <c r="J14" s="34"/>
      <c r="K14" s="24"/>
      <c r="L14" s="34"/>
      <c r="M14" s="24"/>
      <c r="Y14" s="24"/>
      <c r="AI14" s="34">
        <f>SUM(Z15:Z38)</f>
        <v>0</v>
      </c>
      <c r="AJ14" s="34">
        <f>SUM(AA15:AA38)</f>
        <v>0</v>
      </c>
      <c r="AK14" s="34">
        <f>SUM(AB15:AB38)</f>
        <v>0</v>
      </c>
    </row>
    <row r="15" spans="1:48" ht="12.75">
      <c r="A15" s="4" t="s">
        <v>8</v>
      </c>
      <c r="B15" s="4"/>
      <c r="C15" s="4" t="s">
        <v>106</v>
      </c>
      <c r="D15" s="4" t="s">
        <v>212</v>
      </c>
      <c r="E15" s="4" t="s">
        <v>311</v>
      </c>
      <c r="F15" s="16">
        <v>1</v>
      </c>
      <c r="G15" s="16"/>
      <c r="H15" s="16"/>
      <c r="I15" s="16"/>
      <c r="J15" s="16"/>
      <c r="K15" s="16"/>
      <c r="L15" s="16"/>
      <c r="M15" s="27" t="s">
        <v>336</v>
      </c>
      <c r="P15" s="31">
        <f aca="true" t="shared" si="0" ref="P15:P38">IF(AG15="5",J15,0)</f>
        <v>0</v>
      </c>
      <c r="R15" s="31">
        <f aca="true" t="shared" si="1" ref="R15:R38">IF(AG15="1",H15,0)</f>
        <v>0</v>
      </c>
      <c r="S15" s="31">
        <f aca="true" t="shared" si="2" ref="S15:S38">IF(AG15="1",I15,0)</f>
        <v>0</v>
      </c>
      <c r="T15" s="31">
        <f aca="true" t="shared" si="3" ref="T15:T38">IF(AG15="7",H15,0)</f>
        <v>0</v>
      </c>
      <c r="U15" s="31">
        <f aca="true" t="shared" si="4" ref="U15:U38">IF(AG15="7",I15,0)</f>
        <v>0</v>
      </c>
      <c r="V15" s="31">
        <f aca="true" t="shared" si="5" ref="V15:V38">IF(AG15="2",H15,0)</f>
        <v>0</v>
      </c>
      <c r="W15" s="31">
        <f aca="true" t="shared" si="6" ref="W15:W38">IF(AG15="2",I15,0)</f>
        <v>0</v>
      </c>
      <c r="X15" s="31">
        <f aca="true" t="shared" si="7" ref="X15:X38">IF(AG15="0",J15,0)</f>
        <v>0</v>
      </c>
      <c r="Y15" s="24"/>
      <c r="Z15" s="16">
        <f aca="true" t="shared" si="8" ref="Z15:Z38">IF(AD15=0,J15,0)</f>
        <v>0</v>
      </c>
      <c r="AA15" s="16">
        <f aca="true" t="shared" si="9" ref="AA15:AA38">IF(AD15=15,J15,0)</f>
        <v>0</v>
      </c>
      <c r="AB15" s="16">
        <f aca="true" t="shared" si="10" ref="AB15:AB38">IF(AD15=21,J15,0)</f>
        <v>0</v>
      </c>
      <c r="AD15" s="31">
        <v>21</v>
      </c>
      <c r="AE15" s="31">
        <f>G15*0.0715977443609023</f>
        <v>0</v>
      </c>
      <c r="AF15" s="31">
        <f>G15*(1-0.0715977443609023)</f>
        <v>0</v>
      </c>
      <c r="AG15" s="27" t="s">
        <v>13</v>
      </c>
      <c r="AM15" s="31">
        <f aca="true" t="shared" si="11" ref="AM15:AM38">F15*AE15</f>
        <v>0</v>
      </c>
      <c r="AN15" s="31">
        <f aca="true" t="shared" si="12" ref="AN15:AN38">F15*AF15</f>
        <v>0</v>
      </c>
      <c r="AO15" s="32" t="s">
        <v>348</v>
      </c>
      <c r="AP15" s="32" t="s">
        <v>356</v>
      </c>
      <c r="AQ15" s="24" t="s">
        <v>358</v>
      </c>
      <c r="AS15" s="31">
        <f aca="true" t="shared" si="13" ref="AS15:AS38">AM15+AN15</f>
        <v>0</v>
      </c>
      <c r="AT15" s="31">
        <f aca="true" t="shared" si="14" ref="AT15:AT38">G15/(100-AU15)*100</f>
        <v>0</v>
      </c>
      <c r="AU15" s="31">
        <v>0</v>
      </c>
      <c r="AV15" s="31">
        <f aca="true" t="shared" si="15" ref="AV15:AV38">L15</f>
        <v>0</v>
      </c>
    </row>
    <row r="16" spans="1:48" ht="12.75">
      <c r="A16" s="4" t="s">
        <v>9</v>
      </c>
      <c r="B16" s="4"/>
      <c r="C16" s="4" t="s">
        <v>107</v>
      </c>
      <c r="D16" s="4" t="s">
        <v>213</v>
      </c>
      <c r="E16" s="4" t="s">
        <v>312</v>
      </c>
      <c r="F16" s="16">
        <v>100</v>
      </c>
      <c r="G16" s="16"/>
      <c r="H16" s="16"/>
      <c r="I16" s="16"/>
      <c r="J16" s="16"/>
      <c r="K16" s="16"/>
      <c r="L16" s="16"/>
      <c r="M16" s="27" t="s">
        <v>336</v>
      </c>
      <c r="P16" s="31">
        <f t="shared" si="0"/>
        <v>0</v>
      </c>
      <c r="R16" s="31">
        <f t="shared" si="1"/>
        <v>0</v>
      </c>
      <c r="S16" s="31">
        <f t="shared" si="2"/>
        <v>0</v>
      </c>
      <c r="T16" s="31">
        <f t="shared" si="3"/>
        <v>0</v>
      </c>
      <c r="U16" s="31">
        <f t="shared" si="4"/>
        <v>0</v>
      </c>
      <c r="V16" s="31">
        <f t="shared" si="5"/>
        <v>0</v>
      </c>
      <c r="W16" s="31">
        <f t="shared" si="6"/>
        <v>0</v>
      </c>
      <c r="X16" s="31">
        <f t="shared" si="7"/>
        <v>0</v>
      </c>
      <c r="Y16" s="24"/>
      <c r="Z16" s="16">
        <f t="shared" si="8"/>
        <v>0</v>
      </c>
      <c r="AA16" s="16">
        <f t="shared" si="9"/>
        <v>0</v>
      </c>
      <c r="AB16" s="16">
        <f t="shared" si="10"/>
        <v>0</v>
      </c>
      <c r="AD16" s="31">
        <v>21</v>
      </c>
      <c r="AE16" s="31">
        <f>G16*0</f>
        <v>0</v>
      </c>
      <c r="AF16" s="31">
        <f>G16*(1-0)</f>
        <v>0</v>
      </c>
      <c r="AG16" s="27" t="s">
        <v>13</v>
      </c>
      <c r="AM16" s="31">
        <f t="shared" si="11"/>
        <v>0</v>
      </c>
      <c r="AN16" s="31">
        <f t="shared" si="12"/>
        <v>0</v>
      </c>
      <c r="AO16" s="32" t="s">
        <v>348</v>
      </c>
      <c r="AP16" s="32" t="s">
        <v>356</v>
      </c>
      <c r="AQ16" s="24" t="s">
        <v>358</v>
      </c>
      <c r="AS16" s="31">
        <f t="shared" si="13"/>
        <v>0</v>
      </c>
      <c r="AT16" s="31">
        <f t="shared" si="14"/>
        <v>0</v>
      </c>
      <c r="AU16" s="31">
        <v>0</v>
      </c>
      <c r="AV16" s="31">
        <f t="shared" si="15"/>
        <v>0</v>
      </c>
    </row>
    <row r="17" spans="1:48" ht="12.75">
      <c r="A17" s="4" t="s">
        <v>10</v>
      </c>
      <c r="B17" s="4"/>
      <c r="C17" s="4" t="s">
        <v>108</v>
      </c>
      <c r="D17" s="4" t="s">
        <v>214</v>
      </c>
      <c r="E17" s="4" t="s">
        <v>312</v>
      </c>
      <c r="F17" s="16">
        <v>30</v>
      </c>
      <c r="G17" s="16"/>
      <c r="H17" s="16"/>
      <c r="I17" s="16"/>
      <c r="J17" s="16"/>
      <c r="K17" s="16"/>
      <c r="L17" s="16"/>
      <c r="M17" s="27" t="s">
        <v>336</v>
      </c>
      <c r="P17" s="31">
        <f t="shared" si="0"/>
        <v>0</v>
      </c>
      <c r="R17" s="31">
        <f t="shared" si="1"/>
        <v>0</v>
      </c>
      <c r="S17" s="31">
        <f t="shared" si="2"/>
        <v>0</v>
      </c>
      <c r="T17" s="31">
        <f t="shared" si="3"/>
        <v>0</v>
      </c>
      <c r="U17" s="31">
        <f t="shared" si="4"/>
        <v>0</v>
      </c>
      <c r="V17" s="31">
        <f t="shared" si="5"/>
        <v>0</v>
      </c>
      <c r="W17" s="31">
        <f t="shared" si="6"/>
        <v>0</v>
      </c>
      <c r="X17" s="31">
        <f t="shared" si="7"/>
        <v>0</v>
      </c>
      <c r="Y17" s="24"/>
      <c r="Z17" s="16">
        <f t="shared" si="8"/>
        <v>0</v>
      </c>
      <c r="AA17" s="16">
        <f t="shared" si="9"/>
        <v>0</v>
      </c>
      <c r="AB17" s="16">
        <f t="shared" si="10"/>
        <v>0</v>
      </c>
      <c r="AD17" s="31">
        <v>21</v>
      </c>
      <c r="AE17" s="31">
        <f>G17*0</f>
        <v>0</v>
      </c>
      <c r="AF17" s="31">
        <f>G17*(1-0)</f>
        <v>0</v>
      </c>
      <c r="AG17" s="27" t="s">
        <v>13</v>
      </c>
      <c r="AM17" s="31">
        <f t="shared" si="11"/>
        <v>0</v>
      </c>
      <c r="AN17" s="31">
        <f t="shared" si="12"/>
        <v>0</v>
      </c>
      <c r="AO17" s="32" t="s">
        <v>348</v>
      </c>
      <c r="AP17" s="32" t="s">
        <v>356</v>
      </c>
      <c r="AQ17" s="24" t="s">
        <v>358</v>
      </c>
      <c r="AS17" s="31">
        <f t="shared" si="13"/>
        <v>0</v>
      </c>
      <c r="AT17" s="31">
        <f t="shared" si="14"/>
        <v>0</v>
      </c>
      <c r="AU17" s="31">
        <v>0</v>
      </c>
      <c r="AV17" s="31">
        <f t="shared" si="15"/>
        <v>0</v>
      </c>
    </row>
    <row r="18" spans="1:48" ht="12.75">
      <c r="A18" s="4" t="s">
        <v>11</v>
      </c>
      <c r="B18" s="4"/>
      <c r="C18" s="4" t="s">
        <v>109</v>
      </c>
      <c r="D18" s="4" t="s">
        <v>215</v>
      </c>
      <c r="E18" s="4" t="s">
        <v>311</v>
      </c>
      <c r="F18" s="16">
        <v>34</v>
      </c>
      <c r="G18" s="16"/>
      <c r="H18" s="16"/>
      <c r="I18" s="16"/>
      <c r="J18" s="16"/>
      <c r="K18" s="16"/>
      <c r="L18" s="16"/>
      <c r="M18" s="27" t="s">
        <v>336</v>
      </c>
      <c r="P18" s="31">
        <f t="shared" si="0"/>
        <v>0</v>
      </c>
      <c r="R18" s="31">
        <f t="shared" si="1"/>
        <v>0</v>
      </c>
      <c r="S18" s="31">
        <f t="shared" si="2"/>
        <v>0</v>
      </c>
      <c r="T18" s="31">
        <f t="shared" si="3"/>
        <v>0</v>
      </c>
      <c r="U18" s="31">
        <f t="shared" si="4"/>
        <v>0</v>
      </c>
      <c r="V18" s="31">
        <f t="shared" si="5"/>
        <v>0</v>
      </c>
      <c r="W18" s="31">
        <f t="shared" si="6"/>
        <v>0</v>
      </c>
      <c r="X18" s="31">
        <f t="shared" si="7"/>
        <v>0</v>
      </c>
      <c r="Y18" s="24"/>
      <c r="Z18" s="16">
        <f t="shared" si="8"/>
        <v>0</v>
      </c>
      <c r="AA18" s="16">
        <f t="shared" si="9"/>
        <v>0</v>
      </c>
      <c r="AB18" s="16">
        <f t="shared" si="10"/>
        <v>0</v>
      </c>
      <c r="AD18" s="31">
        <v>21</v>
      </c>
      <c r="AE18" s="31">
        <f>G18*0.30455676068969</f>
        <v>0</v>
      </c>
      <c r="AF18" s="31">
        <f>G18*(1-0.30455676068969)</f>
        <v>0</v>
      </c>
      <c r="AG18" s="27" t="s">
        <v>13</v>
      </c>
      <c r="AM18" s="31">
        <f t="shared" si="11"/>
        <v>0</v>
      </c>
      <c r="AN18" s="31">
        <f t="shared" si="12"/>
        <v>0</v>
      </c>
      <c r="AO18" s="32" t="s">
        <v>348</v>
      </c>
      <c r="AP18" s="32" t="s">
        <v>356</v>
      </c>
      <c r="AQ18" s="24" t="s">
        <v>358</v>
      </c>
      <c r="AS18" s="31">
        <f t="shared" si="13"/>
        <v>0</v>
      </c>
      <c r="AT18" s="31">
        <f t="shared" si="14"/>
        <v>0</v>
      </c>
      <c r="AU18" s="31">
        <v>0</v>
      </c>
      <c r="AV18" s="31">
        <f t="shared" si="15"/>
        <v>0</v>
      </c>
    </row>
    <row r="19" spans="1:48" ht="12.75">
      <c r="A19" s="4" t="s">
        <v>12</v>
      </c>
      <c r="B19" s="4"/>
      <c r="C19" s="4" t="s">
        <v>110</v>
      </c>
      <c r="D19" s="4" t="s">
        <v>216</v>
      </c>
      <c r="E19" s="4" t="s">
        <v>311</v>
      </c>
      <c r="F19" s="16">
        <v>1</v>
      </c>
      <c r="G19" s="16"/>
      <c r="H19" s="16"/>
      <c r="I19" s="16"/>
      <c r="J19" s="16"/>
      <c r="K19" s="16"/>
      <c r="L19" s="16"/>
      <c r="M19" s="27" t="s">
        <v>336</v>
      </c>
      <c r="P19" s="31">
        <f t="shared" si="0"/>
        <v>0</v>
      </c>
      <c r="R19" s="31">
        <f t="shared" si="1"/>
        <v>0</v>
      </c>
      <c r="S19" s="31">
        <f t="shared" si="2"/>
        <v>0</v>
      </c>
      <c r="T19" s="31">
        <f t="shared" si="3"/>
        <v>0</v>
      </c>
      <c r="U19" s="31">
        <f t="shared" si="4"/>
        <v>0</v>
      </c>
      <c r="V19" s="31">
        <f t="shared" si="5"/>
        <v>0</v>
      </c>
      <c r="W19" s="31">
        <f t="shared" si="6"/>
        <v>0</v>
      </c>
      <c r="X19" s="31">
        <f t="shared" si="7"/>
        <v>0</v>
      </c>
      <c r="Y19" s="24"/>
      <c r="Z19" s="16">
        <f t="shared" si="8"/>
        <v>0</v>
      </c>
      <c r="AA19" s="16">
        <f t="shared" si="9"/>
        <v>0</v>
      </c>
      <c r="AB19" s="16">
        <f t="shared" si="10"/>
        <v>0</v>
      </c>
      <c r="AD19" s="31">
        <v>21</v>
      </c>
      <c r="AE19" s="31">
        <f>G19*0.305050887126325</f>
        <v>0</v>
      </c>
      <c r="AF19" s="31">
        <f>G19*(1-0.305050887126325)</f>
        <v>0</v>
      </c>
      <c r="AG19" s="27" t="s">
        <v>13</v>
      </c>
      <c r="AM19" s="31">
        <f t="shared" si="11"/>
        <v>0</v>
      </c>
      <c r="AN19" s="31">
        <f t="shared" si="12"/>
        <v>0</v>
      </c>
      <c r="AO19" s="32" t="s">
        <v>348</v>
      </c>
      <c r="AP19" s="32" t="s">
        <v>356</v>
      </c>
      <c r="AQ19" s="24" t="s">
        <v>358</v>
      </c>
      <c r="AS19" s="31">
        <f t="shared" si="13"/>
        <v>0</v>
      </c>
      <c r="AT19" s="31">
        <f t="shared" si="14"/>
        <v>0</v>
      </c>
      <c r="AU19" s="31">
        <v>0</v>
      </c>
      <c r="AV19" s="31">
        <f t="shared" si="15"/>
        <v>0</v>
      </c>
    </row>
    <row r="20" spans="1:48" ht="12.75">
      <c r="A20" s="4" t="s">
        <v>13</v>
      </c>
      <c r="B20" s="4"/>
      <c r="C20" s="4" t="s">
        <v>111</v>
      </c>
      <c r="D20" s="4" t="s">
        <v>217</v>
      </c>
      <c r="E20" s="4" t="s">
        <v>311</v>
      </c>
      <c r="F20" s="16">
        <v>34</v>
      </c>
      <c r="G20" s="16"/>
      <c r="H20" s="16"/>
      <c r="I20" s="16"/>
      <c r="J20" s="16"/>
      <c r="K20" s="16"/>
      <c r="L20" s="16"/>
      <c r="M20" s="27" t="s">
        <v>336</v>
      </c>
      <c r="P20" s="31">
        <f t="shared" si="0"/>
        <v>0</v>
      </c>
      <c r="R20" s="31">
        <f t="shared" si="1"/>
        <v>0</v>
      </c>
      <c r="S20" s="31">
        <f t="shared" si="2"/>
        <v>0</v>
      </c>
      <c r="T20" s="31">
        <f t="shared" si="3"/>
        <v>0</v>
      </c>
      <c r="U20" s="31">
        <f t="shared" si="4"/>
        <v>0</v>
      </c>
      <c r="V20" s="31">
        <f t="shared" si="5"/>
        <v>0</v>
      </c>
      <c r="W20" s="31">
        <f t="shared" si="6"/>
        <v>0</v>
      </c>
      <c r="X20" s="31">
        <f t="shared" si="7"/>
        <v>0</v>
      </c>
      <c r="Y20" s="24"/>
      <c r="Z20" s="16">
        <f t="shared" si="8"/>
        <v>0</v>
      </c>
      <c r="AA20" s="16">
        <f t="shared" si="9"/>
        <v>0</v>
      </c>
      <c r="AB20" s="16">
        <f t="shared" si="10"/>
        <v>0</v>
      </c>
      <c r="AD20" s="31">
        <v>21</v>
      </c>
      <c r="AE20" s="31">
        <f>G20*0.796744299704882</f>
        <v>0</v>
      </c>
      <c r="AF20" s="31">
        <f>G20*(1-0.796744299704882)</f>
        <v>0</v>
      </c>
      <c r="AG20" s="27" t="s">
        <v>13</v>
      </c>
      <c r="AM20" s="31">
        <f t="shared" si="11"/>
        <v>0</v>
      </c>
      <c r="AN20" s="31">
        <f t="shared" si="12"/>
        <v>0</v>
      </c>
      <c r="AO20" s="32" t="s">
        <v>348</v>
      </c>
      <c r="AP20" s="32" t="s">
        <v>356</v>
      </c>
      <c r="AQ20" s="24" t="s">
        <v>358</v>
      </c>
      <c r="AS20" s="31">
        <f t="shared" si="13"/>
        <v>0</v>
      </c>
      <c r="AT20" s="31">
        <f t="shared" si="14"/>
        <v>0</v>
      </c>
      <c r="AU20" s="31">
        <v>0</v>
      </c>
      <c r="AV20" s="31">
        <f t="shared" si="15"/>
        <v>0</v>
      </c>
    </row>
    <row r="21" spans="1:48" ht="12.75">
      <c r="A21" s="4" t="s">
        <v>14</v>
      </c>
      <c r="B21" s="4"/>
      <c r="C21" s="4" t="s">
        <v>112</v>
      </c>
      <c r="D21" s="4" t="s">
        <v>218</v>
      </c>
      <c r="E21" s="4" t="s">
        <v>312</v>
      </c>
      <c r="F21" s="16">
        <v>34</v>
      </c>
      <c r="G21" s="16"/>
      <c r="H21" s="16"/>
      <c r="I21" s="16"/>
      <c r="J21" s="16"/>
      <c r="K21" s="16"/>
      <c r="L21" s="16"/>
      <c r="M21" s="27" t="s">
        <v>336</v>
      </c>
      <c r="P21" s="31">
        <f t="shared" si="0"/>
        <v>0</v>
      </c>
      <c r="R21" s="31">
        <f t="shared" si="1"/>
        <v>0</v>
      </c>
      <c r="S21" s="31">
        <f t="shared" si="2"/>
        <v>0</v>
      </c>
      <c r="T21" s="31">
        <f t="shared" si="3"/>
        <v>0</v>
      </c>
      <c r="U21" s="31">
        <f t="shared" si="4"/>
        <v>0</v>
      </c>
      <c r="V21" s="31">
        <f t="shared" si="5"/>
        <v>0</v>
      </c>
      <c r="W21" s="31">
        <f t="shared" si="6"/>
        <v>0</v>
      </c>
      <c r="X21" s="31">
        <f t="shared" si="7"/>
        <v>0</v>
      </c>
      <c r="Y21" s="24"/>
      <c r="Z21" s="16">
        <f t="shared" si="8"/>
        <v>0</v>
      </c>
      <c r="AA21" s="16">
        <f t="shared" si="9"/>
        <v>0</v>
      </c>
      <c r="AB21" s="16">
        <f t="shared" si="10"/>
        <v>0</v>
      </c>
      <c r="AD21" s="31">
        <v>21</v>
      </c>
      <c r="AE21" s="31">
        <f>G21*0.390436781609195</f>
        <v>0</v>
      </c>
      <c r="AF21" s="31">
        <f>G21*(1-0.390436781609195)</f>
        <v>0</v>
      </c>
      <c r="AG21" s="27" t="s">
        <v>13</v>
      </c>
      <c r="AM21" s="31">
        <f t="shared" si="11"/>
        <v>0</v>
      </c>
      <c r="AN21" s="31">
        <f t="shared" si="12"/>
        <v>0</v>
      </c>
      <c r="AO21" s="32" t="s">
        <v>348</v>
      </c>
      <c r="AP21" s="32" t="s">
        <v>356</v>
      </c>
      <c r="AQ21" s="24" t="s">
        <v>358</v>
      </c>
      <c r="AS21" s="31">
        <f t="shared" si="13"/>
        <v>0</v>
      </c>
      <c r="AT21" s="31">
        <f t="shared" si="14"/>
        <v>0</v>
      </c>
      <c r="AU21" s="31">
        <v>0</v>
      </c>
      <c r="AV21" s="31">
        <f t="shared" si="15"/>
        <v>0</v>
      </c>
    </row>
    <row r="22" spans="1:48" ht="12.75">
      <c r="A22" s="4" t="s">
        <v>15</v>
      </c>
      <c r="B22" s="4"/>
      <c r="C22" s="4" t="s">
        <v>113</v>
      </c>
      <c r="D22" s="4" t="s">
        <v>219</v>
      </c>
      <c r="E22" s="4" t="s">
        <v>312</v>
      </c>
      <c r="F22" s="16">
        <v>83</v>
      </c>
      <c r="G22" s="16"/>
      <c r="H22" s="16"/>
      <c r="I22" s="16"/>
      <c r="J22" s="16"/>
      <c r="K22" s="16"/>
      <c r="L22" s="16"/>
      <c r="M22" s="27" t="s">
        <v>336</v>
      </c>
      <c r="P22" s="31">
        <f t="shared" si="0"/>
        <v>0</v>
      </c>
      <c r="R22" s="31">
        <f t="shared" si="1"/>
        <v>0</v>
      </c>
      <c r="S22" s="31">
        <f t="shared" si="2"/>
        <v>0</v>
      </c>
      <c r="T22" s="31">
        <f t="shared" si="3"/>
        <v>0</v>
      </c>
      <c r="U22" s="31">
        <f t="shared" si="4"/>
        <v>0</v>
      </c>
      <c r="V22" s="31">
        <f t="shared" si="5"/>
        <v>0</v>
      </c>
      <c r="W22" s="31">
        <f t="shared" si="6"/>
        <v>0</v>
      </c>
      <c r="X22" s="31">
        <f t="shared" si="7"/>
        <v>0</v>
      </c>
      <c r="Y22" s="24"/>
      <c r="Z22" s="16">
        <f t="shared" si="8"/>
        <v>0</v>
      </c>
      <c r="AA22" s="16">
        <f t="shared" si="9"/>
        <v>0</v>
      </c>
      <c r="AB22" s="16">
        <f t="shared" si="10"/>
        <v>0</v>
      </c>
      <c r="AD22" s="31">
        <v>21</v>
      </c>
      <c r="AE22" s="31">
        <f>G22*0.319267734553776</f>
        <v>0</v>
      </c>
      <c r="AF22" s="31">
        <f>G22*(1-0.319267734553776)</f>
        <v>0</v>
      </c>
      <c r="AG22" s="27" t="s">
        <v>13</v>
      </c>
      <c r="AM22" s="31">
        <f t="shared" si="11"/>
        <v>0</v>
      </c>
      <c r="AN22" s="31">
        <f t="shared" si="12"/>
        <v>0</v>
      </c>
      <c r="AO22" s="32" t="s">
        <v>348</v>
      </c>
      <c r="AP22" s="32" t="s">
        <v>356</v>
      </c>
      <c r="AQ22" s="24" t="s">
        <v>358</v>
      </c>
      <c r="AS22" s="31">
        <f t="shared" si="13"/>
        <v>0</v>
      </c>
      <c r="AT22" s="31">
        <f t="shared" si="14"/>
        <v>0</v>
      </c>
      <c r="AU22" s="31">
        <v>0</v>
      </c>
      <c r="AV22" s="31">
        <f t="shared" si="15"/>
        <v>0</v>
      </c>
    </row>
    <row r="23" spans="1:48" ht="12.75">
      <c r="A23" s="4" t="s">
        <v>16</v>
      </c>
      <c r="B23" s="4"/>
      <c r="C23" s="4" t="s">
        <v>114</v>
      </c>
      <c r="D23" s="4" t="s">
        <v>220</v>
      </c>
      <c r="E23" s="4" t="s">
        <v>312</v>
      </c>
      <c r="F23" s="16">
        <v>6</v>
      </c>
      <c r="G23" s="16"/>
      <c r="H23" s="16"/>
      <c r="I23" s="16"/>
      <c r="J23" s="16"/>
      <c r="K23" s="16"/>
      <c r="L23" s="16"/>
      <c r="M23" s="27" t="s">
        <v>336</v>
      </c>
      <c r="P23" s="31">
        <f t="shared" si="0"/>
        <v>0</v>
      </c>
      <c r="R23" s="31">
        <f t="shared" si="1"/>
        <v>0</v>
      </c>
      <c r="S23" s="31">
        <f t="shared" si="2"/>
        <v>0</v>
      </c>
      <c r="T23" s="31">
        <f t="shared" si="3"/>
        <v>0</v>
      </c>
      <c r="U23" s="31">
        <f t="shared" si="4"/>
        <v>0</v>
      </c>
      <c r="V23" s="31">
        <f t="shared" si="5"/>
        <v>0</v>
      </c>
      <c r="W23" s="31">
        <f t="shared" si="6"/>
        <v>0</v>
      </c>
      <c r="X23" s="31">
        <f t="shared" si="7"/>
        <v>0</v>
      </c>
      <c r="Y23" s="24"/>
      <c r="Z23" s="16">
        <f t="shared" si="8"/>
        <v>0</v>
      </c>
      <c r="AA23" s="16">
        <f t="shared" si="9"/>
        <v>0</v>
      </c>
      <c r="AB23" s="16">
        <f t="shared" si="10"/>
        <v>0</v>
      </c>
      <c r="AD23" s="31">
        <v>21</v>
      </c>
      <c r="AE23" s="31">
        <f>G23*0.398101788170564</f>
        <v>0</v>
      </c>
      <c r="AF23" s="31">
        <f>G23*(1-0.398101788170564)</f>
        <v>0</v>
      </c>
      <c r="AG23" s="27" t="s">
        <v>13</v>
      </c>
      <c r="AM23" s="31">
        <f t="shared" si="11"/>
        <v>0</v>
      </c>
      <c r="AN23" s="31">
        <f t="shared" si="12"/>
        <v>0</v>
      </c>
      <c r="AO23" s="32" t="s">
        <v>348</v>
      </c>
      <c r="AP23" s="32" t="s">
        <v>356</v>
      </c>
      <c r="AQ23" s="24" t="s">
        <v>358</v>
      </c>
      <c r="AS23" s="31">
        <f t="shared" si="13"/>
        <v>0</v>
      </c>
      <c r="AT23" s="31">
        <f t="shared" si="14"/>
        <v>0</v>
      </c>
      <c r="AU23" s="31">
        <v>0</v>
      </c>
      <c r="AV23" s="31">
        <f t="shared" si="15"/>
        <v>0</v>
      </c>
    </row>
    <row r="24" spans="1:48" ht="12.75">
      <c r="A24" s="4" t="s">
        <v>17</v>
      </c>
      <c r="B24" s="4"/>
      <c r="C24" s="4" t="s">
        <v>115</v>
      </c>
      <c r="D24" s="4" t="s">
        <v>221</v>
      </c>
      <c r="E24" s="4" t="s">
        <v>312</v>
      </c>
      <c r="F24" s="16">
        <v>210</v>
      </c>
      <c r="G24" s="16"/>
      <c r="H24" s="16"/>
      <c r="I24" s="16"/>
      <c r="J24" s="16"/>
      <c r="K24" s="16"/>
      <c r="L24" s="16"/>
      <c r="M24" s="27" t="s">
        <v>336</v>
      </c>
      <c r="P24" s="31">
        <f t="shared" si="0"/>
        <v>0</v>
      </c>
      <c r="R24" s="31">
        <f t="shared" si="1"/>
        <v>0</v>
      </c>
      <c r="S24" s="31">
        <f t="shared" si="2"/>
        <v>0</v>
      </c>
      <c r="T24" s="31">
        <f t="shared" si="3"/>
        <v>0</v>
      </c>
      <c r="U24" s="31">
        <f t="shared" si="4"/>
        <v>0</v>
      </c>
      <c r="V24" s="31">
        <f t="shared" si="5"/>
        <v>0</v>
      </c>
      <c r="W24" s="31">
        <f t="shared" si="6"/>
        <v>0</v>
      </c>
      <c r="X24" s="31">
        <f t="shared" si="7"/>
        <v>0</v>
      </c>
      <c r="Y24" s="24"/>
      <c r="Z24" s="16">
        <f t="shared" si="8"/>
        <v>0</v>
      </c>
      <c r="AA24" s="16">
        <f t="shared" si="9"/>
        <v>0</v>
      </c>
      <c r="AB24" s="16">
        <f t="shared" si="10"/>
        <v>0</v>
      </c>
      <c r="AD24" s="31">
        <v>21</v>
      </c>
      <c r="AE24" s="31">
        <f>G24*0.415212765957447</f>
        <v>0</v>
      </c>
      <c r="AF24" s="31">
        <f>G24*(1-0.415212765957447)</f>
        <v>0</v>
      </c>
      <c r="AG24" s="27" t="s">
        <v>13</v>
      </c>
      <c r="AM24" s="31">
        <f t="shared" si="11"/>
        <v>0</v>
      </c>
      <c r="AN24" s="31">
        <f t="shared" si="12"/>
        <v>0</v>
      </c>
      <c r="AO24" s="32" t="s">
        <v>348</v>
      </c>
      <c r="AP24" s="32" t="s">
        <v>356</v>
      </c>
      <c r="AQ24" s="24" t="s">
        <v>358</v>
      </c>
      <c r="AS24" s="31">
        <f t="shared" si="13"/>
        <v>0</v>
      </c>
      <c r="AT24" s="31">
        <f t="shared" si="14"/>
        <v>0</v>
      </c>
      <c r="AU24" s="31">
        <v>0</v>
      </c>
      <c r="AV24" s="31">
        <f t="shared" si="15"/>
        <v>0</v>
      </c>
    </row>
    <row r="25" spans="1:48" ht="12.75">
      <c r="A25" s="4" t="s">
        <v>18</v>
      </c>
      <c r="B25" s="4"/>
      <c r="C25" s="4" t="s">
        <v>116</v>
      </c>
      <c r="D25" s="4" t="s">
        <v>222</v>
      </c>
      <c r="E25" s="4" t="s">
        <v>312</v>
      </c>
      <c r="F25" s="16">
        <v>35</v>
      </c>
      <c r="G25" s="16"/>
      <c r="H25" s="16"/>
      <c r="I25" s="16"/>
      <c r="J25" s="16"/>
      <c r="K25" s="16"/>
      <c r="L25" s="16"/>
      <c r="M25" s="27" t="s">
        <v>336</v>
      </c>
      <c r="P25" s="31">
        <f t="shared" si="0"/>
        <v>0</v>
      </c>
      <c r="R25" s="31">
        <f t="shared" si="1"/>
        <v>0</v>
      </c>
      <c r="S25" s="31">
        <f t="shared" si="2"/>
        <v>0</v>
      </c>
      <c r="T25" s="31">
        <f t="shared" si="3"/>
        <v>0</v>
      </c>
      <c r="U25" s="31">
        <f t="shared" si="4"/>
        <v>0</v>
      </c>
      <c r="V25" s="31">
        <f t="shared" si="5"/>
        <v>0</v>
      </c>
      <c r="W25" s="31">
        <f t="shared" si="6"/>
        <v>0</v>
      </c>
      <c r="X25" s="31">
        <f t="shared" si="7"/>
        <v>0</v>
      </c>
      <c r="Y25" s="24"/>
      <c r="Z25" s="16">
        <f t="shared" si="8"/>
        <v>0</v>
      </c>
      <c r="AA25" s="16">
        <f t="shared" si="9"/>
        <v>0</v>
      </c>
      <c r="AB25" s="16">
        <f t="shared" si="10"/>
        <v>0</v>
      </c>
      <c r="AD25" s="31">
        <v>21</v>
      </c>
      <c r="AE25" s="31">
        <f>G25*0.713283996299722</f>
        <v>0</v>
      </c>
      <c r="AF25" s="31">
        <f>G25*(1-0.713283996299722)</f>
        <v>0</v>
      </c>
      <c r="AG25" s="27" t="s">
        <v>13</v>
      </c>
      <c r="AM25" s="31">
        <f t="shared" si="11"/>
        <v>0</v>
      </c>
      <c r="AN25" s="31">
        <f t="shared" si="12"/>
        <v>0</v>
      </c>
      <c r="AO25" s="32" t="s">
        <v>348</v>
      </c>
      <c r="AP25" s="32" t="s">
        <v>356</v>
      </c>
      <c r="AQ25" s="24" t="s">
        <v>358</v>
      </c>
      <c r="AS25" s="31">
        <f t="shared" si="13"/>
        <v>0</v>
      </c>
      <c r="AT25" s="31">
        <f t="shared" si="14"/>
        <v>0</v>
      </c>
      <c r="AU25" s="31">
        <v>0</v>
      </c>
      <c r="AV25" s="31">
        <f t="shared" si="15"/>
        <v>0</v>
      </c>
    </row>
    <row r="26" spans="1:48" ht="12.75">
      <c r="A26" s="4" t="s">
        <v>19</v>
      </c>
      <c r="B26" s="4"/>
      <c r="C26" s="4" t="s">
        <v>117</v>
      </c>
      <c r="D26" s="4" t="s">
        <v>223</v>
      </c>
      <c r="E26" s="4" t="s">
        <v>312</v>
      </c>
      <c r="F26" s="16">
        <v>2</v>
      </c>
      <c r="G26" s="16"/>
      <c r="H26" s="16"/>
      <c r="I26" s="16"/>
      <c r="J26" s="16"/>
      <c r="K26" s="16"/>
      <c r="L26" s="16"/>
      <c r="M26" s="27" t="s">
        <v>336</v>
      </c>
      <c r="P26" s="31">
        <f t="shared" si="0"/>
        <v>0</v>
      </c>
      <c r="R26" s="31">
        <f t="shared" si="1"/>
        <v>0</v>
      </c>
      <c r="S26" s="31">
        <f t="shared" si="2"/>
        <v>0</v>
      </c>
      <c r="T26" s="31">
        <f t="shared" si="3"/>
        <v>0</v>
      </c>
      <c r="U26" s="31">
        <f t="shared" si="4"/>
        <v>0</v>
      </c>
      <c r="V26" s="31">
        <f t="shared" si="5"/>
        <v>0</v>
      </c>
      <c r="W26" s="31">
        <f t="shared" si="6"/>
        <v>0</v>
      </c>
      <c r="X26" s="31">
        <f t="shared" si="7"/>
        <v>0</v>
      </c>
      <c r="Y26" s="24"/>
      <c r="Z26" s="16">
        <f t="shared" si="8"/>
        <v>0</v>
      </c>
      <c r="AA26" s="16">
        <f t="shared" si="9"/>
        <v>0</v>
      </c>
      <c r="AB26" s="16">
        <f t="shared" si="10"/>
        <v>0</v>
      </c>
      <c r="AD26" s="31">
        <v>21</v>
      </c>
      <c r="AE26" s="31">
        <f>G26*0.385046382189239</f>
        <v>0</v>
      </c>
      <c r="AF26" s="31">
        <f>G26*(1-0.385046382189239)</f>
        <v>0</v>
      </c>
      <c r="AG26" s="27" t="s">
        <v>13</v>
      </c>
      <c r="AM26" s="31">
        <f t="shared" si="11"/>
        <v>0</v>
      </c>
      <c r="AN26" s="31">
        <f t="shared" si="12"/>
        <v>0</v>
      </c>
      <c r="AO26" s="32" t="s">
        <v>348</v>
      </c>
      <c r="AP26" s="32" t="s">
        <v>356</v>
      </c>
      <c r="AQ26" s="24" t="s">
        <v>358</v>
      </c>
      <c r="AS26" s="31">
        <f t="shared" si="13"/>
        <v>0</v>
      </c>
      <c r="AT26" s="31">
        <f t="shared" si="14"/>
        <v>0</v>
      </c>
      <c r="AU26" s="31">
        <v>0</v>
      </c>
      <c r="AV26" s="31">
        <f t="shared" si="15"/>
        <v>0</v>
      </c>
    </row>
    <row r="27" spans="1:48" ht="12.75">
      <c r="A27" s="4" t="s">
        <v>20</v>
      </c>
      <c r="B27" s="4"/>
      <c r="C27" s="4" t="s">
        <v>118</v>
      </c>
      <c r="D27" s="4" t="s">
        <v>224</v>
      </c>
      <c r="E27" s="4" t="s">
        <v>311</v>
      </c>
      <c r="F27" s="16">
        <v>19</v>
      </c>
      <c r="G27" s="16"/>
      <c r="H27" s="16"/>
      <c r="I27" s="16"/>
      <c r="J27" s="16"/>
      <c r="K27" s="16"/>
      <c r="L27" s="16"/>
      <c r="M27" s="27" t="s">
        <v>336</v>
      </c>
      <c r="P27" s="31">
        <f t="shared" si="0"/>
        <v>0</v>
      </c>
      <c r="R27" s="31">
        <f t="shared" si="1"/>
        <v>0</v>
      </c>
      <c r="S27" s="31">
        <f t="shared" si="2"/>
        <v>0</v>
      </c>
      <c r="T27" s="31">
        <f t="shared" si="3"/>
        <v>0</v>
      </c>
      <c r="U27" s="31">
        <f t="shared" si="4"/>
        <v>0</v>
      </c>
      <c r="V27" s="31">
        <f t="shared" si="5"/>
        <v>0</v>
      </c>
      <c r="W27" s="31">
        <f t="shared" si="6"/>
        <v>0</v>
      </c>
      <c r="X27" s="31">
        <f t="shared" si="7"/>
        <v>0</v>
      </c>
      <c r="Y27" s="24"/>
      <c r="Z27" s="16">
        <f t="shared" si="8"/>
        <v>0</v>
      </c>
      <c r="AA27" s="16">
        <f t="shared" si="9"/>
        <v>0</v>
      </c>
      <c r="AB27" s="16">
        <f t="shared" si="10"/>
        <v>0</v>
      </c>
      <c r="AD27" s="31">
        <v>21</v>
      </c>
      <c r="AE27" s="31">
        <f>G27*0</f>
        <v>0</v>
      </c>
      <c r="AF27" s="31">
        <f>G27*(1-0)</f>
        <v>0</v>
      </c>
      <c r="AG27" s="27" t="s">
        <v>13</v>
      </c>
      <c r="AM27" s="31">
        <f t="shared" si="11"/>
        <v>0</v>
      </c>
      <c r="AN27" s="31">
        <f t="shared" si="12"/>
        <v>0</v>
      </c>
      <c r="AO27" s="32" t="s">
        <v>348</v>
      </c>
      <c r="AP27" s="32" t="s">
        <v>356</v>
      </c>
      <c r="AQ27" s="24" t="s">
        <v>358</v>
      </c>
      <c r="AS27" s="31">
        <f t="shared" si="13"/>
        <v>0</v>
      </c>
      <c r="AT27" s="31">
        <f t="shared" si="14"/>
        <v>0</v>
      </c>
      <c r="AU27" s="31">
        <v>0</v>
      </c>
      <c r="AV27" s="31">
        <f t="shared" si="15"/>
        <v>0</v>
      </c>
    </row>
    <row r="28" spans="1:48" ht="12.75">
      <c r="A28" s="4" t="s">
        <v>21</v>
      </c>
      <c r="B28" s="4"/>
      <c r="C28" s="4" t="s">
        <v>119</v>
      </c>
      <c r="D28" s="4" t="s">
        <v>225</v>
      </c>
      <c r="E28" s="4" t="s">
        <v>311</v>
      </c>
      <c r="F28" s="16">
        <v>7</v>
      </c>
      <c r="G28" s="16"/>
      <c r="H28" s="16"/>
      <c r="I28" s="16"/>
      <c r="J28" s="16"/>
      <c r="K28" s="16"/>
      <c r="L28" s="16"/>
      <c r="M28" s="27" t="s">
        <v>336</v>
      </c>
      <c r="P28" s="31">
        <f t="shared" si="0"/>
        <v>0</v>
      </c>
      <c r="R28" s="31">
        <f t="shared" si="1"/>
        <v>0</v>
      </c>
      <c r="S28" s="31">
        <f t="shared" si="2"/>
        <v>0</v>
      </c>
      <c r="T28" s="31">
        <f t="shared" si="3"/>
        <v>0</v>
      </c>
      <c r="U28" s="31">
        <f t="shared" si="4"/>
        <v>0</v>
      </c>
      <c r="V28" s="31">
        <f t="shared" si="5"/>
        <v>0</v>
      </c>
      <c r="W28" s="31">
        <f t="shared" si="6"/>
        <v>0</v>
      </c>
      <c r="X28" s="31">
        <f t="shared" si="7"/>
        <v>0</v>
      </c>
      <c r="Y28" s="24"/>
      <c r="Z28" s="16">
        <f t="shared" si="8"/>
        <v>0</v>
      </c>
      <c r="AA28" s="16">
        <f t="shared" si="9"/>
        <v>0</v>
      </c>
      <c r="AB28" s="16">
        <f t="shared" si="10"/>
        <v>0</v>
      </c>
      <c r="AD28" s="31">
        <v>21</v>
      </c>
      <c r="AE28" s="31">
        <f>G28*0</f>
        <v>0</v>
      </c>
      <c r="AF28" s="31">
        <f>G28*(1-0)</f>
        <v>0</v>
      </c>
      <c r="AG28" s="27" t="s">
        <v>13</v>
      </c>
      <c r="AM28" s="31">
        <f t="shared" si="11"/>
        <v>0</v>
      </c>
      <c r="AN28" s="31">
        <f t="shared" si="12"/>
        <v>0</v>
      </c>
      <c r="AO28" s="32" t="s">
        <v>348</v>
      </c>
      <c r="AP28" s="32" t="s">
        <v>356</v>
      </c>
      <c r="AQ28" s="24" t="s">
        <v>358</v>
      </c>
      <c r="AS28" s="31">
        <f t="shared" si="13"/>
        <v>0</v>
      </c>
      <c r="AT28" s="31">
        <f t="shared" si="14"/>
        <v>0</v>
      </c>
      <c r="AU28" s="31">
        <v>0</v>
      </c>
      <c r="AV28" s="31">
        <f t="shared" si="15"/>
        <v>0</v>
      </c>
    </row>
    <row r="29" spans="1:48" ht="12.75">
      <c r="A29" s="4" t="s">
        <v>22</v>
      </c>
      <c r="B29" s="4"/>
      <c r="C29" s="4" t="s">
        <v>120</v>
      </c>
      <c r="D29" s="4" t="s">
        <v>226</v>
      </c>
      <c r="E29" s="4" t="s">
        <v>311</v>
      </c>
      <c r="F29" s="16">
        <v>4</v>
      </c>
      <c r="G29" s="16"/>
      <c r="H29" s="16"/>
      <c r="I29" s="16"/>
      <c r="J29" s="16"/>
      <c r="K29" s="16"/>
      <c r="L29" s="16"/>
      <c r="M29" s="27" t="s">
        <v>336</v>
      </c>
      <c r="P29" s="31">
        <f t="shared" si="0"/>
        <v>0</v>
      </c>
      <c r="R29" s="31">
        <f t="shared" si="1"/>
        <v>0</v>
      </c>
      <c r="S29" s="31">
        <f t="shared" si="2"/>
        <v>0</v>
      </c>
      <c r="T29" s="31">
        <f t="shared" si="3"/>
        <v>0</v>
      </c>
      <c r="U29" s="31">
        <f t="shared" si="4"/>
        <v>0</v>
      </c>
      <c r="V29" s="31">
        <f t="shared" si="5"/>
        <v>0</v>
      </c>
      <c r="W29" s="31">
        <f t="shared" si="6"/>
        <v>0</v>
      </c>
      <c r="X29" s="31">
        <f t="shared" si="7"/>
        <v>0</v>
      </c>
      <c r="Y29" s="24"/>
      <c r="Z29" s="16">
        <f t="shared" si="8"/>
        <v>0</v>
      </c>
      <c r="AA29" s="16">
        <f t="shared" si="9"/>
        <v>0</v>
      </c>
      <c r="AB29" s="16">
        <f t="shared" si="10"/>
        <v>0</v>
      </c>
      <c r="AD29" s="31">
        <v>21</v>
      </c>
      <c r="AE29" s="31">
        <f>G29*0.908268264215129</f>
        <v>0</v>
      </c>
      <c r="AF29" s="31">
        <f>G29*(1-0.908268264215129)</f>
        <v>0</v>
      </c>
      <c r="AG29" s="27" t="s">
        <v>13</v>
      </c>
      <c r="AM29" s="31">
        <f t="shared" si="11"/>
        <v>0</v>
      </c>
      <c r="AN29" s="31">
        <f t="shared" si="12"/>
        <v>0</v>
      </c>
      <c r="AO29" s="32" t="s">
        <v>348</v>
      </c>
      <c r="AP29" s="32" t="s">
        <v>356</v>
      </c>
      <c r="AQ29" s="24" t="s">
        <v>358</v>
      </c>
      <c r="AS29" s="31">
        <f t="shared" si="13"/>
        <v>0</v>
      </c>
      <c r="AT29" s="31">
        <f t="shared" si="14"/>
        <v>0</v>
      </c>
      <c r="AU29" s="31">
        <v>0</v>
      </c>
      <c r="AV29" s="31">
        <f t="shared" si="15"/>
        <v>0</v>
      </c>
    </row>
    <row r="30" spans="1:48" ht="12.75">
      <c r="A30" s="4" t="s">
        <v>23</v>
      </c>
      <c r="B30" s="4"/>
      <c r="C30" s="4" t="s">
        <v>121</v>
      </c>
      <c r="D30" s="4" t="s">
        <v>227</v>
      </c>
      <c r="E30" s="4" t="s">
        <v>311</v>
      </c>
      <c r="F30" s="16">
        <v>3</v>
      </c>
      <c r="G30" s="16"/>
      <c r="H30" s="16"/>
      <c r="I30" s="16"/>
      <c r="J30" s="16"/>
      <c r="K30" s="16"/>
      <c r="L30" s="16"/>
      <c r="M30" s="27" t="s">
        <v>336</v>
      </c>
      <c r="P30" s="31">
        <f t="shared" si="0"/>
        <v>0</v>
      </c>
      <c r="R30" s="31">
        <f t="shared" si="1"/>
        <v>0</v>
      </c>
      <c r="S30" s="31">
        <f t="shared" si="2"/>
        <v>0</v>
      </c>
      <c r="T30" s="31">
        <f t="shared" si="3"/>
        <v>0</v>
      </c>
      <c r="U30" s="31">
        <f t="shared" si="4"/>
        <v>0</v>
      </c>
      <c r="V30" s="31">
        <f t="shared" si="5"/>
        <v>0</v>
      </c>
      <c r="W30" s="31">
        <f t="shared" si="6"/>
        <v>0</v>
      </c>
      <c r="X30" s="31">
        <f t="shared" si="7"/>
        <v>0</v>
      </c>
      <c r="Y30" s="24"/>
      <c r="Z30" s="16">
        <f t="shared" si="8"/>
        <v>0</v>
      </c>
      <c r="AA30" s="16">
        <f t="shared" si="9"/>
        <v>0</v>
      </c>
      <c r="AB30" s="16">
        <f t="shared" si="10"/>
        <v>0</v>
      </c>
      <c r="AD30" s="31">
        <v>21</v>
      </c>
      <c r="AE30" s="31">
        <f>G30*0.913120956399437</f>
        <v>0</v>
      </c>
      <c r="AF30" s="31">
        <f>G30*(1-0.913120956399437)</f>
        <v>0</v>
      </c>
      <c r="AG30" s="27" t="s">
        <v>13</v>
      </c>
      <c r="AM30" s="31">
        <f t="shared" si="11"/>
        <v>0</v>
      </c>
      <c r="AN30" s="31">
        <f t="shared" si="12"/>
        <v>0</v>
      </c>
      <c r="AO30" s="32" t="s">
        <v>348</v>
      </c>
      <c r="AP30" s="32" t="s">
        <v>356</v>
      </c>
      <c r="AQ30" s="24" t="s">
        <v>358</v>
      </c>
      <c r="AS30" s="31">
        <f t="shared" si="13"/>
        <v>0</v>
      </c>
      <c r="AT30" s="31">
        <f t="shared" si="14"/>
        <v>0</v>
      </c>
      <c r="AU30" s="31">
        <v>0</v>
      </c>
      <c r="AV30" s="31">
        <f t="shared" si="15"/>
        <v>0</v>
      </c>
    </row>
    <row r="31" spans="1:48" ht="12.75">
      <c r="A31" s="4" t="s">
        <v>24</v>
      </c>
      <c r="B31" s="4"/>
      <c r="C31" s="4" t="s">
        <v>122</v>
      </c>
      <c r="D31" s="4" t="s">
        <v>228</v>
      </c>
      <c r="E31" s="4" t="s">
        <v>311</v>
      </c>
      <c r="F31" s="16">
        <v>1</v>
      </c>
      <c r="G31" s="16"/>
      <c r="H31" s="16"/>
      <c r="I31" s="16"/>
      <c r="J31" s="16"/>
      <c r="K31" s="16"/>
      <c r="L31" s="16"/>
      <c r="M31" s="27" t="s">
        <v>336</v>
      </c>
      <c r="P31" s="31">
        <f t="shared" si="0"/>
        <v>0</v>
      </c>
      <c r="R31" s="31">
        <f t="shared" si="1"/>
        <v>0</v>
      </c>
      <c r="S31" s="31">
        <f t="shared" si="2"/>
        <v>0</v>
      </c>
      <c r="T31" s="31">
        <f t="shared" si="3"/>
        <v>0</v>
      </c>
      <c r="U31" s="31">
        <f t="shared" si="4"/>
        <v>0</v>
      </c>
      <c r="V31" s="31">
        <f t="shared" si="5"/>
        <v>0</v>
      </c>
      <c r="W31" s="31">
        <f t="shared" si="6"/>
        <v>0</v>
      </c>
      <c r="X31" s="31">
        <f t="shared" si="7"/>
        <v>0</v>
      </c>
      <c r="Y31" s="24"/>
      <c r="Z31" s="16">
        <f t="shared" si="8"/>
        <v>0</v>
      </c>
      <c r="AA31" s="16">
        <f t="shared" si="9"/>
        <v>0</v>
      </c>
      <c r="AB31" s="16">
        <f t="shared" si="10"/>
        <v>0</v>
      </c>
      <c r="AD31" s="31">
        <v>21</v>
      </c>
      <c r="AE31" s="31">
        <f>G31*0.937792792792793</f>
        <v>0</v>
      </c>
      <c r="AF31" s="31">
        <f>G31*(1-0.937792792792793)</f>
        <v>0</v>
      </c>
      <c r="AG31" s="27" t="s">
        <v>13</v>
      </c>
      <c r="AM31" s="31">
        <f t="shared" si="11"/>
        <v>0</v>
      </c>
      <c r="AN31" s="31">
        <f t="shared" si="12"/>
        <v>0</v>
      </c>
      <c r="AO31" s="32" t="s">
        <v>348</v>
      </c>
      <c r="AP31" s="32" t="s">
        <v>356</v>
      </c>
      <c r="AQ31" s="24" t="s">
        <v>358</v>
      </c>
      <c r="AS31" s="31">
        <f t="shared" si="13"/>
        <v>0</v>
      </c>
      <c r="AT31" s="31">
        <f t="shared" si="14"/>
        <v>0</v>
      </c>
      <c r="AU31" s="31">
        <v>0</v>
      </c>
      <c r="AV31" s="31">
        <f t="shared" si="15"/>
        <v>0</v>
      </c>
    </row>
    <row r="32" spans="1:48" ht="12.75">
      <c r="A32" s="4" t="s">
        <v>25</v>
      </c>
      <c r="B32" s="4"/>
      <c r="C32" s="4" t="s">
        <v>123</v>
      </c>
      <c r="D32" s="4" t="s">
        <v>229</v>
      </c>
      <c r="E32" s="4" t="s">
        <v>311</v>
      </c>
      <c r="F32" s="16">
        <v>8</v>
      </c>
      <c r="G32" s="16"/>
      <c r="H32" s="16"/>
      <c r="I32" s="16"/>
      <c r="J32" s="16"/>
      <c r="K32" s="16"/>
      <c r="L32" s="16"/>
      <c r="M32" s="27" t="s">
        <v>336</v>
      </c>
      <c r="P32" s="31">
        <f t="shared" si="0"/>
        <v>0</v>
      </c>
      <c r="R32" s="31">
        <f t="shared" si="1"/>
        <v>0</v>
      </c>
      <c r="S32" s="31">
        <f t="shared" si="2"/>
        <v>0</v>
      </c>
      <c r="T32" s="31">
        <f t="shared" si="3"/>
        <v>0</v>
      </c>
      <c r="U32" s="31">
        <f t="shared" si="4"/>
        <v>0</v>
      </c>
      <c r="V32" s="31">
        <f t="shared" si="5"/>
        <v>0</v>
      </c>
      <c r="W32" s="31">
        <f t="shared" si="6"/>
        <v>0</v>
      </c>
      <c r="X32" s="31">
        <f t="shared" si="7"/>
        <v>0</v>
      </c>
      <c r="Y32" s="24"/>
      <c r="Z32" s="16">
        <f t="shared" si="8"/>
        <v>0</v>
      </c>
      <c r="AA32" s="16">
        <f t="shared" si="9"/>
        <v>0</v>
      </c>
      <c r="AB32" s="16">
        <f t="shared" si="10"/>
        <v>0</v>
      </c>
      <c r="AD32" s="31">
        <v>21</v>
      </c>
      <c r="AE32" s="31">
        <f>G32*0.956389380530973</f>
        <v>0</v>
      </c>
      <c r="AF32" s="31">
        <f>G32*(1-0.956389380530973)</f>
        <v>0</v>
      </c>
      <c r="AG32" s="27" t="s">
        <v>13</v>
      </c>
      <c r="AM32" s="31">
        <f t="shared" si="11"/>
        <v>0</v>
      </c>
      <c r="AN32" s="31">
        <f t="shared" si="12"/>
        <v>0</v>
      </c>
      <c r="AO32" s="32" t="s">
        <v>348</v>
      </c>
      <c r="AP32" s="32" t="s">
        <v>356</v>
      </c>
      <c r="AQ32" s="24" t="s">
        <v>358</v>
      </c>
      <c r="AS32" s="31">
        <f t="shared" si="13"/>
        <v>0</v>
      </c>
      <c r="AT32" s="31">
        <f t="shared" si="14"/>
        <v>0</v>
      </c>
      <c r="AU32" s="31">
        <v>0</v>
      </c>
      <c r="AV32" s="31">
        <f t="shared" si="15"/>
        <v>0</v>
      </c>
    </row>
    <row r="33" spans="1:48" ht="12.75">
      <c r="A33" s="4" t="s">
        <v>26</v>
      </c>
      <c r="B33" s="4"/>
      <c r="C33" s="4" t="s">
        <v>124</v>
      </c>
      <c r="D33" s="4" t="s">
        <v>230</v>
      </c>
      <c r="E33" s="4" t="s">
        <v>312</v>
      </c>
      <c r="F33" s="16">
        <v>2</v>
      </c>
      <c r="G33" s="16"/>
      <c r="H33" s="16"/>
      <c r="I33" s="16"/>
      <c r="J33" s="16"/>
      <c r="K33" s="16"/>
      <c r="L33" s="16"/>
      <c r="M33" s="27" t="s">
        <v>336</v>
      </c>
      <c r="P33" s="31">
        <f t="shared" si="0"/>
        <v>0</v>
      </c>
      <c r="R33" s="31">
        <f t="shared" si="1"/>
        <v>0</v>
      </c>
      <c r="S33" s="31">
        <f t="shared" si="2"/>
        <v>0</v>
      </c>
      <c r="T33" s="31">
        <f t="shared" si="3"/>
        <v>0</v>
      </c>
      <c r="U33" s="31">
        <f t="shared" si="4"/>
        <v>0</v>
      </c>
      <c r="V33" s="31">
        <f t="shared" si="5"/>
        <v>0</v>
      </c>
      <c r="W33" s="31">
        <f t="shared" si="6"/>
        <v>0</v>
      </c>
      <c r="X33" s="31">
        <f t="shared" si="7"/>
        <v>0</v>
      </c>
      <c r="Y33" s="24"/>
      <c r="Z33" s="16">
        <f t="shared" si="8"/>
        <v>0</v>
      </c>
      <c r="AA33" s="16">
        <f t="shared" si="9"/>
        <v>0</v>
      </c>
      <c r="AB33" s="16">
        <f t="shared" si="10"/>
        <v>0</v>
      </c>
      <c r="AD33" s="31">
        <v>21</v>
      </c>
      <c r="AE33" s="31">
        <f>G33*0.0273170731707317</f>
        <v>0</v>
      </c>
      <c r="AF33" s="31">
        <f>G33*(1-0.0273170731707317)</f>
        <v>0</v>
      </c>
      <c r="AG33" s="27" t="s">
        <v>13</v>
      </c>
      <c r="AM33" s="31">
        <f t="shared" si="11"/>
        <v>0</v>
      </c>
      <c r="AN33" s="31">
        <f t="shared" si="12"/>
        <v>0</v>
      </c>
      <c r="AO33" s="32" t="s">
        <v>348</v>
      </c>
      <c r="AP33" s="32" t="s">
        <v>356</v>
      </c>
      <c r="AQ33" s="24" t="s">
        <v>358</v>
      </c>
      <c r="AS33" s="31">
        <f t="shared" si="13"/>
        <v>0</v>
      </c>
      <c r="AT33" s="31">
        <f t="shared" si="14"/>
        <v>0</v>
      </c>
      <c r="AU33" s="31">
        <v>0</v>
      </c>
      <c r="AV33" s="31">
        <f t="shared" si="15"/>
        <v>0</v>
      </c>
    </row>
    <row r="34" spans="1:48" ht="12.75">
      <c r="A34" s="4" t="s">
        <v>27</v>
      </c>
      <c r="B34" s="4"/>
      <c r="C34" s="4" t="s">
        <v>125</v>
      </c>
      <c r="D34" s="4" t="s">
        <v>231</v>
      </c>
      <c r="E34" s="4" t="s">
        <v>312</v>
      </c>
      <c r="F34" s="16">
        <v>368</v>
      </c>
      <c r="G34" s="16"/>
      <c r="H34" s="16"/>
      <c r="I34" s="16"/>
      <c r="J34" s="16"/>
      <c r="K34" s="16"/>
      <c r="L34" s="16"/>
      <c r="M34" s="27" t="s">
        <v>336</v>
      </c>
      <c r="P34" s="31">
        <f t="shared" si="0"/>
        <v>0</v>
      </c>
      <c r="R34" s="31">
        <f t="shared" si="1"/>
        <v>0</v>
      </c>
      <c r="S34" s="31">
        <f t="shared" si="2"/>
        <v>0</v>
      </c>
      <c r="T34" s="31">
        <f t="shared" si="3"/>
        <v>0</v>
      </c>
      <c r="U34" s="31">
        <f t="shared" si="4"/>
        <v>0</v>
      </c>
      <c r="V34" s="31">
        <f t="shared" si="5"/>
        <v>0</v>
      </c>
      <c r="W34" s="31">
        <f t="shared" si="6"/>
        <v>0</v>
      </c>
      <c r="X34" s="31">
        <f t="shared" si="7"/>
        <v>0</v>
      </c>
      <c r="Y34" s="24"/>
      <c r="Z34" s="16">
        <f t="shared" si="8"/>
        <v>0</v>
      </c>
      <c r="AA34" s="16">
        <f t="shared" si="9"/>
        <v>0</v>
      </c>
      <c r="AB34" s="16">
        <f t="shared" si="10"/>
        <v>0</v>
      </c>
      <c r="AD34" s="31">
        <v>21</v>
      </c>
      <c r="AE34" s="31">
        <f>G34*0</f>
        <v>0</v>
      </c>
      <c r="AF34" s="31">
        <f>G34*(1-0)</f>
        <v>0</v>
      </c>
      <c r="AG34" s="27" t="s">
        <v>13</v>
      </c>
      <c r="AM34" s="31">
        <f t="shared" si="11"/>
        <v>0</v>
      </c>
      <c r="AN34" s="31">
        <f t="shared" si="12"/>
        <v>0</v>
      </c>
      <c r="AO34" s="32" t="s">
        <v>348</v>
      </c>
      <c r="AP34" s="32" t="s">
        <v>356</v>
      </c>
      <c r="AQ34" s="24" t="s">
        <v>358</v>
      </c>
      <c r="AS34" s="31">
        <f t="shared" si="13"/>
        <v>0</v>
      </c>
      <c r="AT34" s="31">
        <f t="shared" si="14"/>
        <v>0</v>
      </c>
      <c r="AU34" s="31">
        <v>0</v>
      </c>
      <c r="AV34" s="31">
        <f t="shared" si="15"/>
        <v>0</v>
      </c>
    </row>
    <row r="35" spans="1:48" ht="12.75">
      <c r="A35" s="4" t="s">
        <v>28</v>
      </c>
      <c r="B35" s="4"/>
      <c r="C35" s="4" t="s">
        <v>126</v>
      </c>
      <c r="D35" s="4" t="s">
        <v>232</v>
      </c>
      <c r="E35" s="4" t="s">
        <v>312</v>
      </c>
      <c r="F35" s="16">
        <v>50</v>
      </c>
      <c r="G35" s="16"/>
      <c r="H35" s="16"/>
      <c r="I35" s="16"/>
      <c r="J35" s="16"/>
      <c r="K35" s="16"/>
      <c r="L35" s="16"/>
      <c r="M35" s="27" t="s">
        <v>336</v>
      </c>
      <c r="P35" s="31">
        <f t="shared" si="0"/>
        <v>0</v>
      </c>
      <c r="R35" s="31">
        <f t="shared" si="1"/>
        <v>0</v>
      </c>
      <c r="S35" s="31">
        <f t="shared" si="2"/>
        <v>0</v>
      </c>
      <c r="T35" s="31">
        <f t="shared" si="3"/>
        <v>0</v>
      </c>
      <c r="U35" s="31">
        <f t="shared" si="4"/>
        <v>0</v>
      </c>
      <c r="V35" s="31">
        <f t="shared" si="5"/>
        <v>0</v>
      </c>
      <c r="W35" s="31">
        <f t="shared" si="6"/>
        <v>0</v>
      </c>
      <c r="X35" s="31">
        <f t="shared" si="7"/>
        <v>0</v>
      </c>
      <c r="Y35" s="24"/>
      <c r="Z35" s="16">
        <f t="shared" si="8"/>
        <v>0</v>
      </c>
      <c r="AA35" s="16">
        <f t="shared" si="9"/>
        <v>0</v>
      </c>
      <c r="AB35" s="16">
        <f t="shared" si="10"/>
        <v>0</v>
      </c>
      <c r="AD35" s="31">
        <v>21</v>
      </c>
      <c r="AE35" s="31">
        <f>G35*0</f>
        <v>0</v>
      </c>
      <c r="AF35" s="31">
        <f>G35*(1-0)</f>
        <v>0</v>
      </c>
      <c r="AG35" s="27" t="s">
        <v>13</v>
      </c>
      <c r="AM35" s="31">
        <f t="shared" si="11"/>
        <v>0</v>
      </c>
      <c r="AN35" s="31">
        <f t="shared" si="12"/>
        <v>0</v>
      </c>
      <c r="AO35" s="32" t="s">
        <v>348</v>
      </c>
      <c r="AP35" s="32" t="s">
        <v>356</v>
      </c>
      <c r="AQ35" s="24" t="s">
        <v>358</v>
      </c>
      <c r="AS35" s="31">
        <f t="shared" si="13"/>
        <v>0</v>
      </c>
      <c r="AT35" s="31">
        <f t="shared" si="14"/>
        <v>0</v>
      </c>
      <c r="AU35" s="31">
        <v>0</v>
      </c>
      <c r="AV35" s="31">
        <f t="shared" si="15"/>
        <v>0</v>
      </c>
    </row>
    <row r="36" spans="1:48" ht="12.75">
      <c r="A36" s="4" t="s">
        <v>29</v>
      </c>
      <c r="B36" s="4"/>
      <c r="C36" s="4" t="s">
        <v>127</v>
      </c>
      <c r="D36" s="4" t="s">
        <v>233</v>
      </c>
      <c r="E36" s="4" t="s">
        <v>311</v>
      </c>
      <c r="F36" s="16">
        <v>60</v>
      </c>
      <c r="G36" s="16"/>
      <c r="H36" s="16"/>
      <c r="I36" s="16"/>
      <c r="J36" s="16"/>
      <c r="K36" s="16"/>
      <c r="L36" s="16"/>
      <c r="M36" s="27" t="s">
        <v>337</v>
      </c>
      <c r="P36" s="31">
        <f t="shared" si="0"/>
        <v>0</v>
      </c>
      <c r="R36" s="31">
        <f t="shared" si="1"/>
        <v>0</v>
      </c>
      <c r="S36" s="31">
        <f t="shared" si="2"/>
        <v>0</v>
      </c>
      <c r="T36" s="31">
        <f t="shared" si="3"/>
        <v>0</v>
      </c>
      <c r="U36" s="31">
        <f t="shared" si="4"/>
        <v>0</v>
      </c>
      <c r="V36" s="31">
        <f t="shared" si="5"/>
        <v>0</v>
      </c>
      <c r="W36" s="31">
        <f t="shared" si="6"/>
        <v>0</v>
      </c>
      <c r="X36" s="31">
        <f t="shared" si="7"/>
        <v>0</v>
      </c>
      <c r="Y36" s="24"/>
      <c r="Z36" s="16">
        <f t="shared" si="8"/>
        <v>0</v>
      </c>
      <c r="AA36" s="16">
        <f t="shared" si="9"/>
        <v>0</v>
      </c>
      <c r="AB36" s="16">
        <f t="shared" si="10"/>
        <v>0</v>
      </c>
      <c r="AD36" s="31">
        <v>21</v>
      </c>
      <c r="AE36" s="31">
        <f>G36*0.831636363636364</f>
        <v>0</v>
      </c>
      <c r="AF36" s="31">
        <f>G36*(1-0.831636363636364)</f>
        <v>0</v>
      </c>
      <c r="AG36" s="27" t="s">
        <v>13</v>
      </c>
      <c r="AM36" s="31">
        <f t="shared" si="11"/>
        <v>0</v>
      </c>
      <c r="AN36" s="31">
        <f t="shared" si="12"/>
        <v>0</v>
      </c>
      <c r="AO36" s="32" t="s">
        <v>348</v>
      </c>
      <c r="AP36" s="32" t="s">
        <v>356</v>
      </c>
      <c r="AQ36" s="24" t="s">
        <v>358</v>
      </c>
      <c r="AS36" s="31">
        <f t="shared" si="13"/>
        <v>0</v>
      </c>
      <c r="AT36" s="31">
        <f t="shared" si="14"/>
        <v>0</v>
      </c>
      <c r="AU36" s="31">
        <v>0</v>
      </c>
      <c r="AV36" s="31">
        <f t="shared" si="15"/>
        <v>0</v>
      </c>
    </row>
    <row r="37" spans="1:48" ht="12.75">
      <c r="A37" s="4" t="s">
        <v>30</v>
      </c>
      <c r="B37" s="4"/>
      <c r="C37" s="4" t="s">
        <v>128</v>
      </c>
      <c r="D37" s="4" t="s">
        <v>234</v>
      </c>
      <c r="E37" s="4" t="s">
        <v>311</v>
      </c>
      <c r="F37" s="16">
        <v>2</v>
      </c>
      <c r="G37" s="16"/>
      <c r="H37" s="16"/>
      <c r="I37" s="16"/>
      <c r="J37" s="16"/>
      <c r="K37" s="16"/>
      <c r="L37" s="16"/>
      <c r="M37" s="27" t="s">
        <v>337</v>
      </c>
      <c r="P37" s="31">
        <f t="shared" si="0"/>
        <v>0</v>
      </c>
      <c r="R37" s="31">
        <f t="shared" si="1"/>
        <v>0</v>
      </c>
      <c r="S37" s="31">
        <f t="shared" si="2"/>
        <v>0</v>
      </c>
      <c r="T37" s="31">
        <f t="shared" si="3"/>
        <v>0</v>
      </c>
      <c r="U37" s="31">
        <f t="shared" si="4"/>
        <v>0</v>
      </c>
      <c r="V37" s="31">
        <f t="shared" si="5"/>
        <v>0</v>
      </c>
      <c r="W37" s="31">
        <f t="shared" si="6"/>
        <v>0</v>
      </c>
      <c r="X37" s="31">
        <f t="shared" si="7"/>
        <v>0</v>
      </c>
      <c r="Y37" s="24"/>
      <c r="Z37" s="16">
        <f t="shared" si="8"/>
        <v>0</v>
      </c>
      <c r="AA37" s="16">
        <f t="shared" si="9"/>
        <v>0</v>
      </c>
      <c r="AB37" s="16">
        <f t="shared" si="10"/>
        <v>0</v>
      </c>
      <c r="AD37" s="31">
        <v>21</v>
      </c>
      <c r="AE37" s="31">
        <f>G37*0.821040462427746</f>
        <v>0</v>
      </c>
      <c r="AF37" s="31">
        <f>G37*(1-0.821040462427746)</f>
        <v>0</v>
      </c>
      <c r="AG37" s="27" t="s">
        <v>13</v>
      </c>
      <c r="AM37" s="31">
        <f t="shared" si="11"/>
        <v>0</v>
      </c>
      <c r="AN37" s="31">
        <f t="shared" si="12"/>
        <v>0</v>
      </c>
      <c r="AO37" s="32" t="s">
        <v>348</v>
      </c>
      <c r="AP37" s="32" t="s">
        <v>356</v>
      </c>
      <c r="AQ37" s="24" t="s">
        <v>358</v>
      </c>
      <c r="AS37" s="31">
        <f t="shared" si="13"/>
        <v>0</v>
      </c>
      <c r="AT37" s="31">
        <f t="shared" si="14"/>
        <v>0</v>
      </c>
      <c r="AU37" s="31">
        <v>0</v>
      </c>
      <c r="AV37" s="31">
        <f t="shared" si="15"/>
        <v>0</v>
      </c>
    </row>
    <row r="38" spans="1:48" ht="12.75">
      <c r="A38" s="4" t="s">
        <v>31</v>
      </c>
      <c r="B38" s="4"/>
      <c r="C38" s="4" t="s">
        <v>129</v>
      </c>
      <c r="D38" s="4" t="s">
        <v>235</v>
      </c>
      <c r="E38" s="4" t="s">
        <v>313</v>
      </c>
      <c r="F38" s="16">
        <v>300</v>
      </c>
      <c r="G38" s="16"/>
      <c r="H38" s="16"/>
      <c r="I38" s="16"/>
      <c r="J38" s="16"/>
      <c r="K38" s="16"/>
      <c r="L38" s="16"/>
      <c r="M38" s="27" t="s">
        <v>337</v>
      </c>
      <c r="P38" s="31">
        <f t="shared" si="0"/>
        <v>0</v>
      </c>
      <c r="R38" s="31">
        <f t="shared" si="1"/>
        <v>0</v>
      </c>
      <c r="S38" s="31">
        <f t="shared" si="2"/>
        <v>0</v>
      </c>
      <c r="T38" s="31">
        <f t="shared" si="3"/>
        <v>0</v>
      </c>
      <c r="U38" s="31">
        <f t="shared" si="4"/>
        <v>0</v>
      </c>
      <c r="V38" s="31">
        <f t="shared" si="5"/>
        <v>0</v>
      </c>
      <c r="W38" s="31">
        <f t="shared" si="6"/>
        <v>0</v>
      </c>
      <c r="X38" s="31">
        <f t="shared" si="7"/>
        <v>0</v>
      </c>
      <c r="Y38" s="24"/>
      <c r="Z38" s="16">
        <f t="shared" si="8"/>
        <v>0</v>
      </c>
      <c r="AA38" s="16">
        <f t="shared" si="9"/>
        <v>0</v>
      </c>
      <c r="AB38" s="16">
        <f t="shared" si="10"/>
        <v>0</v>
      </c>
      <c r="AD38" s="31">
        <v>21</v>
      </c>
      <c r="AE38" s="31">
        <f>G38*0.601542857142857</f>
        <v>0</v>
      </c>
      <c r="AF38" s="31">
        <f>G38*(1-0.601542857142857)</f>
        <v>0</v>
      </c>
      <c r="AG38" s="27" t="s">
        <v>13</v>
      </c>
      <c r="AM38" s="31">
        <f t="shared" si="11"/>
        <v>0</v>
      </c>
      <c r="AN38" s="31">
        <f t="shared" si="12"/>
        <v>0</v>
      </c>
      <c r="AO38" s="32" t="s">
        <v>348</v>
      </c>
      <c r="AP38" s="32" t="s">
        <v>356</v>
      </c>
      <c r="AQ38" s="24" t="s">
        <v>358</v>
      </c>
      <c r="AS38" s="31">
        <f t="shared" si="13"/>
        <v>0</v>
      </c>
      <c r="AT38" s="31">
        <f t="shared" si="14"/>
        <v>0</v>
      </c>
      <c r="AU38" s="31">
        <v>0</v>
      </c>
      <c r="AV38" s="31">
        <f t="shared" si="15"/>
        <v>0</v>
      </c>
    </row>
    <row r="39" spans="1:37" ht="12.75">
      <c r="A39" s="5"/>
      <c r="B39" s="12"/>
      <c r="C39" s="12" t="s">
        <v>130</v>
      </c>
      <c r="D39" s="12" t="s">
        <v>236</v>
      </c>
      <c r="E39" s="5" t="s">
        <v>6</v>
      </c>
      <c r="F39" s="5" t="s">
        <v>6</v>
      </c>
      <c r="G39" s="5"/>
      <c r="H39" s="34"/>
      <c r="I39" s="34"/>
      <c r="J39" s="34"/>
      <c r="K39" s="24"/>
      <c r="L39" s="34"/>
      <c r="M39" s="24"/>
      <c r="Y39" s="24"/>
      <c r="AI39" s="34">
        <f>SUM(Z40:Z68)</f>
        <v>0</v>
      </c>
      <c r="AJ39" s="34">
        <f>SUM(AA40:AA68)</f>
        <v>0</v>
      </c>
      <c r="AK39" s="34">
        <f>SUM(AB40:AB68)</f>
        <v>0</v>
      </c>
    </row>
    <row r="40" spans="1:48" ht="12.75">
      <c r="A40" s="4" t="s">
        <v>32</v>
      </c>
      <c r="B40" s="4"/>
      <c r="C40" s="4" t="s">
        <v>131</v>
      </c>
      <c r="D40" s="4" t="s">
        <v>237</v>
      </c>
      <c r="E40" s="4" t="s">
        <v>312</v>
      </c>
      <c r="F40" s="16">
        <v>10</v>
      </c>
      <c r="G40" s="16"/>
      <c r="H40" s="16"/>
      <c r="I40" s="16"/>
      <c r="J40" s="16"/>
      <c r="K40" s="16"/>
      <c r="L40" s="16"/>
      <c r="M40" s="27" t="s">
        <v>336</v>
      </c>
      <c r="P40" s="31">
        <f aca="true" t="shared" si="16" ref="P40:P68">IF(AG40="5",J40,0)</f>
        <v>0</v>
      </c>
      <c r="R40" s="31">
        <f aca="true" t="shared" si="17" ref="R40:R68">IF(AG40="1",H40,0)</f>
        <v>0</v>
      </c>
      <c r="S40" s="31">
        <f aca="true" t="shared" si="18" ref="S40:S68">IF(AG40="1",I40,0)</f>
        <v>0</v>
      </c>
      <c r="T40" s="31">
        <f aca="true" t="shared" si="19" ref="T40:T68">IF(AG40="7",H40,0)</f>
        <v>0</v>
      </c>
      <c r="U40" s="31">
        <f aca="true" t="shared" si="20" ref="U40:U68">IF(AG40="7",I40,0)</f>
        <v>0</v>
      </c>
      <c r="V40" s="31">
        <f aca="true" t="shared" si="21" ref="V40:V68">IF(AG40="2",H40,0)</f>
        <v>0</v>
      </c>
      <c r="W40" s="31">
        <f aca="true" t="shared" si="22" ref="W40:W68">IF(AG40="2",I40,0)</f>
        <v>0</v>
      </c>
      <c r="X40" s="31">
        <f aca="true" t="shared" si="23" ref="X40:X68">IF(AG40="0",J40,0)</f>
        <v>0</v>
      </c>
      <c r="Y40" s="24"/>
      <c r="Z40" s="16">
        <f aca="true" t="shared" si="24" ref="Z40:Z68">IF(AD40=0,J40,0)</f>
        <v>0</v>
      </c>
      <c r="AA40" s="16">
        <f aca="true" t="shared" si="25" ref="AA40:AA68">IF(AD40=15,J40,0)</f>
        <v>0</v>
      </c>
      <c r="AB40" s="16">
        <f aca="true" t="shared" si="26" ref="AB40:AB68">IF(AD40=21,J40,0)</f>
        <v>0</v>
      </c>
      <c r="AD40" s="31">
        <v>21</v>
      </c>
      <c r="AE40" s="31">
        <f>G40*0.438871423832167</f>
        <v>0</v>
      </c>
      <c r="AF40" s="31">
        <f>G40*(1-0.438871423832167)</f>
        <v>0</v>
      </c>
      <c r="AG40" s="27" t="s">
        <v>13</v>
      </c>
      <c r="AM40" s="31">
        <f aca="true" t="shared" si="27" ref="AM40:AM68">F40*AE40</f>
        <v>0</v>
      </c>
      <c r="AN40" s="31">
        <f aca="true" t="shared" si="28" ref="AN40:AN68">F40*AF40</f>
        <v>0</v>
      </c>
      <c r="AO40" s="32" t="s">
        <v>349</v>
      </c>
      <c r="AP40" s="32" t="s">
        <v>356</v>
      </c>
      <c r="AQ40" s="24" t="s">
        <v>358</v>
      </c>
      <c r="AS40" s="31">
        <f aca="true" t="shared" si="29" ref="AS40:AS68">AM40+AN40</f>
        <v>0</v>
      </c>
      <c r="AT40" s="31">
        <f aca="true" t="shared" si="30" ref="AT40:AT68">G40/(100-AU40)*100</f>
        <v>0</v>
      </c>
      <c r="AU40" s="31">
        <v>0</v>
      </c>
      <c r="AV40" s="31">
        <f aca="true" t="shared" si="31" ref="AV40:AV68">L40</f>
        <v>0</v>
      </c>
    </row>
    <row r="41" spans="1:48" ht="12.75">
      <c r="A41" s="4" t="s">
        <v>33</v>
      </c>
      <c r="B41" s="4"/>
      <c r="C41" s="4" t="s">
        <v>132</v>
      </c>
      <c r="D41" s="4" t="s">
        <v>238</v>
      </c>
      <c r="E41" s="4" t="s">
        <v>312</v>
      </c>
      <c r="F41" s="16">
        <v>300</v>
      </c>
      <c r="G41" s="16"/>
      <c r="H41" s="16"/>
      <c r="I41" s="16"/>
      <c r="J41" s="16"/>
      <c r="K41" s="16"/>
      <c r="L41" s="16"/>
      <c r="M41" s="27" t="s">
        <v>336</v>
      </c>
      <c r="P41" s="31">
        <f t="shared" si="16"/>
        <v>0</v>
      </c>
      <c r="R41" s="31">
        <f t="shared" si="17"/>
        <v>0</v>
      </c>
      <c r="S41" s="31">
        <f t="shared" si="18"/>
        <v>0</v>
      </c>
      <c r="T41" s="31">
        <f t="shared" si="19"/>
        <v>0</v>
      </c>
      <c r="U41" s="31">
        <f t="shared" si="20"/>
        <v>0</v>
      </c>
      <c r="V41" s="31">
        <f t="shared" si="21"/>
        <v>0</v>
      </c>
      <c r="W41" s="31">
        <f t="shared" si="22"/>
        <v>0</v>
      </c>
      <c r="X41" s="31">
        <f t="shared" si="23"/>
        <v>0</v>
      </c>
      <c r="Y41" s="24"/>
      <c r="Z41" s="16">
        <f t="shared" si="24"/>
        <v>0</v>
      </c>
      <c r="AA41" s="16">
        <f t="shared" si="25"/>
        <v>0</v>
      </c>
      <c r="AB41" s="16">
        <f t="shared" si="26"/>
        <v>0</v>
      </c>
      <c r="AD41" s="31">
        <v>21</v>
      </c>
      <c r="AE41" s="31">
        <f>G41*0</f>
        <v>0</v>
      </c>
      <c r="AF41" s="31">
        <f>G41*(1-0)</f>
        <v>0</v>
      </c>
      <c r="AG41" s="27" t="s">
        <v>13</v>
      </c>
      <c r="AM41" s="31">
        <f t="shared" si="27"/>
        <v>0</v>
      </c>
      <c r="AN41" s="31">
        <f t="shared" si="28"/>
        <v>0</v>
      </c>
      <c r="AO41" s="32" t="s">
        <v>349</v>
      </c>
      <c r="AP41" s="32" t="s">
        <v>356</v>
      </c>
      <c r="AQ41" s="24" t="s">
        <v>358</v>
      </c>
      <c r="AS41" s="31">
        <f t="shared" si="29"/>
        <v>0</v>
      </c>
      <c r="AT41" s="31">
        <f t="shared" si="30"/>
        <v>0</v>
      </c>
      <c r="AU41" s="31">
        <v>0</v>
      </c>
      <c r="AV41" s="31">
        <f t="shared" si="31"/>
        <v>0</v>
      </c>
    </row>
    <row r="42" spans="1:48" ht="12.75">
      <c r="A42" s="4" t="s">
        <v>34</v>
      </c>
      <c r="B42" s="4"/>
      <c r="C42" s="4" t="s">
        <v>133</v>
      </c>
      <c r="D42" s="4" t="s">
        <v>239</v>
      </c>
      <c r="E42" s="4" t="s">
        <v>311</v>
      </c>
      <c r="F42" s="16">
        <v>2</v>
      </c>
      <c r="G42" s="16"/>
      <c r="H42" s="16"/>
      <c r="I42" s="16"/>
      <c r="J42" s="16"/>
      <c r="K42" s="16"/>
      <c r="L42" s="16"/>
      <c r="M42" s="27" t="s">
        <v>336</v>
      </c>
      <c r="P42" s="31">
        <f t="shared" si="16"/>
        <v>0</v>
      </c>
      <c r="R42" s="31">
        <f t="shared" si="17"/>
        <v>0</v>
      </c>
      <c r="S42" s="31">
        <f t="shared" si="18"/>
        <v>0</v>
      </c>
      <c r="T42" s="31">
        <f t="shared" si="19"/>
        <v>0</v>
      </c>
      <c r="U42" s="31">
        <f t="shared" si="20"/>
        <v>0</v>
      </c>
      <c r="V42" s="31">
        <f t="shared" si="21"/>
        <v>0</v>
      </c>
      <c r="W42" s="31">
        <f t="shared" si="22"/>
        <v>0</v>
      </c>
      <c r="X42" s="31">
        <f t="shared" si="23"/>
        <v>0</v>
      </c>
      <c r="Y42" s="24"/>
      <c r="Z42" s="16">
        <f t="shared" si="24"/>
        <v>0</v>
      </c>
      <c r="AA42" s="16">
        <f t="shared" si="25"/>
        <v>0</v>
      </c>
      <c r="AB42" s="16">
        <f t="shared" si="26"/>
        <v>0</v>
      </c>
      <c r="AD42" s="31">
        <v>21</v>
      </c>
      <c r="AE42" s="31">
        <f>G42*0.386584093872229</f>
        <v>0</v>
      </c>
      <c r="AF42" s="31">
        <f>G42*(1-0.386584093872229)</f>
        <v>0</v>
      </c>
      <c r="AG42" s="27" t="s">
        <v>13</v>
      </c>
      <c r="AM42" s="31">
        <f t="shared" si="27"/>
        <v>0</v>
      </c>
      <c r="AN42" s="31">
        <f t="shared" si="28"/>
        <v>0</v>
      </c>
      <c r="AO42" s="32" t="s">
        <v>349</v>
      </c>
      <c r="AP42" s="32" t="s">
        <v>356</v>
      </c>
      <c r="AQ42" s="24" t="s">
        <v>358</v>
      </c>
      <c r="AS42" s="31">
        <f t="shared" si="29"/>
        <v>0</v>
      </c>
      <c r="AT42" s="31">
        <f t="shared" si="30"/>
        <v>0</v>
      </c>
      <c r="AU42" s="31">
        <v>0</v>
      </c>
      <c r="AV42" s="31">
        <f t="shared" si="31"/>
        <v>0</v>
      </c>
    </row>
    <row r="43" spans="1:48" ht="12.75">
      <c r="A43" s="4" t="s">
        <v>35</v>
      </c>
      <c r="B43" s="4"/>
      <c r="C43" s="4" t="s">
        <v>134</v>
      </c>
      <c r="D43" s="4" t="s">
        <v>240</v>
      </c>
      <c r="E43" s="4" t="s">
        <v>312</v>
      </c>
      <c r="F43" s="16">
        <v>250</v>
      </c>
      <c r="G43" s="16"/>
      <c r="H43" s="16"/>
      <c r="I43" s="16"/>
      <c r="J43" s="16"/>
      <c r="K43" s="16"/>
      <c r="L43" s="16"/>
      <c r="M43" s="27" t="s">
        <v>336</v>
      </c>
      <c r="P43" s="31">
        <f t="shared" si="16"/>
        <v>0</v>
      </c>
      <c r="R43" s="31">
        <f t="shared" si="17"/>
        <v>0</v>
      </c>
      <c r="S43" s="31">
        <f t="shared" si="18"/>
        <v>0</v>
      </c>
      <c r="T43" s="31">
        <f t="shared" si="19"/>
        <v>0</v>
      </c>
      <c r="U43" s="31">
        <f t="shared" si="20"/>
        <v>0</v>
      </c>
      <c r="V43" s="31">
        <f t="shared" si="21"/>
        <v>0</v>
      </c>
      <c r="W43" s="31">
        <f t="shared" si="22"/>
        <v>0</v>
      </c>
      <c r="X43" s="31">
        <f t="shared" si="23"/>
        <v>0</v>
      </c>
      <c r="Y43" s="24"/>
      <c r="Z43" s="16">
        <f t="shared" si="24"/>
        <v>0</v>
      </c>
      <c r="AA43" s="16">
        <f t="shared" si="25"/>
        <v>0</v>
      </c>
      <c r="AB43" s="16">
        <f t="shared" si="26"/>
        <v>0</v>
      </c>
      <c r="AD43" s="31">
        <v>21</v>
      </c>
      <c r="AE43" s="31">
        <f>G43*0.378140876012632</f>
        <v>0</v>
      </c>
      <c r="AF43" s="31">
        <f>G43*(1-0.378140876012632)</f>
        <v>0</v>
      </c>
      <c r="AG43" s="27" t="s">
        <v>13</v>
      </c>
      <c r="AM43" s="31">
        <f t="shared" si="27"/>
        <v>0</v>
      </c>
      <c r="AN43" s="31">
        <f t="shared" si="28"/>
        <v>0</v>
      </c>
      <c r="AO43" s="32" t="s">
        <v>349</v>
      </c>
      <c r="AP43" s="32" t="s">
        <v>356</v>
      </c>
      <c r="AQ43" s="24" t="s">
        <v>358</v>
      </c>
      <c r="AS43" s="31">
        <f t="shared" si="29"/>
        <v>0</v>
      </c>
      <c r="AT43" s="31">
        <f t="shared" si="30"/>
        <v>0</v>
      </c>
      <c r="AU43" s="31">
        <v>0</v>
      </c>
      <c r="AV43" s="31">
        <f t="shared" si="31"/>
        <v>0</v>
      </c>
    </row>
    <row r="44" spans="1:48" ht="12.75">
      <c r="A44" s="4" t="s">
        <v>36</v>
      </c>
      <c r="B44" s="4"/>
      <c r="C44" s="4" t="s">
        <v>135</v>
      </c>
      <c r="D44" s="4" t="s">
        <v>241</v>
      </c>
      <c r="E44" s="4" t="s">
        <v>312</v>
      </c>
      <c r="F44" s="16">
        <v>200</v>
      </c>
      <c r="G44" s="16"/>
      <c r="H44" s="16"/>
      <c r="I44" s="16"/>
      <c r="J44" s="16"/>
      <c r="K44" s="16"/>
      <c r="L44" s="16"/>
      <c r="M44" s="27" t="s">
        <v>336</v>
      </c>
      <c r="P44" s="31">
        <f t="shared" si="16"/>
        <v>0</v>
      </c>
      <c r="R44" s="31">
        <f t="shared" si="17"/>
        <v>0</v>
      </c>
      <c r="S44" s="31">
        <f t="shared" si="18"/>
        <v>0</v>
      </c>
      <c r="T44" s="31">
        <f t="shared" si="19"/>
        <v>0</v>
      </c>
      <c r="U44" s="31">
        <f t="shared" si="20"/>
        <v>0</v>
      </c>
      <c r="V44" s="31">
        <f t="shared" si="21"/>
        <v>0</v>
      </c>
      <c r="W44" s="31">
        <f t="shared" si="22"/>
        <v>0</v>
      </c>
      <c r="X44" s="31">
        <f t="shared" si="23"/>
        <v>0</v>
      </c>
      <c r="Y44" s="24"/>
      <c r="Z44" s="16">
        <f t="shared" si="24"/>
        <v>0</v>
      </c>
      <c r="AA44" s="16">
        <f t="shared" si="25"/>
        <v>0</v>
      </c>
      <c r="AB44" s="16">
        <f t="shared" si="26"/>
        <v>0</v>
      </c>
      <c r="AD44" s="31">
        <v>21</v>
      </c>
      <c r="AE44" s="31">
        <f>G44*0.467151745228303</f>
        <v>0</v>
      </c>
      <c r="AF44" s="31">
        <f>G44*(1-0.467151745228303)</f>
        <v>0</v>
      </c>
      <c r="AG44" s="27" t="s">
        <v>13</v>
      </c>
      <c r="AM44" s="31">
        <f t="shared" si="27"/>
        <v>0</v>
      </c>
      <c r="AN44" s="31">
        <f t="shared" si="28"/>
        <v>0</v>
      </c>
      <c r="AO44" s="32" t="s">
        <v>349</v>
      </c>
      <c r="AP44" s="32" t="s">
        <v>356</v>
      </c>
      <c r="AQ44" s="24" t="s">
        <v>358</v>
      </c>
      <c r="AS44" s="31">
        <f t="shared" si="29"/>
        <v>0</v>
      </c>
      <c r="AT44" s="31">
        <f t="shared" si="30"/>
        <v>0</v>
      </c>
      <c r="AU44" s="31">
        <v>0</v>
      </c>
      <c r="AV44" s="31">
        <f t="shared" si="31"/>
        <v>0</v>
      </c>
    </row>
    <row r="45" spans="1:48" ht="12.75">
      <c r="A45" s="4" t="s">
        <v>37</v>
      </c>
      <c r="B45" s="4"/>
      <c r="C45" s="4" t="s">
        <v>136</v>
      </c>
      <c r="D45" s="4" t="s">
        <v>242</v>
      </c>
      <c r="E45" s="4" t="s">
        <v>312</v>
      </c>
      <c r="F45" s="16">
        <v>100</v>
      </c>
      <c r="G45" s="16"/>
      <c r="H45" s="16"/>
      <c r="I45" s="16"/>
      <c r="J45" s="16"/>
      <c r="K45" s="16"/>
      <c r="L45" s="16"/>
      <c r="M45" s="27" t="s">
        <v>336</v>
      </c>
      <c r="P45" s="31">
        <f t="shared" si="16"/>
        <v>0</v>
      </c>
      <c r="R45" s="31">
        <f t="shared" si="17"/>
        <v>0</v>
      </c>
      <c r="S45" s="31">
        <f t="shared" si="18"/>
        <v>0</v>
      </c>
      <c r="T45" s="31">
        <f t="shared" si="19"/>
        <v>0</v>
      </c>
      <c r="U45" s="31">
        <f t="shared" si="20"/>
        <v>0</v>
      </c>
      <c r="V45" s="31">
        <f t="shared" si="21"/>
        <v>0</v>
      </c>
      <c r="W45" s="31">
        <f t="shared" si="22"/>
        <v>0</v>
      </c>
      <c r="X45" s="31">
        <f t="shared" si="23"/>
        <v>0</v>
      </c>
      <c r="Y45" s="24"/>
      <c r="Z45" s="16">
        <f t="shared" si="24"/>
        <v>0</v>
      </c>
      <c r="AA45" s="16">
        <f t="shared" si="25"/>
        <v>0</v>
      </c>
      <c r="AB45" s="16">
        <f t="shared" si="26"/>
        <v>0</v>
      </c>
      <c r="AD45" s="31">
        <v>21</v>
      </c>
      <c r="AE45" s="31">
        <f>G45*0.586609814129897</f>
        <v>0</v>
      </c>
      <c r="AF45" s="31">
        <f>G45*(1-0.586609814129897)</f>
        <v>0</v>
      </c>
      <c r="AG45" s="27" t="s">
        <v>13</v>
      </c>
      <c r="AM45" s="31">
        <f t="shared" si="27"/>
        <v>0</v>
      </c>
      <c r="AN45" s="31">
        <f t="shared" si="28"/>
        <v>0</v>
      </c>
      <c r="AO45" s="32" t="s">
        <v>349</v>
      </c>
      <c r="AP45" s="32" t="s">
        <v>356</v>
      </c>
      <c r="AQ45" s="24" t="s">
        <v>358</v>
      </c>
      <c r="AS45" s="31">
        <f t="shared" si="29"/>
        <v>0</v>
      </c>
      <c r="AT45" s="31">
        <f t="shared" si="30"/>
        <v>0</v>
      </c>
      <c r="AU45" s="31">
        <v>0</v>
      </c>
      <c r="AV45" s="31">
        <f t="shared" si="31"/>
        <v>0</v>
      </c>
    </row>
    <row r="46" spans="1:48" ht="12.75">
      <c r="A46" s="4" t="s">
        <v>38</v>
      </c>
      <c r="B46" s="4"/>
      <c r="C46" s="4" t="s">
        <v>137</v>
      </c>
      <c r="D46" s="4" t="s">
        <v>243</v>
      </c>
      <c r="E46" s="4" t="s">
        <v>312</v>
      </c>
      <c r="F46" s="16">
        <v>30</v>
      </c>
      <c r="G46" s="16"/>
      <c r="H46" s="16"/>
      <c r="I46" s="16"/>
      <c r="J46" s="16"/>
      <c r="K46" s="16"/>
      <c r="L46" s="16"/>
      <c r="M46" s="27" t="s">
        <v>336</v>
      </c>
      <c r="P46" s="31">
        <f t="shared" si="16"/>
        <v>0</v>
      </c>
      <c r="R46" s="31">
        <f t="shared" si="17"/>
        <v>0</v>
      </c>
      <c r="S46" s="31">
        <f t="shared" si="18"/>
        <v>0</v>
      </c>
      <c r="T46" s="31">
        <f t="shared" si="19"/>
        <v>0</v>
      </c>
      <c r="U46" s="31">
        <f t="shared" si="20"/>
        <v>0</v>
      </c>
      <c r="V46" s="31">
        <f t="shared" si="21"/>
        <v>0</v>
      </c>
      <c r="W46" s="31">
        <f t="shared" si="22"/>
        <v>0</v>
      </c>
      <c r="X46" s="31">
        <f t="shared" si="23"/>
        <v>0</v>
      </c>
      <c r="Y46" s="24"/>
      <c r="Z46" s="16">
        <f t="shared" si="24"/>
        <v>0</v>
      </c>
      <c r="AA46" s="16">
        <f t="shared" si="25"/>
        <v>0</v>
      </c>
      <c r="AB46" s="16">
        <f t="shared" si="26"/>
        <v>0</v>
      </c>
      <c r="AD46" s="31">
        <v>21</v>
      </c>
      <c r="AE46" s="31">
        <f>G46*0.567777777777778</f>
        <v>0</v>
      </c>
      <c r="AF46" s="31">
        <f>G46*(1-0.567777777777778)</f>
        <v>0</v>
      </c>
      <c r="AG46" s="27" t="s">
        <v>13</v>
      </c>
      <c r="AM46" s="31">
        <f t="shared" si="27"/>
        <v>0</v>
      </c>
      <c r="AN46" s="31">
        <f t="shared" si="28"/>
        <v>0</v>
      </c>
      <c r="AO46" s="32" t="s">
        <v>349</v>
      </c>
      <c r="AP46" s="32" t="s">
        <v>356</v>
      </c>
      <c r="AQ46" s="24" t="s">
        <v>358</v>
      </c>
      <c r="AS46" s="31">
        <f t="shared" si="29"/>
        <v>0</v>
      </c>
      <c r="AT46" s="31">
        <f t="shared" si="30"/>
        <v>0</v>
      </c>
      <c r="AU46" s="31">
        <v>0</v>
      </c>
      <c r="AV46" s="31">
        <f t="shared" si="31"/>
        <v>0</v>
      </c>
    </row>
    <row r="47" spans="1:48" ht="12.75">
      <c r="A47" s="4" t="s">
        <v>39</v>
      </c>
      <c r="B47" s="4"/>
      <c r="C47" s="4" t="s">
        <v>138</v>
      </c>
      <c r="D47" s="4" t="s">
        <v>244</v>
      </c>
      <c r="E47" s="4" t="s">
        <v>312</v>
      </c>
      <c r="F47" s="16">
        <v>95</v>
      </c>
      <c r="G47" s="16"/>
      <c r="H47" s="16"/>
      <c r="I47" s="16"/>
      <c r="J47" s="16"/>
      <c r="K47" s="16"/>
      <c r="L47" s="16"/>
      <c r="M47" s="27" t="s">
        <v>336</v>
      </c>
      <c r="P47" s="31">
        <f t="shared" si="16"/>
        <v>0</v>
      </c>
      <c r="R47" s="31">
        <f t="shared" si="17"/>
        <v>0</v>
      </c>
      <c r="S47" s="31">
        <f t="shared" si="18"/>
        <v>0</v>
      </c>
      <c r="T47" s="31">
        <f t="shared" si="19"/>
        <v>0</v>
      </c>
      <c r="U47" s="31">
        <f t="shared" si="20"/>
        <v>0</v>
      </c>
      <c r="V47" s="31">
        <f t="shared" si="21"/>
        <v>0</v>
      </c>
      <c r="W47" s="31">
        <f t="shared" si="22"/>
        <v>0</v>
      </c>
      <c r="X47" s="31">
        <f t="shared" si="23"/>
        <v>0</v>
      </c>
      <c r="Y47" s="24"/>
      <c r="Z47" s="16">
        <f t="shared" si="24"/>
        <v>0</v>
      </c>
      <c r="AA47" s="16">
        <f t="shared" si="25"/>
        <v>0</v>
      </c>
      <c r="AB47" s="16">
        <f t="shared" si="26"/>
        <v>0</v>
      </c>
      <c r="AD47" s="31">
        <v>21</v>
      </c>
      <c r="AE47" s="31">
        <f>G47*0.636076487252125</f>
        <v>0</v>
      </c>
      <c r="AF47" s="31">
        <f>G47*(1-0.636076487252125)</f>
        <v>0</v>
      </c>
      <c r="AG47" s="27" t="s">
        <v>13</v>
      </c>
      <c r="AM47" s="31">
        <f t="shared" si="27"/>
        <v>0</v>
      </c>
      <c r="AN47" s="31">
        <f t="shared" si="28"/>
        <v>0</v>
      </c>
      <c r="AO47" s="32" t="s">
        <v>349</v>
      </c>
      <c r="AP47" s="32" t="s">
        <v>356</v>
      </c>
      <c r="AQ47" s="24" t="s">
        <v>358</v>
      </c>
      <c r="AS47" s="31">
        <f t="shared" si="29"/>
        <v>0</v>
      </c>
      <c r="AT47" s="31">
        <f t="shared" si="30"/>
        <v>0</v>
      </c>
      <c r="AU47" s="31">
        <v>0</v>
      </c>
      <c r="AV47" s="31">
        <f t="shared" si="31"/>
        <v>0</v>
      </c>
    </row>
    <row r="48" spans="1:48" ht="12.75">
      <c r="A48" s="4" t="s">
        <v>40</v>
      </c>
      <c r="B48" s="4"/>
      <c r="C48" s="4" t="s">
        <v>139</v>
      </c>
      <c r="D48" s="4" t="s">
        <v>245</v>
      </c>
      <c r="E48" s="4" t="s">
        <v>311</v>
      </c>
      <c r="F48" s="16">
        <v>34</v>
      </c>
      <c r="G48" s="16"/>
      <c r="H48" s="16"/>
      <c r="I48" s="16"/>
      <c r="J48" s="16"/>
      <c r="K48" s="16"/>
      <c r="L48" s="16"/>
      <c r="M48" s="27" t="s">
        <v>336</v>
      </c>
      <c r="P48" s="31">
        <f t="shared" si="16"/>
        <v>0</v>
      </c>
      <c r="R48" s="31">
        <f t="shared" si="17"/>
        <v>0</v>
      </c>
      <c r="S48" s="31">
        <f t="shared" si="18"/>
        <v>0</v>
      </c>
      <c r="T48" s="31">
        <f t="shared" si="19"/>
        <v>0</v>
      </c>
      <c r="U48" s="31">
        <f t="shared" si="20"/>
        <v>0</v>
      </c>
      <c r="V48" s="31">
        <f t="shared" si="21"/>
        <v>0</v>
      </c>
      <c r="W48" s="31">
        <f t="shared" si="22"/>
        <v>0</v>
      </c>
      <c r="X48" s="31">
        <f t="shared" si="23"/>
        <v>0</v>
      </c>
      <c r="Y48" s="24"/>
      <c r="Z48" s="16">
        <f t="shared" si="24"/>
        <v>0</v>
      </c>
      <c r="AA48" s="16">
        <f t="shared" si="25"/>
        <v>0</v>
      </c>
      <c r="AB48" s="16">
        <f t="shared" si="26"/>
        <v>0</v>
      </c>
      <c r="AD48" s="31">
        <v>21</v>
      </c>
      <c r="AE48" s="31">
        <f>G48*0</f>
        <v>0</v>
      </c>
      <c r="AF48" s="31">
        <f>G48*(1-0)</f>
        <v>0</v>
      </c>
      <c r="AG48" s="27" t="s">
        <v>13</v>
      </c>
      <c r="AM48" s="31">
        <f t="shared" si="27"/>
        <v>0</v>
      </c>
      <c r="AN48" s="31">
        <f t="shared" si="28"/>
        <v>0</v>
      </c>
      <c r="AO48" s="32" t="s">
        <v>349</v>
      </c>
      <c r="AP48" s="32" t="s">
        <v>356</v>
      </c>
      <c r="AQ48" s="24" t="s">
        <v>358</v>
      </c>
      <c r="AS48" s="31">
        <f t="shared" si="29"/>
        <v>0</v>
      </c>
      <c r="AT48" s="31">
        <f t="shared" si="30"/>
        <v>0</v>
      </c>
      <c r="AU48" s="31">
        <v>0</v>
      </c>
      <c r="AV48" s="31">
        <f t="shared" si="31"/>
        <v>0</v>
      </c>
    </row>
    <row r="49" spans="1:48" ht="12.75">
      <c r="A49" s="4" t="s">
        <v>41</v>
      </c>
      <c r="B49" s="4"/>
      <c r="C49" s="4" t="s">
        <v>140</v>
      </c>
      <c r="D49" s="4" t="s">
        <v>246</v>
      </c>
      <c r="E49" s="4" t="s">
        <v>311</v>
      </c>
      <c r="F49" s="16">
        <v>2</v>
      </c>
      <c r="G49" s="16"/>
      <c r="H49" s="16"/>
      <c r="I49" s="16"/>
      <c r="J49" s="16"/>
      <c r="K49" s="16"/>
      <c r="L49" s="16"/>
      <c r="M49" s="27" t="s">
        <v>336</v>
      </c>
      <c r="P49" s="31">
        <f t="shared" si="16"/>
        <v>0</v>
      </c>
      <c r="R49" s="31">
        <f t="shared" si="17"/>
        <v>0</v>
      </c>
      <c r="S49" s="31">
        <f t="shared" si="18"/>
        <v>0</v>
      </c>
      <c r="T49" s="31">
        <f t="shared" si="19"/>
        <v>0</v>
      </c>
      <c r="U49" s="31">
        <f t="shared" si="20"/>
        <v>0</v>
      </c>
      <c r="V49" s="31">
        <f t="shared" si="21"/>
        <v>0</v>
      </c>
      <c r="W49" s="31">
        <f t="shared" si="22"/>
        <v>0</v>
      </c>
      <c r="X49" s="31">
        <f t="shared" si="23"/>
        <v>0</v>
      </c>
      <c r="Y49" s="24"/>
      <c r="Z49" s="16">
        <f t="shared" si="24"/>
        <v>0</v>
      </c>
      <c r="AA49" s="16">
        <f t="shared" si="25"/>
        <v>0</v>
      </c>
      <c r="AB49" s="16">
        <f t="shared" si="26"/>
        <v>0</v>
      </c>
      <c r="AD49" s="31">
        <v>21</v>
      </c>
      <c r="AE49" s="31">
        <f>G49*0</f>
        <v>0</v>
      </c>
      <c r="AF49" s="31">
        <f>G49*(1-0)</f>
        <v>0</v>
      </c>
      <c r="AG49" s="27" t="s">
        <v>13</v>
      </c>
      <c r="AM49" s="31">
        <f t="shared" si="27"/>
        <v>0</v>
      </c>
      <c r="AN49" s="31">
        <f t="shared" si="28"/>
        <v>0</v>
      </c>
      <c r="AO49" s="32" t="s">
        <v>349</v>
      </c>
      <c r="AP49" s="32" t="s">
        <v>356</v>
      </c>
      <c r="AQ49" s="24" t="s">
        <v>358</v>
      </c>
      <c r="AS49" s="31">
        <f t="shared" si="29"/>
        <v>0</v>
      </c>
      <c r="AT49" s="31">
        <f t="shared" si="30"/>
        <v>0</v>
      </c>
      <c r="AU49" s="31">
        <v>0</v>
      </c>
      <c r="AV49" s="31">
        <f t="shared" si="31"/>
        <v>0</v>
      </c>
    </row>
    <row r="50" spans="1:48" ht="12.75">
      <c r="A50" s="4" t="s">
        <v>42</v>
      </c>
      <c r="B50" s="4"/>
      <c r="C50" s="4" t="s">
        <v>141</v>
      </c>
      <c r="D50" s="4" t="s">
        <v>247</v>
      </c>
      <c r="E50" s="4" t="s">
        <v>312</v>
      </c>
      <c r="F50" s="16">
        <v>250</v>
      </c>
      <c r="G50" s="16"/>
      <c r="H50" s="16"/>
      <c r="I50" s="16"/>
      <c r="J50" s="16"/>
      <c r="K50" s="16"/>
      <c r="L50" s="16"/>
      <c r="M50" s="27" t="s">
        <v>336</v>
      </c>
      <c r="P50" s="31">
        <f t="shared" si="16"/>
        <v>0</v>
      </c>
      <c r="R50" s="31">
        <f t="shared" si="17"/>
        <v>0</v>
      </c>
      <c r="S50" s="31">
        <f t="shared" si="18"/>
        <v>0</v>
      </c>
      <c r="T50" s="31">
        <f t="shared" si="19"/>
        <v>0</v>
      </c>
      <c r="U50" s="31">
        <f t="shared" si="20"/>
        <v>0</v>
      </c>
      <c r="V50" s="31">
        <f t="shared" si="21"/>
        <v>0</v>
      </c>
      <c r="W50" s="31">
        <f t="shared" si="22"/>
        <v>0</v>
      </c>
      <c r="X50" s="31">
        <f t="shared" si="23"/>
        <v>0</v>
      </c>
      <c r="Y50" s="24"/>
      <c r="Z50" s="16">
        <f t="shared" si="24"/>
        <v>0</v>
      </c>
      <c r="AA50" s="16">
        <f t="shared" si="25"/>
        <v>0</v>
      </c>
      <c r="AB50" s="16">
        <f t="shared" si="26"/>
        <v>0</v>
      </c>
      <c r="AD50" s="31">
        <v>21</v>
      </c>
      <c r="AE50" s="31">
        <f>G50*0.509137577002053</f>
        <v>0</v>
      </c>
      <c r="AF50" s="31">
        <f>G50*(1-0.509137577002053)</f>
        <v>0</v>
      </c>
      <c r="AG50" s="27" t="s">
        <v>13</v>
      </c>
      <c r="AM50" s="31">
        <f t="shared" si="27"/>
        <v>0</v>
      </c>
      <c r="AN50" s="31">
        <f t="shared" si="28"/>
        <v>0</v>
      </c>
      <c r="AO50" s="32" t="s">
        <v>349</v>
      </c>
      <c r="AP50" s="32" t="s">
        <v>356</v>
      </c>
      <c r="AQ50" s="24" t="s">
        <v>358</v>
      </c>
      <c r="AS50" s="31">
        <f t="shared" si="29"/>
        <v>0</v>
      </c>
      <c r="AT50" s="31">
        <f t="shared" si="30"/>
        <v>0</v>
      </c>
      <c r="AU50" s="31">
        <v>0</v>
      </c>
      <c r="AV50" s="31">
        <f t="shared" si="31"/>
        <v>0</v>
      </c>
    </row>
    <row r="51" spans="1:48" ht="12.75">
      <c r="A51" s="4" t="s">
        <v>43</v>
      </c>
      <c r="B51" s="4"/>
      <c r="C51" s="4" t="s">
        <v>142</v>
      </c>
      <c r="D51" s="4" t="s">
        <v>248</v>
      </c>
      <c r="E51" s="4" t="s">
        <v>312</v>
      </c>
      <c r="F51" s="16">
        <v>200</v>
      </c>
      <c r="G51" s="16"/>
      <c r="H51" s="16"/>
      <c r="I51" s="16"/>
      <c r="J51" s="16"/>
      <c r="K51" s="16"/>
      <c r="L51" s="16"/>
      <c r="M51" s="27" t="s">
        <v>336</v>
      </c>
      <c r="P51" s="31">
        <f t="shared" si="16"/>
        <v>0</v>
      </c>
      <c r="R51" s="31">
        <f t="shared" si="17"/>
        <v>0</v>
      </c>
      <c r="S51" s="31">
        <f t="shared" si="18"/>
        <v>0</v>
      </c>
      <c r="T51" s="31">
        <f t="shared" si="19"/>
        <v>0</v>
      </c>
      <c r="U51" s="31">
        <f t="shared" si="20"/>
        <v>0</v>
      </c>
      <c r="V51" s="31">
        <f t="shared" si="21"/>
        <v>0</v>
      </c>
      <c r="W51" s="31">
        <f t="shared" si="22"/>
        <v>0</v>
      </c>
      <c r="X51" s="31">
        <f t="shared" si="23"/>
        <v>0</v>
      </c>
      <c r="Y51" s="24"/>
      <c r="Z51" s="16">
        <f t="shared" si="24"/>
        <v>0</v>
      </c>
      <c r="AA51" s="16">
        <f t="shared" si="25"/>
        <v>0</v>
      </c>
      <c r="AB51" s="16">
        <f t="shared" si="26"/>
        <v>0</v>
      </c>
      <c r="AD51" s="31">
        <v>21</v>
      </c>
      <c r="AE51" s="31">
        <f>G51*0.517295164694009</f>
        <v>0</v>
      </c>
      <c r="AF51" s="31">
        <f>G51*(1-0.517295164694009)</f>
        <v>0</v>
      </c>
      <c r="AG51" s="27" t="s">
        <v>13</v>
      </c>
      <c r="AM51" s="31">
        <f t="shared" si="27"/>
        <v>0</v>
      </c>
      <c r="AN51" s="31">
        <f t="shared" si="28"/>
        <v>0</v>
      </c>
      <c r="AO51" s="32" t="s">
        <v>349</v>
      </c>
      <c r="AP51" s="32" t="s">
        <v>356</v>
      </c>
      <c r="AQ51" s="24" t="s">
        <v>358</v>
      </c>
      <c r="AS51" s="31">
        <f t="shared" si="29"/>
        <v>0</v>
      </c>
      <c r="AT51" s="31">
        <f t="shared" si="30"/>
        <v>0</v>
      </c>
      <c r="AU51" s="31">
        <v>0</v>
      </c>
      <c r="AV51" s="31">
        <f t="shared" si="31"/>
        <v>0</v>
      </c>
    </row>
    <row r="52" spans="1:48" ht="12.75">
      <c r="A52" s="4" t="s">
        <v>44</v>
      </c>
      <c r="B52" s="4"/>
      <c r="C52" s="4" t="s">
        <v>143</v>
      </c>
      <c r="D52" s="4" t="s">
        <v>249</v>
      </c>
      <c r="E52" s="4" t="s">
        <v>312</v>
      </c>
      <c r="F52" s="16">
        <v>100</v>
      </c>
      <c r="G52" s="16"/>
      <c r="H52" s="16"/>
      <c r="I52" s="16"/>
      <c r="J52" s="16"/>
      <c r="K52" s="16"/>
      <c r="L52" s="16"/>
      <c r="M52" s="27" t="s">
        <v>336</v>
      </c>
      <c r="P52" s="31">
        <f t="shared" si="16"/>
        <v>0</v>
      </c>
      <c r="R52" s="31">
        <f t="shared" si="17"/>
        <v>0</v>
      </c>
      <c r="S52" s="31">
        <f t="shared" si="18"/>
        <v>0</v>
      </c>
      <c r="T52" s="31">
        <f t="shared" si="19"/>
        <v>0</v>
      </c>
      <c r="U52" s="31">
        <f t="shared" si="20"/>
        <v>0</v>
      </c>
      <c r="V52" s="31">
        <f t="shared" si="21"/>
        <v>0</v>
      </c>
      <c r="W52" s="31">
        <f t="shared" si="22"/>
        <v>0</v>
      </c>
      <c r="X52" s="31">
        <f t="shared" si="23"/>
        <v>0</v>
      </c>
      <c r="Y52" s="24"/>
      <c r="Z52" s="16">
        <f t="shared" si="24"/>
        <v>0</v>
      </c>
      <c r="AA52" s="16">
        <f t="shared" si="25"/>
        <v>0</v>
      </c>
      <c r="AB52" s="16">
        <f t="shared" si="26"/>
        <v>0</v>
      </c>
      <c r="AD52" s="31">
        <v>21</v>
      </c>
      <c r="AE52" s="31">
        <f>G52*0.521069958847737</f>
        <v>0</v>
      </c>
      <c r="AF52" s="31">
        <f>G52*(1-0.521069958847737)</f>
        <v>0</v>
      </c>
      <c r="AG52" s="27" t="s">
        <v>13</v>
      </c>
      <c r="AM52" s="31">
        <f t="shared" si="27"/>
        <v>0</v>
      </c>
      <c r="AN52" s="31">
        <f t="shared" si="28"/>
        <v>0</v>
      </c>
      <c r="AO52" s="32" t="s">
        <v>349</v>
      </c>
      <c r="AP52" s="32" t="s">
        <v>356</v>
      </c>
      <c r="AQ52" s="24" t="s">
        <v>358</v>
      </c>
      <c r="AS52" s="31">
        <f t="shared" si="29"/>
        <v>0</v>
      </c>
      <c r="AT52" s="31">
        <f t="shared" si="30"/>
        <v>0</v>
      </c>
      <c r="AU52" s="31">
        <v>0</v>
      </c>
      <c r="AV52" s="31">
        <f t="shared" si="31"/>
        <v>0</v>
      </c>
    </row>
    <row r="53" spans="1:48" ht="12.75">
      <c r="A53" s="4" t="s">
        <v>45</v>
      </c>
      <c r="B53" s="4"/>
      <c r="C53" s="4" t="s">
        <v>144</v>
      </c>
      <c r="D53" s="4" t="s">
        <v>250</v>
      </c>
      <c r="E53" s="4" t="s">
        <v>312</v>
      </c>
      <c r="F53" s="16">
        <v>30</v>
      </c>
      <c r="G53" s="16"/>
      <c r="H53" s="16"/>
      <c r="I53" s="16"/>
      <c r="J53" s="16"/>
      <c r="K53" s="16"/>
      <c r="L53" s="16"/>
      <c r="M53" s="27" t="s">
        <v>336</v>
      </c>
      <c r="P53" s="31">
        <f t="shared" si="16"/>
        <v>0</v>
      </c>
      <c r="R53" s="31">
        <f t="shared" si="17"/>
        <v>0</v>
      </c>
      <c r="S53" s="31">
        <f t="shared" si="18"/>
        <v>0</v>
      </c>
      <c r="T53" s="31">
        <f t="shared" si="19"/>
        <v>0</v>
      </c>
      <c r="U53" s="31">
        <f t="shared" si="20"/>
        <v>0</v>
      </c>
      <c r="V53" s="31">
        <f t="shared" si="21"/>
        <v>0</v>
      </c>
      <c r="W53" s="31">
        <f t="shared" si="22"/>
        <v>0</v>
      </c>
      <c r="X53" s="31">
        <f t="shared" si="23"/>
        <v>0</v>
      </c>
      <c r="Y53" s="24"/>
      <c r="Z53" s="16">
        <f t="shared" si="24"/>
        <v>0</v>
      </c>
      <c r="AA53" s="16">
        <f t="shared" si="25"/>
        <v>0</v>
      </c>
      <c r="AB53" s="16">
        <f t="shared" si="26"/>
        <v>0</v>
      </c>
      <c r="AD53" s="31">
        <v>21</v>
      </c>
      <c r="AE53" s="31">
        <f>G53*0.536725240791118</f>
        <v>0</v>
      </c>
      <c r="AF53" s="31">
        <f>G53*(1-0.536725240791118)</f>
        <v>0</v>
      </c>
      <c r="AG53" s="27" t="s">
        <v>13</v>
      </c>
      <c r="AM53" s="31">
        <f t="shared" si="27"/>
        <v>0</v>
      </c>
      <c r="AN53" s="31">
        <f t="shared" si="28"/>
        <v>0</v>
      </c>
      <c r="AO53" s="32" t="s">
        <v>349</v>
      </c>
      <c r="AP53" s="32" t="s">
        <v>356</v>
      </c>
      <c r="AQ53" s="24" t="s">
        <v>358</v>
      </c>
      <c r="AS53" s="31">
        <f t="shared" si="29"/>
        <v>0</v>
      </c>
      <c r="AT53" s="31">
        <f t="shared" si="30"/>
        <v>0</v>
      </c>
      <c r="AU53" s="31">
        <v>0</v>
      </c>
      <c r="AV53" s="31">
        <f t="shared" si="31"/>
        <v>0</v>
      </c>
    </row>
    <row r="54" spans="1:48" ht="12.75">
      <c r="A54" s="4" t="s">
        <v>46</v>
      </c>
      <c r="B54" s="4"/>
      <c r="C54" s="4" t="s">
        <v>145</v>
      </c>
      <c r="D54" s="4" t="s">
        <v>251</v>
      </c>
      <c r="E54" s="4" t="s">
        <v>312</v>
      </c>
      <c r="F54" s="16">
        <v>95</v>
      </c>
      <c r="G54" s="16"/>
      <c r="H54" s="16"/>
      <c r="I54" s="16"/>
      <c r="J54" s="16"/>
      <c r="K54" s="16"/>
      <c r="L54" s="16"/>
      <c r="M54" s="27" t="s">
        <v>336</v>
      </c>
      <c r="P54" s="31">
        <f t="shared" si="16"/>
        <v>0</v>
      </c>
      <c r="R54" s="31">
        <f t="shared" si="17"/>
        <v>0</v>
      </c>
      <c r="S54" s="31">
        <f t="shared" si="18"/>
        <v>0</v>
      </c>
      <c r="T54" s="31">
        <f t="shared" si="19"/>
        <v>0</v>
      </c>
      <c r="U54" s="31">
        <f t="shared" si="20"/>
        <v>0</v>
      </c>
      <c r="V54" s="31">
        <f t="shared" si="21"/>
        <v>0</v>
      </c>
      <c r="W54" s="31">
        <f t="shared" si="22"/>
        <v>0</v>
      </c>
      <c r="X54" s="31">
        <f t="shared" si="23"/>
        <v>0</v>
      </c>
      <c r="Y54" s="24"/>
      <c r="Z54" s="16">
        <f t="shared" si="24"/>
        <v>0</v>
      </c>
      <c r="AA54" s="16">
        <f t="shared" si="25"/>
        <v>0</v>
      </c>
      <c r="AB54" s="16">
        <f t="shared" si="26"/>
        <v>0</v>
      </c>
      <c r="AD54" s="31">
        <v>21</v>
      </c>
      <c r="AE54" s="31">
        <f>G54*0.532365930599369</f>
        <v>0</v>
      </c>
      <c r="AF54" s="31">
        <f>G54*(1-0.532365930599369)</f>
        <v>0</v>
      </c>
      <c r="AG54" s="27" t="s">
        <v>13</v>
      </c>
      <c r="AM54" s="31">
        <f t="shared" si="27"/>
        <v>0</v>
      </c>
      <c r="AN54" s="31">
        <f t="shared" si="28"/>
        <v>0</v>
      </c>
      <c r="AO54" s="32" t="s">
        <v>349</v>
      </c>
      <c r="AP54" s="32" t="s">
        <v>356</v>
      </c>
      <c r="AQ54" s="24" t="s">
        <v>358</v>
      </c>
      <c r="AS54" s="31">
        <f t="shared" si="29"/>
        <v>0</v>
      </c>
      <c r="AT54" s="31">
        <f t="shared" si="30"/>
        <v>0</v>
      </c>
      <c r="AU54" s="31">
        <v>0</v>
      </c>
      <c r="AV54" s="31">
        <f t="shared" si="31"/>
        <v>0</v>
      </c>
    </row>
    <row r="55" spans="1:48" ht="12.75">
      <c r="A55" s="4" t="s">
        <v>47</v>
      </c>
      <c r="B55" s="4"/>
      <c r="C55" s="4" t="s">
        <v>146</v>
      </c>
      <c r="D55" s="4" t="s">
        <v>252</v>
      </c>
      <c r="E55" s="4" t="s">
        <v>314</v>
      </c>
      <c r="F55" s="16">
        <v>61</v>
      </c>
      <c r="G55" s="16"/>
      <c r="H55" s="16"/>
      <c r="I55" s="16"/>
      <c r="J55" s="16"/>
      <c r="K55" s="16"/>
      <c r="L55" s="16"/>
      <c r="M55" s="27" t="s">
        <v>336</v>
      </c>
      <c r="P55" s="31">
        <f t="shared" si="16"/>
        <v>0</v>
      </c>
      <c r="R55" s="31">
        <f t="shared" si="17"/>
        <v>0</v>
      </c>
      <c r="S55" s="31">
        <f t="shared" si="18"/>
        <v>0</v>
      </c>
      <c r="T55" s="31">
        <f t="shared" si="19"/>
        <v>0</v>
      </c>
      <c r="U55" s="31">
        <f t="shared" si="20"/>
        <v>0</v>
      </c>
      <c r="V55" s="31">
        <f t="shared" si="21"/>
        <v>0</v>
      </c>
      <c r="W55" s="31">
        <f t="shared" si="22"/>
        <v>0</v>
      </c>
      <c r="X55" s="31">
        <f t="shared" si="23"/>
        <v>0</v>
      </c>
      <c r="Y55" s="24"/>
      <c r="Z55" s="16">
        <f t="shared" si="24"/>
        <v>0</v>
      </c>
      <c r="AA55" s="16">
        <f t="shared" si="25"/>
        <v>0</v>
      </c>
      <c r="AB55" s="16">
        <f t="shared" si="26"/>
        <v>0</v>
      </c>
      <c r="AD55" s="31">
        <v>21</v>
      </c>
      <c r="AE55" s="31">
        <f>G55*0.648712446351931</f>
        <v>0</v>
      </c>
      <c r="AF55" s="31">
        <f>G55*(1-0.648712446351931)</f>
        <v>0</v>
      </c>
      <c r="AG55" s="27" t="s">
        <v>13</v>
      </c>
      <c r="AM55" s="31">
        <f t="shared" si="27"/>
        <v>0</v>
      </c>
      <c r="AN55" s="31">
        <f t="shared" si="28"/>
        <v>0</v>
      </c>
      <c r="AO55" s="32" t="s">
        <v>349</v>
      </c>
      <c r="AP55" s="32" t="s">
        <v>356</v>
      </c>
      <c r="AQ55" s="24" t="s">
        <v>358</v>
      </c>
      <c r="AS55" s="31">
        <f t="shared" si="29"/>
        <v>0</v>
      </c>
      <c r="AT55" s="31">
        <f t="shared" si="30"/>
        <v>0</v>
      </c>
      <c r="AU55" s="31">
        <v>0</v>
      </c>
      <c r="AV55" s="31">
        <f t="shared" si="31"/>
        <v>0</v>
      </c>
    </row>
    <row r="56" spans="1:48" ht="12.75">
      <c r="A56" s="4" t="s">
        <v>48</v>
      </c>
      <c r="B56" s="4"/>
      <c r="C56" s="4" t="s">
        <v>147</v>
      </c>
      <c r="D56" s="4" t="s">
        <v>253</v>
      </c>
      <c r="E56" s="4" t="s">
        <v>311</v>
      </c>
      <c r="F56" s="16">
        <v>44</v>
      </c>
      <c r="G56" s="16"/>
      <c r="H56" s="16"/>
      <c r="I56" s="16"/>
      <c r="J56" s="16"/>
      <c r="K56" s="16"/>
      <c r="L56" s="16"/>
      <c r="M56" s="27" t="s">
        <v>336</v>
      </c>
      <c r="P56" s="31">
        <f t="shared" si="16"/>
        <v>0</v>
      </c>
      <c r="R56" s="31">
        <f t="shared" si="17"/>
        <v>0</v>
      </c>
      <c r="S56" s="31">
        <f t="shared" si="18"/>
        <v>0</v>
      </c>
      <c r="T56" s="31">
        <f t="shared" si="19"/>
        <v>0</v>
      </c>
      <c r="U56" s="31">
        <f t="shared" si="20"/>
        <v>0</v>
      </c>
      <c r="V56" s="31">
        <f t="shared" si="21"/>
        <v>0</v>
      </c>
      <c r="W56" s="31">
        <f t="shared" si="22"/>
        <v>0</v>
      </c>
      <c r="X56" s="31">
        <f t="shared" si="23"/>
        <v>0</v>
      </c>
      <c r="Y56" s="24"/>
      <c r="Z56" s="16">
        <f t="shared" si="24"/>
        <v>0</v>
      </c>
      <c r="AA56" s="16">
        <f t="shared" si="25"/>
        <v>0</v>
      </c>
      <c r="AB56" s="16">
        <f t="shared" si="26"/>
        <v>0</v>
      </c>
      <c r="AD56" s="31">
        <v>21</v>
      </c>
      <c r="AE56" s="31">
        <f>G56*0.499086294416244</f>
        <v>0</v>
      </c>
      <c r="AF56" s="31">
        <f>G56*(1-0.499086294416244)</f>
        <v>0</v>
      </c>
      <c r="AG56" s="27" t="s">
        <v>13</v>
      </c>
      <c r="AM56" s="31">
        <f t="shared" si="27"/>
        <v>0</v>
      </c>
      <c r="AN56" s="31">
        <f t="shared" si="28"/>
        <v>0</v>
      </c>
      <c r="AO56" s="32" t="s">
        <v>349</v>
      </c>
      <c r="AP56" s="32" t="s">
        <v>356</v>
      </c>
      <c r="AQ56" s="24" t="s">
        <v>358</v>
      </c>
      <c r="AS56" s="31">
        <f t="shared" si="29"/>
        <v>0</v>
      </c>
      <c r="AT56" s="31">
        <f t="shared" si="30"/>
        <v>0</v>
      </c>
      <c r="AU56" s="31">
        <v>0</v>
      </c>
      <c r="AV56" s="31">
        <f t="shared" si="31"/>
        <v>0</v>
      </c>
    </row>
    <row r="57" spans="1:48" ht="12.75">
      <c r="A57" s="4" t="s">
        <v>49</v>
      </c>
      <c r="B57" s="4"/>
      <c r="C57" s="4" t="s">
        <v>148</v>
      </c>
      <c r="D57" s="4" t="s">
        <v>254</v>
      </c>
      <c r="E57" s="4" t="s">
        <v>315</v>
      </c>
      <c r="F57" s="16">
        <v>7</v>
      </c>
      <c r="G57" s="16"/>
      <c r="H57" s="16"/>
      <c r="I57" s="16"/>
      <c r="J57" s="16"/>
      <c r="K57" s="16"/>
      <c r="L57" s="16"/>
      <c r="M57" s="27" t="s">
        <v>336</v>
      </c>
      <c r="P57" s="31">
        <f t="shared" si="16"/>
        <v>0</v>
      </c>
      <c r="R57" s="31">
        <f t="shared" si="17"/>
        <v>0</v>
      </c>
      <c r="S57" s="31">
        <f t="shared" si="18"/>
        <v>0</v>
      </c>
      <c r="T57" s="31">
        <f t="shared" si="19"/>
        <v>0</v>
      </c>
      <c r="U57" s="31">
        <f t="shared" si="20"/>
        <v>0</v>
      </c>
      <c r="V57" s="31">
        <f t="shared" si="21"/>
        <v>0</v>
      </c>
      <c r="W57" s="31">
        <f t="shared" si="22"/>
        <v>0</v>
      </c>
      <c r="X57" s="31">
        <f t="shared" si="23"/>
        <v>0</v>
      </c>
      <c r="Y57" s="24"/>
      <c r="Z57" s="16">
        <f t="shared" si="24"/>
        <v>0</v>
      </c>
      <c r="AA57" s="16">
        <f t="shared" si="25"/>
        <v>0</v>
      </c>
      <c r="AB57" s="16">
        <f t="shared" si="26"/>
        <v>0</v>
      </c>
      <c r="AD57" s="31">
        <v>21</v>
      </c>
      <c r="AE57" s="31">
        <f>G57*0.505977301387137</f>
        <v>0</v>
      </c>
      <c r="AF57" s="31">
        <f>G57*(1-0.505977301387137)</f>
        <v>0</v>
      </c>
      <c r="AG57" s="27" t="s">
        <v>13</v>
      </c>
      <c r="AM57" s="31">
        <f t="shared" si="27"/>
        <v>0</v>
      </c>
      <c r="AN57" s="31">
        <f t="shared" si="28"/>
        <v>0</v>
      </c>
      <c r="AO57" s="32" t="s">
        <v>349</v>
      </c>
      <c r="AP57" s="32" t="s">
        <v>356</v>
      </c>
      <c r="AQ57" s="24" t="s">
        <v>358</v>
      </c>
      <c r="AS57" s="31">
        <f t="shared" si="29"/>
        <v>0</v>
      </c>
      <c r="AT57" s="31">
        <f t="shared" si="30"/>
        <v>0</v>
      </c>
      <c r="AU57" s="31">
        <v>0</v>
      </c>
      <c r="AV57" s="31">
        <f t="shared" si="31"/>
        <v>0</v>
      </c>
    </row>
    <row r="58" spans="1:48" ht="12.75">
      <c r="A58" s="4" t="s">
        <v>50</v>
      </c>
      <c r="B58" s="4"/>
      <c r="C58" s="4" t="s">
        <v>149</v>
      </c>
      <c r="D58" s="4" t="s">
        <v>255</v>
      </c>
      <c r="E58" s="4" t="s">
        <v>311</v>
      </c>
      <c r="F58" s="16">
        <v>17</v>
      </c>
      <c r="G58" s="16"/>
      <c r="H58" s="16"/>
      <c r="I58" s="16"/>
      <c r="J58" s="16"/>
      <c r="K58" s="16"/>
      <c r="L58" s="16"/>
      <c r="M58" s="27" t="s">
        <v>336</v>
      </c>
      <c r="P58" s="31">
        <f t="shared" si="16"/>
        <v>0</v>
      </c>
      <c r="R58" s="31">
        <f t="shared" si="17"/>
        <v>0</v>
      </c>
      <c r="S58" s="31">
        <f t="shared" si="18"/>
        <v>0</v>
      </c>
      <c r="T58" s="31">
        <f t="shared" si="19"/>
        <v>0</v>
      </c>
      <c r="U58" s="31">
        <f t="shared" si="20"/>
        <v>0</v>
      </c>
      <c r="V58" s="31">
        <f t="shared" si="21"/>
        <v>0</v>
      </c>
      <c r="W58" s="31">
        <f t="shared" si="22"/>
        <v>0</v>
      </c>
      <c r="X58" s="31">
        <f t="shared" si="23"/>
        <v>0</v>
      </c>
      <c r="Y58" s="24"/>
      <c r="Z58" s="16">
        <f t="shared" si="24"/>
        <v>0</v>
      </c>
      <c r="AA58" s="16">
        <f t="shared" si="25"/>
        <v>0</v>
      </c>
      <c r="AB58" s="16">
        <f t="shared" si="26"/>
        <v>0</v>
      </c>
      <c r="AD58" s="31">
        <v>21</v>
      </c>
      <c r="AE58" s="31">
        <f>G58*0.793161875945537</f>
        <v>0</v>
      </c>
      <c r="AF58" s="31">
        <f>G58*(1-0.793161875945537)</f>
        <v>0</v>
      </c>
      <c r="AG58" s="27" t="s">
        <v>13</v>
      </c>
      <c r="AM58" s="31">
        <f t="shared" si="27"/>
        <v>0</v>
      </c>
      <c r="AN58" s="31">
        <f t="shared" si="28"/>
        <v>0</v>
      </c>
      <c r="AO58" s="32" t="s">
        <v>349</v>
      </c>
      <c r="AP58" s="32" t="s">
        <v>356</v>
      </c>
      <c r="AQ58" s="24" t="s">
        <v>358</v>
      </c>
      <c r="AS58" s="31">
        <f t="shared" si="29"/>
        <v>0</v>
      </c>
      <c r="AT58" s="31">
        <f t="shared" si="30"/>
        <v>0</v>
      </c>
      <c r="AU58" s="31">
        <v>0</v>
      </c>
      <c r="AV58" s="31">
        <f t="shared" si="31"/>
        <v>0</v>
      </c>
    </row>
    <row r="59" spans="1:48" ht="12.75">
      <c r="A59" s="4" t="s">
        <v>51</v>
      </c>
      <c r="B59" s="4"/>
      <c r="C59" s="4" t="s">
        <v>150</v>
      </c>
      <c r="D59" s="4" t="s">
        <v>256</v>
      </c>
      <c r="E59" s="4" t="s">
        <v>311</v>
      </c>
      <c r="F59" s="16">
        <v>16</v>
      </c>
      <c r="G59" s="16"/>
      <c r="H59" s="16"/>
      <c r="I59" s="16"/>
      <c r="J59" s="16"/>
      <c r="K59" s="16"/>
      <c r="L59" s="16"/>
      <c r="M59" s="27" t="s">
        <v>336</v>
      </c>
      <c r="P59" s="31">
        <f t="shared" si="16"/>
        <v>0</v>
      </c>
      <c r="R59" s="31">
        <f t="shared" si="17"/>
        <v>0</v>
      </c>
      <c r="S59" s="31">
        <f t="shared" si="18"/>
        <v>0</v>
      </c>
      <c r="T59" s="31">
        <f t="shared" si="19"/>
        <v>0</v>
      </c>
      <c r="U59" s="31">
        <f t="shared" si="20"/>
        <v>0</v>
      </c>
      <c r="V59" s="31">
        <f t="shared" si="21"/>
        <v>0</v>
      </c>
      <c r="W59" s="31">
        <f t="shared" si="22"/>
        <v>0</v>
      </c>
      <c r="X59" s="31">
        <f t="shared" si="23"/>
        <v>0</v>
      </c>
      <c r="Y59" s="24"/>
      <c r="Z59" s="16">
        <f t="shared" si="24"/>
        <v>0</v>
      </c>
      <c r="AA59" s="16">
        <f t="shared" si="25"/>
        <v>0</v>
      </c>
      <c r="AB59" s="16">
        <f t="shared" si="26"/>
        <v>0</v>
      </c>
      <c r="AD59" s="31">
        <v>21</v>
      </c>
      <c r="AE59" s="31">
        <f>G59*0.803279816513761</f>
        <v>0</v>
      </c>
      <c r="AF59" s="31">
        <f>G59*(1-0.803279816513761)</f>
        <v>0</v>
      </c>
      <c r="AG59" s="27" t="s">
        <v>13</v>
      </c>
      <c r="AM59" s="31">
        <f t="shared" si="27"/>
        <v>0</v>
      </c>
      <c r="AN59" s="31">
        <f t="shared" si="28"/>
        <v>0</v>
      </c>
      <c r="AO59" s="32" t="s">
        <v>349</v>
      </c>
      <c r="AP59" s="32" t="s">
        <v>356</v>
      </c>
      <c r="AQ59" s="24" t="s">
        <v>358</v>
      </c>
      <c r="AS59" s="31">
        <f t="shared" si="29"/>
        <v>0</v>
      </c>
      <c r="AT59" s="31">
        <f t="shared" si="30"/>
        <v>0</v>
      </c>
      <c r="AU59" s="31">
        <v>0</v>
      </c>
      <c r="AV59" s="31">
        <f t="shared" si="31"/>
        <v>0</v>
      </c>
    </row>
    <row r="60" spans="1:48" ht="12.75">
      <c r="A60" s="4" t="s">
        <v>52</v>
      </c>
      <c r="B60" s="4"/>
      <c r="C60" s="4" t="s">
        <v>151</v>
      </c>
      <c r="D60" s="4" t="s">
        <v>257</v>
      </c>
      <c r="E60" s="4" t="s">
        <v>311</v>
      </c>
      <c r="F60" s="16">
        <v>26</v>
      </c>
      <c r="G60" s="16"/>
      <c r="H60" s="16"/>
      <c r="I60" s="16"/>
      <c r="J60" s="16"/>
      <c r="K60" s="16"/>
      <c r="L60" s="16"/>
      <c r="M60" s="27" t="s">
        <v>336</v>
      </c>
      <c r="P60" s="31">
        <f t="shared" si="16"/>
        <v>0</v>
      </c>
      <c r="R60" s="31">
        <f t="shared" si="17"/>
        <v>0</v>
      </c>
      <c r="S60" s="31">
        <f t="shared" si="18"/>
        <v>0</v>
      </c>
      <c r="T60" s="31">
        <f t="shared" si="19"/>
        <v>0</v>
      </c>
      <c r="U60" s="31">
        <f t="shared" si="20"/>
        <v>0</v>
      </c>
      <c r="V60" s="31">
        <f t="shared" si="21"/>
        <v>0</v>
      </c>
      <c r="W60" s="31">
        <f t="shared" si="22"/>
        <v>0</v>
      </c>
      <c r="X60" s="31">
        <f t="shared" si="23"/>
        <v>0</v>
      </c>
      <c r="Y60" s="24"/>
      <c r="Z60" s="16">
        <f t="shared" si="24"/>
        <v>0</v>
      </c>
      <c r="AA60" s="16">
        <f t="shared" si="25"/>
        <v>0</v>
      </c>
      <c r="AB60" s="16">
        <f t="shared" si="26"/>
        <v>0</v>
      </c>
      <c r="AD60" s="31">
        <v>21</v>
      </c>
      <c r="AE60" s="31">
        <f>G60*0.848061389337641</f>
        <v>0</v>
      </c>
      <c r="AF60" s="31">
        <f>G60*(1-0.848061389337641)</f>
        <v>0</v>
      </c>
      <c r="AG60" s="27" t="s">
        <v>13</v>
      </c>
      <c r="AM60" s="31">
        <f t="shared" si="27"/>
        <v>0</v>
      </c>
      <c r="AN60" s="31">
        <f t="shared" si="28"/>
        <v>0</v>
      </c>
      <c r="AO60" s="32" t="s">
        <v>349</v>
      </c>
      <c r="AP60" s="32" t="s">
        <v>356</v>
      </c>
      <c r="AQ60" s="24" t="s">
        <v>358</v>
      </c>
      <c r="AS60" s="31">
        <f t="shared" si="29"/>
        <v>0</v>
      </c>
      <c r="AT60" s="31">
        <f t="shared" si="30"/>
        <v>0</v>
      </c>
      <c r="AU60" s="31">
        <v>0</v>
      </c>
      <c r="AV60" s="31">
        <f t="shared" si="31"/>
        <v>0</v>
      </c>
    </row>
    <row r="61" spans="1:48" ht="12.75">
      <c r="A61" s="4" t="s">
        <v>53</v>
      </c>
      <c r="B61" s="4"/>
      <c r="C61" s="4" t="s">
        <v>152</v>
      </c>
      <c r="D61" s="4" t="s">
        <v>258</v>
      </c>
      <c r="E61" s="4" t="s">
        <v>311</v>
      </c>
      <c r="F61" s="16">
        <v>4</v>
      </c>
      <c r="G61" s="16"/>
      <c r="H61" s="16"/>
      <c r="I61" s="16"/>
      <c r="J61" s="16"/>
      <c r="K61" s="16"/>
      <c r="L61" s="16"/>
      <c r="M61" s="27" t="s">
        <v>336</v>
      </c>
      <c r="P61" s="31">
        <f t="shared" si="16"/>
        <v>0</v>
      </c>
      <c r="R61" s="31">
        <f t="shared" si="17"/>
        <v>0</v>
      </c>
      <c r="S61" s="31">
        <f t="shared" si="18"/>
        <v>0</v>
      </c>
      <c r="T61" s="31">
        <f t="shared" si="19"/>
        <v>0</v>
      </c>
      <c r="U61" s="31">
        <f t="shared" si="20"/>
        <v>0</v>
      </c>
      <c r="V61" s="31">
        <f t="shared" si="21"/>
        <v>0</v>
      </c>
      <c r="W61" s="31">
        <f t="shared" si="22"/>
        <v>0</v>
      </c>
      <c r="X61" s="31">
        <f t="shared" si="23"/>
        <v>0</v>
      </c>
      <c r="Y61" s="24"/>
      <c r="Z61" s="16">
        <f t="shared" si="24"/>
        <v>0</v>
      </c>
      <c r="AA61" s="16">
        <f t="shared" si="25"/>
        <v>0</v>
      </c>
      <c r="AB61" s="16">
        <f t="shared" si="26"/>
        <v>0</v>
      </c>
      <c r="AD61" s="31">
        <v>21</v>
      </c>
      <c r="AE61" s="31">
        <f>G61*0.877994966442953</f>
        <v>0</v>
      </c>
      <c r="AF61" s="31">
        <f>G61*(1-0.877994966442953)</f>
        <v>0</v>
      </c>
      <c r="AG61" s="27" t="s">
        <v>13</v>
      </c>
      <c r="AM61" s="31">
        <f t="shared" si="27"/>
        <v>0</v>
      </c>
      <c r="AN61" s="31">
        <f t="shared" si="28"/>
        <v>0</v>
      </c>
      <c r="AO61" s="32" t="s">
        <v>349</v>
      </c>
      <c r="AP61" s="32" t="s">
        <v>356</v>
      </c>
      <c r="AQ61" s="24" t="s">
        <v>358</v>
      </c>
      <c r="AS61" s="31">
        <f t="shared" si="29"/>
        <v>0</v>
      </c>
      <c r="AT61" s="31">
        <f t="shared" si="30"/>
        <v>0</v>
      </c>
      <c r="AU61" s="31">
        <v>0</v>
      </c>
      <c r="AV61" s="31">
        <f t="shared" si="31"/>
        <v>0</v>
      </c>
    </row>
    <row r="62" spans="1:48" ht="12.75">
      <c r="A62" s="4" t="s">
        <v>54</v>
      </c>
      <c r="B62" s="4"/>
      <c r="C62" s="4" t="s">
        <v>153</v>
      </c>
      <c r="D62" s="4" t="s">
        <v>259</v>
      </c>
      <c r="E62" s="4" t="s">
        <v>311</v>
      </c>
      <c r="F62" s="16">
        <v>2</v>
      </c>
      <c r="G62" s="16"/>
      <c r="H62" s="16"/>
      <c r="I62" s="16"/>
      <c r="J62" s="16"/>
      <c r="K62" s="16"/>
      <c r="L62" s="16"/>
      <c r="M62" s="27" t="s">
        <v>336</v>
      </c>
      <c r="P62" s="31">
        <f t="shared" si="16"/>
        <v>0</v>
      </c>
      <c r="R62" s="31">
        <f t="shared" si="17"/>
        <v>0</v>
      </c>
      <c r="S62" s="31">
        <f t="shared" si="18"/>
        <v>0</v>
      </c>
      <c r="T62" s="31">
        <f t="shared" si="19"/>
        <v>0</v>
      </c>
      <c r="U62" s="31">
        <f t="shared" si="20"/>
        <v>0</v>
      </c>
      <c r="V62" s="31">
        <f t="shared" si="21"/>
        <v>0</v>
      </c>
      <c r="W62" s="31">
        <f t="shared" si="22"/>
        <v>0</v>
      </c>
      <c r="X62" s="31">
        <f t="shared" si="23"/>
        <v>0</v>
      </c>
      <c r="Y62" s="24"/>
      <c r="Z62" s="16">
        <f t="shared" si="24"/>
        <v>0</v>
      </c>
      <c r="AA62" s="16">
        <f t="shared" si="25"/>
        <v>0</v>
      </c>
      <c r="AB62" s="16">
        <f t="shared" si="26"/>
        <v>0</v>
      </c>
      <c r="AD62" s="31">
        <v>21</v>
      </c>
      <c r="AE62" s="31">
        <f>G62*0.928841117167226</f>
        <v>0</v>
      </c>
      <c r="AF62" s="31">
        <f>G62*(1-0.928841117167226)</f>
        <v>0</v>
      </c>
      <c r="AG62" s="27" t="s">
        <v>13</v>
      </c>
      <c r="AM62" s="31">
        <f t="shared" si="27"/>
        <v>0</v>
      </c>
      <c r="AN62" s="31">
        <f t="shared" si="28"/>
        <v>0</v>
      </c>
      <c r="AO62" s="32" t="s">
        <v>349</v>
      </c>
      <c r="AP62" s="32" t="s">
        <v>356</v>
      </c>
      <c r="AQ62" s="24" t="s">
        <v>358</v>
      </c>
      <c r="AS62" s="31">
        <f t="shared" si="29"/>
        <v>0</v>
      </c>
      <c r="AT62" s="31">
        <f t="shared" si="30"/>
        <v>0</v>
      </c>
      <c r="AU62" s="31">
        <v>0</v>
      </c>
      <c r="AV62" s="31">
        <f t="shared" si="31"/>
        <v>0</v>
      </c>
    </row>
    <row r="63" spans="1:48" ht="12.75">
      <c r="A63" s="4" t="s">
        <v>55</v>
      </c>
      <c r="B63" s="4"/>
      <c r="C63" s="4" t="s">
        <v>154</v>
      </c>
      <c r="D63" s="4" t="s">
        <v>260</v>
      </c>
      <c r="E63" s="4" t="s">
        <v>312</v>
      </c>
      <c r="F63" s="16">
        <v>685</v>
      </c>
      <c r="G63" s="16"/>
      <c r="H63" s="16"/>
      <c r="I63" s="16"/>
      <c r="J63" s="16"/>
      <c r="K63" s="16"/>
      <c r="L63" s="16"/>
      <c r="M63" s="27" t="s">
        <v>336</v>
      </c>
      <c r="P63" s="31">
        <f t="shared" si="16"/>
        <v>0</v>
      </c>
      <c r="R63" s="31">
        <f t="shared" si="17"/>
        <v>0</v>
      </c>
      <c r="S63" s="31">
        <f t="shared" si="18"/>
        <v>0</v>
      </c>
      <c r="T63" s="31">
        <f t="shared" si="19"/>
        <v>0</v>
      </c>
      <c r="U63" s="31">
        <f t="shared" si="20"/>
        <v>0</v>
      </c>
      <c r="V63" s="31">
        <f t="shared" si="21"/>
        <v>0</v>
      </c>
      <c r="W63" s="31">
        <f t="shared" si="22"/>
        <v>0</v>
      </c>
      <c r="X63" s="31">
        <f t="shared" si="23"/>
        <v>0</v>
      </c>
      <c r="Y63" s="24"/>
      <c r="Z63" s="16">
        <f t="shared" si="24"/>
        <v>0</v>
      </c>
      <c r="AA63" s="16">
        <f t="shared" si="25"/>
        <v>0</v>
      </c>
      <c r="AB63" s="16">
        <f t="shared" si="26"/>
        <v>0</v>
      </c>
      <c r="AD63" s="31">
        <v>21</v>
      </c>
      <c r="AE63" s="31">
        <f>G63*0.211428571428571</f>
        <v>0</v>
      </c>
      <c r="AF63" s="31">
        <f>G63*(1-0.211428571428571)</f>
        <v>0</v>
      </c>
      <c r="AG63" s="27" t="s">
        <v>13</v>
      </c>
      <c r="AM63" s="31">
        <f t="shared" si="27"/>
        <v>0</v>
      </c>
      <c r="AN63" s="31">
        <f t="shared" si="28"/>
        <v>0</v>
      </c>
      <c r="AO63" s="32" t="s">
        <v>349</v>
      </c>
      <c r="AP63" s="32" t="s">
        <v>356</v>
      </c>
      <c r="AQ63" s="24" t="s">
        <v>358</v>
      </c>
      <c r="AS63" s="31">
        <f t="shared" si="29"/>
        <v>0</v>
      </c>
      <c r="AT63" s="31">
        <f t="shared" si="30"/>
        <v>0</v>
      </c>
      <c r="AU63" s="31">
        <v>0</v>
      </c>
      <c r="AV63" s="31">
        <f t="shared" si="31"/>
        <v>0</v>
      </c>
    </row>
    <row r="64" spans="1:48" ht="12.75">
      <c r="A64" s="4" t="s">
        <v>56</v>
      </c>
      <c r="B64" s="4"/>
      <c r="C64" s="4" t="s">
        <v>155</v>
      </c>
      <c r="D64" s="4" t="s">
        <v>261</v>
      </c>
      <c r="E64" s="4" t="s">
        <v>312</v>
      </c>
      <c r="F64" s="16">
        <v>685</v>
      </c>
      <c r="G64" s="16"/>
      <c r="H64" s="16"/>
      <c r="I64" s="16"/>
      <c r="J64" s="16"/>
      <c r="K64" s="16"/>
      <c r="L64" s="16"/>
      <c r="M64" s="27" t="s">
        <v>336</v>
      </c>
      <c r="P64" s="31">
        <f t="shared" si="16"/>
        <v>0</v>
      </c>
      <c r="R64" s="31">
        <f t="shared" si="17"/>
        <v>0</v>
      </c>
      <c r="S64" s="31">
        <f t="shared" si="18"/>
        <v>0</v>
      </c>
      <c r="T64" s="31">
        <f t="shared" si="19"/>
        <v>0</v>
      </c>
      <c r="U64" s="31">
        <f t="shared" si="20"/>
        <v>0</v>
      </c>
      <c r="V64" s="31">
        <f t="shared" si="21"/>
        <v>0</v>
      </c>
      <c r="W64" s="31">
        <f t="shared" si="22"/>
        <v>0</v>
      </c>
      <c r="X64" s="31">
        <f t="shared" si="23"/>
        <v>0</v>
      </c>
      <c r="Y64" s="24"/>
      <c r="Z64" s="16">
        <f t="shared" si="24"/>
        <v>0</v>
      </c>
      <c r="AA64" s="16">
        <f t="shared" si="25"/>
        <v>0</v>
      </c>
      <c r="AB64" s="16">
        <f t="shared" si="26"/>
        <v>0</v>
      </c>
      <c r="AD64" s="31">
        <v>21</v>
      </c>
      <c r="AE64" s="31">
        <f>G64*0.0535055350553506</f>
        <v>0</v>
      </c>
      <c r="AF64" s="31">
        <f>G64*(1-0.0535055350553506)</f>
        <v>0</v>
      </c>
      <c r="AG64" s="27" t="s">
        <v>13</v>
      </c>
      <c r="AM64" s="31">
        <f t="shared" si="27"/>
        <v>0</v>
      </c>
      <c r="AN64" s="31">
        <f t="shared" si="28"/>
        <v>0</v>
      </c>
      <c r="AO64" s="32" t="s">
        <v>349</v>
      </c>
      <c r="AP64" s="32" t="s">
        <v>356</v>
      </c>
      <c r="AQ64" s="24" t="s">
        <v>358</v>
      </c>
      <c r="AS64" s="31">
        <f t="shared" si="29"/>
        <v>0</v>
      </c>
      <c r="AT64" s="31">
        <f t="shared" si="30"/>
        <v>0</v>
      </c>
      <c r="AU64" s="31">
        <v>0</v>
      </c>
      <c r="AV64" s="31">
        <f t="shared" si="31"/>
        <v>0</v>
      </c>
    </row>
    <row r="65" spans="1:48" ht="12.75">
      <c r="A65" s="4" t="s">
        <v>57</v>
      </c>
      <c r="B65" s="4"/>
      <c r="C65" s="4" t="s">
        <v>156</v>
      </c>
      <c r="D65" s="4" t="s">
        <v>262</v>
      </c>
      <c r="E65" s="4" t="s">
        <v>313</v>
      </c>
      <c r="F65" s="16">
        <v>300</v>
      </c>
      <c r="G65" s="16"/>
      <c r="H65" s="16"/>
      <c r="I65" s="16"/>
      <c r="J65" s="16"/>
      <c r="K65" s="16"/>
      <c r="L65" s="16"/>
      <c r="M65" s="27" t="s">
        <v>337</v>
      </c>
      <c r="P65" s="31">
        <f t="shared" si="16"/>
        <v>0</v>
      </c>
      <c r="R65" s="31">
        <f t="shared" si="17"/>
        <v>0</v>
      </c>
      <c r="S65" s="31">
        <f t="shared" si="18"/>
        <v>0</v>
      </c>
      <c r="T65" s="31">
        <f t="shared" si="19"/>
        <v>0</v>
      </c>
      <c r="U65" s="31">
        <f t="shared" si="20"/>
        <v>0</v>
      </c>
      <c r="V65" s="31">
        <f t="shared" si="21"/>
        <v>0</v>
      </c>
      <c r="W65" s="31">
        <f t="shared" si="22"/>
        <v>0</v>
      </c>
      <c r="X65" s="31">
        <f t="shared" si="23"/>
        <v>0</v>
      </c>
      <c r="Y65" s="24"/>
      <c r="Z65" s="16">
        <f t="shared" si="24"/>
        <v>0</v>
      </c>
      <c r="AA65" s="16">
        <f t="shared" si="25"/>
        <v>0</v>
      </c>
      <c r="AB65" s="16">
        <f t="shared" si="26"/>
        <v>0</v>
      </c>
      <c r="AD65" s="31">
        <v>21</v>
      </c>
      <c r="AE65" s="31">
        <f>G65*0.326828571428571</f>
        <v>0</v>
      </c>
      <c r="AF65" s="31">
        <f>G65*(1-0.326828571428571)</f>
        <v>0</v>
      </c>
      <c r="AG65" s="27" t="s">
        <v>13</v>
      </c>
      <c r="AM65" s="31">
        <f t="shared" si="27"/>
        <v>0</v>
      </c>
      <c r="AN65" s="31">
        <f t="shared" si="28"/>
        <v>0</v>
      </c>
      <c r="AO65" s="32" t="s">
        <v>349</v>
      </c>
      <c r="AP65" s="32" t="s">
        <v>356</v>
      </c>
      <c r="AQ65" s="24" t="s">
        <v>358</v>
      </c>
      <c r="AS65" s="31">
        <f t="shared" si="29"/>
        <v>0</v>
      </c>
      <c r="AT65" s="31">
        <f t="shared" si="30"/>
        <v>0</v>
      </c>
      <c r="AU65" s="31">
        <v>0</v>
      </c>
      <c r="AV65" s="31">
        <f t="shared" si="31"/>
        <v>0</v>
      </c>
    </row>
    <row r="66" spans="1:48" ht="12.75">
      <c r="A66" s="4" t="s">
        <v>58</v>
      </c>
      <c r="B66" s="4"/>
      <c r="C66" s="4" t="s">
        <v>157</v>
      </c>
      <c r="D66" s="4" t="s">
        <v>263</v>
      </c>
      <c r="E66" s="4" t="s">
        <v>311</v>
      </c>
      <c r="F66" s="16">
        <v>30</v>
      </c>
      <c r="G66" s="16"/>
      <c r="H66" s="16"/>
      <c r="I66" s="16"/>
      <c r="J66" s="16"/>
      <c r="K66" s="16"/>
      <c r="L66" s="16"/>
      <c r="M66" s="27" t="s">
        <v>337</v>
      </c>
      <c r="P66" s="31">
        <f t="shared" si="16"/>
        <v>0</v>
      </c>
      <c r="R66" s="31">
        <f t="shared" si="17"/>
        <v>0</v>
      </c>
      <c r="S66" s="31">
        <f t="shared" si="18"/>
        <v>0</v>
      </c>
      <c r="T66" s="31">
        <f t="shared" si="19"/>
        <v>0</v>
      </c>
      <c r="U66" s="31">
        <f t="shared" si="20"/>
        <v>0</v>
      </c>
      <c r="V66" s="31">
        <f t="shared" si="21"/>
        <v>0</v>
      </c>
      <c r="W66" s="31">
        <f t="shared" si="22"/>
        <v>0</v>
      </c>
      <c r="X66" s="31">
        <f t="shared" si="23"/>
        <v>0</v>
      </c>
      <c r="Y66" s="24"/>
      <c r="Z66" s="16">
        <f t="shared" si="24"/>
        <v>0</v>
      </c>
      <c r="AA66" s="16">
        <f t="shared" si="25"/>
        <v>0</v>
      </c>
      <c r="AB66" s="16">
        <f t="shared" si="26"/>
        <v>0</v>
      </c>
      <c r="AD66" s="31">
        <v>21</v>
      </c>
      <c r="AE66" s="31">
        <f>G66*0.895714285714286</f>
        <v>0</v>
      </c>
      <c r="AF66" s="31">
        <f>G66*(1-0.895714285714286)</f>
        <v>0</v>
      </c>
      <c r="AG66" s="27" t="s">
        <v>13</v>
      </c>
      <c r="AM66" s="31">
        <f t="shared" si="27"/>
        <v>0</v>
      </c>
      <c r="AN66" s="31">
        <f t="shared" si="28"/>
        <v>0</v>
      </c>
      <c r="AO66" s="32" t="s">
        <v>349</v>
      </c>
      <c r="AP66" s="32" t="s">
        <v>356</v>
      </c>
      <c r="AQ66" s="24" t="s">
        <v>358</v>
      </c>
      <c r="AS66" s="31">
        <f t="shared" si="29"/>
        <v>0</v>
      </c>
      <c r="AT66" s="31">
        <f t="shared" si="30"/>
        <v>0</v>
      </c>
      <c r="AU66" s="31">
        <v>0</v>
      </c>
      <c r="AV66" s="31">
        <f t="shared" si="31"/>
        <v>0</v>
      </c>
    </row>
    <row r="67" spans="1:48" ht="12.75">
      <c r="A67" s="4" t="s">
        <v>59</v>
      </c>
      <c r="B67" s="4"/>
      <c r="C67" s="4" t="s">
        <v>158</v>
      </c>
      <c r="D67" s="4" t="s">
        <v>264</v>
      </c>
      <c r="E67" s="4" t="s">
        <v>311</v>
      </c>
      <c r="F67" s="16">
        <v>50</v>
      </c>
      <c r="G67" s="16"/>
      <c r="H67" s="16"/>
      <c r="I67" s="16"/>
      <c r="J67" s="16"/>
      <c r="K67" s="16"/>
      <c r="L67" s="16"/>
      <c r="M67" s="27" t="s">
        <v>337</v>
      </c>
      <c r="P67" s="31">
        <f t="shared" si="16"/>
        <v>0</v>
      </c>
      <c r="R67" s="31">
        <f t="shared" si="17"/>
        <v>0</v>
      </c>
      <c r="S67" s="31">
        <f t="shared" si="18"/>
        <v>0</v>
      </c>
      <c r="T67" s="31">
        <f t="shared" si="19"/>
        <v>0</v>
      </c>
      <c r="U67" s="31">
        <f t="shared" si="20"/>
        <v>0</v>
      </c>
      <c r="V67" s="31">
        <f t="shared" si="21"/>
        <v>0</v>
      </c>
      <c r="W67" s="31">
        <f t="shared" si="22"/>
        <v>0</v>
      </c>
      <c r="X67" s="31">
        <f t="shared" si="23"/>
        <v>0</v>
      </c>
      <c r="Y67" s="24"/>
      <c r="Z67" s="16">
        <f t="shared" si="24"/>
        <v>0</v>
      </c>
      <c r="AA67" s="16">
        <f t="shared" si="25"/>
        <v>0</v>
      </c>
      <c r="AB67" s="16">
        <f t="shared" si="26"/>
        <v>0</v>
      </c>
      <c r="AD67" s="31">
        <v>21</v>
      </c>
      <c r="AE67" s="31">
        <f>G67*0.901228571428571</f>
        <v>0</v>
      </c>
      <c r="AF67" s="31">
        <f>G67*(1-0.901228571428571)</f>
        <v>0</v>
      </c>
      <c r="AG67" s="27" t="s">
        <v>13</v>
      </c>
      <c r="AM67" s="31">
        <f t="shared" si="27"/>
        <v>0</v>
      </c>
      <c r="AN67" s="31">
        <f t="shared" si="28"/>
        <v>0</v>
      </c>
      <c r="AO67" s="32" t="s">
        <v>349</v>
      </c>
      <c r="AP67" s="32" t="s">
        <v>356</v>
      </c>
      <c r="AQ67" s="24" t="s">
        <v>358</v>
      </c>
      <c r="AS67" s="31">
        <f t="shared" si="29"/>
        <v>0</v>
      </c>
      <c r="AT67" s="31">
        <f t="shared" si="30"/>
        <v>0</v>
      </c>
      <c r="AU67" s="31">
        <v>0</v>
      </c>
      <c r="AV67" s="31">
        <f t="shared" si="31"/>
        <v>0</v>
      </c>
    </row>
    <row r="68" spans="1:48" ht="12.75">
      <c r="A68" s="4" t="s">
        <v>60</v>
      </c>
      <c r="B68" s="4"/>
      <c r="C68" s="4" t="s">
        <v>159</v>
      </c>
      <c r="D68" s="4" t="s">
        <v>265</v>
      </c>
      <c r="E68" s="4" t="s">
        <v>312</v>
      </c>
      <c r="F68" s="16">
        <v>80</v>
      </c>
      <c r="G68" s="16"/>
      <c r="H68" s="16"/>
      <c r="I68" s="16"/>
      <c r="J68" s="16"/>
      <c r="K68" s="16"/>
      <c r="L68" s="16"/>
      <c r="M68" s="27" t="s">
        <v>337</v>
      </c>
      <c r="P68" s="31">
        <f t="shared" si="16"/>
        <v>0</v>
      </c>
      <c r="R68" s="31">
        <f t="shared" si="17"/>
        <v>0</v>
      </c>
      <c r="S68" s="31">
        <f t="shared" si="18"/>
        <v>0</v>
      </c>
      <c r="T68" s="31">
        <f t="shared" si="19"/>
        <v>0</v>
      </c>
      <c r="U68" s="31">
        <f t="shared" si="20"/>
        <v>0</v>
      </c>
      <c r="V68" s="31">
        <f t="shared" si="21"/>
        <v>0</v>
      </c>
      <c r="W68" s="31">
        <f t="shared" si="22"/>
        <v>0</v>
      </c>
      <c r="X68" s="31">
        <f t="shared" si="23"/>
        <v>0</v>
      </c>
      <c r="Y68" s="24"/>
      <c r="Z68" s="16">
        <f t="shared" si="24"/>
        <v>0</v>
      </c>
      <c r="AA68" s="16">
        <f t="shared" si="25"/>
        <v>0</v>
      </c>
      <c r="AB68" s="16">
        <f t="shared" si="26"/>
        <v>0</v>
      </c>
      <c r="AD68" s="31">
        <v>21</v>
      </c>
      <c r="AE68" s="31">
        <f>G68*0.713344827586207</f>
        <v>0</v>
      </c>
      <c r="AF68" s="31">
        <f>G68*(1-0.713344827586207)</f>
        <v>0</v>
      </c>
      <c r="AG68" s="27" t="s">
        <v>13</v>
      </c>
      <c r="AM68" s="31">
        <f t="shared" si="27"/>
        <v>0</v>
      </c>
      <c r="AN68" s="31">
        <f t="shared" si="28"/>
        <v>0</v>
      </c>
      <c r="AO68" s="32" t="s">
        <v>349</v>
      </c>
      <c r="AP68" s="32" t="s">
        <v>356</v>
      </c>
      <c r="AQ68" s="24" t="s">
        <v>358</v>
      </c>
      <c r="AS68" s="31">
        <f t="shared" si="29"/>
        <v>0</v>
      </c>
      <c r="AT68" s="31">
        <f t="shared" si="30"/>
        <v>0</v>
      </c>
      <c r="AU68" s="31">
        <v>0</v>
      </c>
      <c r="AV68" s="31">
        <f t="shared" si="31"/>
        <v>0</v>
      </c>
    </row>
    <row r="69" spans="1:37" ht="12.75">
      <c r="A69" s="5"/>
      <c r="B69" s="12"/>
      <c r="C69" s="12" t="s">
        <v>160</v>
      </c>
      <c r="D69" s="12" t="s">
        <v>266</v>
      </c>
      <c r="E69" s="5" t="s">
        <v>6</v>
      </c>
      <c r="F69" s="5" t="s">
        <v>6</v>
      </c>
      <c r="G69" s="5"/>
      <c r="H69" s="34"/>
      <c r="I69" s="34"/>
      <c r="J69" s="34"/>
      <c r="K69" s="24"/>
      <c r="L69" s="34"/>
      <c r="M69" s="24"/>
      <c r="Y69" s="24"/>
      <c r="AI69" s="34">
        <f>SUM(Z70:Z104)</f>
        <v>0</v>
      </c>
      <c r="AJ69" s="34">
        <f>SUM(AA70:AA104)</f>
        <v>0</v>
      </c>
      <c r="AK69" s="34">
        <f>SUM(AB70:AB104)</f>
        <v>0</v>
      </c>
    </row>
    <row r="70" spans="1:48" ht="12.75">
      <c r="A70" s="4" t="s">
        <v>61</v>
      </c>
      <c r="B70" s="4"/>
      <c r="C70" s="4" t="s">
        <v>161</v>
      </c>
      <c r="D70" s="4" t="s">
        <v>267</v>
      </c>
      <c r="E70" s="4" t="s">
        <v>314</v>
      </c>
      <c r="F70" s="16">
        <v>5</v>
      </c>
      <c r="G70" s="16"/>
      <c r="H70" s="16"/>
      <c r="I70" s="16"/>
      <c r="J70" s="16"/>
      <c r="K70" s="16"/>
      <c r="L70" s="16"/>
      <c r="M70" s="27" t="s">
        <v>336</v>
      </c>
      <c r="P70" s="31">
        <f aca="true" t="shared" si="32" ref="P70:P104">IF(AG70="5",J70,0)</f>
        <v>0</v>
      </c>
      <c r="R70" s="31">
        <f aca="true" t="shared" si="33" ref="R70:R104">IF(AG70="1",H70,0)</f>
        <v>0</v>
      </c>
      <c r="S70" s="31">
        <f aca="true" t="shared" si="34" ref="S70:S104">IF(AG70="1",I70,0)</f>
        <v>0</v>
      </c>
      <c r="T70" s="31">
        <f aca="true" t="shared" si="35" ref="T70:T104">IF(AG70="7",H70,0)</f>
        <v>0</v>
      </c>
      <c r="U70" s="31">
        <f aca="true" t="shared" si="36" ref="U70:U104">IF(AG70="7",I70,0)</f>
        <v>0</v>
      </c>
      <c r="V70" s="31">
        <f aca="true" t="shared" si="37" ref="V70:V104">IF(AG70="2",H70,0)</f>
        <v>0</v>
      </c>
      <c r="W70" s="31">
        <f aca="true" t="shared" si="38" ref="W70:W104">IF(AG70="2",I70,0)</f>
        <v>0</v>
      </c>
      <c r="X70" s="31">
        <f aca="true" t="shared" si="39" ref="X70:X104">IF(AG70="0",J70,0)</f>
        <v>0</v>
      </c>
      <c r="Y70" s="24"/>
      <c r="Z70" s="16">
        <f aca="true" t="shared" si="40" ref="Z70:Z104">IF(AD70=0,J70,0)</f>
        <v>0</v>
      </c>
      <c r="AA70" s="16">
        <f aca="true" t="shared" si="41" ref="AA70:AA104">IF(AD70=15,J70,0)</f>
        <v>0</v>
      </c>
      <c r="AB70" s="16">
        <f aca="true" t="shared" si="42" ref="AB70:AB104">IF(AD70=21,J70,0)</f>
        <v>0</v>
      </c>
      <c r="AD70" s="31">
        <v>21</v>
      </c>
      <c r="AE70" s="31">
        <f>G70*0.920297153024911</f>
        <v>0</v>
      </c>
      <c r="AF70" s="31">
        <f>G70*(1-0.920297153024911)</f>
        <v>0</v>
      </c>
      <c r="AG70" s="27" t="s">
        <v>13</v>
      </c>
      <c r="AM70" s="31">
        <f aca="true" t="shared" si="43" ref="AM70:AM104">F70*AE70</f>
        <v>0</v>
      </c>
      <c r="AN70" s="31">
        <f aca="true" t="shared" si="44" ref="AN70:AN104">F70*AF70</f>
        <v>0</v>
      </c>
      <c r="AO70" s="32" t="s">
        <v>350</v>
      </c>
      <c r="AP70" s="32" t="s">
        <v>356</v>
      </c>
      <c r="AQ70" s="24" t="s">
        <v>358</v>
      </c>
      <c r="AS70" s="31">
        <f aca="true" t="shared" si="45" ref="AS70:AS104">AM70+AN70</f>
        <v>0</v>
      </c>
      <c r="AT70" s="31">
        <f aca="true" t="shared" si="46" ref="AT70:AT104">G70/(100-AU70)*100</f>
        <v>0</v>
      </c>
      <c r="AU70" s="31">
        <v>0</v>
      </c>
      <c r="AV70" s="31">
        <f aca="true" t="shared" si="47" ref="AV70:AV104">L70</f>
        <v>0</v>
      </c>
    </row>
    <row r="71" spans="1:48" ht="12.75">
      <c r="A71" s="4" t="s">
        <v>62</v>
      </c>
      <c r="B71" s="4"/>
      <c r="C71" s="4" t="s">
        <v>162</v>
      </c>
      <c r="D71" s="4" t="s">
        <v>268</v>
      </c>
      <c r="E71" s="4" t="s">
        <v>314</v>
      </c>
      <c r="F71" s="16">
        <v>2</v>
      </c>
      <c r="G71" s="16"/>
      <c r="H71" s="16"/>
      <c r="I71" s="16"/>
      <c r="J71" s="16"/>
      <c r="K71" s="16"/>
      <c r="L71" s="16"/>
      <c r="M71" s="27" t="s">
        <v>336</v>
      </c>
      <c r="P71" s="31">
        <f t="shared" si="32"/>
        <v>0</v>
      </c>
      <c r="R71" s="31">
        <f t="shared" si="33"/>
        <v>0</v>
      </c>
      <c r="S71" s="31">
        <f t="shared" si="34"/>
        <v>0</v>
      </c>
      <c r="T71" s="31">
        <f t="shared" si="35"/>
        <v>0</v>
      </c>
      <c r="U71" s="31">
        <f t="shared" si="36"/>
        <v>0</v>
      </c>
      <c r="V71" s="31">
        <f t="shared" si="37"/>
        <v>0</v>
      </c>
      <c r="W71" s="31">
        <f t="shared" si="38"/>
        <v>0</v>
      </c>
      <c r="X71" s="31">
        <f t="shared" si="39"/>
        <v>0</v>
      </c>
      <c r="Y71" s="24"/>
      <c r="Z71" s="16">
        <f t="shared" si="40"/>
        <v>0</v>
      </c>
      <c r="AA71" s="16">
        <f t="shared" si="41"/>
        <v>0</v>
      </c>
      <c r="AB71" s="16">
        <f t="shared" si="42"/>
        <v>0</v>
      </c>
      <c r="AD71" s="31">
        <v>21</v>
      </c>
      <c r="AE71" s="31">
        <f>G71*0.938216551724138</f>
        <v>0</v>
      </c>
      <c r="AF71" s="31">
        <f>G71*(1-0.938216551724138)</f>
        <v>0</v>
      </c>
      <c r="AG71" s="27" t="s">
        <v>13</v>
      </c>
      <c r="AM71" s="31">
        <f t="shared" si="43"/>
        <v>0</v>
      </c>
      <c r="AN71" s="31">
        <f t="shared" si="44"/>
        <v>0</v>
      </c>
      <c r="AO71" s="32" t="s">
        <v>350</v>
      </c>
      <c r="AP71" s="32" t="s">
        <v>356</v>
      </c>
      <c r="AQ71" s="24" t="s">
        <v>358</v>
      </c>
      <c r="AS71" s="31">
        <f t="shared" si="45"/>
        <v>0</v>
      </c>
      <c r="AT71" s="31">
        <f t="shared" si="46"/>
        <v>0</v>
      </c>
      <c r="AU71" s="31">
        <v>0</v>
      </c>
      <c r="AV71" s="31">
        <f t="shared" si="47"/>
        <v>0</v>
      </c>
    </row>
    <row r="72" spans="1:48" ht="12.75">
      <c r="A72" s="4" t="s">
        <v>63</v>
      </c>
      <c r="B72" s="4"/>
      <c r="C72" s="4" t="s">
        <v>163</v>
      </c>
      <c r="D72" s="4" t="s">
        <v>269</v>
      </c>
      <c r="E72" s="4" t="s">
        <v>314</v>
      </c>
      <c r="F72" s="16">
        <v>9</v>
      </c>
      <c r="G72" s="16"/>
      <c r="H72" s="16"/>
      <c r="I72" s="16"/>
      <c r="J72" s="16"/>
      <c r="K72" s="16"/>
      <c r="L72" s="16"/>
      <c r="M72" s="27" t="s">
        <v>336</v>
      </c>
      <c r="P72" s="31">
        <f t="shared" si="32"/>
        <v>0</v>
      </c>
      <c r="R72" s="31">
        <f t="shared" si="33"/>
        <v>0</v>
      </c>
      <c r="S72" s="31">
        <f t="shared" si="34"/>
        <v>0</v>
      </c>
      <c r="T72" s="31">
        <f t="shared" si="35"/>
        <v>0</v>
      </c>
      <c r="U72" s="31">
        <f t="shared" si="36"/>
        <v>0</v>
      </c>
      <c r="V72" s="31">
        <f t="shared" si="37"/>
        <v>0</v>
      </c>
      <c r="W72" s="31">
        <f t="shared" si="38"/>
        <v>0</v>
      </c>
      <c r="X72" s="31">
        <f t="shared" si="39"/>
        <v>0</v>
      </c>
      <c r="Y72" s="24"/>
      <c r="Z72" s="16">
        <f t="shared" si="40"/>
        <v>0</v>
      </c>
      <c r="AA72" s="16">
        <f t="shared" si="41"/>
        <v>0</v>
      </c>
      <c r="AB72" s="16">
        <f t="shared" si="42"/>
        <v>0</v>
      </c>
      <c r="AD72" s="31">
        <v>21</v>
      </c>
      <c r="AE72" s="31">
        <f>G72*0.758648535564854</f>
        <v>0</v>
      </c>
      <c r="AF72" s="31">
        <f>G72*(1-0.758648535564854)</f>
        <v>0</v>
      </c>
      <c r="AG72" s="27" t="s">
        <v>13</v>
      </c>
      <c r="AM72" s="31">
        <f t="shared" si="43"/>
        <v>0</v>
      </c>
      <c r="AN72" s="31">
        <f t="shared" si="44"/>
        <v>0</v>
      </c>
      <c r="AO72" s="32" t="s">
        <v>350</v>
      </c>
      <c r="AP72" s="32" t="s">
        <v>356</v>
      </c>
      <c r="AQ72" s="24" t="s">
        <v>358</v>
      </c>
      <c r="AS72" s="31">
        <f t="shared" si="45"/>
        <v>0</v>
      </c>
      <c r="AT72" s="31">
        <f t="shared" si="46"/>
        <v>0</v>
      </c>
      <c r="AU72" s="31">
        <v>0</v>
      </c>
      <c r="AV72" s="31">
        <f t="shared" si="47"/>
        <v>0</v>
      </c>
    </row>
    <row r="73" spans="1:48" ht="12.75">
      <c r="A73" s="4" t="s">
        <v>64</v>
      </c>
      <c r="B73" s="4"/>
      <c r="C73" s="4" t="s">
        <v>164</v>
      </c>
      <c r="D73" s="4" t="s">
        <v>270</v>
      </c>
      <c r="E73" s="4" t="s">
        <v>314</v>
      </c>
      <c r="F73" s="16">
        <v>4</v>
      </c>
      <c r="G73" s="16"/>
      <c r="H73" s="16"/>
      <c r="I73" s="16"/>
      <c r="J73" s="16"/>
      <c r="K73" s="16"/>
      <c r="L73" s="16"/>
      <c r="M73" s="27" t="s">
        <v>336</v>
      </c>
      <c r="P73" s="31">
        <f t="shared" si="32"/>
        <v>0</v>
      </c>
      <c r="R73" s="31">
        <f t="shared" si="33"/>
        <v>0</v>
      </c>
      <c r="S73" s="31">
        <f t="shared" si="34"/>
        <v>0</v>
      </c>
      <c r="T73" s="31">
        <f t="shared" si="35"/>
        <v>0</v>
      </c>
      <c r="U73" s="31">
        <f t="shared" si="36"/>
        <v>0</v>
      </c>
      <c r="V73" s="31">
        <f t="shared" si="37"/>
        <v>0</v>
      </c>
      <c r="W73" s="31">
        <f t="shared" si="38"/>
        <v>0</v>
      </c>
      <c r="X73" s="31">
        <f t="shared" si="39"/>
        <v>0</v>
      </c>
      <c r="Y73" s="24"/>
      <c r="Z73" s="16">
        <f t="shared" si="40"/>
        <v>0</v>
      </c>
      <c r="AA73" s="16">
        <f t="shared" si="41"/>
        <v>0</v>
      </c>
      <c r="AB73" s="16">
        <f t="shared" si="42"/>
        <v>0</v>
      </c>
      <c r="AD73" s="31">
        <v>21</v>
      </c>
      <c r="AE73" s="31">
        <f>G73*0.698089895697163</f>
        <v>0</v>
      </c>
      <c r="AF73" s="31">
        <f>G73*(1-0.698089895697163)</f>
        <v>0</v>
      </c>
      <c r="AG73" s="27" t="s">
        <v>13</v>
      </c>
      <c r="AM73" s="31">
        <f t="shared" si="43"/>
        <v>0</v>
      </c>
      <c r="AN73" s="31">
        <f t="shared" si="44"/>
        <v>0</v>
      </c>
      <c r="AO73" s="32" t="s">
        <v>350</v>
      </c>
      <c r="AP73" s="32" t="s">
        <v>356</v>
      </c>
      <c r="AQ73" s="24" t="s">
        <v>358</v>
      </c>
      <c r="AS73" s="31">
        <f t="shared" si="45"/>
        <v>0</v>
      </c>
      <c r="AT73" s="31">
        <f t="shared" si="46"/>
        <v>0</v>
      </c>
      <c r="AU73" s="31">
        <v>0</v>
      </c>
      <c r="AV73" s="31">
        <f t="shared" si="47"/>
        <v>0</v>
      </c>
    </row>
    <row r="74" spans="1:48" ht="12.75">
      <c r="A74" s="4" t="s">
        <v>65</v>
      </c>
      <c r="B74" s="4"/>
      <c r="C74" s="4" t="s">
        <v>165</v>
      </c>
      <c r="D74" s="4" t="s">
        <v>271</v>
      </c>
      <c r="E74" s="4" t="s">
        <v>314</v>
      </c>
      <c r="F74" s="16">
        <v>4</v>
      </c>
      <c r="G74" s="16"/>
      <c r="H74" s="16"/>
      <c r="I74" s="16"/>
      <c r="J74" s="16"/>
      <c r="K74" s="16"/>
      <c r="L74" s="16"/>
      <c r="M74" s="27" t="s">
        <v>336</v>
      </c>
      <c r="P74" s="31">
        <f t="shared" si="32"/>
        <v>0</v>
      </c>
      <c r="R74" s="31">
        <f t="shared" si="33"/>
        <v>0</v>
      </c>
      <c r="S74" s="31">
        <f t="shared" si="34"/>
        <v>0</v>
      </c>
      <c r="T74" s="31">
        <f t="shared" si="35"/>
        <v>0</v>
      </c>
      <c r="U74" s="31">
        <f t="shared" si="36"/>
        <v>0</v>
      </c>
      <c r="V74" s="31">
        <f t="shared" si="37"/>
        <v>0</v>
      </c>
      <c r="W74" s="31">
        <f t="shared" si="38"/>
        <v>0</v>
      </c>
      <c r="X74" s="31">
        <f t="shared" si="39"/>
        <v>0</v>
      </c>
      <c r="Y74" s="24"/>
      <c r="Z74" s="16">
        <f t="shared" si="40"/>
        <v>0</v>
      </c>
      <c r="AA74" s="16">
        <f t="shared" si="41"/>
        <v>0</v>
      </c>
      <c r="AB74" s="16">
        <f t="shared" si="42"/>
        <v>0</v>
      </c>
      <c r="AD74" s="31">
        <v>21</v>
      </c>
      <c r="AE74" s="31">
        <f>G74*0.870008688097307</f>
        <v>0</v>
      </c>
      <c r="AF74" s="31">
        <f>G74*(1-0.870008688097307)</f>
        <v>0</v>
      </c>
      <c r="AG74" s="27" t="s">
        <v>13</v>
      </c>
      <c r="AM74" s="31">
        <f t="shared" si="43"/>
        <v>0</v>
      </c>
      <c r="AN74" s="31">
        <f t="shared" si="44"/>
        <v>0</v>
      </c>
      <c r="AO74" s="32" t="s">
        <v>350</v>
      </c>
      <c r="AP74" s="32" t="s">
        <v>356</v>
      </c>
      <c r="AQ74" s="24" t="s">
        <v>358</v>
      </c>
      <c r="AS74" s="31">
        <f t="shared" si="45"/>
        <v>0</v>
      </c>
      <c r="AT74" s="31">
        <f t="shared" si="46"/>
        <v>0</v>
      </c>
      <c r="AU74" s="31">
        <v>0</v>
      </c>
      <c r="AV74" s="31">
        <f t="shared" si="47"/>
        <v>0</v>
      </c>
    </row>
    <row r="75" spans="1:48" ht="12.75">
      <c r="A75" s="4" t="s">
        <v>66</v>
      </c>
      <c r="B75" s="4"/>
      <c r="C75" s="4" t="s">
        <v>166</v>
      </c>
      <c r="D75" s="4" t="s">
        <v>272</v>
      </c>
      <c r="E75" s="4" t="s">
        <v>314</v>
      </c>
      <c r="F75" s="16">
        <v>2</v>
      </c>
      <c r="G75" s="16"/>
      <c r="H75" s="16"/>
      <c r="I75" s="16"/>
      <c r="J75" s="16"/>
      <c r="K75" s="16"/>
      <c r="L75" s="16"/>
      <c r="M75" s="27" t="s">
        <v>336</v>
      </c>
      <c r="P75" s="31">
        <f t="shared" si="32"/>
        <v>0</v>
      </c>
      <c r="R75" s="31">
        <f t="shared" si="33"/>
        <v>0</v>
      </c>
      <c r="S75" s="31">
        <f t="shared" si="34"/>
        <v>0</v>
      </c>
      <c r="T75" s="31">
        <f t="shared" si="35"/>
        <v>0</v>
      </c>
      <c r="U75" s="31">
        <f t="shared" si="36"/>
        <v>0</v>
      </c>
      <c r="V75" s="31">
        <f t="shared" si="37"/>
        <v>0</v>
      </c>
      <c r="W75" s="31">
        <f t="shared" si="38"/>
        <v>0</v>
      </c>
      <c r="X75" s="31">
        <f t="shared" si="39"/>
        <v>0</v>
      </c>
      <c r="Y75" s="24"/>
      <c r="Z75" s="16">
        <f t="shared" si="40"/>
        <v>0</v>
      </c>
      <c r="AA75" s="16">
        <f t="shared" si="41"/>
        <v>0</v>
      </c>
      <c r="AB75" s="16">
        <f t="shared" si="42"/>
        <v>0</v>
      </c>
      <c r="AD75" s="31">
        <v>21</v>
      </c>
      <c r="AE75" s="31">
        <f>G75*0.71446903739717</f>
        <v>0</v>
      </c>
      <c r="AF75" s="31">
        <f>G75*(1-0.71446903739717)</f>
        <v>0</v>
      </c>
      <c r="AG75" s="27" t="s">
        <v>13</v>
      </c>
      <c r="AM75" s="31">
        <f t="shared" si="43"/>
        <v>0</v>
      </c>
      <c r="AN75" s="31">
        <f t="shared" si="44"/>
        <v>0</v>
      </c>
      <c r="AO75" s="32" t="s">
        <v>350</v>
      </c>
      <c r="AP75" s="32" t="s">
        <v>356</v>
      </c>
      <c r="AQ75" s="24" t="s">
        <v>358</v>
      </c>
      <c r="AS75" s="31">
        <f t="shared" si="45"/>
        <v>0</v>
      </c>
      <c r="AT75" s="31">
        <f t="shared" si="46"/>
        <v>0</v>
      </c>
      <c r="AU75" s="31">
        <v>0</v>
      </c>
      <c r="AV75" s="31">
        <f t="shared" si="47"/>
        <v>0</v>
      </c>
    </row>
    <row r="76" spans="1:48" ht="12.75">
      <c r="A76" s="4" t="s">
        <v>67</v>
      </c>
      <c r="B76" s="4"/>
      <c r="C76" s="4" t="s">
        <v>167</v>
      </c>
      <c r="D76" s="4" t="s">
        <v>273</v>
      </c>
      <c r="E76" s="4" t="s">
        <v>314</v>
      </c>
      <c r="F76" s="16">
        <v>8</v>
      </c>
      <c r="G76" s="16"/>
      <c r="H76" s="16"/>
      <c r="I76" s="16"/>
      <c r="J76" s="16"/>
      <c r="K76" s="16"/>
      <c r="L76" s="16"/>
      <c r="M76" s="27" t="s">
        <v>336</v>
      </c>
      <c r="P76" s="31">
        <f t="shared" si="32"/>
        <v>0</v>
      </c>
      <c r="R76" s="31">
        <f t="shared" si="33"/>
        <v>0</v>
      </c>
      <c r="S76" s="31">
        <f t="shared" si="34"/>
        <v>0</v>
      </c>
      <c r="T76" s="31">
        <f t="shared" si="35"/>
        <v>0</v>
      </c>
      <c r="U76" s="31">
        <f t="shared" si="36"/>
        <v>0</v>
      </c>
      <c r="V76" s="31">
        <f t="shared" si="37"/>
        <v>0</v>
      </c>
      <c r="W76" s="31">
        <f t="shared" si="38"/>
        <v>0</v>
      </c>
      <c r="X76" s="31">
        <f t="shared" si="39"/>
        <v>0</v>
      </c>
      <c r="Y76" s="24"/>
      <c r="Z76" s="16">
        <f t="shared" si="40"/>
        <v>0</v>
      </c>
      <c r="AA76" s="16">
        <f t="shared" si="41"/>
        <v>0</v>
      </c>
      <c r="AB76" s="16">
        <f t="shared" si="42"/>
        <v>0</v>
      </c>
      <c r="AD76" s="31">
        <v>21</v>
      </c>
      <c r="AE76" s="31">
        <f>G76*0</f>
        <v>0</v>
      </c>
      <c r="AF76" s="31">
        <f>G76*(1-0)</f>
        <v>0</v>
      </c>
      <c r="AG76" s="27" t="s">
        <v>13</v>
      </c>
      <c r="AM76" s="31">
        <f t="shared" si="43"/>
        <v>0</v>
      </c>
      <c r="AN76" s="31">
        <f t="shared" si="44"/>
        <v>0</v>
      </c>
      <c r="AO76" s="32" t="s">
        <v>350</v>
      </c>
      <c r="AP76" s="32" t="s">
        <v>356</v>
      </c>
      <c r="AQ76" s="24" t="s">
        <v>358</v>
      </c>
      <c r="AS76" s="31">
        <f t="shared" si="45"/>
        <v>0</v>
      </c>
      <c r="AT76" s="31">
        <f t="shared" si="46"/>
        <v>0</v>
      </c>
      <c r="AU76" s="31">
        <v>0</v>
      </c>
      <c r="AV76" s="31">
        <f t="shared" si="47"/>
        <v>0</v>
      </c>
    </row>
    <row r="77" spans="1:48" ht="12.75">
      <c r="A77" s="4" t="s">
        <v>68</v>
      </c>
      <c r="B77" s="4"/>
      <c r="C77" s="4" t="s">
        <v>168</v>
      </c>
      <c r="D77" s="4" t="s">
        <v>274</v>
      </c>
      <c r="E77" s="4" t="s">
        <v>314</v>
      </c>
      <c r="F77" s="16">
        <v>7</v>
      </c>
      <c r="G77" s="16"/>
      <c r="H77" s="16"/>
      <c r="I77" s="16"/>
      <c r="J77" s="16"/>
      <c r="K77" s="16"/>
      <c r="L77" s="16"/>
      <c r="M77" s="27" t="s">
        <v>336</v>
      </c>
      <c r="P77" s="31">
        <f t="shared" si="32"/>
        <v>0</v>
      </c>
      <c r="R77" s="31">
        <f t="shared" si="33"/>
        <v>0</v>
      </c>
      <c r="S77" s="31">
        <f t="shared" si="34"/>
        <v>0</v>
      </c>
      <c r="T77" s="31">
        <f t="shared" si="35"/>
        <v>0</v>
      </c>
      <c r="U77" s="31">
        <f t="shared" si="36"/>
        <v>0</v>
      </c>
      <c r="V77" s="31">
        <f t="shared" si="37"/>
        <v>0</v>
      </c>
      <c r="W77" s="31">
        <f t="shared" si="38"/>
        <v>0</v>
      </c>
      <c r="X77" s="31">
        <f t="shared" si="39"/>
        <v>0</v>
      </c>
      <c r="Y77" s="24"/>
      <c r="Z77" s="16">
        <f t="shared" si="40"/>
        <v>0</v>
      </c>
      <c r="AA77" s="16">
        <f t="shared" si="41"/>
        <v>0</v>
      </c>
      <c r="AB77" s="16">
        <f t="shared" si="42"/>
        <v>0</v>
      </c>
      <c r="AD77" s="31">
        <v>21</v>
      </c>
      <c r="AE77" s="31">
        <f>G77*0.974313701177929</f>
        <v>0</v>
      </c>
      <c r="AF77" s="31">
        <f>G77*(1-0.974313701177929)</f>
        <v>0</v>
      </c>
      <c r="AG77" s="27" t="s">
        <v>13</v>
      </c>
      <c r="AM77" s="31">
        <f t="shared" si="43"/>
        <v>0</v>
      </c>
      <c r="AN77" s="31">
        <f t="shared" si="44"/>
        <v>0</v>
      </c>
      <c r="AO77" s="32" t="s">
        <v>350</v>
      </c>
      <c r="AP77" s="32" t="s">
        <v>356</v>
      </c>
      <c r="AQ77" s="24" t="s">
        <v>358</v>
      </c>
      <c r="AS77" s="31">
        <f t="shared" si="45"/>
        <v>0</v>
      </c>
      <c r="AT77" s="31">
        <f t="shared" si="46"/>
        <v>0</v>
      </c>
      <c r="AU77" s="31">
        <v>0</v>
      </c>
      <c r="AV77" s="31">
        <f t="shared" si="47"/>
        <v>0</v>
      </c>
    </row>
    <row r="78" spans="1:48" ht="12.75">
      <c r="A78" s="4" t="s">
        <v>69</v>
      </c>
      <c r="B78" s="4"/>
      <c r="C78" s="4" t="s">
        <v>169</v>
      </c>
      <c r="D78" s="4" t="s">
        <v>275</v>
      </c>
      <c r="E78" s="4" t="s">
        <v>314</v>
      </c>
      <c r="F78" s="16">
        <v>15</v>
      </c>
      <c r="G78" s="16"/>
      <c r="H78" s="16"/>
      <c r="I78" s="16"/>
      <c r="J78" s="16"/>
      <c r="K78" s="16"/>
      <c r="L78" s="16"/>
      <c r="M78" s="27" t="s">
        <v>336</v>
      </c>
      <c r="P78" s="31">
        <f t="shared" si="32"/>
        <v>0</v>
      </c>
      <c r="R78" s="31">
        <f t="shared" si="33"/>
        <v>0</v>
      </c>
      <c r="S78" s="31">
        <f t="shared" si="34"/>
        <v>0</v>
      </c>
      <c r="T78" s="31">
        <f t="shared" si="35"/>
        <v>0</v>
      </c>
      <c r="U78" s="31">
        <f t="shared" si="36"/>
        <v>0</v>
      </c>
      <c r="V78" s="31">
        <f t="shared" si="37"/>
        <v>0</v>
      </c>
      <c r="W78" s="31">
        <f t="shared" si="38"/>
        <v>0</v>
      </c>
      <c r="X78" s="31">
        <f t="shared" si="39"/>
        <v>0</v>
      </c>
      <c r="Y78" s="24"/>
      <c r="Z78" s="16">
        <f t="shared" si="40"/>
        <v>0</v>
      </c>
      <c r="AA78" s="16">
        <f t="shared" si="41"/>
        <v>0</v>
      </c>
      <c r="AB78" s="16">
        <f t="shared" si="42"/>
        <v>0</v>
      </c>
      <c r="AD78" s="31">
        <v>21</v>
      </c>
      <c r="AE78" s="31">
        <f>G78*0</f>
        <v>0</v>
      </c>
      <c r="AF78" s="31">
        <f>G78*(1-0)</f>
        <v>0</v>
      </c>
      <c r="AG78" s="27" t="s">
        <v>13</v>
      </c>
      <c r="AM78" s="31">
        <f t="shared" si="43"/>
        <v>0</v>
      </c>
      <c r="AN78" s="31">
        <f t="shared" si="44"/>
        <v>0</v>
      </c>
      <c r="AO78" s="32" t="s">
        <v>350</v>
      </c>
      <c r="AP78" s="32" t="s">
        <v>356</v>
      </c>
      <c r="AQ78" s="24" t="s">
        <v>358</v>
      </c>
      <c r="AS78" s="31">
        <f t="shared" si="45"/>
        <v>0</v>
      </c>
      <c r="AT78" s="31">
        <f t="shared" si="46"/>
        <v>0</v>
      </c>
      <c r="AU78" s="31">
        <v>0</v>
      </c>
      <c r="AV78" s="31">
        <f t="shared" si="47"/>
        <v>0</v>
      </c>
    </row>
    <row r="79" spans="1:48" ht="12.75">
      <c r="A79" s="4" t="s">
        <v>70</v>
      </c>
      <c r="B79" s="4"/>
      <c r="C79" s="4" t="s">
        <v>170</v>
      </c>
      <c r="D79" s="4" t="s">
        <v>276</v>
      </c>
      <c r="E79" s="4" t="s">
        <v>314</v>
      </c>
      <c r="F79" s="16">
        <v>1</v>
      </c>
      <c r="G79" s="16"/>
      <c r="H79" s="16"/>
      <c r="I79" s="16"/>
      <c r="J79" s="16"/>
      <c r="K79" s="16"/>
      <c r="L79" s="16"/>
      <c r="M79" s="27" t="s">
        <v>336</v>
      </c>
      <c r="P79" s="31">
        <f t="shared" si="32"/>
        <v>0</v>
      </c>
      <c r="R79" s="31">
        <f t="shared" si="33"/>
        <v>0</v>
      </c>
      <c r="S79" s="31">
        <f t="shared" si="34"/>
        <v>0</v>
      </c>
      <c r="T79" s="31">
        <f t="shared" si="35"/>
        <v>0</v>
      </c>
      <c r="U79" s="31">
        <f t="shared" si="36"/>
        <v>0</v>
      </c>
      <c r="V79" s="31">
        <f t="shared" si="37"/>
        <v>0</v>
      </c>
      <c r="W79" s="31">
        <f t="shared" si="38"/>
        <v>0</v>
      </c>
      <c r="X79" s="31">
        <f t="shared" si="39"/>
        <v>0</v>
      </c>
      <c r="Y79" s="24"/>
      <c r="Z79" s="16">
        <f t="shared" si="40"/>
        <v>0</v>
      </c>
      <c r="AA79" s="16">
        <f t="shared" si="41"/>
        <v>0</v>
      </c>
      <c r="AB79" s="16">
        <f t="shared" si="42"/>
        <v>0</v>
      </c>
      <c r="AD79" s="31">
        <v>21</v>
      </c>
      <c r="AE79" s="31">
        <f>G79*0</f>
        <v>0</v>
      </c>
      <c r="AF79" s="31">
        <f>G79*(1-0)</f>
        <v>0</v>
      </c>
      <c r="AG79" s="27" t="s">
        <v>13</v>
      </c>
      <c r="AM79" s="31">
        <f t="shared" si="43"/>
        <v>0</v>
      </c>
      <c r="AN79" s="31">
        <f t="shared" si="44"/>
        <v>0</v>
      </c>
      <c r="AO79" s="32" t="s">
        <v>350</v>
      </c>
      <c r="AP79" s="32" t="s">
        <v>356</v>
      </c>
      <c r="AQ79" s="24" t="s">
        <v>358</v>
      </c>
      <c r="AS79" s="31">
        <f t="shared" si="45"/>
        <v>0</v>
      </c>
      <c r="AT79" s="31">
        <f t="shared" si="46"/>
        <v>0</v>
      </c>
      <c r="AU79" s="31">
        <v>0</v>
      </c>
      <c r="AV79" s="31">
        <f t="shared" si="47"/>
        <v>0</v>
      </c>
    </row>
    <row r="80" spans="1:48" ht="12.75">
      <c r="A80" s="4" t="s">
        <v>71</v>
      </c>
      <c r="B80" s="4"/>
      <c r="C80" s="4" t="s">
        <v>171</v>
      </c>
      <c r="D80" s="4" t="s">
        <v>277</v>
      </c>
      <c r="E80" s="4" t="s">
        <v>314</v>
      </c>
      <c r="F80" s="16">
        <v>9</v>
      </c>
      <c r="G80" s="16"/>
      <c r="H80" s="16"/>
      <c r="I80" s="16"/>
      <c r="J80" s="16"/>
      <c r="K80" s="16"/>
      <c r="L80" s="16"/>
      <c r="M80" s="27" t="s">
        <v>336</v>
      </c>
      <c r="P80" s="31">
        <f t="shared" si="32"/>
        <v>0</v>
      </c>
      <c r="R80" s="31">
        <f t="shared" si="33"/>
        <v>0</v>
      </c>
      <c r="S80" s="31">
        <f t="shared" si="34"/>
        <v>0</v>
      </c>
      <c r="T80" s="31">
        <f t="shared" si="35"/>
        <v>0</v>
      </c>
      <c r="U80" s="31">
        <f t="shared" si="36"/>
        <v>0</v>
      </c>
      <c r="V80" s="31">
        <f t="shared" si="37"/>
        <v>0</v>
      </c>
      <c r="W80" s="31">
        <f t="shared" si="38"/>
        <v>0</v>
      </c>
      <c r="X80" s="31">
        <f t="shared" si="39"/>
        <v>0</v>
      </c>
      <c r="Y80" s="24"/>
      <c r="Z80" s="16">
        <f t="shared" si="40"/>
        <v>0</v>
      </c>
      <c r="AA80" s="16">
        <f t="shared" si="41"/>
        <v>0</v>
      </c>
      <c r="AB80" s="16">
        <f t="shared" si="42"/>
        <v>0</v>
      </c>
      <c r="AD80" s="31">
        <v>21</v>
      </c>
      <c r="AE80" s="31">
        <f>G80*0.913920174958994</f>
        <v>0</v>
      </c>
      <c r="AF80" s="31">
        <f>G80*(1-0.913920174958994)</f>
        <v>0</v>
      </c>
      <c r="AG80" s="27" t="s">
        <v>13</v>
      </c>
      <c r="AM80" s="31">
        <f t="shared" si="43"/>
        <v>0</v>
      </c>
      <c r="AN80" s="31">
        <f t="shared" si="44"/>
        <v>0</v>
      </c>
      <c r="AO80" s="32" t="s">
        <v>350</v>
      </c>
      <c r="AP80" s="32" t="s">
        <v>356</v>
      </c>
      <c r="AQ80" s="24" t="s">
        <v>358</v>
      </c>
      <c r="AS80" s="31">
        <f t="shared" si="45"/>
        <v>0</v>
      </c>
      <c r="AT80" s="31">
        <f t="shared" si="46"/>
        <v>0</v>
      </c>
      <c r="AU80" s="31">
        <v>0</v>
      </c>
      <c r="AV80" s="31">
        <f t="shared" si="47"/>
        <v>0</v>
      </c>
    </row>
    <row r="81" spans="1:48" ht="12.75">
      <c r="A81" s="4" t="s">
        <v>72</v>
      </c>
      <c r="B81" s="4"/>
      <c r="C81" s="4" t="s">
        <v>172</v>
      </c>
      <c r="D81" s="4" t="s">
        <v>278</v>
      </c>
      <c r="E81" s="4" t="s">
        <v>314</v>
      </c>
      <c r="F81" s="16">
        <v>5</v>
      </c>
      <c r="G81" s="16"/>
      <c r="H81" s="16"/>
      <c r="I81" s="16"/>
      <c r="J81" s="16"/>
      <c r="K81" s="16"/>
      <c r="L81" s="16"/>
      <c r="M81" s="27" t="s">
        <v>336</v>
      </c>
      <c r="P81" s="31">
        <f t="shared" si="32"/>
        <v>0</v>
      </c>
      <c r="R81" s="31">
        <f t="shared" si="33"/>
        <v>0</v>
      </c>
      <c r="S81" s="31">
        <f t="shared" si="34"/>
        <v>0</v>
      </c>
      <c r="T81" s="31">
        <f t="shared" si="35"/>
        <v>0</v>
      </c>
      <c r="U81" s="31">
        <f t="shared" si="36"/>
        <v>0</v>
      </c>
      <c r="V81" s="31">
        <f t="shared" si="37"/>
        <v>0</v>
      </c>
      <c r="W81" s="31">
        <f t="shared" si="38"/>
        <v>0</v>
      </c>
      <c r="X81" s="31">
        <f t="shared" si="39"/>
        <v>0</v>
      </c>
      <c r="Y81" s="24"/>
      <c r="Z81" s="16">
        <f t="shared" si="40"/>
        <v>0</v>
      </c>
      <c r="AA81" s="16">
        <f t="shared" si="41"/>
        <v>0</v>
      </c>
      <c r="AB81" s="16">
        <f t="shared" si="42"/>
        <v>0</v>
      </c>
      <c r="AD81" s="31">
        <v>21</v>
      </c>
      <c r="AE81" s="31">
        <f>G81*0.929870824053452</f>
        <v>0</v>
      </c>
      <c r="AF81" s="31">
        <f>G81*(1-0.929870824053452)</f>
        <v>0</v>
      </c>
      <c r="AG81" s="27" t="s">
        <v>13</v>
      </c>
      <c r="AM81" s="31">
        <f t="shared" si="43"/>
        <v>0</v>
      </c>
      <c r="AN81" s="31">
        <f t="shared" si="44"/>
        <v>0</v>
      </c>
      <c r="AO81" s="32" t="s">
        <v>350</v>
      </c>
      <c r="AP81" s="32" t="s">
        <v>356</v>
      </c>
      <c r="AQ81" s="24" t="s">
        <v>358</v>
      </c>
      <c r="AS81" s="31">
        <f t="shared" si="45"/>
        <v>0</v>
      </c>
      <c r="AT81" s="31">
        <f t="shared" si="46"/>
        <v>0</v>
      </c>
      <c r="AU81" s="31">
        <v>0</v>
      </c>
      <c r="AV81" s="31">
        <f t="shared" si="47"/>
        <v>0</v>
      </c>
    </row>
    <row r="82" spans="1:48" ht="12.75">
      <c r="A82" s="4" t="s">
        <v>73</v>
      </c>
      <c r="B82" s="4"/>
      <c r="C82" s="4" t="s">
        <v>173</v>
      </c>
      <c r="D82" s="4" t="s">
        <v>279</v>
      </c>
      <c r="E82" s="4" t="s">
        <v>314</v>
      </c>
      <c r="F82" s="16">
        <v>5</v>
      </c>
      <c r="G82" s="16"/>
      <c r="H82" s="16"/>
      <c r="I82" s="16"/>
      <c r="J82" s="16"/>
      <c r="K82" s="16"/>
      <c r="L82" s="16"/>
      <c r="M82" s="27" t="s">
        <v>336</v>
      </c>
      <c r="P82" s="31">
        <f t="shared" si="32"/>
        <v>0</v>
      </c>
      <c r="R82" s="31">
        <f t="shared" si="33"/>
        <v>0</v>
      </c>
      <c r="S82" s="31">
        <f t="shared" si="34"/>
        <v>0</v>
      </c>
      <c r="T82" s="31">
        <f t="shared" si="35"/>
        <v>0</v>
      </c>
      <c r="U82" s="31">
        <f t="shared" si="36"/>
        <v>0</v>
      </c>
      <c r="V82" s="31">
        <f t="shared" si="37"/>
        <v>0</v>
      </c>
      <c r="W82" s="31">
        <f t="shared" si="38"/>
        <v>0</v>
      </c>
      <c r="X82" s="31">
        <f t="shared" si="39"/>
        <v>0</v>
      </c>
      <c r="Y82" s="24"/>
      <c r="Z82" s="16">
        <f t="shared" si="40"/>
        <v>0</v>
      </c>
      <c r="AA82" s="16">
        <f t="shared" si="41"/>
        <v>0</v>
      </c>
      <c r="AB82" s="16">
        <f t="shared" si="42"/>
        <v>0</v>
      </c>
      <c r="AD82" s="31">
        <v>21</v>
      </c>
      <c r="AE82" s="31">
        <f>G82*0.940923076923077</f>
        <v>0</v>
      </c>
      <c r="AF82" s="31">
        <f>G82*(1-0.940923076923077)</f>
        <v>0</v>
      </c>
      <c r="AG82" s="27" t="s">
        <v>13</v>
      </c>
      <c r="AM82" s="31">
        <f t="shared" si="43"/>
        <v>0</v>
      </c>
      <c r="AN82" s="31">
        <f t="shared" si="44"/>
        <v>0</v>
      </c>
      <c r="AO82" s="32" t="s">
        <v>350</v>
      </c>
      <c r="AP82" s="32" t="s">
        <v>356</v>
      </c>
      <c r="AQ82" s="24" t="s">
        <v>358</v>
      </c>
      <c r="AS82" s="31">
        <f t="shared" si="45"/>
        <v>0</v>
      </c>
      <c r="AT82" s="31">
        <f t="shared" si="46"/>
        <v>0</v>
      </c>
      <c r="AU82" s="31">
        <v>0</v>
      </c>
      <c r="AV82" s="31">
        <f t="shared" si="47"/>
        <v>0</v>
      </c>
    </row>
    <row r="83" spans="1:48" ht="12.75">
      <c r="A83" s="4" t="s">
        <v>74</v>
      </c>
      <c r="B83" s="4"/>
      <c r="C83" s="4" t="s">
        <v>174</v>
      </c>
      <c r="D83" s="4" t="s">
        <v>280</v>
      </c>
      <c r="E83" s="4" t="s">
        <v>314</v>
      </c>
      <c r="F83" s="16">
        <v>4</v>
      </c>
      <c r="G83" s="16"/>
      <c r="H83" s="16"/>
      <c r="I83" s="16"/>
      <c r="J83" s="16"/>
      <c r="K83" s="16"/>
      <c r="L83" s="16"/>
      <c r="M83" s="27" t="s">
        <v>336</v>
      </c>
      <c r="P83" s="31">
        <f t="shared" si="32"/>
        <v>0</v>
      </c>
      <c r="R83" s="31">
        <f t="shared" si="33"/>
        <v>0</v>
      </c>
      <c r="S83" s="31">
        <f t="shared" si="34"/>
        <v>0</v>
      </c>
      <c r="T83" s="31">
        <f t="shared" si="35"/>
        <v>0</v>
      </c>
      <c r="U83" s="31">
        <f t="shared" si="36"/>
        <v>0</v>
      </c>
      <c r="V83" s="31">
        <f t="shared" si="37"/>
        <v>0</v>
      </c>
      <c r="W83" s="31">
        <f t="shared" si="38"/>
        <v>0</v>
      </c>
      <c r="X83" s="31">
        <f t="shared" si="39"/>
        <v>0</v>
      </c>
      <c r="Y83" s="24"/>
      <c r="Z83" s="16">
        <f t="shared" si="40"/>
        <v>0</v>
      </c>
      <c r="AA83" s="16">
        <f t="shared" si="41"/>
        <v>0</v>
      </c>
      <c r="AB83" s="16">
        <f t="shared" si="42"/>
        <v>0</v>
      </c>
      <c r="AD83" s="31">
        <v>21</v>
      </c>
      <c r="AE83" s="31">
        <f>G83*0.950562593631451</f>
        <v>0</v>
      </c>
      <c r="AF83" s="31">
        <f>G83*(1-0.950562593631451)</f>
        <v>0</v>
      </c>
      <c r="AG83" s="27" t="s">
        <v>13</v>
      </c>
      <c r="AM83" s="31">
        <f t="shared" si="43"/>
        <v>0</v>
      </c>
      <c r="AN83" s="31">
        <f t="shared" si="44"/>
        <v>0</v>
      </c>
      <c r="AO83" s="32" t="s">
        <v>350</v>
      </c>
      <c r="AP83" s="32" t="s">
        <v>356</v>
      </c>
      <c r="AQ83" s="24" t="s">
        <v>358</v>
      </c>
      <c r="AS83" s="31">
        <f t="shared" si="45"/>
        <v>0</v>
      </c>
      <c r="AT83" s="31">
        <f t="shared" si="46"/>
        <v>0</v>
      </c>
      <c r="AU83" s="31">
        <v>0</v>
      </c>
      <c r="AV83" s="31">
        <f t="shared" si="47"/>
        <v>0</v>
      </c>
    </row>
    <row r="84" spans="1:48" ht="12.75">
      <c r="A84" s="4" t="s">
        <v>75</v>
      </c>
      <c r="B84" s="4"/>
      <c r="C84" s="4" t="s">
        <v>175</v>
      </c>
      <c r="D84" s="4" t="s">
        <v>281</v>
      </c>
      <c r="E84" s="4" t="s">
        <v>314</v>
      </c>
      <c r="F84" s="16">
        <v>2</v>
      </c>
      <c r="G84" s="16"/>
      <c r="H84" s="16"/>
      <c r="I84" s="16"/>
      <c r="J84" s="16"/>
      <c r="K84" s="16"/>
      <c r="L84" s="16"/>
      <c r="M84" s="27" t="s">
        <v>336</v>
      </c>
      <c r="P84" s="31">
        <f t="shared" si="32"/>
        <v>0</v>
      </c>
      <c r="R84" s="31">
        <f t="shared" si="33"/>
        <v>0</v>
      </c>
      <c r="S84" s="31">
        <f t="shared" si="34"/>
        <v>0</v>
      </c>
      <c r="T84" s="31">
        <f t="shared" si="35"/>
        <v>0</v>
      </c>
      <c r="U84" s="31">
        <f t="shared" si="36"/>
        <v>0</v>
      </c>
      <c r="V84" s="31">
        <f t="shared" si="37"/>
        <v>0</v>
      </c>
      <c r="W84" s="31">
        <f t="shared" si="38"/>
        <v>0</v>
      </c>
      <c r="X84" s="31">
        <f t="shared" si="39"/>
        <v>0</v>
      </c>
      <c r="Y84" s="24"/>
      <c r="Z84" s="16">
        <f t="shared" si="40"/>
        <v>0</v>
      </c>
      <c r="AA84" s="16">
        <f t="shared" si="41"/>
        <v>0</v>
      </c>
      <c r="AB84" s="16">
        <f t="shared" si="42"/>
        <v>0</v>
      </c>
      <c r="AD84" s="31">
        <v>21</v>
      </c>
      <c r="AE84" s="31">
        <f>G84*0</f>
        <v>0</v>
      </c>
      <c r="AF84" s="31">
        <f>G84*(1-0)</f>
        <v>0</v>
      </c>
      <c r="AG84" s="27" t="s">
        <v>13</v>
      </c>
      <c r="AM84" s="31">
        <f t="shared" si="43"/>
        <v>0</v>
      </c>
      <c r="AN84" s="31">
        <f t="shared" si="44"/>
        <v>0</v>
      </c>
      <c r="AO84" s="32" t="s">
        <v>350</v>
      </c>
      <c r="AP84" s="32" t="s">
        <v>356</v>
      </c>
      <c r="AQ84" s="24" t="s">
        <v>358</v>
      </c>
      <c r="AS84" s="31">
        <f t="shared" si="45"/>
        <v>0</v>
      </c>
      <c r="AT84" s="31">
        <f t="shared" si="46"/>
        <v>0</v>
      </c>
      <c r="AU84" s="31">
        <v>0</v>
      </c>
      <c r="AV84" s="31">
        <f t="shared" si="47"/>
        <v>0</v>
      </c>
    </row>
    <row r="85" spans="1:48" ht="12.75">
      <c r="A85" s="4" t="s">
        <v>76</v>
      </c>
      <c r="B85" s="4"/>
      <c r="C85" s="4" t="s">
        <v>176</v>
      </c>
      <c r="D85" s="4" t="s">
        <v>282</v>
      </c>
      <c r="E85" s="4" t="s">
        <v>314</v>
      </c>
      <c r="F85" s="16">
        <v>4</v>
      </c>
      <c r="G85" s="16"/>
      <c r="H85" s="16"/>
      <c r="I85" s="16"/>
      <c r="J85" s="16"/>
      <c r="K85" s="16"/>
      <c r="L85" s="16"/>
      <c r="M85" s="27" t="s">
        <v>336</v>
      </c>
      <c r="P85" s="31">
        <f t="shared" si="32"/>
        <v>0</v>
      </c>
      <c r="R85" s="31">
        <f t="shared" si="33"/>
        <v>0</v>
      </c>
      <c r="S85" s="31">
        <f t="shared" si="34"/>
        <v>0</v>
      </c>
      <c r="T85" s="31">
        <f t="shared" si="35"/>
        <v>0</v>
      </c>
      <c r="U85" s="31">
        <f t="shared" si="36"/>
        <v>0</v>
      </c>
      <c r="V85" s="31">
        <f t="shared" si="37"/>
        <v>0</v>
      </c>
      <c r="W85" s="31">
        <f t="shared" si="38"/>
        <v>0</v>
      </c>
      <c r="X85" s="31">
        <f t="shared" si="39"/>
        <v>0</v>
      </c>
      <c r="Y85" s="24"/>
      <c r="Z85" s="16">
        <f t="shared" si="40"/>
        <v>0</v>
      </c>
      <c r="AA85" s="16">
        <f t="shared" si="41"/>
        <v>0</v>
      </c>
      <c r="AB85" s="16">
        <f t="shared" si="42"/>
        <v>0</v>
      </c>
      <c r="AD85" s="31">
        <v>21</v>
      </c>
      <c r="AE85" s="31">
        <f>G85*0.63824027072758</f>
        <v>0</v>
      </c>
      <c r="AF85" s="31">
        <f>G85*(1-0.63824027072758)</f>
        <v>0</v>
      </c>
      <c r="AG85" s="27" t="s">
        <v>13</v>
      </c>
      <c r="AM85" s="31">
        <f t="shared" si="43"/>
        <v>0</v>
      </c>
      <c r="AN85" s="31">
        <f t="shared" si="44"/>
        <v>0</v>
      </c>
      <c r="AO85" s="32" t="s">
        <v>350</v>
      </c>
      <c r="AP85" s="32" t="s">
        <v>356</v>
      </c>
      <c r="AQ85" s="24" t="s">
        <v>358</v>
      </c>
      <c r="AS85" s="31">
        <f t="shared" si="45"/>
        <v>0</v>
      </c>
      <c r="AT85" s="31">
        <f t="shared" si="46"/>
        <v>0</v>
      </c>
      <c r="AU85" s="31">
        <v>0</v>
      </c>
      <c r="AV85" s="31">
        <f t="shared" si="47"/>
        <v>0</v>
      </c>
    </row>
    <row r="86" spans="1:48" ht="12.75">
      <c r="A86" s="4" t="s">
        <v>77</v>
      </c>
      <c r="B86" s="4"/>
      <c r="C86" s="4" t="s">
        <v>177</v>
      </c>
      <c r="D86" s="4" t="s">
        <v>283</v>
      </c>
      <c r="E86" s="4" t="s">
        <v>314</v>
      </c>
      <c r="F86" s="16">
        <v>1</v>
      </c>
      <c r="G86" s="16"/>
      <c r="H86" s="16"/>
      <c r="I86" s="16"/>
      <c r="J86" s="16"/>
      <c r="K86" s="16"/>
      <c r="L86" s="16"/>
      <c r="M86" s="27" t="s">
        <v>336</v>
      </c>
      <c r="P86" s="31">
        <f t="shared" si="32"/>
        <v>0</v>
      </c>
      <c r="R86" s="31">
        <f t="shared" si="33"/>
        <v>0</v>
      </c>
      <c r="S86" s="31">
        <f t="shared" si="34"/>
        <v>0</v>
      </c>
      <c r="T86" s="31">
        <f t="shared" si="35"/>
        <v>0</v>
      </c>
      <c r="U86" s="31">
        <f t="shared" si="36"/>
        <v>0</v>
      </c>
      <c r="V86" s="31">
        <f t="shared" si="37"/>
        <v>0</v>
      </c>
      <c r="W86" s="31">
        <f t="shared" si="38"/>
        <v>0</v>
      </c>
      <c r="X86" s="31">
        <f t="shared" si="39"/>
        <v>0</v>
      </c>
      <c r="Y86" s="24"/>
      <c r="Z86" s="16">
        <f t="shared" si="40"/>
        <v>0</v>
      </c>
      <c r="AA86" s="16">
        <f t="shared" si="41"/>
        <v>0</v>
      </c>
      <c r="AB86" s="16">
        <f t="shared" si="42"/>
        <v>0</v>
      </c>
      <c r="AD86" s="31">
        <v>21</v>
      </c>
      <c r="AE86" s="31">
        <f>G86*0</f>
        <v>0</v>
      </c>
      <c r="AF86" s="31">
        <f>G86*(1-0)</f>
        <v>0</v>
      </c>
      <c r="AG86" s="27" t="s">
        <v>13</v>
      </c>
      <c r="AM86" s="31">
        <f t="shared" si="43"/>
        <v>0</v>
      </c>
      <c r="AN86" s="31">
        <f t="shared" si="44"/>
        <v>0</v>
      </c>
      <c r="AO86" s="32" t="s">
        <v>350</v>
      </c>
      <c r="AP86" s="32" t="s">
        <v>356</v>
      </c>
      <c r="AQ86" s="24" t="s">
        <v>358</v>
      </c>
      <c r="AS86" s="31">
        <f t="shared" si="45"/>
        <v>0</v>
      </c>
      <c r="AT86" s="31">
        <f t="shared" si="46"/>
        <v>0</v>
      </c>
      <c r="AU86" s="31">
        <v>0</v>
      </c>
      <c r="AV86" s="31">
        <f t="shared" si="47"/>
        <v>0</v>
      </c>
    </row>
    <row r="87" spans="1:48" ht="12.75">
      <c r="A87" s="4" t="s">
        <v>78</v>
      </c>
      <c r="B87" s="4"/>
      <c r="C87" s="4" t="s">
        <v>178</v>
      </c>
      <c r="D87" s="4" t="s">
        <v>284</v>
      </c>
      <c r="E87" s="4" t="s">
        <v>314</v>
      </c>
      <c r="F87" s="16">
        <v>38</v>
      </c>
      <c r="G87" s="16"/>
      <c r="H87" s="16"/>
      <c r="I87" s="16"/>
      <c r="J87" s="16"/>
      <c r="K87" s="16"/>
      <c r="L87" s="16"/>
      <c r="M87" s="27" t="s">
        <v>336</v>
      </c>
      <c r="P87" s="31">
        <f t="shared" si="32"/>
        <v>0</v>
      </c>
      <c r="R87" s="31">
        <f t="shared" si="33"/>
        <v>0</v>
      </c>
      <c r="S87" s="31">
        <f t="shared" si="34"/>
        <v>0</v>
      </c>
      <c r="T87" s="31">
        <f t="shared" si="35"/>
        <v>0</v>
      </c>
      <c r="U87" s="31">
        <f t="shared" si="36"/>
        <v>0</v>
      </c>
      <c r="V87" s="31">
        <f t="shared" si="37"/>
        <v>0</v>
      </c>
      <c r="W87" s="31">
        <f t="shared" si="38"/>
        <v>0</v>
      </c>
      <c r="X87" s="31">
        <f t="shared" si="39"/>
        <v>0</v>
      </c>
      <c r="Y87" s="24"/>
      <c r="Z87" s="16">
        <f t="shared" si="40"/>
        <v>0</v>
      </c>
      <c r="AA87" s="16">
        <f t="shared" si="41"/>
        <v>0</v>
      </c>
      <c r="AB87" s="16">
        <f t="shared" si="42"/>
        <v>0</v>
      </c>
      <c r="AD87" s="31">
        <v>21</v>
      </c>
      <c r="AE87" s="31">
        <f>G87*0.51520618556701</f>
        <v>0</v>
      </c>
      <c r="AF87" s="31">
        <f>G87*(1-0.51520618556701)</f>
        <v>0</v>
      </c>
      <c r="AG87" s="27" t="s">
        <v>13</v>
      </c>
      <c r="AM87" s="31">
        <f t="shared" si="43"/>
        <v>0</v>
      </c>
      <c r="AN87" s="31">
        <f t="shared" si="44"/>
        <v>0</v>
      </c>
      <c r="AO87" s="32" t="s">
        <v>350</v>
      </c>
      <c r="AP87" s="32" t="s">
        <v>356</v>
      </c>
      <c r="AQ87" s="24" t="s">
        <v>358</v>
      </c>
      <c r="AS87" s="31">
        <f t="shared" si="45"/>
        <v>0</v>
      </c>
      <c r="AT87" s="31">
        <f t="shared" si="46"/>
        <v>0</v>
      </c>
      <c r="AU87" s="31">
        <v>0</v>
      </c>
      <c r="AV87" s="31">
        <f t="shared" si="47"/>
        <v>0</v>
      </c>
    </row>
    <row r="88" spans="1:48" ht="12.75">
      <c r="A88" s="4" t="s">
        <v>79</v>
      </c>
      <c r="B88" s="4"/>
      <c r="C88" s="4" t="s">
        <v>179</v>
      </c>
      <c r="D88" s="4" t="s">
        <v>285</v>
      </c>
      <c r="E88" s="4" t="s">
        <v>311</v>
      </c>
      <c r="F88" s="16">
        <v>15</v>
      </c>
      <c r="G88" s="16"/>
      <c r="H88" s="16"/>
      <c r="I88" s="16"/>
      <c r="J88" s="16"/>
      <c r="K88" s="16"/>
      <c r="L88" s="16"/>
      <c r="M88" s="27" t="s">
        <v>336</v>
      </c>
      <c r="P88" s="31">
        <f t="shared" si="32"/>
        <v>0</v>
      </c>
      <c r="R88" s="31">
        <f t="shared" si="33"/>
        <v>0</v>
      </c>
      <c r="S88" s="31">
        <f t="shared" si="34"/>
        <v>0</v>
      </c>
      <c r="T88" s="31">
        <f t="shared" si="35"/>
        <v>0</v>
      </c>
      <c r="U88" s="31">
        <f t="shared" si="36"/>
        <v>0</v>
      </c>
      <c r="V88" s="31">
        <f t="shared" si="37"/>
        <v>0</v>
      </c>
      <c r="W88" s="31">
        <f t="shared" si="38"/>
        <v>0</v>
      </c>
      <c r="X88" s="31">
        <f t="shared" si="39"/>
        <v>0</v>
      </c>
      <c r="Y88" s="24"/>
      <c r="Z88" s="16">
        <f t="shared" si="40"/>
        <v>0</v>
      </c>
      <c r="AA88" s="16">
        <f t="shared" si="41"/>
        <v>0</v>
      </c>
      <c r="AB88" s="16">
        <f t="shared" si="42"/>
        <v>0</v>
      </c>
      <c r="AD88" s="31">
        <v>21</v>
      </c>
      <c r="AE88" s="31">
        <f>G88*0.935696</f>
        <v>0</v>
      </c>
      <c r="AF88" s="31">
        <f>G88*(1-0.935696)</f>
        <v>0</v>
      </c>
      <c r="AG88" s="27" t="s">
        <v>13</v>
      </c>
      <c r="AM88" s="31">
        <f t="shared" si="43"/>
        <v>0</v>
      </c>
      <c r="AN88" s="31">
        <f t="shared" si="44"/>
        <v>0</v>
      </c>
      <c r="AO88" s="32" t="s">
        <v>350</v>
      </c>
      <c r="AP88" s="32" t="s">
        <v>356</v>
      </c>
      <c r="AQ88" s="24" t="s">
        <v>358</v>
      </c>
      <c r="AS88" s="31">
        <f t="shared" si="45"/>
        <v>0</v>
      </c>
      <c r="AT88" s="31">
        <f t="shared" si="46"/>
        <v>0</v>
      </c>
      <c r="AU88" s="31">
        <v>0</v>
      </c>
      <c r="AV88" s="31">
        <f t="shared" si="47"/>
        <v>0</v>
      </c>
    </row>
    <row r="89" spans="1:48" ht="12.75">
      <c r="A89" s="4" t="s">
        <v>80</v>
      </c>
      <c r="B89" s="4"/>
      <c r="C89" s="4" t="s">
        <v>180</v>
      </c>
      <c r="D89" s="4" t="s">
        <v>286</v>
      </c>
      <c r="E89" s="4" t="s">
        <v>311</v>
      </c>
      <c r="F89" s="16">
        <v>4</v>
      </c>
      <c r="G89" s="16"/>
      <c r="H89" s="16"/>
      <c r="I89" s="16"/>
      <c r="J89" s="16"/>
      <c r="K89" s="16"/>
      <c r="L89" s="16"/>
      <c r="M89" s="27" t="s">
        <v>336</v>
      </c>
      <c r="P89" s="31">
        <f t="shared" si="32"/>
        <v>0</v>
      </c>
      <c r="R89" s="31">
        <f t="shared" si="33"/>
        <v>0</v>
      </c>
      <c r="S89" s="31">
        <f t="shared" si="34"/>
        <v>0</v>
      </c>
      <c r="T89" s="31">
        <f t="shared" si="35"/>
        <v>0</v>
      </c>
      <c r="U89" s="31">
        <f t="shared" si="36"/>
        <v>0</v>
      </c>
      <c r="V89" s="31">
        <f t="shared" si="37"/>
        <v>0</v>
      </c>
      <c r="W89" s="31">
        <f t="shared" si="38"/>
        <v>0</v>
      </c>
      <c r="X89" s="31">
        <f t="shared" si="39"/>
        <v>0</v>
      </c>
      <c r="Y89" s="24"/>
      <c r="Z89" s="16">
        <f t="shared" si="40"/>
        <v>0</v>
      </c>
      <c r="AA89" s="16">
        <f t="shared" si="41"/>
        <v>0</v>
      </c>
      <c r="AB89" s="16">
        <f t="shared" si="42"/>
        <v>0</v>
      </c>
      <c r="AD89" s="31">
        <v>21</v>
      </c>
      <c r="AE89" s="31">
        <f>G89*0.91962</f>
        <v>0</v>
      </c>
      <c r="AF89" s="31">
        <f>G89*(1-0.91962)</f>
        <v>0</v>
      </c>
      <c r="AG89" s="27" t="s">
        <v>13</v>
      </c>
      <c r="AM89" s="31">
        <f t="shared" si="43"/>
        <v>0</v>
      </c>
      <c r="AN89" s="31">
        <f t="shared" si="44"/>
        <v>0</v>
      </c>
      <c r="AO89" s="32" t="s">
        <v>350</v>
      </c>
      <c r="AP89" s="32" t="s">
        <v>356</v>
      </c>
      <c r="AQ89" s="24" t="s">
        <v>358</v>
      </c>
      <c r="AS89" s="31">
        <f t="shared" si="45"/>
        <v>0</v>
      </c>
      <c r="AT89" s="31">
        <f t="shared" si="46"/>
        <v>0</v>
      </c>
      <c r="AU89" s="31">
        <v>0</v>
      </c>
      <c r="AV89" s="31">
        <f t="shared" si="47"/>
        <v>0</v>
      </c>
    </row>
    <row r="90" spans="1:48" ht="12.75">
      <c r="A90" s="4" t="s">
        <v>81</v>
      </c>
      <c r="B90" s="4"/>
      <c r="C90" s="4" t="s">
        <v>181</v>
      </c>
      <c r="D90" s="4" t="s">
        <v>287</v>
      </c>
      <c r="E90" s="4" t="s">
        <v>311</v>
      </c>
      <c r="F90" s="16">
        <v>7</v>
      </c>
      <c r="G90" s="16"/>
      <c r="H90" s="16"/>
      <c r="I90" s="16"/>
      <c r="J90" s="16"/>
      <c r="K90" s="16"/>
      <c r="L90" s="16"/>
      <c r="M90" s="27" t="s">
        <v>336</v>
      </c>
      <c r="P90" s="31">
        <f t="shared" si="32"/>
        <v>0</v>
      </c>
      <c r="R90" s="31">
        <f t="shared" si="33"/>
        <v>0</v>
      </c>
      <c r="S90" s="31">
        <f t="shared" si="34"/>
        <v>0</v>
      </c>
      <c r="T90" s="31">
        <f t="shared" si="35"/>
        <v>0</v>
      </c>
      <c r="U90" s="31">
        <f t="shared" si="36"/>
        <v>0</v>
      </c>
      <c r="V90" s="31">
        <f t="shared" si="37"/>
        <v>0</v>
      </c>
      <c r="W90" s="31">
        <f t="shared" si="38"/>
        <v>0</v>
      </c>
      <c r="X90" s="31">
        <f t="shared" si="39"/>
        <v>0</v>
      </c>
      <c r="Y90" s="24"/>
      <c r="Z90" s="16">
        <f t="shared" si="40"/>
        <v>0</v>
      </c>
      <c r="AA90" s="16">
        <f t="shared" si="41"/>
        <v>0</v>
      </c>
      <c r="AB90" s="16">
        <f t="shared" si="42"/>
        <v>0</v>
      </c>
      <c r="AD90" s="31">
        <v>21</v>
      </c>
      <c r="AE90" s="31">
        <f>G90*0.919336382541899</f>
        <v>0</v>
      </c>
      <c r="AF90" s="31">
        <f>G90*(1-0.919336382541899)</f>
        <v>0</v>
      </c>
      <c r="AG90" s="27" t="s">
        <v>13</v>
      </c>
      <c r="AM90" s="31">
        <f t="shared" si="43"/>
        <v>0</v>
      </c>
      <c r="AN90" s="31">
        <f t="shared" si="44"/>
        <v>0</v>
      </c>
      <c r="AO90" s="32" t="s">
        <v>350</v>
      </c>
      <c r="AP90" s="32" t="s">
        <v>356</v>
      </c>
      <c r="AQ90" s="24" t="s">
        <v>358</v>
      </c>
      <c r="AS90" s="31">
        <f t="shared" si="45"/>
        <v>0</v>
      </c>
      <c r="AT90" s="31">
        <f t="shared" si="46"/>
        <v>0</v>
      </c>
      <c r="AU90" s="31">
        <v>0</v>
      </c>
      <c r="AV90" s="31">
        <f t="shared" si="47"/>
        <v>0</v>
      </c>
    </row>
    <row r="91" spans="1:48" ht="12.75">
      <c r="A91" s="4" t="s">
        <v>82</v>
      </c>
      <c r="B91" s="4"/>
      <c r="C91" s="4" t="s">
        <v>182</v>
      </c>
      <c r="D91" s="4" t="s">
        <v>288</v>
      </c>
      <c r="E91" s="4" t="s">
        <v>311</v>
      </c>
      <c r="F91" s="16">
        <v>2</v>
      </c>
      <c r="G91" s="16"/>
      <c r="H91" s="16"/>
      <c r="I91" s="16"/>
      <c r="J91" s="16"/>
      <c r="K91" s="16"/>
      <c r="L91" s="16"/>
      <c r="M91" s="27" t="s">
        <v>336</v>
      </c>
      <c r="P91" s="31">
        <f t="shared" si="32"/>
        <v>0</v>
      </c>
      <c r="R91" s="31">
        <f t="shared" si="33"/>
        <v>0</v>
      </c>
      <c r="S91" s="31">
        <f t="shared" si="34"/>
        <v>0</v>
      </c>
      <c r="T91" s="31">
        <f t="shared" si="35"/>
        <v>0</v>
      </c>
      <c r="U91" s="31">
        <f t="shared" si="36"/>
        <v>0</v>
      </c>
      <c r="V91" s="31">
        <f t="shared" si="37"/>
        <v>0</v>
      </c>
      <c r="W91" s="31">
        <f t="shared" si="38"/>
        <v>0</v>
      </c>
      <c r="X91" s="31">
        <f t="shared" si="39"/>
        <v>0</v>
      </c>
      <c r="Y91" s="24"/>
      <c r="Z91" s="16">
        <f t="shared" si="40"/>
        <v>0</v>
      </c>
      <c r="AA91" s="16">
        <f t="shared" si="41"/>
        <v>0</v>
      </c>
      <c r="AB91" s="16">
        <f t="shared" si="42"/>
        <v>0</v>
      </c>
      <c r="AD91" s="31">
        <v>21</v>
      </c>
      <c r="AE91" s="31">
        <f>G91*0.831288659793814</f>
        <v>0</v>
      </c>
      <c r="AF91" s="31">
        <f>G91*(1-0.831288659793814)</f>
        <v>0</v>
      </c>
      <c r="AG91" s="27" t="s">
        <v>13</v>
      </c>
      <c r="AM91" s="31">
        <f t="shared" si="43"/>
        <v>0</v>
      </c>
      <c r="AN91" s="31">
        <f t="shared" si="44"/>
        <v>0</v>
      </c>
      <c r="AO91" s="32" t="s">
        <v>350</v>
      </c>
      <c r="AP91" s="32" t="s">
        <v>356</v>
      </c>
      <c r="AQ91" s="24" t="s">
        <v>358</v>
      </c>
      <c r="AS91" s="31">
        <f t="shared" si="45"/>
        <v>0</v>
      </c>
      <c r="AT91" s="31">
        <f t="shared" si="46"/>
        <v>0</v>
      </c>
      <c r="AU91" s="31">
        <v>0</v>
      </c>
      <c r="AV91" s="31">
        <f t="shared" si="47"/>
        <v>0</v>
      </c>
    </row>
    <row r="92" spans="1:48" ht="12.75">
      <c r="A92" s="4" t="s">
        <v>83</v>
      </c>
      <c r="B92" s="4"/>
      <c r="C92" s="4" t="s">
        <v>183</v>
      </c>
      <c r="D92" s="4" t="s">
        <v>289</v>
      </c>
      <c r="E92" s="4" t="s">
        <v>311</v>
      </c>
      <c r="F92" s="16">
        <v>2</v>
      </c>
      <c r="G92" s="16"/>
      <c r="H92" s="16"/>
      <c r="I92" s="16"/>
      <c r="J92" s="16"/>
      <c r="K92" s="16"/>
      <c r="L92" s="16"/>
      <c r="M92" s="27" t="s">
        <v>336</v>
      </c>
      <c r="P92" s="31">
        <f t="shared" si="32"/>
        <v>0</v>
      </c>
      <c r="R92" s="31">
        <f t="shared" si="33"/>
        <v>0</v>
      </c>
      <c r="S92" s="31">
        <f t="shared" si="34"/>
        <v>0</v>
      </c>
      <c r="T92" s="31">
        <f t="shared" si="35"/>
        <v>0</v>
      </c>
      <c r="U92" s="31">
        <f t="shared" si="36"/>
        <v>0</v>
      </c>
      <c r="V92" s="31">
        <f t="shared" si="37"/>
        <v>0</v>
      </c>
      <c r="W92" s="31">
        <f t="shared" si="38"/>
        <v>0</v>
      </c>
      <c r="X92" s="31">
        <f t="shared" si="39"/>
        <v>0</v>
      </c>
      <c r="Y92" s="24"/>
      <c r="Z92" s="16">
        <f t="shared" si="40"/>
        <v>0</v>
      </c>
      <c r="AA92" s="16">
        <f t="shared" si="41"/>
        <v>0</v>
      </c>
      <c r="AB92" s="16">
        <f t="shared" si="42"/>
        <v>0</v>
      </c>
      <c r="AD92" s="31">
        <v>21</v>
      </c>
      <c r="AE92" s="31">
        <f>G92*0.754654377880184</f>
        <v>0</v>
      </c>
      <c r="AF92" s="31">
        <f>G92*(1-0.754654377880184)</f>
        <v>0</v>
      </c>
      <c r="AG92" s="27" t="s">
        <v>13</v>
      </c>
      <c r="AM92" s="31">
        <f t="shared" si="43"/>
        <v>0</v>
      </c>
      <c r="AN92" s="31">
        <f t="shared" si="44"/>
        <v>0</v>
      </c>
      <c r="AO92" s="32" t="s">
        <v>350</v>
      </c>
      <c r="AP92" s="32" t="s">
        <v>356</v>
      </c>
      <c r="AQ92" s="24" t="s">
        <v>358</v>
      </c>
      <c r="AS92" s="31">
        <f t="shared" si="45"/>
        <v>0</v>
      </c>
      <c r="AT92" s="31">
        <f t="shared" si="46"/>
        <v>0</v>
      </c>
      <c r="AU92" s="31">
        <v>0</v>
      </c>
      <c r="AV92" s="31">
        <f t="shared" si="47"/>
        <v>0</v>
      </c>
    </row>
    <row r="93" spans="1:48" ht="12.75">
      <c r="A93" s="4" t="s">
        <v>84</v>
      </c>
      <c r="B93" s="4"/>
      <c r="C93" s="4" t="s">
        <v>184</v>
      </c>
      <c r="D93" s="4" t="s">
        <v>290</v>
      </c>
      <c r="E93" s="4" t="s">
        <v>311</v>
      </c>
      <c r="F93" s="16">
        <v>4</v>
      </c>
      <c r="G93" s="16"/>
      <c r="H93" s="16"/>
      <c r="I93" s="16"/>
      <c r="J93" s="16"/>
      <c r="K93" s="16"/>
      <c r="L93" s="16"/>
      <c r="M93" s="27" t="s">
        <v>336</v>
      </c>
      <c r="P93" s="31">
        <f t="shared" si="32"/>
        <v>0</v>
      </c>
      <c r="R93" s="31">
        <f t="shared" si="33"/>
        <v>0</v>
      </c>
      <c r="S93" s="31">
        <f t="shared" si="34"/>
        <v>0</v>
      </c>
      <c r="T93" s="31">
        <f t="shared" si="35"/>
        <v>0</v>
      </c>
      <c r="U93" s="31">
        <f t="shared" si="36"/>
        <v>0</v>
      </c>
      <c r="V93" s="31">
        <f t="shared" si="37"/>
        <v>0</v>
      </c>
      <c r="W93" s="31">
        <f t="shared" si="38"/>
        <v>0</v>
      </c>
      <c r="X93" s="31">
        <f t="shared" si="39"/>
        <v>0</v>
      </c>
      <c r="Y93" s="24"/>
      <c r="Z93" s="16">
        <f t="shared" si="40"/>
        <v>0</v>
      </c>
      <c r="AA93" s="16">
        <f t="shared" si="41"/>
        <v>0</v>
      </c>
      <c r="AB93" s="16">
        <f t="shared" si="42"/>
        <v>0</v>
      </c>
      <c r="AD93" s="31">
        <v>21</v>
      </c>
      <c r="AE93" s="31">
        <f>G93*0.509975481947983</f>
        <v>0</v>
      </c>
      <c r="AF93" s="31">
        <f>G93*(1-0.509975481947983)</f>
        <v>0</v>
      </c>
      <c r="AG93" s="27" t="s">
        <v>13</v>
      </c>
      <c r="AM93" s="31">
        <f t="shared" si="43"/>
        <v>0</v>
      </c>
      <c r="AN93" s="31">
        <f t="shared" si="44"/>
        <v>0</v>
      </c>
      <c r="AO93" s="32" t="s">
        <v>350</v>
      </c>
      <c r="AP93" s="32" t="s">
        <v>356</v>
      </c>
      <c r="AQ93" s="24" t="s">
        <v>358</v>
      </c>
      <c r="AS93" s="31">
        <f t="shared" si="45"/>
        <v>0</v>
      </c>
      <c r="AT93" s="31">
        <f t="shared" si="46"/>
        <v>0</v>
      </c>
      <c r="AU93" s="31">
        <v>0</v>
      </c>
      <c r="AV93" s="31">
        <f t="shared" si="47"/>
        <v>0</v>
      </c>
    </row>
    <row r="94" spans="1:48" ht="12.75">
      <c r="A94" s="4" t="s">
        <v>85</v>
      </c>
      <c r="B94" s="4"/>
      <c r="C94" s="4" t="s">
        <v>185</v>
      </c>
      <c r="D94" s="4" t="s">
        <v>291</v>
      </c>
      <c r="E94" s="4" t="s">
        <v>311</v>
      </c>
      <c r="F94" s="16">
        <v>9</v>
      </c>
      <c r="G94" s="16"/>
      <c r="H94" s="16"/>
      <c r="I94" s="16"/>
      <c r="J94" s="16"/>
      <c r="K94" s="16"/>
      <c r="L94" s="16"/>
      <c r="M94" s="27" t="s">
        <v>336</v>
      </c>
      <c r="P94" s="31">
        <f t="shared" si="32"/>
        <v>0</v>
      </c>
      <c r="R94" s="31">
        <f t="shared" si="33"/>
        <v>0</v>
      </c>
      <c r="S94" s="31">
        <f t="shared" si="34"/>
        <v>0</v>
      </c>
      <c r="T94" s="31">
        <f t="shared" si="35"/>
        <v>0</v>
      </c>
      <c r="U94" s="31">
        <f t="shared" si="36"/>
        <v>0</v>
      </c>
      <c r="V94" s="31">
        <f t="shared" si="37"/>
        <v>0</v>
      </c>
      <c r="W94" s="31">
        <f t="shared" si="38"/>
        <v>0</v>
      </c>
      <c r="X94" s="31">
        <f t="shared" si="39"/>
        <v>0</v>
      </c>
      <c r="Y94" s="24"/>
      <c r="Z94" s="16">
        <f t="shared" si="40"/>
        <v>0</v>
      </c>
      <c r="AA94" s="16">
        <f t="shared" si="41"/>
        <v>0</v>
      </c>
      <c r="AB94" s="16">
        <f t="shared" si="42"/>
        <v>0</v>
      </c>
      <c r="AD94" s="31">
        <v>21</v>
      </c>
      <c r="AE94" s="31">
        <f>G94*0.797359893441482</f>
        <v>0</v>
      </c>
      <c r="AF94" s="31">
        <f>G94*(1-0.797359893441482)</f>
        <v>0</v>
      </c>
      <c r="AG94" s="27" t="s">
        <v>13</v>
      </c>
      <c r="AM94" s="31">
        <f t="shared" si="43"/>
        <v>0</v>
      </c>
      <c r="AN94" s="31">
        <f t="shared" si="44"/>
        <v>0</v>
      </c>
      <c r="AO94" s="32" t="s">
        <v>350</v>
      </c>
      <c r="AP94" s="32" t="s">
        <v>356</v>
      </c>
      <c r="AQ94" s="24" t="s">
        <v>358</v>
      </c>
      <c r="AS94" s="31">
        <f t="shared" si="45"/>
        <v>0</v>
      </c>
      <c r="AT94" s="31">
        <f t="shared" si="46"/>
        <v>0</v>
      </c>
      <c r="AU94" s="31">
        <v>0</v>
      </c>
      <c r="AV94" s="31">
        <f t="shared" si="47"/>
        <v>0</v>
      </c>
    </row>
    <row r="95" spans="1:48" ht="12.75">
      <c r="A95" s="4" t="s">
        <v>86</v>
      </c>
      <c r="B95" s="4"/>
      <c r="C95" s="4" t="s">
        <v>186</v>
      </c>
      <c r="D95" s="4" t="s">
        <v>292</v>
      </c>
      <c r="E95" s="4" t="s">
        <v>311</v>
      </c>
      <c r="F95" s="16">
        <v>2</v>
      </c>
      <c r="G95" s="16"/>
      <c r="H95" s="16"/>
      <c r="I95" s="16"/>
      <c r="J95" s="16"/>
      <c r="K95" s="16"/>
      <c r="L95" s="16"/>
      <c r="M95" s="27" t="s">
        <v>336</v>
      </c>
      <c r="P95" s="31">
        <f t="shared" si="32"/>
        <v>0</v>
      </c>
      <c r="R95" s="31">
        <f t="shared" si="33"/>
        <v>0</v>
      </c>
      <c r="S95" s="31">
        <f t="shared" si="34"/>
        <v>0</v>
      </c>
      <c r="T95" s="31">
        <f t="shared" si="35"/>
        <v>0</v>
      </c>
      <c r="U95" s="31">
        <f t="shared" si="36"/>
        <v>0</v>
      </c>
      <c r="V95" s="31">
        <f t="shared" si="37"/>
        <v>0</v>
      </c>
      <c r="W95" s="31">
        <f t="shared" si="38"/>
        <v>0</v>
      </c>
      <c r="X95" s="31">
        <f t="shared" si="39"/>
        <v>0</v>
      </c>
      <c r="Y95" s="24"/>
      <c r="Z95" s="16">
        <f t="shared" si="40"/>
        <v>0</v>
      </c>
      <c r="AA95" s="16">
        <f t="shared" si="41"/>
        <v>0</v>
      </c>
      <c r="AB95" s="16">
        <f t="shared" si="42"/>
        <v>0</v>
      </c>
      <c r="AD95" s="31">
        <v>21</v>
      </c>
      <c r="AE95" s="31">
        <f>G95*0.881890128735472</f>
        <v>0</v>
      </c>
      <c r="AF95" s="31">
        <f>G95*(1-0.881890128735472)</f>
        <v>0</v>
      </c>
      <c r="AG95" s="27" t="s">
        <v>13</v>
      </c>
      <c r="AM95" s="31">
        <f t="shared" si="43"/>
        <v>0</v>
      </c>
      <c r="AN95" s="31">
        <f t="shared" si="44"/>
        <v>0</v>
      </c>
      <c r="AO95" s="32" t="s">
        <v>350</v>
      </c>
      <c r="AP95" s="32" t="s">
        <v>356</v>
      </c>
      <c r="AQ95" s="24" t="s">
        <v>358</v>
      </c>
      <c r="AS95" s="31">
        <f t="shared" si="45"/>
        <v>0</v>
      </c>
      <c r="AT95" s="31">
        <f t="shared" si="46"/>
        <v>0</v>
      </c>
      <c r="AU95" s="31">
        <v>0</v>
      </c>
      <c r="AV95" s="31">
        <f t="shared" si="47"/>
        <v>0</v>
      </c>
    </row>
    <row r="96" spans="1:48" ht="12.75">
      <c r="A96" s="4" t="s">
        <v>87</v>
      </c>
      <c r="B96" s="4"/>
      <c r="C96" s="4" t="s">
        <v>187</v>
      </c>
      <c r="D96" s="4" t="s">
        <v>293</v>
      </c>
      <c r="E96" s="4" t="s">
        <v>311</v>
      </c>
      <c r="F96" s="16">
        <v>22</v>
      </c>
      <c r="G96" s="16"/>
      <c r="H96" s="16"/>
      <c r="I96" s="16"/>
      <c r="J96" s="16"/>
      <c r="K96" s="16"/>
      <c r="L96" s="16"/>
      <c r="M96" s="27" t="s">
        <v>336</v>
      </c>
      <c r="P96" s="31">
        <f t="shared" si="32"/>
        <v>0</v>
      </c>
      <c r="R96" s="31">
        <f t="shared" si="33"/>
        <v>0</v>
      </c>
      <c r="S96" s="31">
        <f t="shared" si="34"/>
        <v>0</v>
      </c>
      <c r="T96" s="31">
        <f t="shared" si="35"/>
        <v>0</v>
      </c>
      <c r="U96" s="31">
        <f t="shared" si="36"/>
        <v>0</v>
      </c>
      <c r="V96" s="31">
        <f t="shared" si="37"/>
        <v>0</v>
      </c>
      <c r="W96" s="31">
        <f t="shared" si="38"/>
        <v>0</v>
      </c>
      <c r="X96" s="31">
        <f t="shared" si="39"/>
        <v>0</v>
      </c>
      <c r="Y96" s="24"/>
      <c r="Z96" s="16">
        <f t="shared" si="40"/>
        <v>0</v>
      </c>
      <c r="AA96" s="16">
        <f t="shared" si="41"/>
        <v>0</v>
      </c>
      <c r="AB96" s="16">
        <f t="shared" si="42"/>
        <v>0</v>
      </c>
      <c r="AD96" s="31">
        <v>21</v>
      </c>
      <c r="AE96" s="31">
        <f>G96*0.430111524163569</f>
        <v>0</v>
      </c>
      <c r="AF96" s="31">
        <f>G96*(1-0.430111524163569)</f>
        <v>0</v>
      </c>
      <c r="AG96" s="27" t="s">
        <v>13</v>
      </c>
      <c r="AM96" s="31">
        <f t="shared" si="43"/>
        <v>0</v>
      </c>
      <c r="AN96" s="31">
        <f t="shared" si="44"/>
        <v>0</v>
      </c>
      <c r="AO96" s="32" t="s">
        <v>350</v>
      </c>
      <c r="AP96" s="32" t="s">
        <v>356</v>
      </c>
      <c r="AQ96" s="24" t="s">
        <v>358</v>
      </c>
      <c r="AS96" s="31">
        <f t="shared" si="45"/>
        <v>0</v>
      </c>
      <c r="AT96" s="31">
        <f t="shared" si="46"/>
        <v>0</v>
      </c>
      <c r="AU96" s="31">
        <v>0</v>
      </c>
      <c r="AV96" s="31">
        <f t="shared" si="47"/>
        <v>0</v>
      </c>
    </row>
    <row r="97" spans="1:48" ht="12.75">
      <c r="A97" s="4" t="s">
        <v>88</v>
      </c>
      <c r="B97" s="4"/>
      <c r="C97" s="4" t="s">
        <v>188</v>
      </c>
      <c r="D97" s="4" t="s">
        <v>294</v>
      </c>
      <c r="E97" s="4" t="s">
        <v>314</v>
      </c>
      <c r="F97" s="16">
        <v>1</v>
      </c>
      <c r="G97" s="16"/>
      <c r="H97" s="16"/>
      <c r="I97" s="16"/>
      <c r="J97" s="16"/>
      <c r="K97" s="16"/>
      <c r="L97" s="16"/>
      <c r="M97" s="27" t="s">
        <v>337</v>
      </c>
      <c r="P97" s="31">
        <f t="shared" si="32"/>
        <v>0</v>
      </c>
      <c r="R97" s="31">
        <f t="shared" si="33"/>
        <v>0</v>
      </c>
      <c r="S97" s="31">
        <f t="shared" si="34"/>
        <v>0</v>
      </c>
      <c r="T97" s="31">
        <f t="shared" si="35"/>
        <v>0</v>
      </c>
      <c r="U97" s="31">
        <f t="shared" si="36"/>
        <v>0</v>
      </c>
      <c r="V97" s="31">
        <f t="shared" si="37"/>
        <v>0</v>
      </c>
      <c r="W97" s="31">
        <f t="shared" si="38"/>
        <v>0</v>
      </c>
      <c r="X97" s="31">
        <f t="shared" si="39"/>
        <v>0</v>
      </c>
      <c r="Y97" s="24"/>
      <c r="Z97" s="16">
        <f t="shared" si="40"/>
        <v>0</v>
      </c>
      <c r="AA97" s="16">
        <f t="shared" si="41"/>
        <v>0</v>
      </c>
      <c r="AB97" s="16">
        <f t="shared" si="42"/>
        <v>0</v>
      </c>
      <c r="AD97" s="31">
        <v>21</v>
      </c>
      <c r="AE97" s="31">
        <f>G97*0.854038461538462</f>
        <v>0</v>
      </c>
      <c r="AF97" s="31">
        <f>G97*(1-0.854038461538462)</f>
        <v>0</v>
      </c>
      <c r="AG97" s="27" t="s">
        <v>13</v>
      </c>
      <c r="AM97" s="31">
        <f t="shared" si="43"/>
        <v>0</v>
      </c>
      <c r="AN97" s="31">
        <f t="shared" si="44"/>
        <v>0</v>
      </c>
      <c r="AO97" s="32" t="s">
        <v>350</v>
      </c>
      <c r="AP97" s="32" t="s">
        <v>356</v>
      </c>
      <c r="AQ97" s="24" t="s">
        <v>358</v>
      </c>
      <c r="AS97" s="31">
        <f t="shared" si="45"/>
        <v>0</v>
      </c>
      <c r="AT97" s="31">
        <f t="shared" si="46"/>
        <v>0</v>
      </c>
      <c r="AU97" s="31">
        <v>0</v>
      </c>
      <c r="AV97" s="31">
        <f t="shared" si="47"/>
        <v>0</v>
      </c>
    </row>
    <row r="98" spans="1:48" ht="12.75">
      <c r="A98" s="4" t="s">
        <v>89</v>
      </c>
      <c r="B98" s="4"/>
      <c r="C98" s="4" t="s">
        <v>189</v>
      </c>
      <c r="D98" s="4" t="s">
        <v>295</v>
      </c>
      <c r="E98" s="4" t="s">
        <v>314</v>
      </c>
      <c r="F98" s="16">
        <v>2</v>
      </c>
      <c r="G98" s="16"/>
      <c r="H98" s="16"/>
      <c r="I98" s="16"/>
      <c r="J98" s="16"/>
      <c r="K98" s="16"/>
      <c r="L98" s="16"/>
      <c r="M98" s="27" t="s">
        <v>337</v>
      </c>
      <c r="P98" s="31">
        <f t="shared" si="32"/>
        <v>0</v>
      </c>
      <c r="R98" s="31">
        <f t="shared" si="33"/>
        <v>0</v>
      </c>
      <c r="S98" s="31">
        <f t="shared" si="34"/>
        <v>0</v>
      </c>
      <c r="T98" s="31">
        <f t="shared" si="35"/>
        <v>0</v>
      </c>
      <c r="U98" s="31">
        <f t="shared" si="36"/>
        <v>0</v>
      </c>
      <c r="V98" s="31">
        <f t="shared" si="37"/>
        <v>0</v>
      </c>
      <c r="W98" s="31">
        <f t="shared" si="38"/>
        <v>0</v>
      </c>
      <c r="X98" s="31">
        <f t="shared" si="39"/>
        <v>0</v>
      </c>
      <c r="Y98" s="24"/>
      <c r="Z98" s="16">
        <f t="shared" si="40"/>
        <v>0</v>
      </c>
      <c r="AA98" s="16">
        <f t="shared" si="41"/>
        <v>0</v>
      </c>
      <c r="AB98" s="16">
        <f t="shared" si="42"/>
        <v>0</v>
      </c>
      <c r="AD98" s="31">
        <v>21</v>
      </c>
      <c r="AE98" s="31">
        <f>G98*0.854050847457627</f>
        <v>0</v>
      </c>
      <c r="AF98" s="31">
        <f>G98*(1-0.854050847457627)</f>
        <v>0</v>
      </c>
      <c r="AG98" s="27" t="s">
        <v>13</v>
      </c>
      <c r="AM98" s="31">
        <f t="shared" si="43"/>
        <v>0</v>
      </c>
      <c r="AN98" s="31">
        <f t="shared" si="44"/>
        <v>0</v>
      </c>
      <c r="AO98" s="32" t="s">
        <v>350</v>
      </c>
      <c r="AP98" s="32" t="s">
        <v>356</v>
      </c>
      <c r="AQ98" s="24" t="s">
        <v>358</v>
      </c>
      <c r="AS98" s="31">
        <f t="shared" si="45"/>
        <v>0</v>
      </c>
      <c r="AT98" s="31">
        <f t="shared" si="46"/>
        <v>0</v>
      </c>
      <c r="AU98" s="31">
        <v>0</v>
      </c>
      <c r="AV98" s="31">
        <f t="shared" si="47"/>
        <v>0</v>
      </c>
    </row>
    <row r="99" spans="1:48" ht="12.75">
      <c r="A99" s="4" t="s">
        <v>90</v>
      </c>
      <c r="B99" s="4"/>
      <c r="C99" s="4" t="s">
        <v>190</v>
      </c>
      <c r="D99" s="4" t="s">
        <v>296</v>
      </c>
      <c r="E99" s="4" t="s">
        <v>314</v>
      </c>
      <c r="F99" s="16">
        <v>2</v>
      </c>
      <c r="G99" s="16"/>
      <c r="H99" s="16"/>
      <c r="I99" s="16"/>
      <c r="J99" s="16"/>
      <c r="K99" s="16"/>
      <c r="L99" s="16"/>
      <c r="M99" s="27" t="s">
        <v>337</v>
      </c>
      <c r="P99" s="31">
        <f t="shared" si="32"/>
        <v>0</v>
      </c>
      <c r="R99" s="31">
        <f t="shared" si="33"/>
        <v>0</v>
      </c>
      <c r="S99" s="31">
        <f t="shared" si="34"/>
        <v>0</v>
      </c>
      <c r="T99" s="31">
        <f t="shared" si="35"/>
        <v>0</v>
      </c>
      <c r="U99" s="31">
        <f t="shared" si="36"/>
        <v>0</v>
      </c>
      <c r="V99" s="31">
        <f t="shared" si="37"/>
        <v>0</v>
      </c>
      <c r="W99" s="31">
        <f t="shared" si="38"/>
        <v>0</v>
      </c>
      <c r="X99" s="31">
        <f t="shared" si="39"/>
        <v>0</v>
      </c>
      <c r="Y99" s="24"/>
      <c r="Z99" s="16">
        <f t="shared" si="40"/>
        <v>0</v>
      </c>
      <c r="AA99" s="16">
        <f t="shared" si="41"/>
        <v>0</v>
      </c>
      <c r="AB99" s="16">
        <f t="shared" si="42"/>
        <v>0</v>
      </c>
      <c r="AD99" s="31">
        <v>21</v>
      </c>
      <c r="AE99" s="31">
        <f>G99*0.9265425</f>
        <v>0</v>
      </c>
      <c r="AF99" s="31">
        <f>G99*(1-0.9265425)</f>
        <v>0</v>
      </c>
      <c r="AG99" s="27" t="s">
        <v>13</v>
      </c>
      <c r="AM99" s="31">
        <f t="shared" si="43"/>
        <v>0</v>
      </c>
      <c r="AN99" s="31">
        <f t="shared" si="44"/>
        <v>0</v>
      </c>
      <c r="AO99" s="32" t="s">
        <v>350</v>
      </c>
      <c r="AP99" s="32" t="s">
        <v>356</v>
      </c>
      <c r="AQ99" s="24" t="s">
        <v>358</v>
      </c>
      <c r="AS99" s="31">
        <f t="shared" si="45"/>
        <v>0</v>
      </c>
      <c r="AT99" s="31">
        <f t="shared" si="46"/>
        <v>0</v>
      </c>
      <c r="AU99" s="31">
        <v>0</v>
      </c>
      <c r="AV99" s="31">
        <f t="shared" si="47"/>
        <v>0</v>
      </c>
    </row>
    <row r="100" spans="1:48" ht="12.75">
      <c r="A100" s="4" t="s">
        <v>91</v>
      </c>
      <c r="B100" s="4"/>
      <c r="C100" s="4" t="s">
        <v>191</v>
      </c>
      <c r="D100" s="4" t="s">
        <v>297</v>
      </c>
      <c r="E100" s="4" t="s">
        <v>314</v>
      </c>
      <c r="F100" s="16">
        <v>7</v>
      </c>
      <c r="G100" s="16"/>
      <c r="H100" s="16"/>
      <c r="I100" s="16"/>
      <c r="J100" s="16"/>
      <c r="K100" s="16"/>
      <c r="L100" s="16"/>
      <c r="M100" s="27" t="s">
        <v>337</v>
      </c>
      <c r="P100" s="31">
        <f t="shared" si="32"/>
        <v>0</v>
      </c>
      <c r="R100" s="31">
        <f t="shared" si="33"/>
        <v>0</v>
      </c>
      <c r="S100" s="31">
        <f t="shared" si="34"/>
        <v>0</v>
      </c>
      <c r="T100" s="31">
        <f t="shared" si="35"/>
        <v>0</v>
      </c>
      <c r="U100" s="31">
        <f t="shared" si="36"/>
        <v>0</v>
      </c>
      <c r="V100" s="31">
        <f t="shared" si="37"/>
        <v>0</v>
      </c>
      <c r="W100" s="31">
        <f t="shared" si="38"/>
        <v>0</v>
      </c>
      <c r="X100" s="31">
        <f t="shared" si="39"/>
        <v>0</v>
      </c>
      <c r="Y100" s="24"/>
      <c r="Z100" s="16">
        <f t="shared" si="40"/>
        <v>0</v>
      </c>
      <c r="AA100" s="16">
        <f t="shared" si="41"/>
        <v>0</v>
      </c>
      <c r="AB100" s="16">
        <f t="shared" si="42"/>
        <v>0</v>
      </c>
      <c r="AD100" s="31">
        <v>21</v>
      </c>
      <c r="AE100" s="31">
        <f>G100*0.914234270173235</f>
        <v>0</v>
      </c>
      <c r="AF100" s="31">
        <f>G100*(1-0.914234270173235)</f>
        <v>0</v>
      </c>
      <c r="AG100" s="27" t="s">
        <v>13</v>
      </c>
      <c r="AM100" s="31">
        <f t="shared" si="43"/>
        <v>0</v>
      </c>
      <c r="AN100" s="31">
        <f t="shared" si="44"/>
        <v>0</v>
      </c>
      <c r="AO100" s="32" t="s">
        <v>350</v>
      </c>
      <c r="AP100" s="32" t="s">
        <v>356</v>
      </c>
      <c r="AQ100" s="24" t="s">
        <v>358</v>
      </c>
      <c r="AS100" s="31">
        <f t="shared" si="45"/>
        <v>0</v>
      </c>
      <c r="AT100" s="31">
        <f t="shared" si="46"/>
        <v>0</v>
      </c>
      <c r="AU100" s="31">
        <v>0</v>
      </c>
      <c r="AV100" s="31">
        <f t="shared" si="47"/>
        <v>0</v>
      </c>
    </row>
    <row r="101" spans="1:48" ht="12.75">
      <c r="A101" s="4" t="s">
        <v>92</v>
      </c>
      <c r="B101" s="4"/>
      <c r="C101" s="4" t="s">
        <v>192</v>
      </c>
      <c r="D101" s="4" t="s">
        <v>298</v>
      </c>
      <c r="E101" s="4" t="s">
        <v>314</v>
      </c>
      <c r="F101" s="16">
        <v>1</v>
      </c>
      <c r="G101" s="16"/>
      <c r="H101" s="16"/>
      <c r="I101" s="16"/>
      <c r="J101" s="16"/>
      <c r="K101" s="16"/>
      <c r="L101" s="16"/>
      <c r="M101" s="27" t="s">
        <v>337</v>
      </c>
      <c r="P101" s="31">
        <f t="shared" si="32"/>
        <v>0</v>
      </c>
      <c r="R101" s="31">
        <f t="shared" si="33"/>
        <v>0</v>
      </c>
      <c r="S101" s="31">
        <f t="shared" si="34"/>
        <v>0</v>
      </c>
      <c r="T101" s="31">
        <f t="shared" si="35"/>
        <v>0</v>
      </c>
      <c r="U101" s="31">
        <f t="shared" si="36"/>
        <v>0</v>
      </c>
      <c r="V101" s="31">
        <f t="shared" si="37"/>
        <v>0</v>
      </c>
      <c r="W101" s="31">
        <f t="shared" si="38"/>
        <v>0</v>
      </c>
      <c r="X101" s="31">
        <f t="shared" si="39"/>
        <v>0</v>
      </c>
      <c r="Y101" s="24"/>
      <c r="Z101" s="16">
        <f t="shared" si="40"/>
        <v>0</v>
      </c>
      <c r="AA101" s="16">
        <f t="shared" si="41"/>
        <v>0</v>
      </c>
      <c r="AB101" s="16">
        <f t="shared" si="42"/>
        <v>0</v>
      </c>
      <c r="AD101" s="31">
        <v>21</v>
      </c>
      <c r="AE101" s="31">
        <f>G101*0.784187545787546</f>
        <v>0</v>
      </c>
      <c r="AF101" s="31">
        <f>G101*(1-0.784187545787546)</f>
        <v>0</v>
      </c>
      <c r="AG101" s="27" t="s">
        <v>13</v>
      </c>
      <c r="AM101" s="31">
        <f t="shared" si="43"/>
        <v>0</v>
      </c>
      <c r="AN101" s="31">
        <f t="shared" si="44"/>
        <v>0</v>
      </c>
      <c r="AO101" s="32" t="s">
        <v>350</v>
      </c>
      <c r="AP101" s="32" t="s">
        <v>356</v>
      </c>
      <c r="AQ101" s="24" t="s">
        <v>358</v>
      </c>
      <c r="AS101" s="31">
        <f t="shared" si="45"/>
        <v>0</v>
      </c>
      <c r="AT101" s="31">
        <f t="shared" si="46"/>
        <v>0</v>
      </c>
      <c r="AU101" s="31">
        <v>0</v>
      </c>
      <c r="AV101" s="31">
        <f t="shared" si="47"/>
        <v>0</v>
      </c>
    </row>
    <row r="102" spans="1:48" ht="12.75">
      <c r="A102" s="4" t="s">
        <v>93</v>
      </c>
      <c r="B102" s="4"/>
      <c r="C102" s="4" t="s">
        <v>193</v>
      </c>
      <c r="D102" s="4" t="s">
        <v>299</v>
      </c>
      <c r="E102" s="4" t="s">
        <v>311</v>
      </c>
      <c r="F102" s="16">
        <v>15</v>
      </c>
      <c r="G102" s="16"/>
      <c r="H102" s="16"/>
      <c r="I102" s="16"/>
      <c r="J102" s="16"/>
      <c r="K102" s="16"/>
      <c r="L102" s="16"/>
      <c r="M102" s="27" t="s">
        <v>337</v>
      </c>
      <c r="P102" s="31">
        <f t="shared" si="32"/>
        <v>0</v>
      </c>
      <c r="R102" s="31">
        <f t="shared" si="33"/>
        <v>0</v>
      </c>
      <c r="S102" s="31">
        <f t="shared" si="34"/>
        <v>0</v>
      </c>
      <c r="T102" s="31">
        <f t="shared" si="35"/>
        <v>0</v>
      </c>
      <c r="U102" s="31">
        <f t="shared" si="36"/>
        <v>0</v>
      </c>
      <c r="V102" s="31">
        <f t="shared" si="37"/>
        <v>0</v>
      </c>
      <c r="W102" s="31">
        <f t="shared" si="38"/>
        <v>0</v>
      </c>
      <c r="X102" s="31">
        <f t="shared" si="39"/>
        <v>0</v>
      </c>
      <c r="Y102" s="24"/>
      <c r="Z102" s="16">
        <f t="shared" si="40"/>
        <v>0</v>
      </c>
      <c r="AA102" s="16">
        <f t="shared" si="41"/>
        <v>0</v>
      </c>
      <c r="AB102" s="16">
        <f t="shared" si="42"/>
        <v>0</v>
      </c>
      <c r="AD102" s="31">
        <v>21</v>
      </c>
      <c r="AE102" s="31">
        <f>G102*0.859962264150943</f>
        <v>0</v>
      </c>
      <c r="AF102" s="31">
        <f>G102*(1-0.859962264150943)</f>
        <v>0</v>
      </c>
      <c r="AG102" s="27" t="s">
        <v>13</v>
      </c>
      <c r="AM102" s="31">
        <f t="shared" si="43"/>
        <v>0</v>
      </c>
      <c r="AN102" s="31">
        <f t="shared" si="44"/>
        <v>0</v>
      </c>
      <c r="AO102" s="32" t="s">
        <v>350</v>
      </c>
      <c r="AP102" s="32" t="s">
        <v>356</v>
      </c>
      <c r="AQ102" s="24" t="s">
        <v>358</v>
      </c>
      <c r="AS102" s="31">
        <f t="shared" si="45"/>
        <v>0</v>
      </c>
      <c r="AT102" s="31">
        <f t="shared" si="46"/>
        <v>0</v>
      </c>
      <c r="AU102" s="31">
        <v>0</v>
      </c>
      <c r="AV102" s="31">
        <f t="shared" si="47"/>
        <v>0</v>
      </c>
    </row>
    <row r="103" spans="1:48" ht="12.75">
      <c r="A103" s="4" t="s">
        <v>94</v>
      </c>
      <c r="B103" s="4"/>
      <c r="C103" s="4" t="s">
        <v>194</v>
      </c>
      <c r="D103" s="4" t="s">
        <v>300</v>
      </c>
      <c r="E103" s="4" t="s">
        <v>314</v>
      </c>
      <c r="F103" s="16">
        <v>7</v>
      </c>
      <c r="G103" s="16"/>
      <c r="H103" s="16"/>
      <c r="I103" s="16"/>
      <c r="J103" s="16"/>
      <c r="K103" s="16"/>
      <c r="L103" s="16"/>
      <c r="M103" s="27" t="s">
        <v>337</v>
      </c>
      <c r="P103" s="31">
        <f t="shared" si="32"/>
        <v>0</v>
      </c>
      <c r="R103" s="31">
        <f t="shared" si="33"/>
        <v>0</v>
      </c>
      <c r="S103" s="31">
        <f t="shared" si="34"/>
        <v>0</v>
      </c>
      <c r="T103" s="31">
        <f t="shared" si="35"/>
        <v>0</v>
      </c>
      <c r="U103" s="31">
        <f t="shared" si="36"/>
        <v>0</v>
      </c>
      <c r="V103" s="31">
        <f t="shared" si="37"/>
        <v>0</v>
      </c>
      <c r="W103" s="31">
        <f t="shared" si="38"/>
        <v>0</v>
      </c>
      <c r="X103" s="31">
        <f t="shared" si="39"/>
        <v>0</v>
      </c>
      <c r="Y103" s="24"/>
      <c r="Z103" s="16">
        <f t="shared" si="40"/>
        <v>0</v>
      </c>
      <c r="AA103" s="16">
        <f t="shared" si="41"/>
        <v>0</v>
      </c>
      <c r="AB103" s="16">
        <f t="shared" si="42"/>
        <v>0</v>
      </c>
      <c r="AD103" s="31">
        <v>21</v>
      </c>
      <c r="AE103" s="31">
        <f>G103*0.969376068376068</f>
        <v>0</v>
      </c>
      <c r="AF103" s="31">
        <f>G103*(1-0.969376068376068)</f>
        <v>0</v>
      </c>
      <c r="AG103" s="27" t="s">
        <v>13</v>
      </c>
      <c r="AM103" s="31">
        <f t="shared" si="43"/>
        <v>0</v>
      </c>
      <c r="AN103" s="31">
        <f t="shared" si="44"/>
        <v>0</v>
      </c>
      <c r="AO103" s="32" t="s">
        <v>350</v>
      </c>
      <c r="AP103" s="32" t="s">
        <v>356</v>
      </c>
      <c r="AQ103" s="24" t="s">
        <v>358</v>
      </c>
      <c r="AS103" s="31">
        <f t="shared" si="45"/>
        <v>0</v>
      </c>
      <c r="AT103" s="31">
        <f t="shared" si="46"/>
        <v>0</v>
      </c>
      <c r="AU103" s="31">
        <v>0</v>
      </c>
      <c r="AV103" s="31">
        <f t="shared" si="47"/>
        <v>0</v>
      </c>
    </row>
    <row r="104" spans="1:48" ht="12.75">
      <c r="A104" s="4" t="s">
        <v>95</v>
      </c>
      <c r="B104" s="4"/>
      <c r="C104" s="4" t="s">
        <v>195</v>
      </c>
      <c r="D104" s="4" t="s">
        <v>301</v>
      </c>
      <c r="E104" s="4" t="s">
        <v>314</v>
      </c>
      <c r="F104" s="16">
        <v>5</v>
      </c>
      <c r="G104" s="16"/>
      <c r="H104" s="16"/>
      <c r="I104" s="16"/>
      <c r="J104" s="16"/>
      <c r="K104" s="16"/>
      <c r="L104" s="16"/>
      <c r="M104" s="27" t="s">
        <v>337</v>
      </c>
      <c r="P104" s="31">
        <f t="shared" si="32"/>
        <v>0</v>
      </c>
      <c r="R104" s="31">
        <f t="shared" si="33"/>
        <v>0</v>
      </c>
      <c r="S104" s="31">
        <f t="shared" si="34"/>
        <v>0</v>
      </c>
      <c r="T104" s="31">
        <f t="shared" si="35"/>
        <v>0</v>
      </c>
      <c r="U104" s="31">
        <f t="shared" si="36"/>
        <v>0</v>
      </c>
      <c r="V104" s="31">
        <f t="shared" si="37"/>
        <v>0</v>
      </c>
      <c r="W104" s="31">
        <f t="shared" si="38"/>
        <v>0</v>
      </c>
      <c r="X104" s="31">
        <f t="shared" si="39"/>
        <v>0</v>
      </c>
      <c r="Y104" s="24"/>
      <c r="Z104" s="16">
        <f t="shared" si="40"/>
        <v>0</v>
      </c>
      <c r="AA104" s="16">
        <f t="shared" si="41"/>
        <v>0</v>
      </c>
      <c r="AB104" s="16">
        <f t="shared" si="42"/>
        <v>0</v>
      </c>
      <c r="AD104" s="31">
        <v>21</v>
      </c>
      <c r="AE104" s="31">
        <f>G104*0.972914285714286</f>
        <v>0</v>
      </c>
      <c r="AF104" s="31">
        <f>G104*(1-0.972914285714286)</f>
        <v>0</v>
      </c>
      <c r="AG104" s="27" t="s">
        <v>13</v>
      </c>
      <c r="AM104" s="31">
        <f t="shared" si="43"/>
        <v>0</v>
      </c>
      <c r="AN104" s="31">
        <f t="shared" si="44"/>
        <v>0</v>
      </c>
      <c r="AO104" s="32" t="s">
        <v>350</v>
      </c>
      <c r="AP104" s="32" t="s">
        <v>356</v>
      </c>
      <c r="AQ104" s="24" t="s">
        <v>358</v>
      </c>
      <c r="AS104" s="31">
        <f t="shared" si="45"/>
        <v>0</v>
      </c>
      <c r="AT104" s="31">
        <f t="shared" si="46"/>
        <v>0</v>
      </c>
      <c r="AU104" s="31">
        <v>0</v>
      </c>
      <c r="AV104" s="31">
        <f t="shared" si="47"/>
        <v>0</v>
      </c>
    </row>
    <row r="105" spans="1:37" ht="12.75">
      <c r="A105" s="5"/>
      <c r="B105" s="12"/>
      <c r="C105" s="12" t="s">
        <v>196</v>
      </c>
      <c r="D105" s="12" t="s">
        <v>209</v>
      </c>
      <c r="E105" s="5" t="s">
        <v>6</v>
      </c>
      <c r="F105" s="5" t="s">
        <v>6</v>
      </c>
      <c r="G105" s="5"/>
      <c r="H105" s="34"/>
      <c r="I105" s="34"/>
      <c r="J105" s="34"/>
      <c r="K105" s="24"/>
      <c r="L105" s="34"/>
      <c r="M105" s="24"/>
      <c r="Y105" s="24"/>
      <c r="AI105" s="34">
        <f>SUM(Z106:Z106)</f>
        <v>0</v>
      </c>
      <c r="AJ105" s="34">
        <f>SUM(AA106:AA106)</f>
        <v>0</v>
      </c>
      <c r="AK105" s="34">
        <f>SUM(AB106:AB106)</f>
        <v>0</v>
      </c>
    </row>
    <row r="106" spans="1:48" ht="12.75">
      <c r="A106" s="4" t="s">
        <v>96</v>
      </c>
      <c r="B106" s="4"/>
      <c r="C106" s="4" t="s">
        <v>197</v>
      </c>
      <c r="D106" s="4" t="s">
        <v>302</v>
      </c>
      <c r="E106" s="4" t="s">
        <v>316</v>
      </c>
      <c r="F106" s="16">
        <v>0.0026</v>
      </c>
      <c r="G106" s="16"/>
      <c r="H106" s="16"/>
      <c r="I106" s="16"/>
      <c r="J106" s="16"/>
      <c r="K106" s="16"/>
      <c r="L106" s="16"/>
      <c r="M106" s="27" t="s">
        <v>336</v>
      </c>
      <c r="P106" s="31">
        <f>IF(AG106="5",J106,0)</f>
        <v>0</v>
      </c>
      <c r="R106" s="31">
        <f>IF(AG106="1",H106,0)</f>
        <v>0</v>
      </c>
      <c r="S106" s="31">
        <f>IF(AG106="1",I106,0)</f>
        <v>0</v>
      </c>
      <c r="T106" s="31">
        <f>IF(AG106="7",H106,0)</f>
        <v>0</v>
      </c>
      <c r="U106" s="31">
        <f>IF(AG106="7",I106,0)</f>
        <v>0</v>
      </c>
      <c r="V106" s="31">
        <f>IF(AG106="2",H106,0)</f>
        <v>0</v>
      </c>
      <c r="W106" s="31">
        <f>IF(AG106="2",I106,0)</f>
        <v>0</v>
      </c>
      <c r="X106" s="31">
        <f>IF(AG106="0",J106,0)</f>
        <v>0</v>
      </c>
      <c r="Y106" s="24"/>
      <c r="Z106" s="16">
        <f>IF(AD106=0,J106,0)</f>
        <v>0</v>
      </c>
      <c r="AA106" s="16">
        <f>IF(AD106=15,J106,0)</f>
        <v>0</v>
      </c>
      <c r="AB106" s="16">
        <f>IF(AD106=21,J106,0)</f>
        <v>0</v>
      </c>
      <c r="AD106" s="31">
        <v>21</v>
      </c>
      <c r="AE106" s="31">
        <f>G106*0</f>
        <v>0</v>
      </c>
      <c r="AF106" s="31">
        <f>G106*(1-0)</f>
        <v>0</v>
      </c>
      <c r="AG106" s="27" t="s">
        <v>11</v>
      </c>
      <c r="AM106" s="31">
        <f>F106*AE106</f>
        <v>0</v>
      </c>
      <c r="AN106" s="31">
        <f>F106*AF106</f>
        <v>0</v>
      </c>
      <c r="AO106" s="32" t="s">
        <v>351</v>
      </c>
      <c r="AP106" s="32" t="s">
        <v>357</v>
      </c>
      <c r="AQ106" s="24" t="s">
        <v>358</v>
      </c>
      <c r="AS106" s="31">
        <f>AM106+AN106</f>
        <v>0</v>
      </c>
      <c r="AT106" s="31">
        <f>G106/(100-AU106)*100</f>
        <v>0</v>
      </c>
      <c r="AU106" s="31">
        <v>0</v>
      </c>
      <c r="AV106" s="31">
        <f>L106</f>
        <v>0</v>
      </c>
    </row>
    <row r="107" spans="1:37" ht="12.75">
      <c r="A107" s="5"/>
      <c r="B107" s="12"/>
      <c r="C107" s="12" t="s">
        <v>198</v>
      </c>
      <c r="D107" s="12" t="s">
        <v>211</v>
      </c>
      <c r="E107" s="5" t="s">
        <v>6</v>
      </c>
      <c r="F107" s="5" t="s">
        <v>6</v>
      </c>
      <c r="G107" s="5"/>
      <c r="H107" s="34"/>
      <c r="I107" s="34"/>
      <c r="J107" s="34"/>
      <c r="K107" s="24"/>
      <c r="L107" s="34"/>
      <c r="M107" s="24"/>
      <c r="Y107" s="24"/>
      <c r="AI107" s="34">
        <f>SUM(Z108:Z108)</f>
        <v>0</v>
      </c>
      <c r="AJ107" s="34">
        <f>SUM(AA108:AA108)</f>
        <v>0</v>
      </c>
      <c r="AK107" s="34">
        <f>SUM(AB108:AB108)</f>
        <v>0</v>
      </c>
    </row>
    <row r="108" spans="1:48" ht="12.75">
      <c r="A108" s="4" t="s">
        <v>97</v>
      </c>
      <c r="B108" s="4"/>
      <c r="C108" s="4" t="s">
        <v>199</v>
      </c>
      <c r="D108" s="4" t="s">
        <v>303</v>
      </c>
      <c r="E108" s="4" t="s">
        <v>316</v>
      </c>
      <c r="F108" s="16">
        <v>3.6241</v>
      </c>
      <c r="G108" s="16"/>
      <c r="H108" s="16"/>
      <c r="I108" s="16"/>
      <c r="J108" s="16"/>
      <c r="K108" s="16"/>
      <c r="L108" s="16"/>
      <c r="M108" s="27" t="s">
        <v>336</v>
      </c>
      <c r="P108" s="31">
        <f>IF(AG108="5",J108,0)</f>
        <v>0</v>
      </c>
      <c r="R108" s="31">
        <f>IF(AG108="1",H108,0)</f>
        <v>0</v>
      </c>
      <c r="S108" s="31">
        <f>IF(AG108="1",I108,0)</f>
        <v>0</v>
      </c>
      <c r="T108" s="31">
        <f>IF(AG108="7",H108,0)</f>
        <v>0</v>
      </c>
      <c r="U108" s="31">
        <f>IF(AG108="7",I108,0)</f>
        <v>0</v>
      </c>
      <c r="V108" s="31">
        <f>IF(AG108="2",H108,0)</f>
        <v>0</v>
      </c>
      <c r="W108" s="31">
        <f>IF(AG108="2",I108,0)</f>
        <v>0</v>
      </c>
      <c r="X108" s="31">
        <f>IF(AG108="0",J108,0)</f>
        <v>0</v>
      </c>
      <c r="Y108" s="24"/>
      <c r="Z108" s="16">
        <f>IF(AD108=0,J108,0)</f>
        <v>0</v>
      </c>
      <c r="AA108" s="16">
        <f>IF(AD108=15,J108,0)</f>
        <v>0</v>
      </c>
      <c r="AB108" s="16">
        <f>IF(AD108=21,J108,0)</f>
        <v>0</v>
      </c>
      <c r="AD108" s="31">
        <v>21</v>
      </c>
      <c r="AE108" s="31">
        <f>G108*0</f>
        <v>0</v>
      </c>
      <c r="AF108" s="31">
        <f>G108*(1-0)</f>
        <v>0</v>
      </c>
      <c r="AG108" s="27" t="s">
        <v>11</v>
      </c>
      <c r="AM108" s="31">
        <f>F108*AE108</f>
        <v>0</v>
      </c>
      <c r="AN108" s="31">
        <f>F108*AF108</f>
        <v>0</v>
      </c>
      <c r="AO108" s="32" t="s">
        <v>352</v>
      </c>
      <c r="AP108" s="32" t="s">
        <v>357</v>
      </c>
      <c r="AQ108" s="24" t="s">
        <v>358</v>
      </c>
      <c r="AS108" s="31">
        <f>AM108+AN108</f>
        <v>0</v>
      </c>
      <c r="AT108" s="31">
        <f>G108/(100-AU108)*100</f>
        <v>0</v>
      </c>
      <c r="AU108" s="31">
        <v>0</v>
      </c>
      <c r="AV108" s="31">
        <f>L108</f>
        <v>0</v>
      </c>
    </row>
    <row r="109" spans="1:37" ht="12.75">
      <c r="A109" s="5"/>
      <c r="B109" s="12"/>
      <c r="C109" s="12" t="s">
        <v>200</v>
      </c>
      <c r="D109" s="12" t="s">
        <v>236</v>
      </c>
      <c r="E109" s="5" t="s">
        <v>6</v>
      </c>
      <c r="F109" s="5" t="s">
        <v>6</v>
      </c>
      <c r="G109" s="5"/>
      <c r="H109" s="34"/>
      <c r="I109" s="34"/>
      <c r="J109" s="34"/>
      <c r="K109" s="24"/>
      <c r="L109" s="34"/>
      <c r="M109" s="24"/>
      <c r="Y109" s="24"/>
      <c r="AI109" s="34">
        <f>SUM(Z110:Z110)</f>
        <v>0</v>
      </c>
      <c r="AJ109" s="34">
        <f>SUM(AA110:AA110)</f>
        <v>0</v>
      </c>
      <c r="AK109" s="34">
        <f>SUM(AB110:AB110)</f>
        <v>0</v>
      </c>
    </row>
    <row r="110" spans="1:48" ht="12.75">
      <c r="A110" s="4" t="s">
        <v>98</v>
      </c>
      <c r="B110" s="4"/>
      <c r="C110" s="4" t="s">
        <v>201</v>
      </c>
      <c r="D110" s="4" t="s">
        <v>304</v>
      </c>
      <c r="E110" s="4" t="s">
        <v>316</v>
      </c>
      <c r="F110" s="16">
        <v>4.0419</v>
      </c>
      <c r="G110" s="16"/>
      <c r="H110" s="16"/>
      <c r="I110" s="16"/>
      <c r="J110" s="16"/>
      <c r="K110" s="16"/>
      <c r="L110" s="16"/>
      <c r="M110" s="27" t="s">
        <v>336</v>
      </c>
      <c r="P110" s="31">
        <f>IF(AG110="5",J110,0)</f>
        <v>0</v>
      </c>
      <c r="R110" s="31">
        <f>IF(AG110="1",H110,0)</f>
        <v>0</v>
      </c>
      <c r="S110" s="31">
        <f>IF(AG110="1",I110,0)</f>
        <v>0</v>
      </c>
      <c r="T110" s="31">
        <f>IF(AG110="7",H110,0)</f>
        <v>0</v>
      </c>
      <c r="U110" s="31">
        <f>IF(AG110="7",I110,0)</f>
        <v>0</v>
      </c>
      <c r="V110" s="31">
        <f>IF(AG110="2",H110,0)</f>
        <v>0</v>
      </c>
      <c r="W110" s="31">
        <f>IF(AG110="2",I110,0)</f>
        <v>0</v>
      </c>
      <c r="X110" s="31">
        <f>IF(AG110="0",J110,0)</f>
        <v>0</v>
      </c>
      <c r="Y110" s="24"/>
      <c r="Z110" s="16">
        <f>IF(AD110=0,J110,0)</f>
        <v>0</v>
      </c>
      <c r="AA110" s="16">
        <f>IF(AD110=15,J110,0)</f>
        <v>0</v>
      </c>
      <c r="AB110" s="16">
        <f>IF(AD110=21,J110,0)</f>
        <v>0</v>
      </c>
      <c r="AD110" s="31">
        <v>21</v>
      </c>
      <c r="AE110" s="31">
        <f>G110*0</f>
        <v>0</v>
      </c>
      <c r="AF110" s="31">
        <f>G110*(1-0)</f>
        <v>0</v>
      </c>
      <c r="AG110" s="27" t="s">
        <v>11</v>
      </c>
      <c r="AM110" s="31">
        <f>F110*AE110</f>
        <v>0</v>
      </c>
      <c r="AN110" s="31">
        <f>F110*AF110</f>
        <v>0</v>
      </c>
      <c r="AO110" s="32" t="s">
        <v>353</v>
      </c>
      <c r="AP110" s="32" t="s">
        <v>357</v>
      </c>
      <c r="AQ110" s="24" t="s">
        <v>358</v>
      </c>
      <c r="AS110" s="31">
        <f>AM110+AN110</f>
        <v>0</v>
      </c>
      <c r="AT110" s="31">
        <f>G110/(100-AU110)*100</f>
        <v>0</v>
      </c>
      <c r="AU110" s="31">
        <v>0</v>
      </c>
      <c r="AV110" s="31">
        <f>L110</f>
        <v>0</v>
      </c>
    </row>
    <row r="111" spans="1:37" ht="12.75">
      <c r="A111" s="5"/>
      <c r="B111" s="12"/>
      <c r="C111" s="12" t="s">
        <v>202</v>
      </c>
      <c r="D111" s="12" t="s">
        <v>266</v>
      </c>
      <c r="E111" s="5" t="s">
        <v>6</v>
      </c>
      <c r="F111" s="5" t="s">
        <v>6</v>
      </c>
      <c r="G111" s="5"/>
      <c r="H111" s="34"/>
      <c r="I111" s="34"/>
      <c r="J111" s="34"/>
      <c r="K111" s="24"/>
      <c r="L111" s="34"/>
      <c r="M111" s="24"/>
      <c r="Y111" s="24"/>
      <c r="AI111" s="34">
        <f>SUM(Z112:Z112)</f>
        <v>0</v>
      </c>
      <c r="AJ111" s="34">
        <f>SUM(AA112:AA112)</f>
        <v>0</v>
      </c>
      <c r="AK111" s="34">
        <f>SUM(AB112:AB112)</f>
        <v>0</v>
      </c>
    </row>
    <row r="112" spans="1:48" ht="12.75">
      <c r="A112" s="6" t="s">
        <v>99</v>
      </c>
      <c r="B112" s="6"/>
      <c r="C112" s="6" t="s">
        <v>203</v>
      </c>
      <c r="D112" s="6" t="s">
        <v>305</v>
      </c>
      <c r="E112" s="6" t="s">
        <v>316</v>
      </c>
      <c r="F112" s="17">
        <v>1.4049</v>
      </c>
      <c r="G112" s="17"/>
      <c r="H112" s="17"/>
      <c r="I112" s="17"/>
      <c r="J112" s="17"/>
      <c r="K112" s="17"/>
      <c r="L112" s="17"/>
      <c r="M112" s="28" t="s">
        <v>336</v>
      </c>
      <c r="P112" s="31">
        <f>IF(AG112="5",J112,0)</f>
        <v>0</v>
      </c>
      <c r="R112" s="31">
        <f>IF(AG112="1",H112,0)</f>
        <v>0</v>
      </c>
      <c r="S112" s="31">
        <f>IF(AG112="1",I112,0)</f>
        <v>0</v>
      </c>
      <c r="T112" s="31">
        <f>IF(AG112="7",H112,0)</f>
        <v>0</v>
      </c>
      <c r="U112" s="31">
        <f>IF(AG112="7",I112,0)</f>
        <v>0</v>
      </c>
      <c r="V112" s="31">
        <f>IF(AG112="2",H112,0)</f>
        <v>0</v>
      </c>
      <c r="W112" s="31">
        <f>IF(AG112="2",I112,0)</f>
        <v>0</v>
      </c>
      <c r="X112" s="31">
        <f>IF(AG112="0",J112,0)</f>
        <v>0</v>
      </c>
      <c r="Y112" s="24"/>
      <c r="Z112" s="16">
        <f>IF(AD112=0,J112,0)</f>
        <v>0</v>
      </c>
      <c r="AA112" s="16">
        <f>IF(AD112=15,J112,0)</f>
        <v>0</v>
      </c>
      <c r="AB112" s="16">
        <f>IF(AD112=21,J112,0)</f>
        <v>0</v>
      </c>
      <c r="AD112" s="31">
        <v>21</v>
      </c>
      <c r="AE112" s="31">
        <f>G112*0</f>
        <v>0</v>
      </c>
      <c r="AF112" s="31">
        <f>G112*(1-0)</f>
        <v>0</v>
      </c>
      <c r="AG112" s="27" t="s">
        <v>11</v>
      </c>
      <c r="AM112" s="31">
        <f>F112*AE112</f>
        <v>0</v>
      </c>
      <c r="AN112" s="31">
        <f>F112*AF112</f>
        <v>0</v>
      </c>
      <c r="AO112" s="32" t="s">
        <v>354</v>
      </c>
      <c r="AP112" s="32" t="s">
        <v>357</v>
      </c>
      <c r="AQ112" s="24" t="s">
        <v>358</v>
      </c>
      <c r="AS112" s="31">
        <f>AM112+AN112</f>
        <v>0</v>
      </c>
      <c r="AT112" s="31">
        <f>G112/(100-AU112)*100</f>
        <v>0</v>
      </c>
      <c r="AU112" s="31">
        <v>0</v>
      </c>
      <c r="AV112" s="31">
        <f>L112</f>
        <v>0</v>
      </c>
    </row>
    <row r="113" spans="1:13" ht="12.75">
      <c r="A113" s="7"/>
      <c r="B113" s="7"/>
      <c r="C113" s="7"/>
      <c r="D113" s="7"/>
      <c r="E113" s="7"/>
      <c r="F113" s="7"/>
      <c r="G113" s="7"/>
      <c r="H113" s="90" t="s">
        <v>323</v>
      </c>
      <c r="I113" s="91"/>
      <c r="J113" s="35">
        <f>J12+J14+J39+J69+J105+J107+J109+J111</f>
        <v>0</v>
      </c>
      <c r="K113" s="7"/>
      <c r="L113" s="7"/>
      <c r="M113" s="7"/>
    </row>
    <row r="114" ht="11.25" customHeight="1">
      <c r="A114" s="8" t="s">
        <v>100</v>
      </c>
    </row>
    <row r="115" spans="1:13" ht="12.75">
      <c r="A115" s="88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</row>
  </sheetData>
  <sheetProtection/>
  <mergeCells count="29">
    <mergeCell ref="H113:I113"/>
    <mergeCell ref="A115:M115"/>
    <mergeCell ref="I8:I9"/>
    <mergeCell ref="J8:M9"/>
    <mergeCell ref="H10:J10"/>
    <mergeCell ref="K10:L10"/>
    <mergeCell ref="A8:C9"/>
    <mergeCell ref="D8:D9"/>
    <mergeCell ref="E8:F9"/>
    <mergeCell ref="G8:H9"/>
    <mergeCell ref="J4:M5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A1:M1"/>
    <mergeCell ref="A2:C3"/>
    <mergeCell ref="D2:D3"/>
    <mergeCell ref="E2:F3"/>
    <mergeCell ref="G2:H3"/>
    <mergeCell ref="I2:I3"/>
    <mergeCell ref="J2:M3"/>
    <mergeCell ref="I4:I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G1"/>
    </sheetView>
  </sheetViews>
  <sheetFormatPr defaultColWidth="11.57421875" defaultRowHeight="12.75"/>
  <cols>
    <col min="1" max="2" width="16.57421875" style="0" customWidth="1"/>
    <col min="3" max="3" width="41.7109375" style="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72.75" customHeight="1">
      <c r="A1" s="77" t="s">
        <v>359</v>
      </c>
      <c r="B1" s="78"/>
      <c r="C1" s="78"/>
      <c r="D1" s="78"/>
      <c r="E1" s="78"/>
      <c r="F1" s="78"/>
      <c r="G1" s="78"/>
    </row>
    <row r="2" spans="1:8" ht="12.75">
      <c r="A2" s="79" t="s">
        <v>1</v>
      </c>
      <c r="B2" s="82" t="str">
        <f>'Stavební rozpočet'!D2</f>
        <v>Oddělení následné péče 1.etapa - východní křídlo</v>
      </c>
      <c r="C2" s="91"/>
      <c r="D2" s="85" t="s">
        <v>324</v>
      </c>
      <c r="E2" s="85" t="str">
        <f>'Stavební rozpočet'!J2</f>
        <v>Stodská nemocnice a.s.</v>
      </c>
      <c r="F2" s="80"/>
      <c r="G2" s="86"/>
      <c r="H2" s="29"/>
    </row>
    <row r="3" spans="1:8" ht="12.75">
      <c r="A3" s="81"/>
      <c r="B3" s="83"/>
      <c r="C3" s="83"/>
      <c r="D3" s="76"/>
      <c r="E3" s="76"/>
      <c r="F3" s="76"/>
      <c r="G3" s="87"/>
      <c r="H3" s="29"/>
    </row>
    <row r="4" spans="1:8" ht="12.75">
      <c r="A4" s="89" t="s">
        <v>2</v>
      </c>
      <c r="B4" s="88" t="str">
        <f>'Stavební rozpočet'!D4</f>
        <v>Zdravotní instalace</v>
      </c>
      <c r="C4" s="76"/>
      <c r="D4" s="88" t="s">
        <v>325</v>
      </c>
      <c r="E4" s="88" t="str">
        <f>'Stavební rozpočet'!J4</f>
        <v>Ing.arch.V.Mastný</v>
      </c>
      <c r="F4" s="76"/>
      <c r="G4" s="87"/>
      <c r="H4" s="29"/>
    </row>
    <row r="5" spans="1:8" ht="12.75">
      <c r="A5" s="81"/>
      <c r="B5" s="76"/>
      <c r="C5" s="76"/>
      <c r="D5" s="76"/>
      <c r="E5" s="76"/>
      <c r="F5" s="76"/>
      <c r="G5" s="87"/>
      <c r="H5" s="29"/>
    </row>
    <row r="6" spans="1:8" ht="12.75">
      <c r="A6" s="89" t="s">
        <v>3</v>
      </c>
      <c r="B6" s="88" t="str">
        <f>'Stavební rozpočet'!D6</f>
        <v>Stodská nemocnice</v>
      </c>
      <c r="C6" s="76"/>
      <c r="D6" s="88" t="s">
        <v>326</v>
      </c>
      <c r="E6" s="88" t="str">
        <f>'Stavební rozpočet'!J6</f>
        <v>V.Přibyl</v>
      </c>
      <c r="F6" s="76"/>
      <c r="G6" s="87"/>
      <c r="H6" s="29"/>
    </row>
    <row r="7" spans="1:8" ht="12.75">
      <c r="A7" s="81"/>
      <c r="B7" s="76"/>
      <c r="C7" s="76"/>
      <c r="D7" s="76"/>
      <c r="E7" s="76"/>
      <c r="F7" s="76"/>
      <c r="G7" s="87"/>
      <c r="H7" s="29"/>
    </row>
    <row r="8" spans="1:8" ht="12.75">
      <c r="A8" s="89" t="s">
        <v>327</v>
      </c>
      <c r="B8" s="88" t="str">
        <f>'Stavební rozpočet'!J8</f>
        <v>V.Přibyl</v>
      </c>
      <c r="C8" s="76"/>
      <c r="D8" s="75" t="s">
        <v>309</v>
      </c>
      <c r="E8" s="88" t="str">
        <f>'Stavební rozpočet'!G8</f>
        <v>08.06.2018</v>
      </c>
      <c r="F8" s="76"/>
      <c r="G8" s="87"/>
      <c r="H8" s="29"/>
    </row>
    <row r="9" spans="1:8" ht="12.75">
      <c r="A9" s="97"/>
      <c r="B9" s="92"/>
      <c r="C9" s="92"/>
      <c r="D9" s="92"/>
      <c r="E9" s="92"/>
      <c r="F9" s="92"/>
      <c r="G9" s="93"/>
      <c r="H9" s="29"/>
    </row>
    <row r="10" spans="1:8" ht="12.75">
      <c r="A10" s="36" t="s">
        <v>101</v>
      </c>
      <c r="B10" s="38" t="s">
        <v>102</v>
      </c>
      <c r="C10" s="39" t="s">
        <v>207</v>
      </c>
      <c r="D10" s="40" t="s">
        <v>360</v>
      </c>
      <c r="E10" s="40" t="s">
        <v>361</v>
      </c>
      <c r="F10" s="40" t="s">
        <v>362</v>
      </c>
      <c r="G10" s="42" t="s">
        <v>363</v>
      </c>
      <c r="H10" s="30"/>
    </row>
    <row r="11" spans="1:9" ht="12.75">
      <c r="A11" s="37"/>
      <c r="B11" s="37" t="s">
        <v>103</v>
      </c>
      <c r="C11" s="37" t="s">
        <v>209</v>
      </c>
      <c r="D11" s="43">
        <f>'Stavební rozpočet'!H12</f>
        <v>0</v>
      </c>
      <c r="E11" s="43">
        <f>'Stavební rozpočet'!I12</f>
        <v>0</v>
      </c>
      <c r="F11" s="43">
        <f aca="true" t="shared" si="0" ref="F11:F18">D11+E11</f>
        <v>0</v>
      </c>
      <c r="G11" s="43">
        <f>'Stavební rozpočet'!L12</f>
        <v>0</v>
      </c>
      <c r="H11" s="31" t="s">
        <v>364</v>
      </c>
      <c r="I11" s="31">
        <f aca="true" t="shared" si="1" ref="I11:I18">IF(H11="F",0,F11)</f>
        <v>0</v>
      </c>
    </row>
    <row r="12" spans="1:9" ht="12.75">
      <c r="A12" s="14"/>
      <c r="B12" s="14" t="s">
        <v>105</v>
      </c>
      <c r="C12" s="14" t="s">
        <v>211</v>
      </c>
      <c r="D12" s="31">
        <f>'Stavební rozpočet'!H14</f>
        <v>0</v>
      </c>
      <c r="E12" s="31">
        <f>'Stavební rozpočet'!I14</f>
        <v>0</v>
      </c>
      <c r="F12" s="31">
        <f t="shared" si="0"/>
        <v>0</v>
      </c>
      <c r="G12" s="31">
        <f>'Stavební rozpočet'!L14</f>
        <v>0</v>
      </c>
      <c r="H12" s="31" t="s">
        <v>364</v>
      </c>
      <c r="I12" s="31">
        <f t="shared" si="1"/>
        <v>0</v>
      </c>
    </row>
    <row r="13" spans="1:9" ht="12.75">
      <c r="A13" s="14"/>
      <c r="B13" s="14" t="s">
        <v>130</v>
      </c>
      <c r="C13" s="14" t="s">
        <v>236</v>
      </c>
      <c r="D13" s="31">
        <f>'Stavební rozpočet'!H39</f>
        <v>0</v>
      </c>
      <c r="E13" s="31">
        <f>'Stavební rozpočet'!I39</f>
        <v>0</v>
      </c>
      <c r="F13" s="31">
        <f t="shared" si="0"/>
        <v>0</v>
      </c>
      <c r="G13" s="31">
        <f>'Stavební rozpočet'!L39</f>
        <v>0</v>
      </c>
      <c r="H13" s="31" t="s">
        <v>364</v>
      </c>
      <c r="I13" s="31">
        <f t="shared" si="1"/>
        <v>0</v>
      </c>
    </row>
    <row r="14" spans="1:9" ht="12.75">
      <c r="A14" s="14"/>
      <c r="B14" s="14" t="s">
        <v>160</v>
      </c>
      <c r="C14" s="14" t="s">
        <v>266</v>
      </c>
      <c r="D14" s="31">
        <f>'Stavební rozpočet'!H69</f>
        <v>0</v>
      </c>
      <c r="E14" s="31">
        <f>'Stavební rozpočet'!I69</f>
        <v>0</v>
      </c>
      <c r="F14" s="31">
        <f t="shared" si="0"/>
        <v>0</v>
      </c>
      <c r="G14" s="31">
        <f>'Stavební rozpočet'!L69</f>
        <v>0</v>
      </c>
      <c r="H14" s="31" t="s">
        <v>364</v>
      </c>
      <c r="I14" s="31">
        <f t="shared" si="1"/>
        <v>0</v>
      </c>
    </row>
    <row r="15" spans="1:9" ht="12.75">
      <c r="A15" s="14"/>
      <c r="B15" s="14" t="s">
        <v>196</v>
      </c>
      <c r="C15" s="14" t="s">
        <v>209</v>
      </c>
      <c r="D15" s="31">
        <f>'Stavební rozpočet'!H105</f>
        <v>0</v>
      </c>
      <c r="E15" s="31">
        <f>'Stavební rozpočet'!I105</f>
        <v>0</v>
      </c>
      <c r="F15" s="31">
        <f t="shared" si="0"/>
        <v>0</v>
      </c>
      <c r="G15" s="31">
        <f>'Stavební rozpočet'!L105</f>
        <v>0</v>
      </c>
      <c r="H15" s="31" t="s">
        <v>364</v>
      </c>
      <c r="I15" s="31">
        <f t="shared" si="1"/>
        <v>0</v>
      </c>
    </row>
    <row r="16" spans="1:9" ht="12.75">
      <c r="A16" s="14"/>
      <c r="B16" s="14" t="s">
        <v>198</v>
      </c>
      <c r="C16" s="14" t="s">
        <v>211</v>
      </c>
      <c r="D16" s="31">
        <f>'Stavební rozpočet'!H107</f>
        <v>0</v>
      </c>
      <c r="E16" s="31">
        <f>'Stavební rozpočet'!I107</f>
        <v>0</v>
      </c>
      <c r="F16" s="31">
        <f t="shared" si="0"/>
        <v>0</v>
      </c>
      <c r="G16" s="31">
        <f>'Stavební rozpočet'!L107</f>
        <v>0</v>
      </c>
      <c r="H16" s="31" t="s">
        <v>364</v>
      </c>
      <c r="I16" s="31">
        <f t="shared" si="1"/>
        <v>0</v>
      </c>
    </row>
    <row r="17" spans="1:9" ht="12.75">
      <c r="A17" s="14"/>
      <c r="B17" s="14" t="s">
        <v>200</v>
      </c>
      <c r="C17" s="14" t="s">
        <v>236</v>
      </c>
      <c r="D17" s="31">
        <f>'Stavební rozpočet'!H109</f>
        <v>0</v>
      </c>
      <c r="E17" s="31">
        <f>'Stavební rozpočet'!I109</f>
        <v>0</v>
      </c>
      <c r="F17" s="31">
        <f t="shared" si="0"/>
        <v>0</v>
      </c>
      <c r="G17" s="31">
        <f>'Stavební rozpočet'!L109</f>
        <v>0</v>
      </c>
      <c r="H17" s="31" t="s">
        <v>364</v>
      </c>
      <c r="I17" s="31">
        <f t="shared" si="1"/>
        <v>0</v>
      </c>
    </row>
    <row r="18" spans="1:9" ht="12.75">
      <c r="A18" s="14"/>
      <c r="B18" s="14" t="s">
        <v>202</v>
      </c>
      <c r="C18" s="14" t="s">
        <v>266</v>
      </c>
      <c r="D18" s="31">
        <f>'Stavební rozpočet'!H111</f>
        <v>0</v>
      </c>
      <c r="E18" s="31">
        <f>'Stavební rozpočet'!I111</f>
        <v>0</v>
      </c>
      <c r="F18" s="31">
        <f t="shared" si="0"/>
        <v>0</v>
      </c>
      <c r="G18" s="31">
        <f>'Stavební rozpočet'!L111</f>
        <v>0</v>
      </c>
      <c r="H18" s="31" t="s">
        <v>364</v>
      </c>
      <c r="I18" s="31">
        <f t="shared" si="1"/>
        <v>0</v>
      </c>
    </row>
    <row r="20" spans="5:6" ht="12.75">
      <c r="E20" s="41" t="s">
        <v>323</v>
      </c>
      <c r="F20" s="44">
        <f>SUM(I11:I18)</f>
        <v>0</v>
      </c>
    </row>
  </sheetData>
  <sheetProtection/>
  <mergeCells count="17">
    <mergeCell ref="A8:A9"/>
    <mergeCell ref="B8:C9"/>
    <mergeCell ref="D8:D9"/>
    <mergeCell ref="E8:G9"/>
    <mergeCell ref="A6:A7"/>
    <mergeCell ref="B6:C7"/>
    <mergeCell ref="D6:D7"/>
    <mergeCell ref="E6:G7"/>
    <mergeCell ref="A4:A5"/>
    <mergeCell ref="B4:C5"/>
    <mergeCell ref="D4:D5"/>
    <mergeCell ref="E4:G5"/>
    <mergeCell ref="A1:G1"/>
    <mergeCell ref="A2:A3"/>
    <mergeCell ref="B2:C3"/>
    <mergeCell ref="D2:D3"/>
    <mergeCell ref="E2:G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55.28125" style="0" customWidth="1"/>
    <col min="5" max="5" width="14.57421875" style="0" customWidth="1"/>
    <col min="6" max="6" width="24.140625" style="0" customWidth="1"/>
    <col min="7" max="7" width="20.421875" style="0" customWidth="1"/>
    <col min="8" max="8" width="16.421875" style="0" customWidth="1"/>
  </cols>
  <sheetData>
    <row r="1" spans="1:8" ht="72.75" customHeight="1">
      <c r="A1" s="77" t="s">
        <v>365</v>
      </c>
      <c r="B1" s="78"/>
      <c r="C1" s="78"/>
      <c r="D1" s="78"/>
      <c r="E1" s="78"/>
      <c r="F1" s="78"/>
      <c r="G1" s="78"/>
      <c r="H1" s="78"/>
    </row>
    <row r="2" spans="1:9" ht="12.75">
      <c r="A2" s="79" t="s">
        <v>1</v>
      </c>
      <c r="B2" s="80"/>
      <c r="C2" s="82" t="str">
        <f>'Stavební rozpočet'!D2</f>
        <v>Oddělení následné péče 1.etapa - východní křídlo</v>
      </c>
      <c r="D2" s="91"/>
      <c r="E2" s="85" t="s">
        <v>324</v>
      </c>
      <c r="F2" s="85" t="str">
        <f>'Stavební rozpočet'!J2</f>
        <v>Stodská nemocnice a.s.</v>
      </c>
      <c r="G2" s="80"/>
      <c r="H2" s="86"/>
      <c r="I2" s="29"/>
    </row>
    <row r="3" spans="1:9" ht="12.75">
      <c r="A3" s="81"/>
      <c r="B3" s="76"/>
      <c r="C3" s="83"/>
      <c r="D3" s="83"/>
      <c r="E3" s="76"/>
      <c r="F3" s="76"/>
      <c r="G3" s="76"/>
      <c r="H3" s="87"/>
      <c r="I3" s="29"/>
    </row>
    <row r="4" spans="1:9" ht="12.75">
      <c r="A4" s="89" t="s">
        <v>2</v>
      </c>
      <c r="B4" s="76"/>
      <c r="C4" s="88" t="str">
        <f>'Stavební rozpočet'!D4</f>
        <v>Zdravotní instalace</v>
      </c>
      <c r="D4" s="76"/>
      <c r="E4" s="88" t="s">
        <v>325</v>
      </c>
      <c r="F4" s="88" t="str">
        <f>'Stavební rozpočet'!J4</f>
        <v>Ing.arch.V.Mastný</v>
      </c>
      <c r="G4" s="76"/>
      <c r="H4" s="87"/>
      <c r="I4" s="29"/>
    </row>
    <row r="5" spans="1:9" ht="12.75">
      <c r="A5" s="81"/>
      <c r="B5" s="76"/>
      <c r="C5" s="76"/>
      <c r="D5" s="76"/>
      <c r="E5" s="76"/>
      <c r="F5" s="76"/>
      <c r="G5" s="76"/>
      <c r="H5" s="87"/>
      <c r="I5" s="29"/>
    </row>
    <row r="6" spans="1:9" ht="12.75">
      <c r="A6" s="89" t="s">
        <v>3</v>
      </c>
      <c r="B6" s="76"/>
      <c r="C6" s="88" t="str">
        <f>'Stavební rozpočet'!D6</f>
        <v>Stodská nemocnice</v>
      </c>
      <c r="D6" s="76"/>
      <c r="E6" s="88" t="s">
        <v>326</v>
      </c>
      <c r="F6" s="88" t="str">
        <f>'Stavební rozpočet'!J6</f>
        <v>V.Přibyl</v>
      </c>
      <c r="G6" s="76"/>
      <c r="H6" s="87"/>
      <c r="I6" s="29"/>
    </row>
    <row r="7" spans="1:9" ht="12.75">
      <c r="A7" s="81"/>
      <c r="B7" s="76"/>
      <c r="C7" s="76"/>
      <c r="D7" s="76"/>
      <c r="E7" s="76"/>
      <c r="F7" s="76"/>
      <c r="G7" s="76"/>
      <c r="H7" s="87"/>
      <c r="I7" s="29"/>
    </row>
    <row r="8" spans="1:9" ht="12.75">
      <c r="A8" s="89" t="s">
        <v>327</v>
      </c>
      <c r="B8" s="76"/>
      <c r="C8" s="88" t="str">
        <f>'Stavební rozpočet'!J8</f>
        <v>V.Přibyl</v>
      </c>
      <c r="D8" s="76"/>
      <c r="E8" s="88" t="s">
        <v>309</v>
      </c>
      <c r="F8" s="88" t="str">
        <f>'Stavební rozpočet'!G8</f>
        <v>08.06.2018</v>
      </c>
      <c r="G8" s="76"/>
      <c r="H8" s="87"/>
      <c r="I8" s="29"/>
    </row>
    <row r="9" spans="1:9" ht="12.75">
      <c r="A9" s="97"/>
      <c r="B9" s="92"/>
      <c r="C9" s="92"/>
      <c r="D9" s="92"/>
      <c r="E9" s="92"/>
      <c r="F9" s="92"/>
      <c r="G9" s="92"/>
      <c r="H9" s="93"/>
      <c r="I9" s="29"/>
    </row>
    <row r="10" spans="1:9" ht="12.75">
      <c r="A10" s="38" t="s">
        <v>5</v>
      </c>
      <c r="B10" s="39" t="s">
        <v>101</v>
      </c>
      <c r="C10" s="39" t="s">
        <v>102</v>
      </c>
      <c r="D10" s="39" t="s">
        <v>207</v>
      </c>
      <c r="E10" s="39" t="s">
        <v>310</v>
      </c>
      <c r="F10" s="39" t="s">
        <v>208</v>
      </c>
      <c r="G10" s="47" t="s">
        <v>317</v>
      </c>
      <c r="H10" s="36" t="s">
        <v>366</v>
      </c>
      <c r="I10" s="30"/>
    </row>
    <row r="11" spans="1:8" ht="12.75">
      <c r="A11" s="45" t="s">
        <v>7</v>
      </c>
      <c r="B11" s="45"/>
      <c r="C11" s="45" t="s">
        <v>104</v>
      </c>
      <c r="D11" s="45" t="s">
        <v>210</v>
      </c>
      <c r="E11" s="45" t="s">
        <v>311</v>
      </c>
      <c r="F11" s="46"/>
      <c r="G11" s="48">
        <v>52</v>
      </c>
      <c r="H11" s="49" t="s">
        <v>336</v>
      </c>
    </row>
    <row r="12" spans="1:8" ht="12.75">
      <c r="A12" s="4" t="s">
        <v>8</v>
      </c>
      <c r="B12" s="4"/>
      <c r="C12" s="4" t="s">
        <v>106</v>
      </c>
      <c r="D12" s="4" t="s">
        <v>212</v>
      </c>
      <c r="E12" s="4" t="s">
        <v>311</v>
      </c>
      <c r="G12" s="16">
        <v>1</v>
      </c>
      <c r="H12" s="27" t="s">
        <v>336</v>
      </c>
    </row>
    <row r="13" spans="1:8" ht="12.75">
      <c r="A13" s="4" t="s">
        <v>9</v>
      </c>
      <c r="B13" s="4"/>
      <c r="C13" s="4" t="s">
        <v>107</v>
      </c>
      <c r="D13" s="4" t="s">
        <v>213</v>
      </c>
      <c r="E13" s="4" t="s">
        <v>312</v>
      </c>
      <c r="G13" s="16">
        <v>100</v>
      </c>
      <c r="H13" s="27" t="s">
        <v>336</v>
      </c>
    </row>
    <row r="14" spans="1:8" ht="12.75">
      <c r="A14" s="4" t="s">
        <v>10</v>
      </c>
      <c r="B14" s="4"/>
      <c r="C14" s="4" t="s">
        <v>108</v>
      </c>
      <c r="D14" s="4" t="s">
        <v>214</v>
      </c>
      <c r="E14" s="4" t="s">
        <v>312</v>
      </c>
      <c r="G14" s="16">
        <v>30</v>
      </c>
      <c r="H14" s="27" t="s">
        <v>336</v>
      </c>
    </row>
    <row r="15" spans="1:8" ht="12.75">
      <c r="A15" s="4" t="s">
        <v>11</v>
      </c>
      <c r="B15" s="4"/>
      <c r="C15" s="4" t="s">
        <v>109</v>
      </c>
      <c r="D15" s="4" t="s">
        <v>215</v>
      </c>
      <c r="E15" s="4" t="s">
        <v>311</v>
      </c>
      <c r="G15" s="16">
        <v>34</v>
      </c>
      <c r="H15" s="27" t="s">
        <v>336</v>
      </c>
    </row>
    <row r="16" spans="1:8" ht="12.75">
      <c r="A16" s="4" t="s">
        <v>12</v>
      </c>
      <c r="B16" s="4"/>
      <c r="C16" s="4" t="s">
        <v>110</v>
      </c>
      <c r="D16" s="4" t="s">
        <v>216</v>
      </c>
      <c r="E16" s="4" t="s">
        <v>311</v>
      </c>
      <c r="G16" s="16">
        <v>1</v>
      </c>
      <c r="H16" s="27" t="s">
        <v>336</v>
      </c>
    </row>
    <row r="17" spans="1:8" ht="12.75">
      <c r="A17" s="4" t="s">
        <v>13</v>
      </c>
      <c r="B17" s="4"/>
      <c r="C17" s="4" t="s">
        <v>111</v>
      </c>
      <c r="D17" s="4" t="s">
        <v>217</v>
      </c>
      <c r="E17" s="4" t="s">
        <v>311</v>
      </c>
      <c r="G17" s="16">
        <v>34</v>
      </c>
      <c r="H17" s="27" t="s">
        <v>336</v>
      </c>
    </row>
    <row r="18" spans="1:8" ht="12.75">
      <c r="A18" s="4" t="s">
        <v>14</v>
      </c>
      <c r="B18" s="4"/>
      <c r="C18" s="4" t="s">
        <v>112</v>
      </c>
      <c r="D18" s="4" t="s">
        <v>218</v>
      </c>
      <c r="E18" s="4" t="s">
        <v>312</v>
      </c>
      <c r="G18" s="16">
        <v>34</v>
      </c>
      <c r="H18" s="27" t="s">
        <v>336</v>
      </c>
    </row>
    <row r="19" spans="1:8" ht="12.75">
      <c r="A19" s="4" t="s">
        <v>15</v>
      </c>
      <c r="B19" s="4"/>
      <c r="C19" s="4" t="s">
        <v>113</v>
      </c>
      <c r="D19" s="4" t="s">
        <v>219</v>
      </c>
      <c r="E19" s="4" t="s">
        <v>312</v>
      </c>
      <c r="G19" s="16">
        <v>83</v>
      </c>
      <c r="H19" s="27" t="s">
        <v>336</v>
      </c>
    </row>
    <row r="20" spans="1:8" ht="12.75">
      <c r="A20" s="4" t="s">
        <v>16</v>
      </c>
      <c r="B20" s="4"/>
      <c r="C20" s="4" t="s">
        <v>114</v>
      </c>
      <c r="D20" s="4" t="s">
        <v>220</v>
      </c>
      <c r="E20" s="4" t="s">
        <v>312</v>
      </c>
      <c r="G20" s="16">
        <v>6</v>
      </c>
      <c r="H20" s="27" t="s">
        <v>336</v>
      </c>
    </row>
    <row r="21" spans="1:8" ht="12.75">
      <c r="A21" s="4" t="s">
        <v>17</v>
      </c>
      <c r="B21" s="4"/>
      <c r="C21" s="4" t="s">
        <v>115</v>
      </c>
      <c r="D21" s="4" t="s">
        <v>221</v>
      </c>
      <c r="E21" s="4" t="s">
        <v>312</v>
      </c>
      <c r="G21" s="16">
        <v>210</v>
      </c>
      <c r="H21" s="27" t="s">
        <v>336</v>
      </c>
    </row>
    <row r="22" spans="1:8" ht="12.75">
      <c r="A22" s="4" t="s">
        <v>18</v>
      </c>
      <c r="B22" s="4"/>
      <c r="C22" s="4" t="s">
        <v>116</v>
      </c>
      <c r="D22" s="4" t="s">
        <v>222</v>
      </c>
      <c r="E22" s="4" t="s">
        <v>312</v>
      </c>
      <c r="G22" s="16">
        <v>35</v>
      </c>
      <c r="H22" s="27" t="s">
        <v>336</v>
      </c>
    </row>
    <row r="23" spans="1:8" ht="12.75">
      <c r="A23" s="4" t="s">
        <v>19</v>
      </c>
      <c r="B23" s="4"/>
      <c r="C23" s="4" t="s">
        <v>117</v>
      </c>
      <c r="D23" s="4" t="s">
        <v>223</v>
      </c>
      <c r="E23" s="4" t="s">
        <v>312</v>
      </c>
      <c r="G23" s="16">
        <v>2</v>
      </c>
      <c r="H23" s="27" t="s">
        <v>336</v>
      </c>
    </row>
    <row r="24" spans="1:8" ht="12.75">
      <c r="A24" s="4" t="s">
        <v>20</v>
      </c>
      <c r="B24" s="4"/>
      <c r="C24" s="4" t="s">
        <v>118</v>
      </c>
      <c r="D24" s="4" t="s">
        <v>224</v>
      </c>
      <c r="E24" s="4" t="s">
        <v>311</v>
      </c>
      <c r="G24" s="16">
        <v>19</v>
      </c>
      <c r="H24" s="27" t="s">
        <v>336</v>
      </c>
    </row>
    <row r="25" spans="1:8" ht="12.75">
      <c r="A25" s="4" t="s">
        <v>21</v>
      </c>
      <c r="B25" s="4"/>
      <c r="C25" s="4" t="s">
        <v>119</v>
      </c>
      <c r="D25" s="4" t="s">
        <v>225</v>
      </c>
      <c r="E25" s="4" t="s">
        <v>311</v>
      </c>
      <c r="G25" s="16">
        <v>7</v>
      </c>
      <c r="H25" s="27" t="s">
        <v>336</v>
      </c>
    </row>
    <row r="26" spans="1:8" ht="12.75">
      <c r="A26" s="4" t="s">
        <v>22</v>
      </c>
      <c r="B26" s="4"/>
      <c r="C26" s="4" t="s">
        <v>120</v>
      </c>
      <c r="D26" s="4" t="s">
        <v>226</v>
      </c>
      <c r="E26" s="4" t="s">
        <v>311</v>
      </c>
      <c r="G26" s="16">
        <v>4</v>
      </c>
      <c r="H26" s="27" t="s">
        <v>336</v>
      </c>
    </row>
    <row r="27" spans="1:8" ht="12.75">
      <c r="A27" s="4" t="s">
        <v>23</v>
      </c>
      <c r="B27" s="4"/>
      <c r="C27" s="4" t="s">
        <v>121</v>
      </c>
      <c r="D27" s="4" t="s">
        <v>227</v>
      </c>
      <c r="E27" s="4" t="s">
        <v>311</v>
      </c>
      <c r="G27" s="16">
        <v>3</v>
      </c>
      <c r="H27" s="27" t="s">
        <v>336</v>
      </c>
    </row>
    <row r="28" spans="1:8" ht="12.75">
      <c r="A28" s="4" t="s">
        <v>24</v>
      </c>
      <c r="B28" s="4"/>
      <c r="C28" s="4" t="s">
        <v>122</v>
      </c>
      <c r="D28" s="4" t="s">
        <v>228</v>
      </c>
      <c r="E28" s="4" t="s">
        <v>311</v>
      </c>
      <c r="G28" s="16">
        <v>1</v>
      </c>
      <c r="H28" s="27" t="s">
        <v>336</v>
      </c>
    </row>
    <row r="29" spans="1:8" ht="12.75">
      <c r="A29" s="4" t="s">
        <v>25</v>
      </c>
      <c r="B29" s="4"/>
      <c r="C29" s="4" t="s">
        <v>123</v>
      </c>
      <c r="D29" s="4" t="s">
        <v>229</v>
      </c>
      <c r="E29" s="4" t="s">
        <v>311</v>
      </c>
      <c r="G29" s="16">
        <v>8</v>
      </c>
      <c r="H29" s="27" t="s">
        <v>336</v>
      </c>
    </row>
    <row r="30" spans="1:8" ht="12.75">
      <c r="A30" s="4" t="s">
        <v>26</v>
      </c>
      <c r="B30" s="4"/>
      <c r="C30" s="4" t="s">
        <v>124</v>
      </c>
      <c r="D30" s="4" t="s">
        <v>230</v>
      </c>
      <c r="E30" s="4" t="s">
        <v>312</v>
      </c>
      <c r="G30" s="16">
        <v>2</v>
      </c>
      <c r="H30" s="27" t="s">
        <v>336</v>
      </c>
    </row>
    <row r="31" spans="1:8" ht="12.75">
      <c r="A31" s="4" t="s">
        <v>27</v>
      </c>
      <c r="B31" s="4"/>
      <c r="C31" s="4" t="s">
        <v>125</v>
      </c>
      <c r="D31" s="4" t="s">
        <v>231</v>
      </c>
      <c r="E31" s="4" t="s">
        <v>312</v>
      </c>
      <c r="G31" s="16">
        <v>368</v>
      </c>
      <c r="H31" s="27" t="s">
        <v>336</v>
      </c>
    </row>
    <row r="32" spans="1:8" ht="12.75">
      <c r="A32" s="4" t="s">
        <v>28</v>
      </c>
      <c r="B32" s="4"/>
      <c r="C32" s="4" t="s">
        <v>126</v>
      </c>
      <c r="D32" s="4" t="s">
        <v>232</v>
      </c>
      <c r="E32" s="4" t="s">
        <v>312</v>
      </c>
      <c r="G32" s="16">
        <v>50</v>
      </c>
      <c r="H32" s="27" t="s">
        <v>336</v>
      </c>
    </row>
    <row r="33" spans="1:8" ht="12.75">
      <c r="A33" s="4" t="s">
        <v>29</v>
      </c>
      <c r="B33" s="4"/>
      <c r="C33" s="4" t="s">
        <v>127</v>
      </c>
      <c r="D33" s="4" t="s">
        <v>233</v>
      </c>
      <c r="E33" s="4" t="s">
        <v>311</v>
      </c>
      <c r="G33" s="16">
        <v>60</v>
      </c>
      <c r="H33" s="27" t="s">
        <v>337</v>
      </c>
    </row>
    <row r="34" spans="1:8" ht="12.75">
      <c r="A34" s="4" t="s">
        <v>30</v>
      </c>
      <c r="B34" s="4"/>
      <c r="C34" s="4" t="s">
        <v>128</v>
      </c>
      <c r="D34" s="4" t="s">
        <v>234</v>
      </c>
      <c r="E34" s="4" t="s">
        <v>311</v>
      </c>
      <c r="G34" s="16">
        <v>2</v>
      </c>
      <c r="H34" s="27" t="s">
        <v>337</v>
      </c>
    </row>
    <row r="35" spans="1:8" ht="12.75">
      <c r="A35" s="4" t="s">
        <v>31</v>
      </c>
      <c r="B35" s="4"/>
      <c r="C35" s="4" t="s">
        <v>129</v>
      </c>
      <c r="D35" s="4" t="s">
        <v>235</v>
      </c>
      <c r="E35" s="4" t="s">
        <v>313</v>
      </c>
      <c r="G35" s="16">
        <v>300</v>
      </c>
      <c r="H35" s="27" t="s">
        <v>337</v>
      </c>
    </row>
    <row r="36" spans="1:8" ht="12.75">
      <c r="A36" s="4" t="s">
        <v>32</v>
      </c>
      <c r="B36" s="4"/>
      <c r="C36" s="4" t="s">
        <v>131</v>
      </c>
      <c r="D36" s="4" t="s">
        <v>237</v>
      </c>
      <c r="E36" s="4" t="s">
        <v>312</v>
      </c>
      <c r="G36" s="16">
        <v>10</v>
      </c>
      <c r="H36" s="27" t="s">
        <v>336</v>
      </c>
    </row>
    <row r="37" spans="1:8" ht="12.75">
      <c r="A37" s="4" t="s">
        <v>33</v>
      </c>
      <c r="B37" s="4"/>
      <c r="C37" s="4" t="s">
        <v>132</v>
      </c>
      <c r="D37" s="4" t="s">
        <v>238</v>
      </c>
      <c r="E37" s="4" t="s">
        <v>312</v>
      </c>
      <c r="G37" s="16">
        <v>300</v>
      </c>
      <c r="H37" s="27" t="s">
        <v>336</v>
      </c>
    </row>
    <row r="38" spans="1:8" ht="12.75">
      <c r="A38" s="4" t="s">
        <v>34</v>
      </c>
      <c r="B38" s="4"/>
      <c r="C38" s="4" t="s">
        <v>133</v>
      </c>
      <c r="D38" s="4" t="s">
        <v>239</v>
      </c>
      <c r="E38" s="4" t="s">
        <v>311</v>
      </c>
      <c r="G38" s="16">
        <v>2</v>
      </c>
      <c r="H38" s="27" t="s">
        <v>336</v>
      </c>
    </row>
    <row r="39" spans="1:8" ht="12.75">
      <c r="A39" s="4" t="s">
        <v>35</v>
      </c>
      <c r="B39" s="4"/>
      <c r="C39" s="4" t="s">
        <v>134</v>
      </c>
      <c r="D39" s="4" t="s">
        <v>240</v>
      </c>
      <c r="E39" s="4" t="s">
        <v>312</v>
      </c>
      <c r="G39" s="16">
        <v>250</v>
      </c>
      <c r="H39" s="27" t="s">
        <v>336</v>
      </c>
    </row>
    <row r="40" spans="1:8" ht="12.75">
      <c r="A40" s="4" t="s">
        <v>36</v>
      </c>
      <c r="B40" s="4"/>
      <c r="C40" s="4" t="s">
        <v>135</v>
      </c>
      <c r="D40" s="4" t="s">
        <v>241</v>
      </c>
      <c r="E40" s="4" t="s">
        <v>312</v>
      </c>
      <c r="G40" s="16">
        <v>200</v>
      </c>
      <c r="H40" s="27" t="s">
        <v>336</v>
      </c>
    </row>
    <row r="41" spans="1:8" ht="12.75">
      <c r="A41" s="4" t="s">
        <v>37</v>
      </c>
      <c r="B41" s="4"/>
      <c r="C41" s="4" t="s">
        <v>136</v>
      </c>
      <c r="D41" s="4" t="s">
        <v>242</v>
      </c>
      <c r="E41" s="4" t="s">
        <v>312</v>
      </c>
      <c r="G41" s="16">
        <v>100</v>
      </c>
      <c r="H41" s="27" t="s">
        <v>336</v>
      </c>
    </row>
    <row r="42" spans="1:8" ht="12.75">
      <c r="A42" s="4" t="s">
        <v>38</v>
      </c>
      <c r="B42" s="4"/>
      <c r="C42" s="4" t="s">
        <v>137</v>
      </c>
      <c r="D42" s="4" t="s">
        <v>243</v>
      </c>
      <c r="E42" s="4" t="s">
        <v>312</v>
      </c>
      <c r="G42" s="16">
        <v>30</v>
      </c>
      <c r="H42" s="27" t="s">
        <v>336</v>
      </c>
    </row>
    <row r="43" spans="1:8" ht="12.75">
      <c r="A43" s="4" t="s">
        <v>39</v>
      </c>
      <c r="B43" s="4"/>
      <c r="C43" s="4" t="s">
        <v>138</v>
      </c>
      <c r="D43" s="4" t="s">
        <v>244</v>
      </c>
      <c r="E43" s="4" t="s">
        <v>312</v>
      </c>
      <c r="G43" s="16">
        <v>95</v>
      </c>
      <c r="H43" s="27" t="s">
        <v>336</v>
      </c>
    </row>
    <row r="44" spans="1:8" ht="12.75">
      <c r="A44" s="4" t="s">
        <v>40</v>
      </c>
      <c r="B44" s="4"/>
      <c r="C44" s="4" t="s">
        <v>139</v>
      </c>
      <c r="D44" s="4" t="s">
        <v>245</v>
      </c>
      <c r="E44" s="4" t="s">
        <v>311</v>
      </c>
      <c r="G44" s="16">
        <v>34</v>
      </c>
      <c r="H44" s="27" t="s">
        <v>336</v>
      </c>
    </row>
    <row r="45" spans="1:8" ht="12.75">
      <c r="A45" s="4" t="s">
        <v>41</v>
      </c>
      <c r="B45" s="4"/>
      <c r="C45" s="4" t="s">
        <v>140</v>
      </c>
      <c r="D45" s="4" t="s">
        <v>246</v>
      </c>
      <c r="E45" s="4" t="s">
        <v>311</v>
      </c>
      <c r="G45" s="16">
        <v>2</v>
      </c>
      <c r="H45" s="27" t="s">
        <v>336</v>
      </c>
    </row>
    <row r="46" spans="1:8" ht="12.75">
      <c r="A46" s="4" t="s">
        <v>42</v>
      </c>
      <c r="B46" s="4"/>
      <c r="C46" s="4" t="s">
        <v>141</v>
      </c>
      <c r="D46" s="4" t="s">
        <v>247</v>
      </c>
      <c r="E46" s="4" t="s">
        <v>312</v>
      </c>
      <c r="G46" s="16">
        <v>250</v>
      </c>
      <c r="H46" s="27" t="s">
        <v>336</v>
      </c>
    </row>
    <row r="47" spans="1:8" ht="12.75">
      <c r="A47" s="4" t="s">
        <v>43</v>
      </c>
      <c r="B47" s="4"/>
      <c r="C47" s="4" t="s">
        <v>142</v>
      </c>
      <c r="D47" s="4" t="s">
        <v>248</v>
      </c>
      <c r="E47" s="4" t="s">
        <v>312</v>
      </c>
      <c r="G47" s="16">
        <v>200</v>
      </c>
      <c r="H47" s="27" t="s">
        <v>336</v>
      </c>
    </row>
    <row r="48" spans="1:8" ht="12.75">
      <c r="A48" s="4" t="s">
        <v>44</v>
      </c>
      <c r="B48" s="4"/>
      <c r="C48" s="4" t="s">
        <v>143</v>
      </c>
      <c r="D48" s="4" t="s">
        <v>249</v>
      </c>
      <c r="E48" s="4" t="s">
        <v>312</v>
      </c>
      <c r="G48" s="16">
        <v>100</v>
      </c>
      <c r="H48" s="27" t="s">
        <v>336</v>
      </c>
    </row>
    <row r="49" spans="1:8" ht="12.75">
      <c r="A49" s="4" t="s">
        <v>45</v>
      </c>
      <c r="B49" s="4"/>
      <c r="C49" s="4" t="s">
        <v>144</v>
      </c>
      <c r="D49" s="4" t="s">
        <v>250</v>
      </c>
      <c r="E49" s="4" t="s">
        <v>312</v>
      </c>
      <c r="G49" s="16">
        <v>30</v>
      </c>
      <c r="H49" s="27" t="s">
        <v>336</v>
      </c>
    </row>
    <row r="50" spans="1:8" ht="12.75">
      <c r="A50" s="4" t="s">
        <v>46</v>
      </c>
      <c r="B50" s="4"/>
      <c r="C50" s="4" t="s">
        <v>145</v>
      </c>
      <c r="D50" s="4" t="s">
        <v>251</v>
      </c>
      <c r="E50" s="4" t="s">
        <v>312</v>
      </c>
      <c r="G50" s="16">
        <v>95</v>
      </c>
      <c r="H50" s="27" t="s">
        <v>336</v>
      </c>
    </row>
    <row r="51" spans="1:8" ht="12.75">
      <c r="A51" s="4" t="s">
        <v>47</v>
      </c>
      <c r="B51" s="4"/>
      <c r="C51" s="4" t="s">
        <v>146</v>
      </c>
      <c r="D51" s="4" t="s">
        <v>252</v>
      </c>
      <c r="E51" s="4" t="s">
        <v>314</v>
      </c>
      <c r="G51" s="16">
        <v>61</v>
      </c>
      <c r="H51" s="27" t="s">
        <v>336</v>
      </c>
    </row>
    <row r="52" spans="1:8" ht="12.75">
      <c r="A52" s="4" t="s">
        <v>48</v>
      </c>
      <c r="B52" s="4"/>
      <c r="C52" s="4" t="s">
        <v>147</v>
      </c>
      <c r="D52" s="4" t="s">
        <v>253</v>
      </c>
      <c r="E52" s="4" t="s">
        <v>311</v>
      </c>
      <c r="G52" s="16">
        <v>44</v>
      </c>
      <c r="H52" s="27" t="s">
        <v>336</v>
      </c>
    </row>
    <row r="53" spans="1:8" ht="12.75">
      <c r="A53" s="4" t="s">
        <v>49</v>
      </c>
      <c r="B53" s="4"/>
      <c r="C53" s="4" t="s">
        <v>148</v>
      </c>
      <c r="D53" s="4" t="s">
        <v>254</v>
      </c>
      <c r="E53" s="4" t="s">
        <v>315</v>
      </c>
      <c r="G53" s="16">
        <v>7</v>
      </c>
      <c r="H53" s="27" t="s">
        <v>336</v>
      </c>
    </row>
    <row r="54" spans="1:8" ht="12.75">
      <c r="A54" s="4" t="s">
        <v>50</v>
      </c>
      <c r="B54" s="4"/>
      <c r="C54" s="4" t="s">
        <v>149</v>
      </c>
      <c r="D54" s="4" t="s">
        <v>255</v>
      </c>
      <c r="E54" s="4" t="s">
        <v>311</v>
      </c>
      <c r="G54" s="16">
        <v>17</v>
      </c>
      <c r="H54" s="27" t="s">
        <v>336</v>
      </c>
    </row>
    <row r="55" spans="1:8" ht="12.75">
      <c r="A55" s="4" t="s">
        <v>51</v>
      </c>
      <c r="B55" s="4"/>
      <c r="C55" s="4" t="s">
        <v>150</v>
      </c>
      <c r="D55" s="4" t="s">
        <v>256</v>
      </c>
      <c r="E55" s="4" t="s">
        <v>311</v>
      </c>
      <c r="G55" s="16">
        <v>16</v>
      </c>
      <c r="H55" s="27" t="s">
        <v>336</v>
      </c>
    </row>
    <row r="56" spans="1:8" ht="12.75">
      <c r="A56" s="4" t="s">
        <v>52</v>
      </c>
      <c r="B56" s="4"/>
      <c r="C56" s="4" t="s">
        <v>151</v>
      </c>
      <c r="D56" s="4" t="s">
        <v>257</v>
      </c>
      <c r="E56" s="4" t="s">
        <v>311</v>
      </c>
      <c r="G56" s="16">
        <v>26</v>
      </c>
      <c r="H56" s="27" t="s">
        <v>336</v>
      </c>
    </row>
    <row r="57" spans="1:8" ht="12.75">
      <c r="A57" s="4" t="s">
        <v>53</v>
      </c>
      <c r="B57" s="4"/>
      <c r="C57" s="4" t="s">
        <v>152</v>
      </c>
      <c r="D57" s="4" t="s">
        <v>258</v>
      </c>
      <c r="E57" s="4" t="s">
        <v>311</v>
      </c>
      <c r="G57" s="16">
        <v>4</v>
      </c>
      <c r="H57" s="27" t="s">
        <v>336</v>
      </c>
    </row>
    <row r="58" spans="1:8" ht="12.75">
      <c r="A58" s="4" t="s">
        <v>54</v>
      </c>
      <c r="B58" s="4"/>
      <c r="C58" s="4" t="s">
        <v>153</v>
      </c>
      <c r="D58" s="4" t="s">
        <v>259</v>
      </c>
      <c r="E58" s="4" t="s">
        <v>311</v>
      </c>
      <c r="G58" s="16">
        <v>2</v>
      </c>
      <c r="H58" s="27" t="s">
        <v>336</v>
      </c>
    </row>
    <row r="59" spans="1:8" ht="12.75">
      <c r="A59" s="4" t="s">
        <v>55</v>
      </c>
      <c r="B59" s="4"/>
      <c r="C59" s="4" t="s">
        <v>154</v>
      </c>
      <c r="D59" s="4" t="s">
        <v>260</v>
      </c>
      <c r="E59" s="4" t="s">
        <v>312</v>
      </c>
      <c r="G59" s="16">
        <v>685</v>
      </c>
      <c r="H59" s="27" t="s">
        <v>336</v>
      </c>
    </row>
    <row r="60" spans="1:8" ht="12.75">
      <c r="A60" s="4" t="s">
        <v>56</v>
      </c>
      <c r="B60" s="4"/>
      <c r="C60" s="4" t="s">
        <v>155</v>
      </c>
      <c r="D60" s="4" t="s">
        <v>261</v>
      </c>
      <c r="E60" s="4" t="s">
        <v>312</v>
      </c>
      <c r="G60" s="16">
        <v>685</v>
      </c>
      <c r="H60" s="27" t="s">
        <v>336</v>
      </c>
    </row>
    <row r="61" spans="1:8" ht="12.75">
      <c r="A61" s="4" t="s">
        <v>57</v>
      </c>
      <c r="B61" s="4"/>
      <c r="C61" s="4" t="s">
        <v>156</v>
      </c>
      <c r="D61" s="4" t="s">
        <v>262</v>
      </c>
      <c r="E61" s="4" t="s">
        <v>313</v>
      </c>
      <c r="G61" s="16">
        <v>300</v>
      </c>
      <c r="H61" s="27" t="s">
        <v>337</v>
      </c>
    </row>
    <row r="62" spans="1:8" ht="12.75">
      <c r="A62" s="4" t="s">
        <v>58</v>
      </c>
      <c r="B62" s="4"/>
      <c r="C62" s="4" t="s">
        <v>157</v>
      </c>
      <c r="D62" s="4" t="s">
        <v>263</v>
      </c>
      <c r="E62" s="4" t="s">
        <v>311</v>
      </c>
      <c r="G62" s="16">
        <v>30</v>
      </c>
      <c r="H62" s="27" t="s">
        <v>337</v>
      </c>
    </row>
    <row r="63" spans="1:8" ht="12.75">
      <c r="A63" s="4" t="s">
        <v>59</v>
      </c>
      <c r="B63" s="4"/>
      <c r="C63" s="4" t="s">
        <v>158</v>
      </c>
      <c r="D63" s="4" t="s">
        <v>264</v>
      </c>
      <c r="E63" s="4" t="s">
        <v>311</v>
      </c>
      <c r="G63" s="16">
        <v>50</v>
      </c>
      <c r="H63" s="27" t="s">
        <v>337</v>
      </c>
    </row>
    <row r="64" spans="1:8" ht="12.75">
      <c r="A64" s="4" t="s">
        <v>60</v>
      </c>
      <c r="B64" s="4"/>
      <c r="C64" s="4" t="s">
        <v>159</v>
      </c>
      <c r="D64" s="4" t="s">
        <v>265</v>
      </c>
      <c r="E64" s="4" t="s">
        <v>312</v>
      </c>
      <c r="G64" s="16">
        <v>80</v>
      </c>
      <c r="H64" s="27" t="s">
        <v>337</v>
      </c>
    </row>
    <row r="65" spans="1:8" ht="12.75">
      <c r="A65" s="4" t="s">
        <v>61</v>
      </c>
      <c r="B65" s="4"/>
      <c r="C65" s="4" t="s">
        <v>161</v>
      </c>
      <c r="D65" s="4" t="s">
        <v>267</v>
      </c>
      <c r="E65" s="4" t="s">
        <v>314</v>
      </c>
      <c r="G65" s="16">
        <v>5</v>
      </c>
      <c r="H65" s="27" t="s">
        <v>336</v>
      </c>
    </row>
    <row r="66" spans="1:8" ht="12.75">
      <c r="A66" s="4" t="s">
        <v>62</v>
      </c>
      <c r="B66" s="4"/>
      <c r="C66" s="4" t="s">
        <v>162</v>
      </c>
      <c r="D66" s="4" t="s">
        <v>268</v>
      </c>
      <c r="E66" s="4" t="s">
        <v>314</v>
      </c>
      <c r="G66" s="16">
        <v>2</v>
      </c>
      <c r="H66" s="27" t="s">
        <v>336</v>
      </c>
    </row>
    <row r="67" spans="1:8" ht="12.75">
      <c r="A67" s="4" t="s">
        <v>63</v>
      </c>
      <c r="B67" s="4"/>
      <c r="C67" s="4" t="s">
        <v>163</v>
      </c>
      <c r="D67" s="4" t="s">
        <v>269</v>
      </c>
      <c r="E67" s="4" t="s">
        <v>314</v>
      </c>
      <c r="G67" s="16">
        <v>9</v>
      </c>
      <c r="H67" s="27" t="s">
        <v>336</v>
      </c>
    </row>
    <row r="68" spans="1:8" ht="12.75">
      <c r="A68" s="4" t="s">
        <v>64</v>
      </c>
      <c r="B68" s="4"/>
      <c r="C68" s="4" t="s">
        <v>164</v>
      </c>
      <c r="D68" s="4" t="s">
        <v>270</v>
      </c>
      <c r="E68" s="4" t="s">
        <v>314</v>
      </c>
      <c r="G68" s="16">
        <v>4</v>
      </c>
      <c r="H68" s="27" t="s">
        <v>336</v>
      </c>
    </row>
    <row r="69" spans="1:8" ht="12.75">
      <c r="A69" s="4" t="s">
        <v>65</v>
      </c>
      <c r="B69" s="4"/>
      <c r="C69" s="4" t="s">
        <v>165</v>
      </c>
      <c r="D69" s="4" t="s">
        <v>271</v>
      </c>
      <c r="E69" s="4" t="s">
        <v>314</v>
      </c>
      <c r="G69" s="16">
        <v>4</v>
      </c>
      <c r="H69" s="27" t="s">
        <v>336</v>
      </c>
    </row>
    <row r="70" spans="1:8" ht="12.75">
      <c r="A70" s="4" t="s">
        <v>66</v>
      </c>
      <c r="B70" s="4"/>
      <c r="C70" s="4" t="s">
        <v>166</v>
      </c>
      <c r="D70" s="4" t="s">
        <v>272</v>
      </c>
      <c r="E70" s="4" t="s">
        <v>314</v>
      </c>
      <c r="G70" s="16">
        <v>2</v>
      </c>
      <c r="H70" s="27" t="s">
        <v>336</v>
      </c>
    </row>
    <row r="71" spans="1:8" ht="12.75">
      <c r="A71" s="4" t="s">
        <v>67</v>
      </c>
      <c r="B71" s="4"/>
      <c r="C71" s="4" t="s">
        <v>167</v>
      </c>
      <c r="D71" s="4" t="s">
        <v>273</v>
      </c>
      <c r="E71" s="4" t="s">
        <v>314</v>
      </c>
      <c r="G71" s="16">
        <v>8</v>
      </c>
      <c r="H71" s="27" t="s">
        <v>336</v>
      </c>
    </row>
    <row r="72" spans="1:8" ht="12.75">
      <c r="A72" s="4" t="s">
        <v>68</v>
      </c>
      <c r="B72" s="4"/>
      <c r="C72" s="4" t="s">
        <v>168</v>
      </c>
      <c r="D72" s="4" t="s">
        <v>274</v>
      </c>
      <c r="E72" s="4" t="s">
        <v>314</v>
      </c>
      <c r="G72" s="16">
        <v>7</v>
      </c>
      <c r="H72" s="27" t="s">
        <v>336</v>
      </c>
    </row>
    <row r="73" spans="1:8" ht="12.75">
      <c r="A73" s="4" t="s">
        <v>69</v>
      </c>
      <c r="B73" s="4"/>
      <c r="C73" s="4" t="s">
        <v>169</v>
      </c>
      <c r="D73" s="4" t="s">
        <v>275</v>
      </c>
      <c r="E73" s="4" t="s">
        <v>314</v>
      </c>
      <c r="G73" s="16">
        <v>15</v>
      </c>
      <c r="H73" s="27" t="s">
        <v>336</v>
      </c>
    </row>
    <row r="74" spans="1:8" ht="12.75">
      <c r="A74" s="4" t="s">
        <v>70</v>
      </c>
      <c r="B74" s="4"/>
      <c r="C74" s="4" t="s">
        <v>170</v>
      </c>
      <c r="D74" s="4" t="s">
        <v>276</v>
      </c>
      <c r="E74" s="4" t="s">
        <v>314</v>
      </c>
      <c r="G74" s="16">
        <v>1</v>
      </c>
      <c r="H74" s="27" t="s">
        <v>336</v>
      </c>
    </row>
    <row r="75" spans="1:8" ht="12.75">
      <c r="A75" s="4" t="s">
        <v>71</v>
      </c>
      <c r="B75" s="4"/>
      <c r="C75" s="4" t="s">
        <v>171</v>
      </c>
      <c r="D75" s="4" t="s">
        <v>277</v>
      </c>
      <c r="E75" s="4" t="s">
        <v>314</v>
      </c>
      <c r="G75" s="16">
        <v>9</v>
      </c>
      <c r="H75" s="27" t="s">
        <v>336</v>
      </c>
    </row>
    <row r="76" spans="1:8" ht="12.75">
      <c r="A76" s="4" t="s">
        <v>72</v>
      </c>
      <c r="B76" s="4"/>
      <c r="C76" s="4" t="s">
        <v>172</v>
      </c>
      <c r="D76" s="4" t="s">
        <v>278</v>
      </c>
      <c r="E76" s="4" t="s">
        <v>314</v>
      </c>
      <c r="G76" s="16">
        <v>5</v>
      </c>
      <c r="H76" s="27" t="s">
        <v>336</v>
      </c>
    </row>
    <row r="77" spans="1:8" ht="12.75">
      <c r="A77" s="4" t="s">
        <v>73</v>
      </c>
      <c r="B77" s="4"/>
      <c r="C77" s="4" t="s">
        <v>173</v>
      </c>
      <c r="D77" s="4" t="s">
        <v>279</v>
      </c>
      <c r="E77" s="4" t="s">
        <v>314</v>
      </c>
      <c r="G77" s="16">
        <v>5</v>
      </c>
      <c r="H77" s="27" t="s">
        <v>336</v>
      </c>
    </row>
    <row r="78" spans="1:8" ht="12.75">
      <c r="A78" s="4" t="s">
        <v>74</v>
      </c>
      <c r="B78" s="4"/>
      <c r="C78" s="4" t="s">
        <v>174</v>
      </c>
      <c r="D78" s="4" t="s">
        <v>280</v>
      </c>
      <c r="E78" s="4" t="s">
        <v>314</v>
      </c>
      <c r="G78" s="16">
        <v>4</v>
      </c>
      <c r="H78" s="27" t="s">
        <v>336</v>
      </c>
    </row>
    <row r="79" spans="1:8" ht="12.75">
      <c r="A79" s="4" t="s">
        <v>75</v>
      </c>
      <c r="B79" s="4"/>
      <c r="C79" s="4" t="s">
        <v>175</v>
      </c>
      <c r="D79" s="4" t="s">
        <v>281</v>
      </c>
      <c r="E79" s="4" t="s">
        <v>314</v>
      </c>
      <c r="G79" s="16">
        <v>2</v>
      </c>
      <c r="H79" s="27" t="s">
        <v>336</v>
      </c>
    </row>
    <row r="80" spans="1:8" ht="12.75">
      <c r="A80" s="4" t="s">
        <v>76</v>
      </c>
      <c r="B80" s="4"/>
      <c r="C80" s="4" t="s">
        <v>176</v>
      </c>
      <c r="D80" s="4" t="s">
        <v>282</v>
      </c>
      <c r="E80" s="4" t="s">
        <v>314</v>
      </c>
      <c r="G80" s="16">
        <v>4</v>
      </c>
      <c r="H80" s="27" t="s">
        <v>336</v>
      </c>
    </row>
    <row r="81" spans="1:8" ht="12.75">
      <c r="A81" s="4" t="s">
        <v>77</v>
      </c>
      <c r="B81" s="4"/>
      <c r="C81" s="4" t="s">
        <v>177</v>
      </c>
      <c r="D81" s="4" t="s">
        <v>283</v>
      </c>
      <c r="E81" s="4" t="s">
        <v>314</v>
      </c>
      <c r="G81" s="16">
        <v>1</v>
      </c>
      <c r="H81" s="27" t="s">
        <v>336</v>
      </c>
    </row>
    <row r="82" spans="1:8" ht="12.75">
      <c r="A82" s="4" t="s">
        <v>78</v>
      </c>
      <c r="B82" s="4"/>
      <c r="C82" s="4" t="s">
        <v>178</v>
      </c>
      <c r="D82" s="4" t="s">
        <v>284</v>
      </c>
      <c r="E82" s="4" t="s">
        <v>314</v>
      </c>
      <c r="G82" s="16">
        <v>38</v>
      </c>
      <c r="H82" s="27" t="s">
        <v>336</v>
      </c>
    </row>
    <row r="83" spans="1:8" ht="12.75">
      <c r="A83" s="4" t="s">
        <v>79</v>
      </c>
      <c r="B83" s="4"/>
      <c r="C83" s="4" t="s">
        <v>179</v>
      </c>
      <c r="D83" s="4" t="s">
        <v>285</v>
      </c>
      <c r="E83" s="4" t="s">
        <v>311</v>
      </c>
      <c r="G83" s="16">
        <v>15</v>
      </c>
      <c r="H83" s="27" t="s">
        <v>336</v>
      </c>
    </row>
    <row r="84" spans="1:8" ht="12.75">
      <c r="A84" s="4" t="s">
        <v>80</v>
      </c>
      <c r="B84" s="4"/>
      <c r="C84" s="4" t="s">
        <v>180</v>
      </c>
      <c r="D84" s="4" t="s">
        <v>286</v>
      </c>
      <c r="E84" s="4" t="s">
        <v>311</v>
      </c>
      <c r="G84" s="16">
        <v>4</v>
      </c>
      <c r="H84" s="27" t="s">
        <v>336</v>
      </c>
    </row>
    <row r="85" spans="1:8" ht="12.75">
      <c r="A85" s="4" t="s">
        <v>81</v>
      </c>
      <c r="B85" s="4"/>
      <c r="C85" s="4" t="s">
        <v>181</v>
      </c>
      <c r="D85" s="4" t="s">
        <v>287</v>
      </c>
      <c r="E85" s="4" t="s">
        <v>311</v>
      </c>
      <c r="G85" s="16">
        <v>7</v>
      </c>
      <c r="H85" s="27" t="s">
        <v>336</v>
      </c>
    </row>
    <row r="86" spans="1:8" ht="12.75">
      <c r="A86" s="4" t="s">
        <v>82</v>
      </c>
      <c r="B86" s="4"/>
      <c r="C86" s="4" t="s">
        <v>182</v>
      </c>
      <c r="D86" s="4" t="s">
        <v>288</v>
      </c>
      <c r="E86" s="4" t="s">
        <v>311</v>
      </c>
      <c r="G86" s="16">
        <v>2</v>
      </c>
      <c r="H86" s="27" t="s">
        <v>336</v>
      </c>
    </row>
    <row r="87" spans="1:8" ht="12.75">
      <c r="A87" s="4" t="s">
        <v>83</v>
      </c>
      <c r="B87" s="4"/>
      <c r="C87" s="4" t="s">
        <v>183</v>
      </c>
      <c r="D87" s="4" t="s">
        <v>289</v>
      </c>
      <c r="E87" s="4" t="s">
        <v>311</v>
      </c>
      <c r="G87" s="16">
        <v>2</v>
      </c>
      <c r="H87" s="27" t="s">
        <v>336</v>
      </c>
    </row>
    <row r="88" spans="1:8" ht="12.75">
      <c r="A88" s="4" t="s">
        <v>84</v>
      </c>
      <c r="B88" s="4"/>
      <c r="C88" s="4" t="s">
        <v>184</v>
      </c>
      <c r="D88" s="4" t="s">
        <v>290</v>
      </c>
      <c r="E88" s="4" t="s">
        <v>311</v>
      </c>
      <c r="G88" s="16">
        <v>4</v>
      </c>
      <c r="H88" s="27" t="s">
        <v>336</v>
      </c>
    </row>
    <row r="89" spans="1:8" ht="12.75">
      <c r="A89" s="4" t="s">
        <v>85</v>
      </c>
      <c r="B89" s="4"/>
      <c r="C89" s="4" t="s">
        <v>185</v>
      </c>
      <c r="D89" s="4" t="s">
        <v>291</v>
      </c>
      <c r="E89" s="4" t="s">
        <v>311</v>
      </c>
      <c r="G89" s="16">
        <v>9</v>
      </c>
      <c r="H89" s="27" t="s">
        <v>336</v>
      </c>
    </row>
    <row r="90" spans="1:8" ht="12.75">
      <c r="A90" s="4" t="s">
        <v>86</v>
      </c>
      <c r="B90" s="4"/>
      <c r="C90" s="4" t="s">
        <v>186</v>
      </c>
      <c r="D90" s="4" t="s">
        <v>292</v>
      </c>
      <c r="E90" s="4" t="s">
        <v>311</v>
      </c>
      <c r="G90" s="16">
        <v>2</v>
      </c>
      <c r="H90" s="27" t="s">
        <v>336</v>
      </c>
    </row>
    <row r="91" spans="1:8" ht="12.75">
      <c r="A91" s="4" t="s">
        <v>87</v>
      </c>
      <c r="B91" s="4"/>
      <c r="C91" s="4" t="s">
        <v>187</v>
      </c>
      <c r="D91" s="4" t="s">
        <v>293</v>
      </c>
      <c r="E91" s="4" t="s">
        <v>311</v>
      </c>
      <c r="G91" s="16">
        <v>22</v>
      </c>
      <c r="H91" s="27" t="s">
        <v>336</v>
      </c>
    </row>
    <row r="92" spans="1:8" ht="12.75">
      <c r="A92" s="4" t="s">
        <v>88</v>
      </c>
      <c r="B92" s="4"/>
      <c r="C92" s="4" t="s">
        <v>188</v>
      </c>
      <c r="D92" s="4" t="s">
        <v>294</v>
      </c>
      <c r="E92" s="4" t="s">
        <v>314</v>
      </c>
      <c r="G92" s="16">
        <v>1</v>
      </c>
      <c r="H92" s="27" t="s">
        <v>337</v>
      </c>
    </row>
    <row r="93" spans="1:8" ht="12.75">
      <c r="A93" s="4" t="s">
        <v>89</v>
      </c>
      <c r="B93" s="4"/>
      <c r="C93" s="4" t="s">
        <v>189</v>
      </c>
      <c r="D93" s="4" t="s">
        <v>295</v>
      </c>
      <c r="E93" s="4" t="s">
        <v>314</v>
      </c>
      <c r="G93" s="16">
        <v>2</v>
      </c>
      <c r="H93" s="27" t="s">
        <v>337</v>
      </c>
    </row>
    <row r="94" spans="1:8" ht="12.75">
      <c r="A94" s="4" t="s">
        <v>90</v>
      </c>
      <c r="B94" s="4"/>
      <c r="C94" s="4" t="s">
        <v>190</v>
      </c>
      <c r="D94" s="4" t="s">
        <v>296</v>
      </c>
      <c r="E94" s="4" t="s">
        <v>314</v>
      </c>
      <c r="G94" s="16">
        <v>2</v>
      </c>
      <c r="H94" s="27" t="s">
        <v>337</v>
      </c>
    </row>
    <row r="95" spans="1:8" ht="12.75">
      <c r="A95" s="4" t="s">
        <v>91</v>
      </c>
      <c r="B95" s="4"/>
      <c r="C95" s="4" t="s">
        <v>191</v>
      </c>
      <c r="D95" s="4" t="s">
        <v>297</v>
      </c>
      <c r="E95" s="4" t="s">
        <v>314</v>
      </c>
      <c r="G95" s="16">
        <v>7</v>
      </c>
      <c r="H95" s="27" t="s">
        <v>337</v>
      </c>
    </row>
    <row r="96" spans="1:8" ht="12.75">
      <c r="A96" s="4" t="s">
        <v>92</v>
      </c>
      <c r="B96" s="4"/>
      <c r="C96" s="4" t="s">
        <v>192</v>
      </c>
      <c r="D96" s="4" t="s">
        <v>298</v>
      </c>
      <c r="E96" s="4" t="s">
        <v>314</v>
      </c>
      <c r="G96" s="16">
        <v>1</v>
      </c>
      <c r="H96" s="27" t="s">
        <v>337</v>
      </c>
    </row>
    <row r="97" spans="1:8" ht="12.75">
      <c r="A97" s="4" t="s">
        <v>93</v>
      </c>
      <c r="B97" s="4"/>
      <c r="C97" s="4" t="s">
        <v>193</v>
      </c>
      <c r="D97" s="4" t="s">
        <v>299</v>
      </c>
      <c r="E97" s="4" t="s">
        <v>311</v>
      </c>
      <c r="G97" s="16">
        <v>15</v>
      </c>
      <c r="H97" s="27" t="s">
        <v>337</v>
      </c>
    </row>
    <row r="98" spans="1:8" ht="12.75">
      <c r="A98" s="4" t="s">
        <v>94</v>
      </c>
      <c r="B98" s="4"/>
      <c r="C98" s="4" t="s">
        <v>194</v>
      </c>
      <c r="D98" s="4" t="s">
        <v>300</v>
      </c>
      <c r="E98" s="4" t="s">
        <v>314</v>
      </c>
      <c r="G98" s="16">
        <v>7</v>
      </c>
      <c r="H98" s="27" t="s">
        <v>337</v>
      </c>
    </row>
    <row r="99" spans="1:8" ht="12.75">
      <c r="A99" s="4" t="s">
        <v>95</v>
      </c>
      <c r="B99" s="4"/>
      <c r="C99" s="4" t="s">
        <v>195</v>
      </c>
      <c r="D99" s="4" t="s">
        <v>301</v>
      </c>
      <c r="E99" s="4" t="s">
        <v>314</v>
      </c>
      <c r="G99" s="16">
        <v>5</v>
      </c>
      <c r="H99" s="27" t="s">
        <v>337</v>
      </c>
    </row>
    <row r="100" spans="1:8" ht="12.75">
      <c r="A100" s="4" t="s">
        <v>96</v>
      </c>
      <c r="B100" s="4"/>
      <c r="C100" s="4" t="s">
        <v>197</v>
      </c>
      <c r="D100" s="4" t="s">
        <v>302</v>
      </c>
      <c r="E100" s="4" t="s">
        <v>316</v>
      </c>
      <c r="G100" s="16">
        <v>0.0026</v>
      </c>
      <c r="H100" s="27" t="s">
        <v>336</v>
      </c>
    </row>
    <row r="101" spans="1:8" ht="12.75">
      <c r="A101" s="4" t="s">
        <v>97</v>
      </c>
      <c r="B101" s="4"/>
      <c r="C101" s="4" t="s">
        <v>199</v>
      </c>
      <c r="D101" s="4" t="s">
        <v>303</v>
      </c>
      <c r="E101" s="4" t="s">
        <v>316</v>
      </c>
      <c r="G101" s="16">
        <v>3.6241</v>
      </c>
      <c r="H101" s="27" t="s">
        <v>336</v>
      </c>
    </row>
    <row r="102" spans="1:8" ht="12.75">
      <c r="A102" s="4" t="s">
        <v>98</v>
      </c>
      <c r="B102" s="4"/>
      <c r="C102" s="4" t="s">
        <v>201</v>
      </c>
      <c r="D102" s="4" t="s">
        <v>304</v>
      </c>
      <c r="E102" s="4" t="s">
        <v>316</v>
      </c>
      <c r="G102" s="16">
        <v>4.0419</v>
      </c>
      <c r="H102" s="27" t="s">
        <v>336</v>
      </c>
    </row>
    <row r="103" spans="1:8" ht="12.75">
      <c r="A103" s="4" t="s">
        <v>99</v>
      </c>
      <c r="B103" s="4"/>
      <c r="C103" s="4" t="s">
        <v>203</v>
      </c>
      <c r="D103" s="4" t="s">
        <v>305</v>
      </c>
      <c r="E103" s="4" t="s">
        <v>316</v>
      </c>
      <c r="G103" s="16">
        <v>1.4049</v>
      </c>
      <c r="H103" s="27" t="s">
        <v>336</v>
      </c>
    </row>
    <row r="105" ht="11.25" customHeight="1">
      <c r="A105" s="8" t="s">
        <v>100</v>
      </c>
    </row>
    <row r="106" spans="1:7" ht="12.75">
      <c r="A106" s="88"/>
      <c r="B106" s="76"/>
      <c r="C106" s="76"/>
      <c r="D106" s="76"/>
      <c r="E106" s="76"/>
      <c r="F106" s="76"/>
      <c r="G106" s="76"/>
    </row>
  </sheetData>
  <sheetProtection/>
  <mergeCells count="18">
    <mergeCell ref="A106:G106"/>
    <mergeCell ref="A8:B9"/>
    <mergeCell ref="C8:D9"/>
    <mergeCell ref="E8:E9"/>
    <mergeCell ref="F8:H9"/>
    <mergeCell ref="A6:B7"/>
    <mergeCell ref="C6:D7"/>
    <mergeCell ref="E6:E7"/>
    <mergeCell ref="F6:H7"/>
    <mergeCell ref="A4:B5"/>
    <mergeCell ref="C4:D5"/>
    <mergeCell ref="E4:E5"/>
    <mergeCell ref="F4:H5"/>
    <mergeCell ref="A1:H1"/>
    <mergeCell ref="A2:B3"/>
    <mergeCell ref="C2:D3"/>
    <mergeCell ref="E2:E3"/>
    <mergeCell ref="F2:H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1" width="16.421875" style="0" customWidth="1"/>
    <col min="2" max="2" width="48.7109375" style="0" customWidth="1"/>
    <col min="3" max="3" width="15.28125" style="0" customWidth="1"/>
    <col min="4" max="4" width="10.28125" style="0" customWidth="1"/>
    <col min="5" max="5" width="8.421875" style="0" customWidth="1"/>
    <col min="6" max="7" width="11.8515625" style="0" customWidth="1"/>
    <col min="8" max="8" width="19.8515625" style="0" customWidth="1"/>
  </cols>
  <sheetData>
    <row r="1" spans="1:8" ht="72.75" customHeight="1">
      <c r="A1" s="77" t="s">
        <v>367</v>
      </c>
      <c r="B1" s="78"/>
      <c r="C1" s="78"/>
      <c r="D1" s="78"/>
      <c r="E1" s="78"/>
      <c r="F1" s="78"/>
      <c r="G1" s="78"/>
      <c r="H1" s="78"/>
    </row>
    <row r="2" spans="1:9" ht="12.75">
      <c r="A2" s="79" t="s">
        <v>1</v>
      </c>
      <c r="B2" s="82" t="str">
        <f>'Stavební rozpočet'!D2</f>
        <v>Oddělení následné péče 1.etapa - východní křídlo</v>
      </c>
      <c r="C2" s="84" t="s">
        <v>306</v>
      </c>
      <c r="D2" s="85" t="str">
        <f>'Stavební rozpočet'!G2</f>
        <v> </v>
      </c>
      <c r="E2" s="80"/>
      <c r="F2" s="85" t="s">
        <v>324</v>
      </c>
      <c r="G2" s="85" t="str">
        <f>'Stavební rozpočet'!J2</f>
        <v>Stodská nemocnice a.s.</v>
      </c>
      <c r="H2" s="86"/>
      <c r="I2" s="29"/>
    </row>
    <row r="3" spans="1:9" ht="12.75">
      <c r="A3" s="81"/>
      <c r="B3" s="83"/>
      <c r="C3" s="76"/>
      <c r="D3" s="76"/>
      <c r="E3" s="76"/>
      <c r="F3" s="76"/>
      <c r="G3" s="76"/>
      <c r="H3" s="87"/>
      <c r="I3" s="29"/>
    </row>
    <row r="4" spans="1:9" ht="12.75">
      <c r="A4" s="89" t="s">
        <v>2</v>
      </c>
      <c r="B4" s="88" t="str">
        <f>'Stavební rozpočet'!D4</f>
        <v>Zdravotní instalace</v>
      </c>
      <c r="C4" s="75" t="s">
        <v>307</v>
      </c>
      <c r="D4" s="88" t="str">
        <f>'Stavební rozpočet'!G4</f>
        <v> </v>
      </c>
      <c r="E4" s="76"/>
      <c r="F4" s="88" t="s">
        <v>325</v>
      </c>
      <c r="G4" s="88" t="str">
        <f>'Stavební rozpočet'!J4</f>
        <v>Ing.arch.V.Mastný</v>
      </c>
      <c r="H4" s="87"/>
      <c r="I4" s="29"/>
    </row>
    <row r="5" spans="1:9" ht="12.75">
      <c r="A5" s="81"/>
      <c r="B5" s="76"/>
      <c r="C5" s="76"/>
      <c r="D5" s="76"/>
      <c r="E5" s="76"/>
      <c r="F5" s="76"/>
      <c r="G5" s="76"/>
      <c r="H5" s="87"/>
      <c r="I5" s="29"/>
    </row>
    <row r="6" spans="1:9" ht="12.75">
      <c r="A6" s="89" t="s">
        <v>3</v>
      </c>
      <c r="B6" s="88" t="str">
        <f>'Stavební rozpočet'!D6</f>
        <v>Stodská nemocnice</v>
      </c>
      <c r="C6" s="75" t="s">
        <v>308</v>
      </c>
      <c r="D6" s="88" t="str">
        <f>'Stavební rozpočet'!G6</f>
        <v> </v>
      </c>
      <c r="E6" s="76"/>
      <c r="F6" s="88" t="s">
        <v>326</v>
      </c>
      <c r="G6" s="88" t="str">
        <f>'Stavební rozpočet'!J6</f>
        <v>V.Přibyl</v>
      </c>
      <c r="H6" s="87"/>
      <c r="I6" s="29"/>
    </row>
    <row r="7" spans="1:9" ht="12.75">
      <c r="A7" s="81"/>
      <c r="B7" s="76"/>
      <c r="C7" s="76"/>
      <c r="D7" s="76"/>
      <c r="E7" s="76"/>
      <c r="F7" s="76"/>
      <c r="G7" s="76"/>
      <c r="H7" s="87"/>
      <c r="I7" s="29"/>
    </row>
    <row r="8" spans="1:9" ht="12.75">
      <c r="A8" s="89" t="s">
        <v>4</v>
      </c>
      <c r="B8" s="88" t="str">
        <f>'Stavební rozpočet'!D8</f>
        <v> </v>
      </c>
      <c r="C8" s="75" t="s">
        <v>309</v>
      </c>
      <c r="D8" s="88" t="str">
        <f>'Stavební rozpočet'!G8</f>
        <v>08.06.2018</v>
      </c>
      <c r="E8" s="76"/>
      <c r="F8" s="88" t="s">
        <v>327</v>
      </c>
      <c r="G8" s="88" t="str">
        <f>'Stavební rozpočet'!J8</f>
        <v>V.Přibyl</v>
      </c>
      <c r="H8" s="87"/>
      <c r="I8" s="29"/>
    </row>
    <row r="9" spans="1:9" ht="12.75">
      <c r="A9" s="97"/>
      <c r="B9" s="92"/>
      <c r="C9" s="92"/>
      <c r="D9" s="92"/>
      <c r="E9" s="92"/>
      <c r="F9" s="92"/>
      <c r="G9" s="92"/>
      <c r="H9" s="93"/>
      <c r="I9" s="29"/>
    </row>
    <row r="10" spans="1:9" ht="12.75">
      <c r="A10" s="38" t="s">
        <v>102</v>
      </c>
      <c r="B10" s="39" t="s">
        <v>207</v>
      </c>
      <c r="C10" s="47" t="s">
        <v>368</v>
      </c>
      <c r="D10" s="47" t="s">
        <v>369</v>
      </c>
      <c r="E10" s="47" t="s">
        <v>370</v>
      </c>
      <c r="F10" s="98" t="s">
        <v>371</v>
      </c>
      <c r="G10" s="99"/>
      <c r="H10" s="100"/>
      <c r="I10" s="30"/>
    </row>
    <row r="11" spans="1:8" ht="11.25" customHeight="1">
      <c r="A11" s="50" t="s">
        <v>100</v>
      </c>
      <c r="B11" s="46"/>
      <c r="C11" s="46"/>
      <c r="D11" s="46"/>
      <c r="E11" s="46"/>
      <c r="F11" s="46"/>
      <c r="G11" s="46"/>
      <c r="H11" s="46"/>
    </row>
    <row r="12" spans="1:8" ht="12.75">
      <c r="A12" s="88"/>
      <c r="B12" s="76"/>
      <c r="C12" s="76"/>
      <c r="D12" s="76"/>
      <c r="E12" s="76"/>
      <c r="F12" s="76"/>
      <c r="G12" s="76"/>
      <c r="H12" s="76"/>
    </row>
  </sheetData>
  <sheetProtection/>
  <mergeCells count="27">
    <mergeCell ref="F8:F9"/>
    <mergeCell ref="G8:H9"/>
    <mergeCell ref="F10:H10"/>
    <mergeCell ref="A12:H12"/>
    <mergeCell ref="A8:A9"/>
    <mergeCell ref="B8:B9"/>
    <mergeCell ref="C8:C9"/>
    <mergeCell ref="D8:E9"/>
    <mergeCell ref="G4:H5"/>
    <mergeCell ref="A6:A7"/>
    <mergeCell ref="B6:B7"/>
    <mergeCell ref="C6:C7"/>
    <mergeCell ref="D6:E7"/>
    <mergeCell ref="F6:F7"/>
    <mergeCell ref="G6:H7"/>
    <mergeCell ref="A4:A5"/>
    <mergeCell ref="B4:B5"/>
    <mergeCell ref="C4:C5"/>
    <mergeCell ref="D4:E5"/>
    <mergeCell ref="A1:H1"/>
    <mergeCell ref="A2:A3"/>
    <mergeCell ref="B2:B3"/>
    <mergeCell ref="C2:C3"/>
    <mergeCell ref="D2:E3"/>
    <mergeCell ref="F2:F3"/>
    <mergeCell ref="G2:H3"/>
    <mergeCell ref="F4:F5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1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O1"/>
    </sheetView>
  </sheetViews>
  <sheetFormatPr defaultColWidth="11.57421875" defaultRowHeight="12.75"/>
  <cols>
    <col min="1" max="1" width="14.57421875" style="0" customWidth="1"/>
    <col min="2" max="2" width="10.421875" style="0" customWidth="1"/>
    <col min="3" max="3" width="14.57421875" style="0" customWidth="1"/>
    <col min="4" max="4" width="39.7109375" style="0" customWidth="1"/>
    <col min="5" max="5" width="16.140625" style="0" customWidth="1"/>
    <col min="6" max="6" width="23.28125" style="0" customWidth="1"/>
    <col min="7" max="7" width="21.28125" style="0" customWidth="1"/>
    <col min="8" max="8" width="19.57421875" style="0" customWidth="1"/>
    <col min="9" max="10" width="11.421875" style="0" customWidth="1"/>
    <col min="11" max="11" width="21.140625" style="0" customWidth="1"/>
    <col min="12" max="12" width="11.421875" style="0" customWidth="1"/>
    <col min="13" max="15" width="20.00390625" style="0" customWidth="1"/>
    <col min="16" max="30" width="11.57421875" style="0" customWidth="1"/>
    <col min="31" max="31" width="12.140625" style="0" hidden="1" customWidth="1"/>
  </cols>
  <sheetData>
    <row r="1" spans="1:15" ht="72.75" customHeight="1">
      <c r="A1" s="77" t="s">
        <v>372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6" ht="12.75">
      <c r="A2" s="79" t="s">
        <v>1</v>
      </c>
      <c r="B2" s="82" t="str">
        <f>'Stavební rozpočet'!D2</f>
        <v>Oddělení následné péče 1.etapa - východní křídlo</v>
      </c>
      <c r="C2" s="91"/>
      <c r="D2" s="91"/>
      <c r="E2" s="84" t="s">
        <v>306</v>
      </c>
      <c r="F2" s="85" t="str">
        <f>'Stavební rozpočet'!G2</f>
        <v> </v>
      </c>
      <c r="G2" s="85" t="s">
        <v>324</v>
      </c>
      <c r="H2" s="85" t="str">
        <f>'Stavební rozpočet'!J2</f>
        <v>Stodská nemocnice a.s.</v>
      </c>
      <c r="I2" s="80"/>
      <c r="J2" s="80"/>
      <c r="K2" s="80"/>
      <c r="L2" s="80"/>
      <c r="M2" s="80"/>
      <c r="N2" s="80"/>
      <c r="O2" s="86"/>
      <c r="P2" s="29"/>
    </row>
    <row r="3" spans="1:16" ht="12.75">
      <c r="A3" s="81"/>
      <c r="B3" s="83"/>
      <c r="C3" s="83"/>
      <c r="D3" s="83"/>
      <c r="E3" s="76"/>
      <c r="F3" s="76"/>
      <c r="G3" s="76"/>
      <c r="H3" s="76"/>
      <c r="I3" s="76"/>
      <c r="J3" s="76"/>
      <c r="K3" s="76"/>
      <c r="L3" s="76"/>
      <c r="M3" s="76"/>
      <c r="N3" s="76"/>
      <c r="O3" s="87"/>
      <c r="P3" s="29"/>
    </row>
    <row r="4" spans="1:16" ht="12.75">
      <c r="A4" s="89" t="s">
        <v>2</v>
      </c>
      <c r="B4" s="88" t="str">
        <f>'Stavební rozpočet'!D4</f>
        <v>Zdravotní instalace</v>
      </c>
      <c r="C4" s="76"/>
      <c r="D4" s="76"/>
      <c r="E4" s="75" t="s">
        <v>307</v>
      </c>
      <c r="F4" s="88" t="str">
        <f>'Stavební rozpočet'!G4</f>
        <v> </v>
      </c>
      <c r="G4" s="88" t="s">
        <v>325</v>
      </c>
      <c r="H4" s="88" t="str">
        <f>'Stavební rozpočet'!J4</f>
        <v>Ing.arch.V.Mastný</v>
      </c>
      <c r="I4" s="76"/>
      <c r="J4" s="76"/>
      <c r="K4" s="76"/>
      <c r="L4" s="76"/>
      <c r="M4" s="76"/>
      <c r="N4" s="76"/>
      <c r="O4" s="87"/>
      <c r="P4" s="29"/>
    </row>
    <row r="5" spans="1:16" ht="12.75">
      <c r="A5" s="81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87"/>
      <c r="P5" s="29"/>
    </row>
    <row r="6" spans="1:16" ht="12.75">
      <c r="A6" s="89" t="s">
        <v>3</v>
      </c>
      <c r="B6" s="88" t="str">
        <f>'Stavební rozpočet'!D6</f>
        <v>Stodská nemocnice</v>
      </c>
      <c r="C6" s="76"/>
      <c r="D6" s="76"/>
      <c r="E6" s="75" t="s">
        <v>308</v>
      </c>
      <c r="F6" s="88" t="str">
        <f>'Stavební rozpočet'!G6</f>
        <v> </v>
      </c>
      <c r="G6" s="88" t="s">
        <v>326</v>
      </c>
      <c r="H6" s="88" t="str">
        <f>'Stavební rozpočet'!J6</f>
        <v>V.Přibyl</v>
      </c>
      <c r="I6" s="76"/>
      <c r="J6" s="76"/>
      <c r="K6" s="76"/>
      <c r="L6" s="76"/>
      <c r="M6" s="76"/>
      <c r="N6" s="76"/>
      <c r="O6" s="87"/>
      <c r="P6" s="29"/>
    </row>
    <row r="7" spans="1:16" ht="12.75">
      <c r="A7" s="81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87"/>
      <c r="P7" s="29"/>
    </row>
    <row r="8" spans="1:16" ht="12.75">
      <c r="A8" s="89" t="s">
        <v>4</v>
      </c>
      <c r="B8" s="88" t="str">
        <f>'Stavební rozpočet'!D8</f>
        <v> </v>
      </c>
      <c r="C8" s="76"/>
      <c r="D8" s="76"/>
      <c r="E8" s="75" t="s">
        <v>309</v>
      </c>
      <c r="F8" s="88" t="str">
        <f>'Stavební rozpočet'!G8</f>
        <v>08.06.2018</v>
      </c>
      <c r="G8" s="88" t="s">
        <v>327</v>
      </c>
      <c r="H8" s="88" t="str">
        <f>'Stavební rozpočet'!J8</f>
        <v>V.Přibyl</v>
      </c>
      <c r="I8" s="76"/>
      <c r="J8" s="76"/>
      <c r="K8" s="76"/>
      <c r="L8" s="76"/>
      <c r="M8" s="76"/>
      <c r="N8" s="76"/>
      <c r="O8" s="87"/>
      <c r="P8" s="29"/>
    </row>
    <row r="9" spans="1:16" ht="12.75">
      <c r="A9" s="97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3"/>
      <c r="P9" s="29"/>
    </row>
    <row r="10" spans="1:16" ht="12.75">
      <c r="A10" s="51" t="s">
        <v>5</v>
      </c>
      <c r="B10" s="51" t="s">
        <v>101</v>
      </c>
      <c r="C10" s="38" t="s">
        <v>102</v>
      </c>
      <c r="D10" s="105" t="s">
        <v>207</v>
      </c>
      <c r="E10" s="106"/>
      <c r="F10" s="47" t="s">
        <v>373</v>
      </c>
      <c r="G10" s="47" t="s">
        <v>374</v>
      </c>
      <c r="H10" s="47" t="s">
        <v>375</v>
      </c>
      <c r="I10" s="47" t="s">
        <v>376</v>
      </c>
      <c r="J10" s="47" t="s">
        <v>317</v>
      </c>
      <c r="K10" s="47" t="s">
        <v>377</v>
      </c>
      <c r="L10" s="52" t="s">
        <v>378</v>
      </c>
      <c r="M10" s="54" t="s">
        <v>379</v>
      </c>
      <c r="N10" s="47" t="s">
        <v>380</v>
      </c>
      <c r="O10" s="52" t="s">
        <v>381</v>
      </c>
      <c r="P10" s="30"/>
    </row>
    <row r="11" spans="1:31" ht="12.75">
      <c r="A11" s="11"/>
      <c r="B11" s="11"/>
      <c r="C11" s="11" t="s">
        <v>103</v>
      </c>
      <c r="D11" s="107" t="s">
        <v>209</v>
      </c>
      <c r="E11" s="108"/>
      <c r="F11" s="33">
        <f>SUM(F12:F12)</f>
        <v>0</v>
      </c>
      <c r="G11" s="33">
        <f>SUM(G12:G12)</f>
        <v>0</v>
      </c>
      <c r="H11" s="33">
        <f aca="true" t="shared" si="0" ref="H11:H42">G11-F11</f>
        <v>0</v>
      </c>
      <c r="I11" s="33">
        <f aca="true" t="shared" si="1" ref="I11:I42">IF(F11=0,0,H11/F11*100)</f>
        <v>0</v>
      </c>
      <c r="J11" s="33">
        <f>SUM(J12:J12)</f>
        <v>52</v>
      </c>
      <c r="K11" s="33">
        <f>SUM(K12:K12)</f>
        <v>0</v>
      </c>
      <c r="L11" s="55">
        <f>J11-K11</f>
        <v>52</v>
      </c>
      <c r="M11" s="57" t="str">
        <f aca="true" t="shared" si="2" ref="M11:M42">IF(G11=0,"Nefakturováno",AE11)</f>
        <v>Nefakturováno</v>
      </c>
      <c r="N11" s="33">
        <f aca="true" t="shared" si="3" ref="N11:N42">AE11-G11</f>
        <v>0</v>
      </c>
      <c r="O11" s="33">
        <f aca="true" t="shared" si="4" ref="O11:O42">IF(G11&lt;&gt;0,N11/G11*100,-100)</f>
        <v>-100</v>
      </c>
      <c r="AE11" s="31">
        <v>0</v>
      </c>
    </row>
    <row r="12" spans="1:31" ht="12.75">
      <c r="A12" s="4" t="s">
        <v>7</v>
      </c>
      <c r="B12" s="4"/>
      <c r="C12" s="4" t="s">
        <v>104</v>
      </c>
      <c r="D12" s="101" t="s">
        <v>210</v>
      </c>
      <c r="E12" s="102"/>
      <c r="F12" s="16">
        <f>'Stavební rozpočet'!J13</f>
        <v>0</v>
      </c>
      <c r="G12" s="16">
        <v>0</v>
      </c>
      <c r="H12" s="16">
        <f t="shared" si="0"/>
        <v>0</v>
      </c>
      <c r="I12" s="16">
        <f t="shared" si="1"/>
        <v>0</v>
      </c>
      <c r="J12" s="16">
        <f>'Stavební rozpočet'!F13</f>
        <v>52</v>
      </c>
      <c r="K12" s="16">
        <v>0</v>
      </c>
      <c r="L12" s="53">
        <v>52</v>
      </c>
      <c r="M12" s="58" t="str">
        <f t="shared" si="2"/>
        <v>Nefakturováno</v>
      </c>
      <c r="N12" s="16">
        <f t="shared" si="3"/>
        <v>0</v>
      </c>
      <c r="O12" s="16">
        <f t="shared" si="4"/>
        <v>-100</v>
      </c>
      <c r="AE12" s="16">
        <v>0</v>
      </c>
    </row>
    <row r="13" spans="1:31" ht="12.75">
      <c r="A13" s="12"/>
      <c r="B13" s="12"/>
      <c r="C13" s="12" t="s">
        <v>105</v>
      </c>
      <c r="D13" s="103" t="s">
        <v>211</v>
      </c>
      <c r="E13" s="104"/>
      <c r="F13" s="34">
        <f>SUM(F14:F37)</f>
        <v>0</v>
      </c>
      <c r="G13" s="34">
        <f>SUM(G14:G37)</f>
        <v>0</v>
      </c>
      <c r="H13" s="34">
        <f t="shared" si="0"/>
        <v>0</v>
      </c>
      <c r="I13" s="34">
        <f t="shared" si="1"/>
        <v>0</v>
      </c>
      <c r="J13" s="34">
        <f>SUM(J14:J37)</f>
        <v>1394</v>
      </c>
      <c r="K13" s="34">
        <f>SUM(K14:K37)</f>
        <v>0</v>
      </c>
      <c r="L13" s="56">
        <f>J13-K13</f>
        <v>1394</v>
      </c>
      <c r="M13" s="59" t="str">
        <f t="shared" si="2"/>
        <v>Nefakturováno</v>
      </c>
      <c r="N13" s="34">
        <f t="shared" si="3"/>
        <v>0</v>
      </c>
      <c r="O13" s="34">
        <f t="shared" si="4"/>
        <v>-100</v>
      </c>
      <c r="AE13" s="16">
        <v>0</v>
      </c>
    </row>
    <row r="14" spans="1:31" ht="12.75">
      <c r="A14" s="4" t="s">
        <v>8</v>
      </c>
      <c r="B14" s="4"/>
      <c r="C14" s="4" t="s">
        <v>106</v>
      </c>
      <c r="D14" s="101" t="s">
        <v>212</v>
      </c>
      <c r="E14" s="102"/>
      <c r="F14" s="16">
        <f>'Stavební rozpočet'!J15</f>
        <v>0</v>
      </c>
      <c r="G14" s="16">
        <v>0</v>
      </c>
      <c r="H14" s="16">
        <f t="shared" si="0"/>
        <v>0</v>
      </c>
      <c r="I14" s="16">
        <f t="shared" si="1"/>
        <v>0</v>
      </c>
      <c r="J14" s="16">
        <f>'Stavební rozpočet'!F15</f>
        <v>1</v>
      </c>
      <c r="K14" s="16">
        <v>0</v>
      </c>
      <c r="L14" s="53">
        <v>1</v>
      </c>
      <c r="M14" s="58" t="str">
        <f t="shared" si="2"/>
        <v>Nefakturováno</v>
      </c>
      <c r="N14" s="16">
        <f t="shared" si="3"/>
        <v>0</v>
      </c>
      <c r="O14" s="16">
        <f t="shared" si="4"/>
        <v>-100</v>
      </c>
      <c r="AE14" s="16">
        <v>0</v>
      </c>
    </row>
    <row r="15" spans="1:31" ht="12.75">
      <c r="A15" s="4" t="s">
        <v>9</v>
      </c>
      <c r="B15" s="4"/>
      <c r="C15" s="4" t="s">
        <v>107</v>
      </c>
      <c r="D15" s="101" t="s">
        <v>213</v>
      </c>
      <c r="E15" s="102"/>
      <c r="F15" s="16">
        <f>'Stavební rozpočet'!J16</f>
        <v>0</v>
      </c>
      <c r="G15" s="16">
        <v>0</v>
      </c>
      <c r="H15" s="16">
        <f t="shared" si="0"/>
        <v>0</v>
      </c>
      <c r="I15" s="16">
        <f t="shared" si="1"/>
        <v>0</v>
      </c>
      <c r="J15" s="16">
        <f>'Stavební rozpočet'!F16</f>
        <v>100</v>
      </c>
      <c r="K15" s="16">
        <v>0</v>
      </c>
      <c r="L15" s="53">
        <v>100</v>
      </c>
      <c r="M15" s="58" t="str">
        <f t="shared" si="2"/>
        <v>Nefakturováno</v>
      </c>
      <c r="N15" s="16">
        <f t="shared" si="3"/>
        <v>0</v>
      </c>
      <c r="O15" s="16">
        <f t="shared" si="4"/>
        <v>-100</v>
      </c>
      <c r="AE15" s="16">
        <v>0</v>
      </c>
    </row>
    <row r="16" spans="1:31" ht="12.75">
      <c r="A16" s="4" t="s">
        <v>10</v>
      </c>
      <c r="B16" s="4"/>
      <c r="C16" s="4" t="s">
        <v>108</v>
      </c>
      <c r="D16" s="101" t="s">
        <v>214</v>
      </c>
      <c r="E16" s="102"/>
      <c r="F16" s="16">
        <f>'Stavební rozpočet'!J17</f>
        <v>0</v>
      </c>
      <c r="G16" s="16">
        <v>0</v>
      </c>
      <c r="H16" s="16">
        <f t="shared" si="0"/>
        <v>0</v>
      </c>
      <c r="I16" s="16">
        <f t="shared" si="1"/>
        <v>0</v>
      </c>
      <c r="J16" s="16">
        <f>'Stavební rozpočet'!F17</f>
        <v>30</v>
      </c>
      <c r="K16" s="16">
        <v>0</v>
      </c>
      <c r="L16" s="53">
        <v>30</v>
      </c>
      <c r="M16" s="58" t="str">
        <f t="shared" si="2"/>
        <v>Nefakturováno</v>
      </c>
      <c r="N16" s="16">
        <f t="shared" si="3"/>
        <v>0</v>
      </c>
      <c r="O16" s="16">
        <f t="shared" si="4"/>
        <v>-100</v>
      </c>
      <c r="AE16" s="16">
        <v>0</v>
      </c>
    </row>
    <row r="17" spans="1:31" ht="12.75">
      <c r="A17" s="4" t="s">
        <v>11</v>
      </c>
      <c r="B17" s="4"/>
      <c r="C17" s="4" t="s">
        <v>109</v>
      </c>
      <c r="D17" s="101" t="s">
        <v>215</v>
      </c>
      <c r="E17" s="102"/>
      <c r="F17" s="16">
        <f>'Stavební rozpočet'!J18</f>
        <v>0</v>
      </c>
      <c r="G17" s="16">
        <v>0</v>
      </c>
      <c r="H17" s="16">
        <f t="shared" si="0"/>
        <v>0</v>
      </c>
      <c r="I17" s="16">
        <f t="shared" si="1"/>
        <v>0</v>
      </c>
      <c r="J17" s="16">
        <f>'Stavební rozpočet'!F18</f>
        <v>34</v>
      </c>
      <c r="K17" s="16">
        <v>0</v>
      </c>
      <c r="L17" s="53">
        <v>34</v>
      </c>
      <c r="M17" s="58" t="str">
        <f t="shared" si="2"/>
        <v>Nefakturováno</v>
      </c>
      <c r="N17" s="16">
        <f t="shared" si="3"/>
        <v>0</v>
      </c>
      <c r="O17" s="16">
        <f t="shared" si="4"/>
        <v>-100</v>
      </c>
      <c r="AE17" s="16">
        <v>0</v>
      </c>
    </row>
    <row r="18" spans="1:31" ht="12.75">
      <c r="A18" s="4" t="s">
        <v>12</v>
      </c>
      <c r="B18" s="4"/>
      <c r="C18" s="4" t="s">
        <v>110</v>
      </c>
      <c r="D18" s="101" t="s">
        <v>216</v>
      </c>
      <c r="E18" s="102"/>
      <c r="F18" s="16">
        <f>'Stavební rozpočet'!J19</f>
        <v>0</v>
      </c>
      <c r="G18" s="16">
        <v>0</v>
      </c>
      <c r="H18" s="16">
        <f t="shared" si="0"/>
        <v>0</v>
      </c>
      <c r="I18" s="16">
        <f t="shared" si="1"/>
        <v>0</v>
      </c>
      <c r="J18" s="16">
        <f>'Stavební rozpočet'!F19</f>
        <v>1</v>
      </c>
      <c r="K18" s="16">
        <v>0</v>
      </c>
      <c r="L18" s="53">
        <v>1</v>
      </c>
      <c r="M18" s="58" t="str">
        <f t="shared" si="2"/>
        <v>Nefakturováno</v>
      </c>
      <c r="N18" s="16">
        <f t="shared" si="3"/>
        <v>0</v>
      </c>
      <c r="O18" s="16">
        <f t="shared" si="4"/>
        <v>-100</v>
      </c>
      <c r="AE18" s="16">
        <v>0</v>
      </c>
    </row>
    <row r="19" spans="1:31" ht="12.75">
      <c r="A19" s="4" t="s">
        <v>13</v>
      </c>
      <c r="B19" s="4"/>
      <c r="C19" s="4" t="s">
        <v>111</v>
      </c>
      <c r="D19" s="101" t="s">
        <v>217</v>
      </c>
      <c r="E19" s="102"/>
      <c r="F19" s="16">
        <f>'Stavební rozpočet'!J20</f>
        <v>0</v>
      </c>
      <c r="G19" s="16">
        <v>0</v>
      </c>
      <c r="H19" s="16">
        <f t="shared" si="0"/>
        <v>0</v>
      </c>
      <c r="I19" s="16">
        <f t="shared" si="1"/>
        <v>0</v>
      </c>
      <c r="J19" s="16">
        <f>'Stavební rozpočet'!F20</f>
        <v>34</v>
      </c>
      <c r="K19" s="16">
        <v>0</v>
      </c>
      <c r="L19" s="53">
        <v>34</v>
      </c>
      <c r="M19" s="58" t="str">
        <f t="shared" si="2"/>
        <v>Nefakturováno</v>
      </c>
      <c r="N19" s="16">
        <f t="shared" si="3"/>
        <v>0</v>
      </c>
      <c r="O19" s="16">
        <f t="shared" si="4"/>
        <v>-100</v>
      </c>
      <c r="AE19" s="16">
        <v>0</v>
      </c>
    </row>
    <row r="20" spans="1:31" ht="12.75">
      <c r="A20" s="4" t="s">
        <v>14</v>
      </c>
      <c r="B20" s="4"/>
      <c r="C20" s="4" t="s">
        <v>112</v>
      </c>
      <c r="D20" s="101" t="s">
        <v>218</v>
      </c>
      <c r="E20" s="102"/>
      <c r="F20" s="16">
        <f>'Stavební rozpočet'!J21</f>
        <v>0</v>
      </c>
      <c r="G20" s="16">
        <v>0</v>
      </c>
      <c r="H20" s="16">
        <f t="shared" si="0"/>
        <v>0</v>
      </c>
      <c r="I20" s="16">
        <f t="shared" si="1"/>
        <v>0</v>
      </c>
      <c r="J20" s="16">
        <f>'Stavební rozpočet'!F21</f>
        <v>34</v>
      </c>
      <c r="K20" s="16">
        <v>0</v>
      </c>
      <c r="L20" s="53">
        <v>34</v>
      </c>
      <c r="M20" s="58" t="str">
        <f t="shared" si="2"/>
        <v>Nefakturováno</v>
      </c>
      <c r="N20" s="16">
        <f t="shared" si="3"/>
        <v>0</v>
      </c>
      <c r="O20" s="16">
        <f t="shared" si="4"/>
        <v>-100</v>
      </c>
      <c r="AE20" s="16">
        <v>0</v>
      </c>
    </row>
    <row r="21" spans="1:31" ht="12.75">
      <c r="A21" s="4" t="s">
        <v>15</v>
      </c>
      <c r="B21" s="4"/>
      <c r="C21" s="4" t="s">
        <v>113</v>
      </c>
      <c r="D21" s="101" t="s">
        <v>219</v>
      </c>
      <c r="E21" s="102"/>
      <c r="F21" s="16">
        <f>'Stavební rozpočet'!J22</f>
        <v>0</v>
      </c>
      <c r="G21" s="16">
        <v>0</v>
      </c>
      <c r="H21" s="16">
        <f t="shared" si="0"/>
        <v>0</v>
      </c>
      <c r="I21" s="16">
        <f t="shared" si="1"/>
        <v>0</v>
      </c>
      <c r="J21" s="16">
        <f>'Stavební rozpočet'!F22</f>
        <v>83</v>
      </c>
      <c r="K21" s="16">
        <v>0</v>
      </c>
      <c r="L21" s="53">
        <v>83</v>
      </c>
      <c r="M21" s="58" t="str">
        <f t="shared" si="2"/>
        <v>Nefakturováno</v>
      </c>
      <c r="N21" s="16">
        <f t="shared" si="3"/>
        <v>0</v>
      </c>
      <c r="O21" s="16">
        <f t="shared" si="4"/>
        <v>-100</v>
      </c>
      <c r="AE21" s="16">
        <v>0</v>
      </c>
    </row>
    <row r="22" spans="1:31" ht="12.75">
      <c r="A22" s="4" t="s">
        <v>16</v>
      </c>
      <c r="B22" s="4"/>
      <c r="C22" s="4" t="s">
        <v>114</v>
      </c>
      <c r="D22" s="101" t="s">
        <v>220</v>
      </c>
      <c r="E22" s="102"/>
      <c r="F22" s="16">
        <f>'Stavební rozpočet'!J23</f>
        <v>0</v>
      </c>
      <c r="G22" s="16">
        <v>0</v>
      </c>
      <c r="H22" s="16">
        <f t="shared" si="0"/>
        <v>0</v>
      </c>
      <c r="I22" s="16">
        <f t="shared" si="1"/>
        <v>0</v>
      </c>
      <c r="J22" s="16">
        <f>'Stavební rozpočet'!F23</f>
        <v>6</v>
      </c>
      <c r="K22" s="16">
        <v>0</v>
      </c>
      <c r="L22" s="53">
        <v>6</v>
      </c>
      <c r="M22" s="58" t="str">
        <f t="shared" si="2"/>
        <v>Nefakturováno</v>
      </c>
      <c r="N22" s="16">
        <f t="shared" si="3"/>
        <v>0</v>
      </c>
      <c r="O22" s="16">
        <f t="shared" si="4"/>
        <v>-100</v>
      </c>
      <c r="AE22" s="16">
        <v>0</v>
      </c>
    </row>
    <row r="23" spans="1:31" ht="12.75">
      <c r="A23" s="4" t="s">
        <v>17</v>
      </c>
      <c r="B23" s="4"/>
      <c r="C23" s="4" t="s">
        <v>115</v>
      </c>
      <c r="D23" s="101" t="s">
        <v>221</v>
      </c>
      <c r="E23" s="102"/>
      <c r="F23" s="16">
        <f>'Stavební rozpočet'!J24</f>
        <v>0</v>
      </c>
      <c r="G23" s="16">
        <v>0</v>
      </c>
      <c r="H23" s="16">
        <f t="shared" si="0"/>
        <v>0</v>
      </c>
      <c r="I23" s="16">
        <f t="shared" si="1"/>
        <v>0</v>
      </c>
      <c r="J23" s="16">
        <f>'Stavební rozpočet'!F24</f>
        <v>210</v>
      </c>
      <c r="K23" s="16">
        <v>0</v>
      </c>
      <c r="L23" s="53">
        <v>210</v>
      </c>
      <c r="M23" s="58" t="str">
        <f t="shared" si="2"/>
        <v>Nefakturováno</v>
      </c>
      <c r="N23" s="16">
        <f t="shared" si="3"/>
        <v>0</v>
      </c>
      <c r="O23" s="16">
        <f t="shared" si="4"/>
        <v>-100</v>
      </c>
      <c r="AE23" s="16">
        <v>0</v>
      </c>
    </row>
    <row r="24" spans="1:31" ht="12.75">
      <c r="A24" s="4" t="s">
        <v>18</v>
      </c>
      <c r="B24" s="4"/>
      <c r="C24" s="4" t="s">
        <v>116</v>
      </c>
      <c r="D24" s="101" t="s">
        <v>222</v>
      </c>
      <c r="E24" s="102"/>
      <c r="F24" s="16">
        <f>'Stavební rozpočet'!J25</f>
        <v>0</v>
      </c>
      <c r="G24" s="16">
        <v>0</v>
      </c>
      <c r="H24" s="16">
        <f t="shared" si="0"/>
        <v>0</v>
      </c>
      <c r="I24" s="16">
        <f t="shared" si="1"/>
        <v>0</v>
      </c>
      <c r="J24" s="16">
        <f>'Stavební rozpočet'!F25</f>
        <v>35</v>
      </c>
      <c r="K24" s="16">
        <v>0</v>
      </c>
      <c r="L24" s="53">
        <v>35</v>
      </c>
      <c r="M24" s="58" t="str">
        <f t="shared" si="2"/>
        <v>Nefakturováno</v>
      </c>
      <c r="N24" s="16">
        <f t="shared" si="3"/>
        <v>0</v>
      </c>
      <c r="O24" s="16">
        <f t="shared" si="4"/>
        <v>-100</v>
      </c>
      <c r="AE24" s="16">
        <v>0</v>
      </c>
    </row>
    <row r="25" spans="1:31" ht="12.75">
      <c r="A25" s="4" t="s">
        <v>19</v>
      </c>
      <c r="B25" s="4"/>
      <c r="C25" s="4" t="s">
        <v>117</v>
      </c>
      <c r="D25" s="101" t="s">
        <v>223</v>
      </c>
      <c r="E25" s="102"/>
      <c r="F25" s="16">
        <f>'Stavební rozpočet'!J26</f>
        <v>0</v>
      </c>
      <c r="G25" s="16">
        <v>0</v>
      </c>
      <c r="H25" s="16">
        <f t="shared" si="0"/>
        <v>0</v>
      </c>
      <c r="I25" s="16">
        <f t="shared" si="1"/>
        <v>0</v>
      </c>
      <c r="J25" s="16">
        <f>'Stavební rozpočet'!F26</f>
        <v>2</v>
      </c>
      <c r="K25" s="16">
        <v>0</v>
      </c>
      <c r="L25" s="53">
        <v>2</v>
      </c>
      <c r="M25" s="58" t="str">
        <f t="shared" si="2"/>
        <v>Nefakturováno</v>
      </c>
      <c r="N25" s="16">
        <f t="shared" si="3"/>
        <v>0</v>
      </c>
      <c r="O25" s="16">
        <f t="shared" si="4"/>
        <v>-100</v>
      </c>
      <c r="AE25" s="16">
        <v>0</v>
      </c>
    </row>
    <row r="26" spans="1:31" ht="12.75">
      <c r="A26" s="4" t="s">
        <v>20</v>
      </c>
      <c r="B26" s="4"/>
      <c r="C26" s="4" t="s">
        <v>118</v>
      </c>
      <c r="D26" s="101" t="s">
        <v>224</v>
      </c>
      <c r="E26" s="102"/>
      <c r="F26" s="16">
        <f>'Stavební rozpočet'!J27</f>
        <v>0</v>
      </c>
      <c r="G26" s="16">
        <v>0</v>
      </c>
      <c r="H26" s="16">
        <f t="shared" si="0"/>
        <v>0</v>
      </c>
      <c r="I26" s="16">
        <f t="shared" si="1"/>
        <v>0</v>
      </c>
      <c r="J26" s="16">
        <f>'Stavební rozpočet'!F27</f>
        <v>19</v>
      </c>
      <c r="K26" s="16">
        <v>0</v>
      </c>
      <c r="L26" s="53">
        <v>19</v>
      </c>
      <c r="M26" s="58" t="str">
        <f t="shared" si="2"/>
        <v>Nefakturováno</v>
      </c>
      <c r="N26" s="16">
        <f t="shared" si="3"/>
        <v>0</v>
      </c>
      <c r="O26" s="16">
        <f t="shared" si="4"/>
        <v>-100</v>
      </c>
      <c r="AE26" s="16">
        <v>0</v>
      </c>
    </row>
    <row r="27" spans="1:31" ht="12.75">
      <c r="A27" s="4" t="s">
        <v>21</v>
      </c>
      <c r="B27" s="4"/>
      <c r="C27" s="4" t="s">
        <v>119</v>
      </c>
      <c r="D27" s="101" t="s">
        <v>225</v>
      </c>
      <c r="E27" s="102"/>
      <c r="F27" s="16">
        <f>'Stavební rozpočet'!J28</f>
        <v>0</v>
      </c>
      <c r="G27" s="16">
        <v>0</v>
      </c>
      <c r="H27" s="16">
        <f t="shared" si="0"/>
        <v>0</v>
      </c>
      <c r="I27" s="16">
        <f t="shared" si="1"/>
        <v>0</v>
      </c>
      <c r="J27" s="16">
        <f>'Stavební rozpočet'!F28</f>
        <v>7</v>
      </c>
      <c r="K27" s="16">
        <v>0</v>
      </c>
      <c r="L27" s="53">
        <v>7</v>
      </c>
      <c r="M27" s="58" t="str">
        <f t="shared" si="2"/>
        <v>Nefakturováno</v>
      </c>
      <c r="N27" s="16">
        <f t="shared" si="3"/>
        <v>0</v>
      </c>
      <c r="O27" s="16">
        <f t="shared" si="4"/>
        <v>-100</v>
      </c>
      <c r="AE27" s="16">
        <v>0</v>
      </c>
    </row>
    <row r="28" spans="1:31" ht="12.75">
      <c r="A28" s="4" t="s">
        <v>22</v>
      </c>
      <c r="B28" s="4"/>
      <c r="C28" s="4" t="s">
        <v>120</v>
      </c>
      <c r="D28" s="101" t="s">
        <v>226</v>
      </c>
      <c r="E28" s="102"/>
      <c r="F28" s="16">
        <f>'Stavební rozpočet'!J29</f>
        <v>0</v>
      </c>
      <c r="G28" s="16">
        <v>0</v>
      </c>
      <c r="H28" s="16">
        <f t="shared" si="0"/>
        <v>0</v>
      </c>
      <c r="I28" s="16">
        <f t="shared" si="1"/>
        <v>0</v>
      </c>
      <c r="J28" s="16">
        <f>'Stavební rozpočet'!F29</f>
        <v>4</v>
      </c>
      <c r="K28" s="16">
        <v>0</v>
      </c>
      <c r="L28" s="53">
        <v>4</v>
      </c>
      <c r="M28" s="58" t="str">
        <f t="shared" si="2"/>
        <v>Nefakturováno</v>
      </c>
      <c r="N28" s="16">
        <f t="shared" si="3"/>
        <v>0</v>
      </c>
      <c r="O28" s="16">
        <f t="shared" si="4"/>
        <v>-100</v>
      </c>
      <c r="AE28" s="16">
        <v>0</v>
      </c>
    </row>
    <row r="29" spans="1:31" ht="12.75">
      <c r="A29" s="4" t="s">
        <v>23</v>
      </c>
      <c r="B29" s="4"/>
      <c r="C29" s="4" t="s">
        <v>121</v>
      </c>
      <c r="D29" s="101" t="s">
        <v>227</v>
      </c>
      <c r="E29" s="102"/>
      <c r="F29" s="16">
        <f>'Stavební rozpočet'!J30</f>
        <v>0</v>
      </c>
      <c r="G29" s="16">
        <v>0</v>
      </c>
      <c r="H29" s="16">
        <f t="shared" si="0"/>
        <v>0</v>
      </c>
      <c r="I29" s="16">
        <f t="shared" si="1"/>
        <v>0</v>
      </c>
      <c r="J29" s="16">
        <f>'Stavební rozpočet'!F30</f>
        <v>3</v>
      </c>
      <c r="K29" s="16">
        <v>0</v>
      </c>
      <c r="L29" s="53">
        <v>3</v>
      </c>
      <c r="M29" s="58" t="str">
        <f t="shared" si="2"/>
        <v>Nefakturováno</v>
      </c>
      <c r="N29" s="16">
        <f t="shared" si="3"/>
        <v>0</v>
      </c>
      <c r="O29" s="16">
        <f t="shared" si="4"/>
        <v>-100</v>
      </c>
      <c r="AE29" s="16">
        <v>0</v>
      </c>
    </row>
    <row r="30" spans="1:31" ht="12.75">
      <c r="A30" s="4" t="s">
        <v>24</v>
      </c>
      <c r="B30" s="4"/>
      <c r="C30" s="4" t="s">
        <v>122</v>
      </c>
      <c r="D30" s="101" t="s">
        <v>228</v>
      </c>
      <c r="E30" s="102"/>
      <c r="F30" s="16">
        <f>'Stavební rozpočet'!J31</f>
        <v>0</v>
      </c>
      <c r="G30" s="16">
        <v>0</v>
      </c>
      <c r="H30" s="16">
        <f t="shared" si="0"/>
        <v>0</v>
      </c>
      <c r="I30" s="16">
        <f t="shared" si="1"/>
        <v>0</v>
      </c>
      <c r="J30" s="16">
        <f>'Stavební rozpočet'!F31</f>
        <v>1</v>
      </c>
      <c r="K30" s="16">
        <v>0</v>
      </c>
      <c r="L30" s="53">
        <v>1</v>
      </c>
      <c r="M30" s="58" t="str">
        <f t="shared" si="2"/>
        <v>Nefakturováno</v>
      </c>
      <c r="N30" s="16">
        <f t="shared" si="3"/>
        <v>0</v>
      </c>
      <c r="O30" s="16">
        <f t="shared" si="4"/>
        <v>-100</v>
      </c>
      <c r="AE30" s="16">
        <v>0</v>
      </c>
    </row>
    <row r="31" spans="1:31" ht="12.75">
      <c r="A31" s="4" t="s">
        <v>25</v>
      </c>
      <c r="B31" s="4"/>
      <c r="C31" s="4" t="s">
        <v>123</v>
      </c>
      <c r="D31" s="101" t="s">
        <v>229</v>
      </c>
      <c r="E31" s="102"/>
      <c r="F31" s="16">
        <f>'Stavební rozpočet'!J32</f>
        <v>0</v>
      </c>
      <c r="G31" s="16">
        <v>0</v>
      </c>
      <c r="H31" s="16">
        <f t="shared" si="0"/>
        <v>0</v>
      </c>
      <c r="I31" s="16">
        <f t="shared" si="1"/>
        <v>0</v>
      </c>
      <c r="J31" s="16">
        <f>'Stavební rozpočet'!F32</f>
        <v>8</v>
      </c>
      <c r="K31" s="16">
        <v>0</v>
      </c>
      <c r="L31" s="53">
        <v>8</v>
      </c>
      <c r="M31" s="58" t="str">
        <f t="shared" si="2"/>
        <v>Nefakturováno</v>
      </c>
      <c r="N31" s="16">
        <f t="shared" si="3"/>
        <v>0</v>
      </c>
      <c r="O31" s="16">
        <f t="shared" si="4"/>
        <v>-100</v>
      </c>
      <c r="AE31" s="16">
        <v>0</v>
      </c>
    </row>
    <row r="32" spans="1:31" ht="12.75">
      <c r="A32" s="4" t="s">
        <v>26</v>
      </c>
      <c r="B32" s="4"/>
      <c r="C32" s="4" t="s">
        <v>124</v>
      </c>
      <c r="D32" s="101" t="s">
        <v>230</v>
      </c>
      <c r="E32" s="102"/>
      <c r="F32" s="16">
        <f>'Stavební rozpočet'!J33</f>
        <v>0</v>
      </c>
      <c r="G32" s="16">
        <v>0</v>
      </c>
      <c r="H32" s="16">
        <f t="shared" si="0"/>
        <v>0</v>
      </c>
      <c r="I32" s="16">
        <f t="shared" si="1"/>
        <v>0</v>
      </c>
      <c r="J32" s="16">
        <f>'Stavební rozpočet'!F33</f>
        <v>2</v>
      </c>
      <c r="K32" s="16">
        <v>0</v>
      </c>
      <c r="L32" s="53">
        <v>2</v>
      </c>
      <c r="M32" s="58" t="str">
        <f t="shared" si="2"/>
        <v>Nefakturováno</v>
      </c>
      <c r="N32" s="16">
        <f t="shared" si="3"/>
        <v>0</v>
      </c>
      <c r="O32" s="16">
        <f t="shared" si="4"/>
        <v>-100</v>
      </c>
      <c r="AE32" s="16">
        <v>0</v>
      </c>
    </row>
    <row r="33" spans="1:31" ht="12.75">
      <c r="A33" s="4" t="s">
        <v>27</v>
      </c>
      <c r="B33" s="4"/>
      <c r="C33" s="4" t="s">
        <v>125</v>
      </c>
      <c r="D33" s="101" t="s">
        <v>231</v>
      </c>
      <c r="E33" s="102"/>
      <c r="F33" s="16">
        <f>'Stavební rozpočet'!J34</f>
        <v>0</v>
      </c>
      <c r="G33" s="16">
        <v>0</v>
      </c>
      <c r="H33" s="16">
        <f t="shared" si="0"/>
        <v>0</v>
      </c>
      <c r="I33" s="16">
        <f t="shared" si="1"/>
        <v>0</v>
      </c>
      <c r="J33" s="16">
        <f>'Stavební rozpočet'!F34</f>
        <v>368</v>
      </c>
      <c r="K33" s="16">
        <v>0</v>
      </c>
      <c r="L33" s="53">
        <v>368</v>
      </c>
      <c r="M33" s="58" t="str">
        <f t="shared" si="2"/>
        <v>Nefakturováno</v>
      </c>
      <c r="N33" s="16">
        <f t="shared" si="3"/>
        <v>0</v>
      </c>
      <c r="O33" s="16">
        <f t="shared" si="4"/>
        <v>-100</v>
      </c>
      <c r="AE33" s="16">
        <v>0</v>
      </c>
    </row>
    <row r="34" spans="1:31" ht="12.75">
      <c r="A34" s="4" t="s">
        <v>28</v>
      </c>
      <c r="B34" s="4"/>
      <c r="C34" s="4" t="s">
        <v>126</v>
      </c>
      <c r="D34" s="101" t="s">
        <v>232</v>
      </c>
      <c r="E34" s="102"/>
      <c r="F34" s="16">
        <f>'Stavební rozpočet'!J35</f>
        <v>0</v>
      </c>
      <c r="G34" s="16">
        <v>0</v>
      </c>
      <c r="H34" s="16">
        <f t="shared" si="0"/>
        <v>0</v>
      </c>
      <c r="I34" s="16">
        <f t="shared" si="1"/>
        <v>0</v>
      </c>
      <c r="J34" s="16">
        <f>'Stavební rozpočet'!F35</f>
        <v>50</v>
      </c>
      <c r="K34" s="16">
        <v>0</v>
      </c>
      <c r="L34" s="53">
        <v>50</v>
      </c>
      <c r="M34" s="58" t="str">
        <f t="shared" si="2"/>
        <v>Nefakturováno</v>
      </c>
      <c r="N34" s="16">
        <f t="shared" si="3"/>
        <v>0</v>
      </c>
      <c r="O34" s="16">
        <f t="shared" si="4"/>
        <v>-100</v>
      </c>
      <c r="AE34" s="16">
        <v>0</v>
      </c>
    </row>
    <row r="35" spans="1:31" ht="12.75">
      <c r="A35" s="4" t="s">
        <v>29</v>
      </c>
      <c r="B35" s="4"/>
      <c r="C35" s="4" t="s">
        <v>127</v>
      </c>
      <c r="D35" s="101" t="s">
        <v>233</v>
      </c>
      <c r="E35" s="102"/>
      <c r="F35" s="16">
        <f>'Stavební rozpočet'!J36</f>
        <v>0</v>
      </c>
      <c r="G35" s="16">
        <v>0</v>
      </c>
      <c r="H35" s="16">
        <f t="shared" si="0"/>
        <v>0</v>
      </c>
      <c r="I35" s="16">
        <f t="shared" si="1"/>
        <v>0</v>
      </c>
      <c r="J35" s="16">
        <f>'Stavební rozpočet'!F36</f>
        <v>60</v>
      </c>
      <c r="K35" s="16">
        <v>0</v>
      </c>
      <c r="L35" s="53">
        <v>60</v>
      </c>
      <c r="M35" s="58" t="str">
        <f t="shared" si="2"/>
        <v>Nefakturováno</v>
      </c>
      <c r="N35" s="16">
        <f t="shared" si="3"/>
        <v>0</v>
      </c>
      <c r="O35" s="16">
        <f t="shared" si="4"/>
        <v>-100</v>
      </c>
      <c r="AE35" s="16">
        <v>0</v>
      </c>
    </row>
    <row r="36" spans="1:31" ht="12.75">
      <c r="A36" s="4" t="s">
        <v>30</v>
      </c>
      <c r="B36" s="4"/>
      <c r="C36" s="4" t="s">
        <v>128</v>
      </c>
      <c r="D36" s="101" t="s">
        <v>234</v>
      </c>
      <c r="E36" s="102"/>
      <c r="F36" s="16">
        <f>'Stavební rozpočet'!J37</f>
        <v>0</v>
      </c>
      <c r="G36" s="16">
        <v>0</v>
      </c>
      <c r="H36" s="16">
        <f t="shared" si="0"/>
        <v>0</v>
      </c>
      <c r="I36" s="16">
        <f t="shared" si="1"/>
        <v>0</v>
      </c>
      <c r="J36" s="16">
        <f>'Stavební rozpočet'!F37</f>
        <v>2</v>
      </c>
      <c r="K36" s="16">
        <v>0</v>
      </c>
      <c r="L36" s="53">
        <v>2</v>
      </c>
      <c r="M36" s="58" t="str">
        <f t="shared" si="2"/>
        <v>Nefakturováno</v>
      </c>
      <c r="N36" s="16">
        <f t="shared" si="3"/>
        <v>0</v>
      </c>
      <c r="O36" s="16">
        <f t="shared" si="4"/>
        <v>-100</v>
      </c>
      <c r="AE36" s="16">
        <v>0</v>
      </c>
    </row>
    <row r="37" spans="1:31" ht="12.75">
      <c r="A37" s="4" t="s">
        <v>31</v>
      </c>
      <c r="B37" s="4"/>
      <c r="C37" s="4" t="s">
        <v>129</v>
      </c>
      <c r="D37" s="101" t="s">
        <v>235</v>
      </c>
      <c r="E37" s="102"/>
      <c r="F37" s="16">
        <f>'Stavební rozpočet'!J38</f>
        <v>0</v>
      </c>
      <c r="G37" s="16">
        <v>0</v>
      </c>
      <c r="H37" s="16">
        <f t="shared" si="0"/>
        <v>0</v>
      </c>
      <c r="I37" s="16">
        <f t="shared" si="1"/>
        <v>0</v>
      </c>
      <c r="J37" s="16">
        <f>'Stavební rozpočet'!F38</f>
        <v>300</v>
      </c>
      <c r="K37" s="16">
        <v>0</v>
      </c>
      <c r="L37" s="53">
        <v>300</v>
      </c>
      <c r="M37" s="58" t="str">
        <f t="shared" si="2"/>
        <v>Nefakturováno</v>
      </c>
      <c r="N37" s="16">
        <f t="shared" si="3"/>
        <v>0</v>
      </c>
      <c r="O37" s="16">
        <f t="shared" si="4"/>
        <v>-100</v>
      </c>
      <c r="AE37" s="16">
        <v>0</v>
      </c>
    </row>
    <row r="38" spans="1:31" ht="12.75">
      <c r="A38" s="12"/>
      <c r="B38" s="12"/>
      <c r="C38" s="12" t="s">
        <v>130</v>
      </c>
      <c r="D38" s="103" t="s">
        <v>236</v>
      </c>
      <c r="E38" s="104"/>
      <c r="F38" s="34">
        <f>SUM(F39:F67)</f>
        <v>0</v>
      </c>
      <c r="G38" s="34">
        <f>SUM(G39:G67)</f>
        <v>0</v>
      </c>
      <c r="H38" s="34">
        <f t="shared" si="0"/>
        <v>0</v>
      </c>
      <c r="I38" s="34">
        <f t="shared" si="1"/>
        <v>0</v>
      </c>
      <c r="J38" s="34">
        <f>SUM(J39:J67)</f>
        <v>3705</v>
      </c>
      <c r="K38" s="34">
        <f>SUM(K39:K67)</f>
        <v>0</v>
      </c>
      <c r="L38" s="56">
        <f>J38-K38</f>
        <v>3705</v>
      </c>
      <c r="M38" s="59" t="str">
        <f t="shared" si="2"/>
        <v>Nefakturováno</v>
      </c>
      <c r="N38" s="34">
        <f t="shared" si="3"/>
        <v>0</v>
      </c>
      <c r="O38" s="34">
        <f t="shared" si="4"/>
        <v>-100</v>
      </c>
      <c r="AE38" s="16">
        <v>0</v>
      </c>
    </row>
    <row r="39" spans="1:31" ht="12.75">
      <c r="A39" s="4" t="s">
        <v>32</v>
      </c>
      <c r="B39" s="4"/>
      <c r="C39" s="4" t="s">
        <v>131</v>
      </c>
      <c r="D39" s="101" t="s">
        <v>237</v>
      </c>
      <c r="E39" s="102"/>
      <c r="F39" s="16">
        <f>'Stavební rozpočet'!J40</f>
        <v>0</v>
      </c>
      <c r="G39" s="16">
        <v>0</v>
      </c>
      <c r="H39" s="16">
        <f t="shared" si="0"/>
        <v>0</v>
      </c>
      <c r="I39" s="16">
        <f t="shared" si="1"/>
        <v>0</v>
      </c>
      <c r="J39" s="16">
        <f>'Stavební rozpočet'!F40</f>
        <v>10</v>
      </c>
      <c r="K39" s="16">
        <v>0</v>
      </c>
      <c r="L39" s="53">
        <v>10</v>
      </c>
      <c r="M39" s="58" t="str">
        <f t="shared" si="2"/>
        <v>Nefakturováno</v>
      </c>
      <c r="N39" s="16">
        <f t="shared" si="3"/>
        <v>0</v>
      </c>
      <c r="O39" s="16">
        <f t="shared" si="4"/>
        <v>-100</v>
      </c>
      <c r="AE39" s="16">
        <v>0</v>
      </c>
    </row>
    <row r="40" spans="1:31" ht="12.75">
      <c r="A40" s="4" t="s">
        <v>33</v>
      </c>
      <c r="B40" s="4"/>
      <c r="C40" s="4" t="s">
        <v>132</v>
      </c>
      <c r="D40" s="101" t="s">
        <v>238</v>
      </c>
      <c r="E40" s="102"/>
      <c r="F40" s="16">
        <f>'Stavební rozpočet'!J41</f>
        <v>0</v>
      </c>
      <c r="G40" s="16">
        <v>0</v>
      </c>
      <c r="H40" s="16">
        <f t="shared" si="0"/>
        <v>0</v>
      </c>
      <c r="I40" s="16">
        <f t="shared" si="1"/>
        <v>0</v>
      </c>
      <c r="J40" s="16">
        <f>'Stavební rozpočet'!F41</f>
        <v>300</v>
      </c>
      <c r="K40" s="16">
        <v>0</v>
      </c>
      <c r="L40" s="53">
        <v>300</v>
      </c>
      <c r="M40" s="58" t="str">
        <f t="shared" si="2"/>
        <v>Nefakturováno</v>
      </c>
      <c r="N40" s="16">
        <f t="shared" si="3"/>
        <v>0</v>
      </c>
      <c r="O40" s="16">
        <f t="shared" si="4"/>
        <v>-100</v>
      </c>
      <c r="AE40" s="16">
        <v>0</v>
      </c>
    </row>
    <row r="41" spans="1:31" ht="12.75">
      <c r="A41" s="4" t="s">
        <v>34</v>
      </c>
      <c r="B41" s="4"/>
      <c r="C41" s="4" t="s">
        <v>133</v>
      </c>
      <c r="D41" s="101" t="s">
        <v>239</v>
      </c>
      <c r="E41" s="102"/>
      <c r="F41" s="16">
        <f>'Stavební rozpočet'!J42</f>
        <v>0</v>
      </c>
      <c r="G41" s="16">
        <v>0</v>
      </c>
      <c r="H41" s="16">
        <f t="shared" si="0"/>
        <v>0</v>
      </c>
      <c r="I41" s="16">
        <f t="shared" si="1"/>
        <v>0</v>
      </c>
      <c r="J41" s="16">
        <f>'Stavební rozpočet'!F42</f>
        <v>2</v>
      </c>
      <c r="K41" s="16">
        <v>0</v>
      </c>
      <c r="L41" s="53">
        <v>2</v>
      </c>
      <c r="M41" s="58" t="str">
        <f t="shared" si="2"/>
        <v>Nefakturováno</v>
      </c>
      <c r="N41" s="16">
        <f t="shared" si="3"/>
        <v>0</v>
      </c>
      <c r="O41" s="16">
        <f t="shared" si="4"/>
        <v>-100</v>
      </c>
      <c r="AE41" s="16">
        <v>0</v>
      </c>
    </row>
    <row r="42" spans="1:31" ht="12.75">
      <c r="A42" s="4" t="s">
        <v>35</v>
      </c>
      <c r="B42" s="4"/>
      <c r="C42" s="4" t="s">
        <v>134</v>
      </c>
      <c r="D42" s="101" t="s">
        <v>240</v>
      </c>
      <c r="E42" s="102"/>
      <c r="F42" s="16">
        <f>'Stavební rozpočet'!J43</f>
        <v>0</v>
      </c>
      <c r="G42" s="16">
        <v>0</v>
      </c>
      <c r="H42" s="16">
        <f t="shared" si="0"/>
        <v>0</v>
      </c>
      <c r="I42" s="16">
        <f t="shared" si="1"/>
        <v>0</v>
      </c>
      <c r="J42" s="16">
        <f>'Stavební rozpočet'!F43</f>
        <v>250</v>
      </c>
      <c r="K42" s="16">
        <v>0</v>
      </c>
      <c r="L42" s="53">
        <v>250</v>
      </c>
      <c r="M42" s="58" t="str">
        <f t="shared" si="2"/>
        <v>Nefakturováno</v>
      </c>
      <c r="N42" s="16">
        <f t="shared" si="3"/>
        <v>0</v>
      </c>
      <c r="O42" s="16">
        <f t="shared" si="4"/>
        <v>-100</v>
      </c>
      <c r="AE42" s="16">
        <v>0</v>
      </c>
    </row>
    <row r="43" spans="1:31" ht="12.75">
      <c r="A43" s="4" t="s">
        <v>36</v>
      </c>
      <c r="B43" s="4"/>
      <c r="C43" s="4" t="s">
        <v>135</v>
      </c>
      <c r="D43" s="101" t="s">
        <v>241</v>
      </c>
      <c r="E43" s="102"/>
      <c r="F43" s="16">
        <f>'Stavební rozpočet'!J44</f>
        <v>0</v>
      </c>
      <c r="G43" s="16">
        <v>0</v>
      </c>
      <c r="H43" s="16">
        <f aca="true" t="shared" si="5" ref="H43:H74">G43-F43</f>
        <v>0</v>
      </c>
      <c r="I43" s="16">
        <f aca="true" t="shared" si="6" ref="I43:I74">IF(F43=0,0,H43/F43*100)</f>
        <v>0</v>
      </c>
      <c r="J43" s="16">
        <f>'Stavební rozpočet'!F44</f>
        <v>200</v>
      </c>
      <c r="K43" s="16">
        <v>0</v>
      </c>
      <c r="L43" s="53">
        <v>200</v>
      </c>
      <c r="M43" s="58" t="str">
        <f aca="true" t="shared" si="7" ref="M43:M74">IF(G43=0,"Nefakturováno",AE43)</f>
        <v>Nefakturováno</v>
      </c>
      <c r="N43" s="16">
        <f aca="true" t="shared" si="8" ref="N43:N74">AE43-G43</f>
        <v>0</v>
      </c>
      <c r="O43" s="16">
        <f aca="true" t="shared" si="9" ref="O43:O74">IF(G43&lt;&gt;0,N43/G43*100,-100)</f>
        <v>-100</v>
      </c>
      <c r="AE43" s="16">
        <v>0</v>
      </c>
    </row>
    <row r="44" spans="1:31" ht="12.75">
      <c r="A44" s="4" t="s">
        <v>37</v>
      </c>
      <c r="B44" s="4"/>
      <c r="C44" s="4" t="s">
        <v>136</v>
      </c>
      <c r="D44" s="101" t="s">
        <v>242</v>
      </c>
      <c r="E44" s="102"/>
      <c r="F44" s="16">
        <f>'Stavební rozpočet'!J45</f>
        <v>0</v>
      </c>
      <c r="G44" s="16">
        <v>0</v>
      </c>
      <c r="H44" s="16">
        <f t="shared" si="5"/>
        <v>0</v>
      </c>
      <c r="I44" s="16">
        <f t="shared" si="6"/>
        <v>0</v>
      </c>
      <c r="J44" s="16">
        <f>'Stavební rozpočet'!F45</f>
        <v>100</v>
      </c>
      <c r="K44" s="16">
        <v>0</v>
      </c>
      <c r="L44" s="53">
        <v>100</v>
      </c>
      <c r="M44" s="58" t="str">
        <f t="shared" si="7"/>
        <v>Nefakturováno</v>
      </c>
      <c r="N44" s="16">
        <f t="shared" si="8"/>
        <v>0</v>
      </c>
      <c r="O44" s="16">
        <f t="shared" si="9"/>
        <v>-100</v>
      </c>
      <c r="AE44" s="16">
        <v>0</v>
      </c>
    </row>
    <row r="45" spans="1:31" ht="12.75">
      <c r="A45" s="4" t="s">
        <v>38</v>
      </c>
      <c r="B45" s="4"/>
      <c r="C45" s="4" t="s">
        <v>137</v>
      </c>
      <c r="D45" s="101" t="s">
        <v>243</v>
      </c>
      <c r="E45" s="102"/>
      <c r="F45" s="16">
        <f>'Stavební rozpočet'!J46</f>
        <v>0</v>
      </c>
      <c r="G45" s="16">
        <v>0</v>
      </c>
      <c r="H45" s="16">
        <f t="shared" si="5"/>
        <v>0</v>
      </c>
      <c r="I45" s="16">
        <f t="shared" si="6"/>
        <v>0</v>
      </c>
      <c r="J45" s="16">
        <f>'Stavební rozpočet'!F46</f>
        <v>30</v>
      </c>
      <c r="K45" s="16">
        <v>0</v>
      </c>
      <c r="L45" s="53">
        <v>30</v>
      </c>
      <c r="M45" s="58" t="str">
        <f t="shared" si="7"/>
        <v>Nefakturováno</v>
      </c>
      <c r="N45" s="16">
        <f t="shared" si="8"/>
        <v>0</v>
      </c>
      <c r="O45" s="16">
        <f t="shared" si="9"/>
        <v>-100</v>
      </c>
      <c r="AE45" s="16">
        <v>0</v>
      </c>
    </row>
    <row r="46" spans="1:31" ht="12.75">
      <c r="A46" s="4" t="s">
        <v>39</v>
      </c>
      <c r="B46" s="4"/>
      <c r="C46" s="4" t="s">
        <v>138</v>
      </c>
      <c r="D46" s="101" t="s">
        <v>244</v>
      </c>
      <c r="E46" s="102"/>
      <c r="F46" s="16">
        <f>'Stavební rozpočet'!J47</f>
        <v>0</v>
      </c>
      <c r="G46" s="16">
        <v>0</v>
      </c>
      <c r="H46" s="16">
        <f t="shared" si="5"/>
        <v>0</v>
      </c>
      <c r="I46" s="16">
        <f t="shared" si="6"/>
        <v>0</v>
      </c>
      <c r="J46" s="16">
        <f>'Stavební rozpočet'!F47</f>
        <v>95</v>
      </c>
      <c r="K46" s="16">
        <v>0</v>
      </c>
      <c r="L46" s="53">
        <v>95</v>
      </c>
      <c r="M46" s="58" t="str">
        <f t="shared" si="7"/>
        <v>Nefakturováno</v>
      </c>
      <c r="N46" s="16">
        <f t="shared" si="8"/>
        <v>0</v>
      </c>
      <c r="O46" s="16">
        <f t="shared" si="9"/>
        <v>-100</v>
      </c>
      <c r="AE46" s="16">
        <v>0</v>
      </c>
    </row>
    <row r="47" spans="1:31" ht="12.75">
      <c r="A47" s="4" t="s">
        <v>40</v>
      </c>
      <c r="B47" s="4"/>
      <c r="C47" s="4" t="s">
        <v>139</v>
      </c>
      <c r="D47" s="101" t="s">
        <v>245</v>
      </c>
      <c r="E47" s="102"/>
      <c r="F47" s="16">
        <f>'Stavební rozpočet'!J48</f>
        <v>0</v>
      </c>
      <c r="G47" s="16">
        <v>0</v>
      </c>
      <c r="H47" s="16">
        <f t="shared" si="5"/>
        <v>0</v>
      </c>
      <c r="I47" s="16">
        <f t="shared" si="6"/>
        <v>0</v>
      </c>
      <c r="J47" s="16">
        <f>'Stavební rozpočet'!F48</f>
        <v>34</v>
      </c>
      <c r="K47" s="16">
        <v>0</v>
      </c>
      <c r="L47" s="53">
        <v>34</v>
      </c>
      <c r="M47" s="58" t="str">
        <f t="shared" si="7"/>
        <v>Nefakturováno</v>
      </c>
      <c r="N47" s="16">
        <f t="shared" si="8"/>
        <v>0</v>
      </c>
      <c r="O47" s="16">
        <f t="shared" si="9"/>
        <v>-100</v>
      </c>
      <c r="AE47" s="16">
        <v>0</v>
      </c>
    </row>
    <row r="48" spans="1:31" ht="12.75">
      <c r="A48" s="4" t="s">
        <v>41</v>
      </c>
      <c r="B48" s="4"/>
      <c r="C48" s="4" t="s">
        <v>140</v>
      </c>
      <c r="D48" s="101" t="s">
        <v>246</v>
      </c>
      <c r="E48" s="102"/>
      <c r="F48" s="16">
        <f>'Stavební rozpočet'!J49</f>
        <v>0</v>
      </c>
      <c r="G48" s="16">
        <v>0</v>
      </c>
      <c r="H48" s="16">
        <f t="shared" si="5"/>
        <v>0</v>
      </c>
      <c r="I48" s="16">
        <f t="shared" si="6"/>
        <v>0</v>
      </c>
      <c r="J48" s="16">
        <f>'Stavební rozpočet'!F49</f>
        <v>2</v>
      </c>
      <c r="K48" s="16">
        <v>0</v>
      </c>
      <c r="L48" s="53">
        <v>2</v>
      </c>
      <c r="M48" s="58" t="str">
        <f t="shared" si="7"/>
        <v>Nefakturováno</v>
      </c>
      <c r="N48" s="16">
        <f t="shared" si="8"/>
        <v>0</v>
      </c>
      <c r="O48" s="16">
        <f t="shared" si="9"/>
        <v>-100</v>
      </c>
      <c r="AE48" s="16">
        <v>0</v>
      </c>
    </row>
    <row r="49" spans="1:31" ht="12.75">
      <c r="A49" s="4" t="s">
        <v>42</v>
      </c>
      <c r="B49" s="4"/>
      <c r="C49" s="4" t="s">
        <v>141</v>
      </c>
      <c r="D49" s="101" t="s">
        <v>247</v>
      </c>
      <c r="E49" s="102"/>
      <c r="F49" s="16">
        <f>'Stavební rozpočet'!J50</f>
        <v>0</v>
      </c>
      <c r="G49" s="16">
        <v>0</v>
      </c>
      <c r="H49" s="16">
        <f t="shared" si="5"/>
        <v>0</v>
      </c>
      <c r="I49" s="16">
        <f t="shared" si="6"/>
        <v>0</v>
      </c>
      <c r="J49" s="16">
        <f>'Stavební rozpočet'!F50</f>
        <v>250</v>
      </c>
      <c r="K49" s="16">
        <v>0</v>
      </c>
      <c r="L49" s="53">
        <v>250</v>
      </c>
      <c r="M49" s="58" t="str">
        <f t="shared" si="7"/>
        <v>Nefakturováno</v>
      </c>
      <c r="N49" s="16">
        <f t="shared" si="8"/>
        <v>0</v>
      </c>
      <c r="O49" s="16">
        <f t="shared" si="9"/>
        <v>-100</v>
      </c>
      <c r="AE49" s="16">
        <v>0</v>
      </c>
    </row>
    <row r="50" spans="1:31" ht="12.75">
      <c r="A50" s="4" t="s">
        <v>43</v>
      </c>
      <c r="B50" s="4"/>
      <c r="C50" s="4" t="s">
        <v>142</v>
      </c>
      <c r="D50" s="101" t="s">
        <v>248</v>
      </c>
      <c r="E50" s="102"/>
      <c r="F50" s="16">
        <f>'Stavební rozpočet'!J51</f>
        <v>0</v>
      </c>
      <c r="G50" s="16">
        <v>0</v>
      </c>
      <c r="H50" s="16">
        <f t="shared" si="5"/>
        <v>0</v>
      </c>
      <c r="I50" s="16">
        <f t="shared" si="6"/>
        <v>0</v>
      </c>
      <c r="J50" s="16">
        <f>'Stavební rozpočet'!F51</f>
        <v>200</v>
      </c>
      <c r="K50" s="16">
        <v>0</v>
      </c>
      <c r="L50" s="53">
        <v>200</v>
      </c>
      <c r="M50" s="58" t="str">
        <f t="shared" si="7"/>
        <v>Nefakturováno</v>
      </c>
      <c r="N50" s="16">
        <f t="shared" si="8"/>
        <v>0</v>
      </c>
      <c r="O50" s="16">
        <f t="shared" si="9"/>
        <v>-100</v>
      </c>
      <c r="AE50" s="16">
        <v>0</v>
      </c>
    </row>
    <row r="51" spans="1:31" ht="12.75">
      <c r="A51" s="4" t="s">
        <v>44</v>
      </c>
      <c r="B51" s="4"/>
      <c r="C51" s="4" t="s">
        <v>143</v>
      </c>
      <c r="D51" s="101" t="s">
        <v>249</v>
      </c>
      <c r="E51" s="102"/>
      <c r="F51" s="16">
        <f>'Stavební rozpočet'!J52</f>
        <v>0</v>
      </c>
      <c r="G51" s="16">
        <v>0</v>
      </c>
      <c r="H51" s="16">
        <f t="shared" si="5"/>
        <v>0</v>
      </c>
      <c r="I51" s="16">
        <f t="shared" si="6"/>
        <v>0</v>
      </c>
      <c r="J51" s="16">
        <f>'Stavební rozpočet'!F52</f>
        <v>100</v>
      </c>
      <c r="K51" s="16">
        <v>0</v>
      </c>
      <c r="L51" s="53">
        <v>100</v>
      </c>
      <c r="M51" s="58" t="str">
        <f t="shared" si="7"/>
        <v>Nefakturováno</v>
      </c>
      <c r="N51" s="16">
        <f t="shared" si="8"/>
        <v>0</v>
      </c>
      <c r="O51" s="16">
        <f t="shared" si="9"/>
        <v>-100</v>
      </c>
      <c r="AE51" s="16">
        <v>0</v>
      </c>
    </row>
    <row r="52" spans="1:31" ht="12.75">
      <c r="A52" s="4" t="s">
        <v>45</v>
      </c>
      <c r="B52" s="4"/>
      <c r="C52" s="4" t="s">
        <v>144</v>
      </c>
      <c r="D52" s="101" t="s">
        <v>250</v>
      </c>
      <c r="E52" s="102"/>
      <c r="F52" s="16">
        <f>'Stavební rozpočet'!J53</f>
        <v>0</v>
      </c>
      <c r="G52" s="16">
        <v>0</v>
      </c>
      <c r="H52" s="16">
        <f t="shared" si="5"/>
        <v>0</v>
      </c>
      <c r="I52" s="16">
        <f t="shared" si="6"/>
        <v>0</v>
      </c>
      <c r="J52" s="16">
        <f>'Stavební rozpočet'!F53</f>
        <v>30</v>
      </c>
      <c r="K52" s="16">
        <v>0</v>
      </c>
      <c r="L52" s="53">
        <v>30</v>
      </c>
      <c r="M52" s="58" t="str">
        <f t="shared" si="7"/>
        <v>Nefakturováno</v>
      </c>
      <c r="N52" s="16">
        <f t="shared" si="8"/>
        <v>0</v>
      </c>
      <c r="O52" s="16">
        <f t="shared" si="9"/>
        <v>-100</v>
      </c>
      <c r="AE52" s="16">
        <v>0</v>
      </c>
    </row>
    <row r="53" spans="1:31" ht="12.75">
      <c r="A53" s="4" t="s">
        <v>46</v>
      </c>
      <c r="B53" s="4"/>
      <c r="C53" s="4" t="s">
        <v>145</v>
      </c>
      <c r="D53" s="101" t="s">
        <v>251</v>
      </c>
      <c r="E53" s="102"/>
      <c r="F53" s="16">
        <f>'Stavební rozpočet'!J54</f>
        <v>0</v>
      </c>
      <c r="G53" s="16">
        <v>0</v>
      </c>
      <c r="H53" s="16">
        <f t="shared" si="5"/>
        <v>0</v>
      </c>
      <c r="I53" s="16">
        <f t="shared" si="6"/>
        <v>0</v>
      </c>
      <c r="J53" s="16">
        <f>'Stavební rozpočet'!F54</f>
        <v>95</v>
      </c>
      <c r="K53" s="16">
        <v>0</v>
      </c>
      <c r="L53" s="53">
        <v>95</v>
      </c>
      <c r="M53" s="58" t="str">
        <f t="shared" si="7"/>
        <v>Nefakturováno</v>
      </c>
      <c r="N53" s="16">
        <f t="shared" si="8"/>
        <v>0</v>
      </c>
      <c r="O53" s="16">
        <f t="shared" si="9"/>
        <v>-100</v>
      </c>
      <c r="AE53" s="16">
        <v>0</v>
      </c>
    </row>
    <row r="54" spans="1:31" ht="12.75">
      <c r="A54" s="4" t="s">
        <v>47</v>
      </c>
      <c r="B54" s="4"/>
      <c r="C54" s="4" t="s">
        <v>146</v>
      </c>
      <c r="D54" s="101" t="s">
        <v>252</v>
      </c>
      <c r="E54" s="102"/>
      <c r="F54" s="16">
        <f>'Stavební rozpočet'!J55</f>
        <v>0</v>
      </c>
      <c r="G54" s="16">
        <v>0</v>
      </c>
      <c r="H54" s="16">
        <f t="shared" si="5"/>
        <v>0</v>
      </c>
      <c r="I54" s="16">
        <f t="shared" si="6"/>
        <v>0</v>
      </c>
      <c r="J54" s="16">
        <f>'Stavební rozpočet'!F55</f>
        <v>61</v>
      </c>
      <c r="K54" s="16">
        <v>0</v>
      </c>
      <c r="L54" s="53">
        <v>61</v>
      </c>
      <c r="M54" s="58" t="str">
        <f t="shared" si="7"/>
        <v>Nefakturováno</v>
      </c>
      <c r="N54" s="16">
        <f t="shared" si="8"/>
        <v>0</v>
      </c>
      <c r="O54" s="16">
        <f t="shared" si="9"/>
        <v>-100</v>
      </c>
      <c r="AE54" s="16">
        <v>0</v>
      </c>
    </row>
    <row r="55" spans="1:31" ht="12.75">
      <c r="A55" s="4" t="s">
        <v>48</v>
      </c>
      <c r="B55" s="4"/>
      <c r="C55" s="4" t="s">
        <v>147</v>
      </c>
      <c r="D55" s="101" t="s">
        <v>253</v>
      </c>
      <c r="E55" s="102"/>
      <c r="F55" s="16">
        <f>'Stavební rozpočet'!J56</f>
        <v>0</v>
      </c>
      <c r="G55" s="16">
        <v>0</v>
      </c>
      <c r="H55" s="16">
        <f t="shared" si="5"/>
        <v>0</v>
      </c>
      <c r="I55" s="16">
        <f t="shared" si="6"/>
        <v>0</v>
      </c>
      <c r="J55" s="16">
        <f>'Stavební rozpočet'!F56</f>
        <v>44</v>
      </c>
      <c r="K55" s="16">
        <v>0</v>
      </c>
      <c r="L55" s="53">
        <v>44</v>
      </c>
      <c r="M55" s="58" t="str">
        <f t="shared" si="7"/>
        <v>Nefakturováno</v>
      </c>
      <c r="N55" s="16">
        <f t="shared" si="8"/>
        <v>0</v>
      </c>
      <c r="O55" s="16">
        <f t="shared" si="9"/>
        <v>-100</v>
      </c>
      <c r="AE55" s="16">
        <v>0</v>
      </c>
    </row>
    <row r="56" spans="1:31" ht="12.75">
      <c r="A56" s="4" t="s">
        <v>49</v>
      </c>
      <c r="B56" s="4"/>
      <c r="C56" s="4" t="s">
        <v>148</v>
      </c>
      <c r="D56" s="101" t="s">
        <v>254</v>
      </c>
      <c r="E56" s="102"/>
      <c r="F56" s="16">
        <f>'Stavební rozpočet'!J57</f>
        <v>0</v>
      </c>
      <c r="G56" s="16">
        <v>0</v>
      </c>
      <c r="H56" s="16">
        <f t="shared" si="5"/>
        <v>0</v>
      </c>
      <c r="I56" s="16">
        <f t="shared" si="6"/>
        <v>0</v>
      </c>
      <c r="J56" s="16">
        <f>'Stavební rozpočet'!F57</f>
        <v>7</v>
      </c>
      <c r="K56" s="16">
        <v>0</v>
      </c>
      <c r="L56" s="53">
        <v>7</v>
      </c>
      <c r="M56" s="58" t="str">
        <f t="shared" si="7"/>
        <v>Nefakturováno</v>
      </c>
      <c r="N56" s="16">
        <f t="shared" si="8"/>
        <v>0</v>
      </c>
      <c r="O56" s="16">
        <f t="shared" si="9"/>
        <v>-100</v>
      </c>
      <c r="AE56" s="16">
        <v>0</v>
      </c>
    </row>
    <row r="57" spans="1:31" ht="12.75">
      <c r="A57" s="4" t="s">
        <v>50</v>
      </c>
      <c r="B57" s="4"/>
      <c r="C57" s="4" t="s">
        <v>149</v>
      </c>
      <c r="D57" s="101" t="s">
        <v>255</v>
      </c>
      <c r="E57" s="102"/>
      <c r="F57" s="16">
        <f>'Stavební rozpočet'!J58</f>
        <v>0</v>
      </c>
      <c r="G57" s="16">
        <v>0</v>
      </c>
      <c r="H57" s="16">
        <f t="shared" si="5"/>
        <v>0</v>
      </c>
      <c r="I57" s="16">
        <f t="shared" si="6"/>
        <v>0</v>
      </c>
      <c r="J57" s="16">
        <f>'Stavební rozpočet'!F58</f>
        <v>17</v>
      </c>
      <c r="K57" s="16">
        <v>0</v>
      </c>
      <c r="L57" s="53">
        <v>17</v>
      </c>
      <c r="M57" s="58" t="str">
        <f t="shared" si="7"/>
        <v>Nefakturováno</v>
      </c>
      <c r="N57" s="16">
        <f t="shared" si="8"/>
        <v>0</v>
      </c>
      <c r="O57" s="16">
        <f t="shared" si="9"/>
        <v>-100</v>
      </c>
      <c r="AE57" s="16">
        <v>0</v>
      </c>
    </row>
    <row r="58" spans="1:31" ht="12.75">
      <c r="A58" s="4" t="s">
        <v>51</v>
      </c>
      <c r="B58" s="4"/>
      <c r="C58" s="4" t="s">
        <v>150</v>
      </c>
      <c r="D58" s="101" t="s">
        <v>256</v>
      </c>
      <c r="E58" s="102"/>
      <c r="F58" s="16">
        <f>'Stavební rozpočet'!J59</f>
        <v>0</v>
      </c>
      <c r="G58" s="16">
        <v>0</v>
      </c>
      <c r="H58" s="16">
        <f t="shared" si="5"/>
        <v>0</v>
      </c>
      <c r="I58" s="16">
        <f t="shared" si="6"/>
        <v>0</v>
      </c>
      <c r="J58" s="16">
        <f>'Stavební rozpočet'!F59</f>
        <v>16</v>
      </c>
      <c r="K58" s="16">
        <v>0</v>
      </c>
      <c r="L58" s="53">
        <v>16</v>
      </c>
      <c r="M58" s="58" t="str">
        <f t="shared" si="7"/>
        <v>Nefakturováno</v>
      </c>
      <c r="N58" s="16">
        <f t="shared" si="8"/>
        <v>0</v>
      </c>
      <c r="O58" s="16">
        <f t="shared" si="9"/>
        <v>-100</v>
      </c>
      <c r="AE58" s="16">
        <v>0</v>
      </c>
    </row>
    <row r="59" spans="1:31" ht="12.75">
      <c r="A59" s="4" t="s">
        <v>52</v>
      </c>
      <c r="B59" s="4"/>
      <c r="C59" s="4" t="s">
        <v>151</v>
      </c>
      <c r="D59" s="101" t="s">
        <v>257</v>
      </c>
      <c r="E59" s="102"/>
      <c r="F59" s="16">
        <f>'Stavební rozpočet'!J60</f>
        <v>0</v>
      </c>
      <c r="G59" s="16">
        <v>0</v>
      </c>
      <c r="H59" s="16">
        <f t="shared" si="5"/>
        <v>0</v>
      </c>
      <c r="I59" s="16">
        <f t="shared" si="6"/>
        <v>0</v>
      </c>
      <c r="J59" s="16">
        <f>'Stavební rozpočet'!F60</f>
        <v>26</v>
      </c>
      <c r="K59" s="16">
        <v>0</v>
      </c>
      <c r="L59" s="53">
        <v>26</v>
      </c>
      <c r="M59" s="58" t="str">
        <f t="shared" si="7"/>
        <v>Nefakturováno</v>
      </c>
      <c r="N59" s="16">
        <f t="shared" si="8"/>
        <v>0</v>
      </c>
      <c r="O59" s="16">
        <f t="shared" si="9"/>
        <v>-100</v>
      </c>
      <c r="AE59" s="16">
        <v>0</v>
      </c>
    </row>
    <row r="60" spans="1:31" ht="12.75">
      <c r="A60" s="4" t="s">
        <v>53</v>
      </c>
      <c r="B60" s="4"/>
      <c r="C60" s="4" t="s">
        <v>152</v>
      </c>
      <c r="D60" s="101" t="s">
        <v>258</v>
      </c>
      <c r="E60" s="102"/>
      <c r="F60" s="16">
        <f>'Stavební rozpočet'!J61</f>
        <v>0</v>
      </c>
      <c r="G60" s="16">
        <v>0</v>
      </c>
      <c r="H60" s="16">
        <f t="shared" si="5"/>
        <v>0</v>
      </c>
      <c r="I60" s="16">
        <f t="shared" si="6"/>
        <v>0</v>
      </c>
      <c r="J60" s="16">
        <f>'Stavební rozpočet'!F61</f>
        <v>4</v>
      </c>
      <c r="K60" s="16">
        <v>0</v>
      </c>
      <c r="L60" s="53">
        <v>4</v>
      </c>
      <c r="M60" s="58" t="str">
        <f t="shared" si="7"/>
        <v>Nefakturováno</v>
      </c>
      <c r="N60" s="16">
        <f t="shared" si="8"/>
        <v>0</v>
      </c>
      <c r="O60" s="16">
        <f t="shared" si="9"/>
        <v>-100</v>
      </c>
      <c r="AE60" s="16">
        <v>0</v>
      </c>
    </row>
    <row r="61" spans="1:31" ht="12.75">
      <c r="A61" s="4" t="s">
        <v>54</v>
      </c>
      <c r="B61" s="4"/>
      <c r="C61" s="4" t="s">
        <v>153</v>
      </c>
      <c r="D61" s="101" t="s">
        <v>259</v>
      </c>
      <c r="E61" s="102"/>
      <c r="F61" s="16">
        <f>'Stavební rozpočet'!J62</f>
        <v>0</v>
      </c>
      <c r="G61" s="16">
        <v>0</v>
      </c>
      <c r="H61" s="16">
        <f t="shared" si="5"/>
        <v>0</v>
      </c>
      <c r="I61" s="16">
        <f t="shared" si="6"/>
        <v>0</v>
      </c>
      <c r="J61" s="16">
        <f>'Stavební rozpočet'!F62</f>
        <v>2</v>
      </c>
      <c r="K61" s="16">
        <v>0</v>
      </c>
      <c r="L61" s="53">
        <v>2</v>
      </c>
      <c r="M61" s="58" t="str">
        <f t="shared" si="7"/>
        <v>Nefakturováno</v>
      </c>
      <c r="N61" s="16">
        <f t="shared" si="8"/>
        <v>0</v>
      </c>
      <c r="O61" s="16">
        <f t="shared" si="9"/>
        <v>-100</v>
      </c>
      <c r="AE61" s="16">
        <v>0</v>
      </c>
    </row>
    <row r="62" spans="1:31" ht="12.75">
      <c r="A62" s="4" t="s">
        <v>55</v>
      </c>
      <c r="B62" s="4"/>
      <c r="C62" s="4" t="s">
        <v>154</v>
      </c>
      <c r="D62" s="101" t="s">
        <v>260</v>
      </c>
      <c r="E62" s="102"/>
      <c r="F62" s="16">
        <f>'Stavební rozpočet'!J63</f>
        <v>0</v>
      </c>
      <c r="G62" s="16">
        <v>0</v>
      </c>
      <c r="H62" s="16">
        <f t="shared" si="5"/>
        <v>0</v>
      </c>
      <c r="I62" s="16">
        <f t="shared" si="6"/>
        <v>0</v>
      </c>
      <c r="J62" s="16">
        <f>'Stavební rozpočet'!F63</f>
        <v>685</v>
      </c>
      <c r="K62" s="16">
        <v>0</v>
      </c>
      <c r="L62" s="53">
        <v>685</v>
      </c>
      <c r="M62" s="58" t="str">
        <f t="shared" si="7"/>
        <v>Nefakturováno</v>
      </c>
      <c r="N62" s="16">
        <f t="shared" si="8"/>
        <v>0</v>
      </c>
      <c r="O62" s="16">
        <f t="shared" si="9"/>
        <v>-100</v>
      </c>
      <c r="AE62" s="16">
        <v>0</v>
      </c>
    </row>
    <row r="63" spans="1:31" ht="12.75">
      <c r="A63" s="4" t="s">
        <v>56</v>
      </c>
      <c r="B63" s="4"/>
      <c r="C63" s="4" t="s">
        <v>155</v>
      </c>
      <c r="D63" s="101" t="s">
        <v>261</v>
      </c>
      <c r="E63" s="102"/>
      <c r="F63" s="16">
        <f>'Stavební rozpočet'!J64</f>
        <v>0</v>
      </c>
      <c r="G63" s="16">
        <v>0</v>
      </c>
      <c r="H63" s="16">
        <f t="shared" si="5"/>
        <v>0</v>
      </c>
      <c r="I63" s="16">
        <f t="shared" si="6"/>
        <v>0</v>
      </c>
      <c r="J63" s="16">
        <f>'Stavební rozpočet'!F64</f>
        <v>685</v>
      </c>
      <c r="K63" s="16">
        <v>0</v>
      </c>
      <c r="L63" s="53">
        <v>685</v>
      </c>
      <c r="M63" s="58" t="str">
        <f t="shared" si="7"/>
        <v>Nefakturováno</v>
      </c>
      <c r="N63" s="16">
        <f t="shared" si="8"/>
        <v>0</v>
      </c>
      <c r="O63" s="16">
        <f t="shared" si="9"/>
        <v>-100</v>
      </c>
      <c r="AE63" s="16">
        <v>0</v>
      </c>
    </row>
    <row r="64" spans="1:31" ht="12.75">
      <c r="A64" s="4" t="s">
        <v>57</v>
      </c>
      <c r="B64" s="4"/>
      <c r="C64" s="4" t="s">
        <v>156</v>
      </c>
      <c r="D64" s="101" t="s">
        <v>262</v>
      </c>
      <c r="E64" s="102"/>
      <c r="F64" s="16">
        <f>'Stavební rozpočet'!J65</f>
        <v>0</v>
      </c>
      <c r="G64" s="16">
        <v>0</v>
      </c>
      <c r="H64" s="16">
        <f t="shared" si="5"/>
        <v>0</v>
      </c>
      <c r="I64" s="16">
        <f t="shared" si="6"/>
        <v>0</v>
      </c>
      <c r="J64" s="16">
        <f>'Stavební rozpočet'!F65</f>
        <v>300</v>
      </c>
      <c r="K64" s="16">
        <v>0</v>
      </c>
      <c r="L64" s="53">
        <v>300</v>
      </c>
      <c r="M64" s="58" t="str">
        <f t="shared" si="7"/>
        <v>Nefakturováno</v>
      </c>
      <c r="N64" s="16">
        <f t="shared" si="8"/>
        <v>0</v>
      </c>
      <c r="O64" s="16">
        <f t="shared" si="9"/>
        <v>-100</v>
      </c>
      <c r="AE64" s="16">
        <v>0</v>
      </c>
    </row>
    <row r="65" spans="1:31" ht="12.75">
      <c r="A65" s="4" t="s">
        <v>58</v>
      </c>
      <c r="B65" s="4"/>
      <c r="C65" s="4" t="s">
        <v>157</v>
      </c>
      <c r="D65" s="101" t="s">
        <v>263</v>
      </c>
      <c r="E65" s="102"/>
      <c r="F65" s="16">
        <f>'Stavební rozpočet'!J66</f>
        <v>0</v>
      </c>
      <c r="G65" s="16">
        <v>0</v>
      </c>
      <c r="H65" s="16">
        <f t="shared" si="5"/>
        <v>0</v>
      </c>
      <c r="I65" s="16">
        <f t="shared" si="6"/>
        <v>0</v>
      </c>
      <c r="J65" s="16">
        <f>'Stavební rozpočet'!F66</f>
        <v>30</v>
      </c>
      <c r="K65" s="16">
        <v>0</v>
      </c>
      <c r="L65" s="53">
        <v>30</v>
      </c>
      <c r="M65" s="58" t="str">
        <f t="shared" si="7"/>
        <v>Nefakturováno</v>
      </c>
      <c r="N65" s="16">
        <f t="shared" si="8"/>
        <v>0</v>
      </c>
      <c r="O65" s="16">
        <f t="shared" si="9"/>
        <v>-100</v>
      </c>
      <c r="AE65" s="16">
        <v>0</v>
      </c>
    </row>
    <row r="66" spans="1:31" ht="12.75">
      <c r="A66" s="4" t="s">
        <v>59</v>
      </c>
      <c r="B66" s="4"/>
      <c r="C66" s="4" t="s">
        <v>158</v>
      </c>
      <c r="D66" s="101" t="s">
        <v>264</v>
      </c>
      <c r="E66" s="102"/>
      <c r="F66" s="16">
        <f>'Stavební rozpočet'!J67</f>
        <v>0</v>
      </c>
      <c r="G66" s="16">
        <v>0</v>
      </c>
      <c r="H66" s="16">
        <f t="shared" si="5"/>
        <v>0</v>
      </c>
      <c r="I66" s="16">
        <f t="shared" si="6"/>
        <v>0</v>
      </c>
      <c r="J66" s="16">
        <f>'Stavební rozpočet'!F67</f>
        <v>50</v>
      </c>
      <c r="K66" s="16">
        <v>0</v>
      </c>
      <c r="L66" s="53">
        <v>50</v>
      </c>
      <c r="M66" s="58" t="str">
        <f t="shared" si="7"/>
        <v>Nefakturováno</v>
      </c>
      <c r="N66" s="16">
        <f t="shared" si="8"/>
        <v>0</v>
      </c>
      <c r="O66" s="16">
        <f t="shared" si="9"/>
        <v>-100</v>
      </c>
      <c r="AE66" s="16">
        <v>0</v>
      </c>
    </row>
    <row r="67" spans="1:31" ht="12.75">
      <c r="A67" s="4" t="s">
        <v>60</v>
      </c>
      <c r="B67" s="4"/>
      <c r="C67" s="4" t="s">
        <v>159</v>
      </c>
      <c r="D67" s="101" t="s">
        <v>265</v>
      </c>
      <c r="E67" s="102"/>
      <c r="F67" s="16">
        <f>'Stavební rozpočet'!J68</f>
        <v>0</v>
      </c>
      <c r="G67" s="16">
        <v>0</v>
      </c>
      <c r="H67" s="16">
        <f t="shared" si="5"/>
        <v>0</v>
      </c>
      <c r="I67" s="16">
        <f t="shared" si="6"/>
        <v>0</v>
      </c>
      <c r="J67" s="16">
        <f>'Stavební rozpočet'!F68</f>
        <v>80</v>
      </c>
      <c r="K67" s="16">
        <v>0</v>
      </c>
      <c r="L67" s="53">
        <v>80</v>
      </c>
      <c r="M67" s="58" t="str">
        <f t="shared" si="7"/>
        <v>Nefakturováno</v>
      </c>
      <c r="N67" s="16">
        <f t="shared" si="8"/>
        <v>0</v>
      </c>
      <c r="O67" s="16">
        <f t="shared" si="9"/>
        <v>-100</v>
      </c>
      <c r="AE67" s="16">
        <v>0</v>
      </c>
    </row>
    <row r="68" spans="1:31" ht="12.75">
      <c r="A68" s="12"/>
      <c r="B68" s="12"/>
      <c r="C68" s="12" t="s">
        <v>160</v>
      </c>
      <c r="D68" s="103" t="s">
        <v>266</v>
      </c>
      <c r="E68" s="104"/>
      <c r="F68" s="34">
        <f>SUM(F69:F103)</f>
        <v>0</v>
      </c>
      <c r="G68" s="34">
        <f>SUM(G69:G103)</f>
        <v>0</v>
      </c>
      <c r="H68" s="34">
        <f t="shared" si="5"/>
        <v>0</v>
      </c>
      <c r="I68" s="34">
        <f t="shared" si="6"/>
        <v>0</v>
      </c>
      <c r="J68" s="34">
        <f>SUM(J69:J103)</f>
        <v>232</v>
      </c>
      <c r="K68" s="34">
        <f>SUM(K69:K103)</f>
        <v>0</v>
      </c>
      <c r="L68" s="56">
        <f>J68-K68</f>
        <v>232</v>
      </c>
      <c r="M68" s="59" t="str">
        <f t="shared" si="7"/>
        <v>Nefakturováno</v>
      </c>
      <c r="N68" s="34">
        <f t="shared" si="8"/>
        <v>0</v>
      </c>
      <c r="O68" s="34">
        <f t="shared" si="9"/>
        <v>-100</v>
      </c>
      <c r="AE68" s="16">
        <v>0</v>
      </c>
    </row>
    <row r="69" spans="1:31" ht="12.75">
      <c r="A69" s="4" t="s">
        <v>61</v>
      </c>
      <c r="B69" s="4"/>
      <c r="C69" s="4" t="s">
        <v>161</v>
      </c>
      <c r="D69" s="101" t="s">
        <v>267</v>
      </c>
      <c r="E69" s="102"/>
      <c r="F69" s="16">
        <f>'Stavební rozpočet'!J70</f>
        <v>0</v>
      </c>
      <c r="G69" s="16">
        <v>0</v>
      </c>
      <c r="H69" s="16">
        <f t="shared" si="5"/>
        <v>0</v>
      </c>
      <c r="I69" s="16">
        <f t="shared" si="6"/>
        <v>0</v>
      </c>
      <c r="J69" s="16">
        <f>'Stavební rozpočet'!F70</f>
        <v>5</v>
      </c>
      <c r="K69" s="16">
        <v>0</v>
      </c>
      <c r="L69" s="53">
        <v>5</v>
      </c>
      <c r="M69" s="58" t="str">
        <f t="shared" si="7"/>
        <v>Nefakturováno</v>
      </c>
      <c r="N69" s="16">
        <f t="shared" si="8"/>
        <v>0</v>
      </c>
      <c r="O69" s="16">
        <f t="shared" si="9"/>
        <v>-100</v>
      </c>
      <c r="AE69" s="16">
        <v>0</v>
      </c>
    </row>
    <row r="70" spans="1:31" ht="12.75">
      <c r="A70" s="4" t="s">
        <v>62</v>
      </c>
      <c r="B70" s="4"/>
      <c r="C70" s="4" t="s">
        <v>162</v>
      </c>
      <c r="D70" s="101" t="s">
        <v>268</v>
      </c>
      <c r="E70" s="102"/>
      <c r="F70" s="16">
        <f>'Stavební rozpočet'!J71</f>
        <v>0</v>
      </c>
      <c r="G70" s="16">
        <v>0</v>
      </c>
      <c r="H70" s="16">
        <f t="shared" si="5"/>
        <v>0</v>
      </c>
      <c r="I70" s="16">
        <f t="shared" si="6"/>
        <v>0</v>
      </c>
      <c r="J70" s="16">
        <f>'Stavební rozpočet'!F71</f>
        <v>2</v>
      </c>
      <c r="K70" s="16">
        <v>0</v>
      </c>
      <c r="L70" s="53">
        <v>2</v>
      </c>
      <c r="M70" s="58" t="str">
        <f t="shared" si="7"/>
        <v>Nefakturováno</v>
      </c>
      <c r="N70" s="16">
        <f t="shared" si="8"/>
        <v>0</v>
      </c>
      <c r="O70" s="16">
        <f t="shared" si="9"/>
        <v>-100</v>
      </c>
      <c r="AE70" s="16">
        <v>0</v>
      </c>
    </row>
    <row r="71" spans="1:31" ht="12.75">
      <c r="A71" s="4" t="s">
        <v>63</v>
      </c>
      <c r="B71" s="4"/>
      <c r="C71" s="4" t="s">
        <v>163</v>
      </c>
      <c r="D71" s="101" t="s">
        <v>269</v>
      </c>
      <c r="E71" s="102"/>
      <c r="F71" s="16">
        <f>'Stavební rozpočet'!J72</f>
        <v>0</v>
      </c>
      <c r="G71" s="16">
        <v>0</v>
      </c>
      <c r="H71" s="16">
        <f t="shared" si="5"/>
        <v>0</v>
      </c>
      <c r="I71" s="16">
        <f t="shared" si="6"/>
        <v>0</v>
      </c>
      <c r="J71" s="16">
        <f>'Stavební rozpočet'!F72</f>
        <v>9</v>
      </c>
      <c r="K71" s="16">
        <v>0</v>
      </c>
      <c r="L71" s="53">
        <v>9</v>
      </c>
      <c r="M71" s="58" t="str">
        <f t="shared" si="7"/>
        <v>Nefakturováno</v>
      </c>
      <c r="N71" s="16">
        <f t="shared" si="8"/>
        <v>0</v>
      </c>
      <c r="O71" s="16">
        <f t="shared" si="9"/>
        <v>-100</v>
      </c>
      <c r="AE71" s="16">
        <v>0</v>
      </c>
    </row>
    <row r="72" spans="1:31" ht="12.75">
      <c r="A72" s="4" t="s">
        <v>64</v>
      </c>
      <c r="B72" s="4"/>
      <c r="C72" s="4" t="s">
        <v>164</v>
      </c>
      <c r="D72" s="101" t="s">
        <v>270</v>
      </c>
      <c r="E72" s="102"/>
      <c r="F72" s="16">
        <f>'Stavební rozpočet'!J73</f>
        <v>0</v>
      </c>
      <c r="G72" s="16">
        <v>0</v>
      </c>
      <c r="H72" s="16">
        <f t="shared" si="5"/>
        <v>0</v>
      </c>
      <c r="I72" s="16">
        <f t="shared" si="6"/>
        <v>0</v>
      </c>
      <c r="J72" s="16">
        <f>'Stavební rozpočet'!F73</f>
        <v>4</v>
      </c>
      <c r="K72" s="16">
        <v>0</v>
      </c>
      <c r="L72" s="53">
        <v>4</v>
      </c>
      <c r="M72" s="58" t="str">
        <f t="shared" si="7"/>
        <v>Nefakturováno</v>
      </c>
      <c r="N72" s="16">
        <f t="shared" si="8"/>
        <v>0</v>
      </c>
      <c r="O72" s="16">
        <f t="shared" si="9"/>
        <v>-100</v>
      </c>
      <c r="AE72" s="16">
        <v>0</v>
      </c>
    </row>
    <row r="73" spans="1:31" ht="12.75">
      <c r="A73" s="4" t="s">
        <v>65</v>
      </c>
      <c r="B73" s="4"/>
      <c r="C73" s="4" t="s">
        <v>165</v>
      </c>
      <c r="D73" s="101" t="s">
        <v>271</v>
      </c>
      <c r="E73" s="102"/>
      <c r="F73" s="16">
        <f>'Stavební rozpočet'!J74</f>
        <v>0</v>
      </c>
      <c r="G73" s="16">
        <v>0</v>
      </c>
      <c r="H73" s="16">
        <f t="shared" si="5"/>
        <v>0</v>
      </c>
      <c r="I73" s="16">
        <f t="shared" si="6"/>
        <v>0</v>
      </c>
      <c r="J73" s="16">
        <f>'Stavební rozpočet'!F74</f>
        <v>4</v>
      </c>
      <c r="K73" s="16">
        <v>0</v>
      </c>
      <c r="L73" s="53">
        <v>4</v>
      </c>
      <c r="M73" s="58" t="str">
        <f t="shared" si="7"/>
        <v>Nefakturováno</v>
      </c>
      <c r="N73" s="16">
        <f t="shared" si="8"/>
        <v>0</v>
      </c>
      <c r="O73" s="16">
        <f t="shared" si="9"/>
        <v>-100</v>
      </c>
      <c r="AE73" s="16">
        <v>0</v>
      </c>
    </row>
    <row r="74" spans="1:31" ht="12.75">
      <c r="A74" s="4" t="s">
        <v>66</v>
      </c>
      <c r="B74" s="4"/>
      <c r="C74" s="4" t="s">
        <v>166</v>
      </c>
      <c r="D74" s="101" t="s">
        <v>272</v>
      </c>
      <c r="E74" s="102"/>
      <c r="F74" s="16">
        <f>'Stavební rozpočet'!J75</f>
        <v>0</v>
      </c>
      <c r="G74" s="16">
        <v>0</v>
      </c>
      <c r="H74" s="16">
        <f t="shared" si="5"/>
        <v>0</v>
      </c>
      <c r="I74" s="16">
        <f t="shared" si="6"/>
        <v>0</v>
      </c>
      <c r="J74" s="16">
        <f>'Stavební rozpočet'!F75</f>
        <v>2</v>
      </c>
      <c r="K74" s="16">
        <v>0</v>
      </c>
      <c r="L74" s="53">
        <v>2</v>
      </c>
      <c r="M74" s="58" t="str">
        <f t="shared" si="7"/>
        <v>Nefakturováno</v>
      </c>
      <c r="N74" s="16">
        <f t="shared" si="8"/>
        <v>0</v>
      </c>
      <c r="O74" s="16">
        <f t="shared" si="9"/>
        <v>-100</v>
      </c>
      <c r="AE74" s="16">
        <v>0</v>
      </c>
    </row>
    <row r="75" spans="1:31" ht="12.75">
      <c r="A75" s="4" t="s">
        <v>67</v>
      </c>
      <c r="B75" s="4"/>
      <c r="C75" s="4" t="s">
        <v>167</v>
      </c>
      <c r="D75" s="101" t="s">
        <v>273</v>
      </c>
      <c r="E75" s="102"/>
      <c r="F75" s="16">
        <f>'Stavební rozpočet'!J76</f>
        <v>0</v>
      </c>
      <c r="G75" s="16">
        <v>0</v>
      </c>
      <c r="H75" s="16">
        <f aca="true" t="shared" si="10" ref="H75:H106">G75-F75</f>
        <v>0</v>
      </c>
      <c r="I75" s="16">
        <f aca="true" t="shared" si="11" ref="I75:I106">IF(F75=0,0,H75/F75*100)</f>
        <v>0</v>
      </c>
      <c r="J75" s="16">
        <f>'Stavební rozpočet'!F76</f>
        <v>8</v>
      </c>
      <c r="K75" s="16">
        <v>0</v>
      </c>
      <c r="L75" s="53">
        <v>8</v>
      </c>
      <c r="M75" s="58" t="str">
        <f aca="true" t="shared" si="12" ref="M75:M111">IF(G75=0,"Nefakturováno",AE75)</f>
        <v>Nefakturováno</v>
      </c>
      <c r="N75" s="16">
        <f aca="true" t="shared" si="13" ref="N75:N111">AE75-G75</f>
        <v>0</v>
      </c>
      <c r="O75" s="16">
        <f aca="true" t="shared" si="14" ref="O75:O106">IF(G75&lt;&gt;0,N75/G75*100,-100)</f>
        <v>-100</v>
      </c>
      <c r="AE75" s="16">
        <v>0</v>
      </c>
    </row>
    <row r="76" spans="1:31" ht="12.75">
      <c r="A76" s="4" t="s">
        <v>68</v>
      </c>
      <c r="B76" s="4"/>
      <c r="C76" s="4" t="s">
        <v>168</v>
      </c>
      <c r="D76" s="101" t="s">
        <v>274</v>
      </c>
      <c r="E76" s="102"/>
      <c r="F76" s="16">
        <f>'Stavební rozpočet'!J77</f>
        <v>0</v>
      </c>
      <c r="G76" s="16">
        <v>0</v>
      </c>
      <c r="H76" s="16">
        <f t="shared" si="10"/>
        <v>0</v>
      </c>
      <c r="I76" s="16">
        <f t="shared" si="11"/>
        <v>0</v>
      </c>
      <c r="J76" s="16">
        <f>'Stavební rozpočet'!F77</f>
        <v>7</v>
      </c>
      <c r="K76" s="16">
        <v>0</v>
      </c>
      <c r="L76" s="53">
        <v>7</v>
      </c>
      <c r="M76" s="58" t="str">
        <f t="shared" si="12"/>
        <v>Nefakturováno</v>
      </c>
      <c r="N76" s="16">
        <f t="shared" si="13"/>
        <v>0</v>
      </c>
      <c r="O76" s="16">
        <f t="shared" si="14"/>
        <v>-100</v>
      </c>
      <c r="AE76" s="16">
        <v>0</v>
      </c>
    </row>
    <row r="77" spans="1:31" ht="12.75">
      <c r="A77" s="4" t="s">
        <v>69</v>
      </c>
      <c r="B77" s="4"/>
      <c r="C77" s="4" t="s">
        <v>169</v>
      </c>
      <c r="D77" s="101" t="s">
        <v>275</v>
      </c>
      <c r="E77" s="102"/>
      <c r="F77" s="16">
        <f>'Stavební rozpočet'!J78</f>
        <v>0</v>
      </c>
      <c r="G77" s="16">
        <v>0</v>
      </c>
      <c r="H77" s="16">
        <f t="shared" si="10"/>
        <v>0</v>
      </c>
      <c r="I77" s="16">
        <f t="shared" si="11"/>
        <v>0</v>
      </c>
      <c r="J77" s="16">
        <f>'Stavební rozpočet'!F78</f>
        <v>15</v>
      </c>
      <c r="K77" s="16">
        <v>0</v>
      </c>
      <c r="L77" s="53">
        <v>15</v>
      </c>
      <c r="M77" s="58" t="str">
        <f t="shared" si="12"/>
        <v>Nefakturováno</v>
      </c>
      <c r="N77" s="16">
        <f t="shared" si="13"/>
        <v>0</v>
      </c>
      <c r="O77" s="16">
        <f t="shared" si="14"/>
        <v>-100</v>
      </c>
      <c r="AE77" s="16">
        <v>0</v>
      </c>
    </row>
    <row r="78" spans="1:31" ht="12.75">
      <c r="A78" s="4" t="s">
        <v>70</v>
      </c>
      <c r="B78" s="4"/>
      <c r="C78" s="4" t="s">
        <v>170</v>
      </c>
      <c r="D78" s="101" t="s">
        <v>276</v>
      </c>
      <c r="E78" s="102"/>
      <c r="F78" s="16">
        <f>'Stavební rozpočet'!J79</f>
        <v>0</v>
      </c>
      <c r="G78" s="16">
        <v>0</v>
      </c>
      <c r="H78" s="16">
        <f t="shared" si="10"/>
        <v>0</v>
      </c>
      <c r="I78" s="16">
        <f t="shared" si="11"/>
        <v>0</v>
      </c>
      <c r="J78" s="16">
        <f>'Stavební rozpočet'!F79</f>
        <v>1</v>
      </c>
      <c r="K78" s="16">
        <v>0</v>
      </c>
      <c r="L78" s="53">
        <v>1</v>
      </c>
      <c r="M78" s="58" t="str">
        <f t="shared" si="12"/>
        <v>Nefakturováno</v>
      </c>
      <c r="N78" s="16">
        <f t="shared" si="13"/>
        <v>0</v>
      </c>
      <c r="O78" s="16">
        <f t="shared" si="14"/>
        <v>-100</v>
      </c>
      <c r="AE78" s="16">
        <v>0</v>
      </c>
    </row>
    <row r="79" spans="1:31" ht="12.75">
      <c r="A79" s="4" t="s">
        <v>71</v>
      </c>
      <c r="B79" s="4"/>
      <c r="C79" s="4" t="s">
        <v>171</v>
      </c>
      <c r="D79" s="101" t="s">
        <v>277</v>
      </c>
      <c r="E79" s="102"/>
      <c r="F79" s="16">
        <f>'Stavební rozpočet'!J80</f>
        <v>0</v>
      </c>
      <c r="G79" s="16">
        <v>0</v>
      </c>
      <c r="H79" s="16">
        <f t="shared" si="10"/>
        <v>0</v>
      </c>
      <c r="I79" s="16">
        <f t="shared" si="11"/>
        <v>0</v>
      </c>
      <c r="J79" s="16">
        <f>'Stavební rozpočet'!F80</f>
        <v>9</v>
      </c>
      <c r="K79" s="16">
        <v>0</v>
      </c>
      <c r="L79" s="53">
        <v>9</v>
      </c>
      <c r="M79" s="58" t="str">
        <f t="shared" si="12"/>
        <v>Nefakturováno</v>
      </c>
      <c r="N79" s="16">
        <f t="shared" si="13"/>
        <v>0</v>
      </c>
      <c r="O79" s="16">
        <f t="shared" si="14"/>
        <v>-100</v>
      </c>
      <c r="AE79" s="16">
        <v>0</v>
      </c>
    </row>
    <row r="80" spans="1:31" ht="12.75">
      <c r="A80" s="4" t="s">
        <v>72</v>
      </c>
      <c r="B80" s="4"/>
      <c r="C80" s="4" t="s">
        <v>172</v>
      </c>
      <c r="D80" s="101" t="s">
        <v>278</v>
      </c>
      <c r="E80" s="102"/>
      <c r="F80" s="16">
        <f>'Stavební rozpočet'!J81</f>
        <v>0</v>
      </c>
      <c r="G80" s="16">
        <v>0</v>
      </c>
      <c r="H80" s="16">
        <f t="shared" si="10"/>
        <v>0</v>
      </c>
      <c r="I80" s="16">
        <f t="shared" si="11"/>
        <v>0</v>
      </c>
      <c r="J80" s="16">
        <f>'Stavební rozpočet'!F81</f>
        <v>5</v>
      </c>
      <c r="K80" s="16">
        <v>0</v>
      </c>
      <c r="L80" s="53">
        <v>5</v>
      </c>
      <c r="M80" s="58" t="str">
        <f t="shared" si="12"/>
        <v>Nefakturováno</v>
      </c>
      <c r="N80" s="16">
        <f t="shared" si="13"/>
        <v>0</v>
      </c>
      <c r="O80" s="16">
        <f t="shared" si="14"/>
        <v>-100</v>
      </c>
      <c r="AE80" s="16">
        <v>0</v>
      </c>
    </row>
    <row r="81" spans="1:31" ht="12.75">
      <c r="A81" s="4" t="s">
        <v>73</v>
      </c>
      <c r="B81" s="4"/>
      <c r="C81" s="4" t="s">
        <v>173</v>
      </c>
      <c r="D81" s="101" t="s">
        <v>279</v>
      </c>
      <c r="E81" s="102"/>
      <c r="F81" s="16">
        <f>'Stavební rozpočet'!J82</f>
        <v>0</v>
      </c>
      <c r="G81" s="16">
        <v>0</v>
      </c>
      <c r="H81" s="16">
        <f t="shared" si="10"/>
        <v>0</v>
      </c>
      <c r="I81" s="16">
        <f t="shared" si="11"/>
        <v>0</v>
      </c>
      <c r="J81" s="16">
        <f>'Stavební rozpočet'!F82</f>
        <v>5</v>
      </c>
      <c r="K81" s="16">
        <v>0</v>
      </c>
      <c r="L81" s="53">
        <v>5</v>
      </c>
      <c r="M81" s="58" t="str">
        <f t="shared" si="12"/>
        <v>Nefakturováno</v>
      </c>
      <c r="N81" s="16">
        <f t="shared" si="13"/>
        <v>0</v>
      </c>
      <c r="O81" s="16">
        <f t="shared" si="14"/>
        <v>-100</v>
      </c>
      <c r="AE81" s="16">
        <v>0</v>
      </c>
    </row>
    <row r="82" spans="1:31" ht="12.75">
      <c r="A82" s="4" t="s">
        <v>74</v>
      </c>
      <c r="B82" s="4"/>
      <c r="C82" s="4" t="s">
        <v>174</v>
      </c>
      <c r="D82" s="101" t="s">
        <v>280</v>
      </c>
      <c r="E82" s="102"/>
      <c r="F82" s="16">
        <f>'Stavební rozpočet'!J83</f>
        <v>0</v>
      </c>
      <c r="G82" s="16">
        <v>0</v>
      </c>
      <c r="H82" s="16">
        <f t="shared" si="10"/>
        <v>0</v>
      </c>
      <c r="I82" s="16">
        <f t="shared" si="11"/>
        <v>0</v>
      </c>
      <c r="J82" s="16">
        <f>'Stavební rozpočet'!F83</f>
        <v>4</v>
      </c>
      <c r="K82" s="16">
        <v>0</v>
      </c>
      <c r="L82" s="53">
        <v>4</v>
      </c>
      <c r="M82" s="58" t="str">
        <f t="shared" si="12"/>
        <v>Nefakturováno</v>
      </c>
      <c r="N82" s="16">
        <f t="shared" si="13"/>
        <v>0</v>
      </c>
      <c r="O82" s="16">
        <f t="shared" si="14"/>
        <v>-100</v>
      </c>
      <c r="AE82" s="16">
        <v>0</v>
      </c>
    </row>
    <row r="83" spans="1:31" ht="12.75">
      <c r="A83" s="4" t="s">
        <v>75</v>
      </c>
      <c r="B83" s="4"/>
      <c r="C83" s="4" t="s">
        <v>175</v>
      </c>
      <c r="D83" s="101" t="s">
        <v>281</v>
      </c>
      <c r="E83" s="102"/>
      <c r="F83" s="16">
        <f>'Stavební rozpočet'!J84</f>
        <v>0</v>
      </c>
      <c r="G83" s="16">
        <v>0</v>
      </c>
      <c r="H83" s="16">
        <f t="shared" si="10"/>
        <v>0</v>
      </c>
      <c r="I83" s="16">
        <f t="shared" si="11"/>
        <v>0</v>
      </c>
      <c r="J83" s="16">
        <f>'Stavební rozpočet'!F84</f>
        <v>2</v>
      </c>
      <c r="K83" s="16">
        <v>0</v>
      </c>
      <c r="L83" s="53">
        <v>2</v>
      </c>
      <c r="M83" s="58" t="str">
        <f t="shared" si="12"/>
        <v>Nefakturováno</v>
      </c>
      <c r="N83" s="16">
        <f t="shared" si="13"/>
        <v>0</v>
      </c>
      <c r="O83" s="16">
        <f t="shared" si="14"/>
        <v>-100</v>
      </c>
      <c r="AE83" s="16">
        <v>0</v>
      </c>
    </row>
    <row r="84" spans="1:31" ht="12.75">
      <c r="A84" s="4" t="s">
        <v>76</v>
      </c>
      <c r="B84" s="4"/>
      <c r="C84" s="4" t="s">
        <v>176</v>
      </c>
      <c r="D84" s="101" t="s">
        <v>282</v>
      </c>
      <c r="E84" s="102"/>
      <c r="F84" s="16">
        <f>'Stavební rozpočet'!J85</f>
        <v>0</v>
      </c>
      <c r="G84" s="16">
        <v>0</v>
      </c>
      <c r="H84" s="16">
        <f t="shared" si="10"/>
        <v>0</v>
      </c>
      <c r="I84" s="16">
        <f t="shared" si="11"/>
        <v>0</v>
      </c>
      <c r="J84" s="16">
        <f>'Stavební rozpočet'!F85</f>
        <v>4</v>
      </c>
      <c r="K84" s="16">
        <v>0</v>
      </c>
      <c r="L84" s="53">
        <v>4</v>
      </c>
      <c r="M84" s="58" t="str">
        <f t="shared" si="12"/>
        <v>Nefakturováno</v>
      </c>
      <c r="N84" s="16">
        <f t="shared" si="13"/>
        <v>0</v>
      </c>
      <c r="O84" s="16">
        <f t="shared" si="14"/>
        <v>-100</v>
      </c>
      <c r="AE84" s="16">
        <v>0</v>
      </c>
    </row>
    <row r="85" spans="1:31" ht="12.75">
      <c r="A85" s="4" t="s">
        <v>77</v>
      </c>
      <c r="B85" s="4"/>
      <c r="C85" s="4" t="s">
        <v>177</v>
      </c>
      <c r="D85" s="101" t="s">
        <v>283</v>
      </c>
      <c r="E85" s="102"/>
      <c r="F85" s="16">
        <f>'Stavební rozpočet'!J86</f>
        <v>0</v>
      </c>
      <c r="G85" s="16">
        <v>0</v>
      </c>
      <c r="H85" s="16">
        <f t="shared" si="10"/>
        <v>0</v>
      </c>
      <c r="I85" s="16">
        <f t="shared" si="11"/>
        <v>0</v>
      </c>
      <c r="J85" s="16">
        <f>'Stavební rozpočet'!F86</f>
        <v>1</v>
      </c>
      <c r="K85" s="16">
        <v>0</v>
      </c>
      <c r="L85" s="53">
        <v>1</v>
      </c>
      <c r="M85" s="58" t="str">
        <f t="shared" si="12"/>
        <v>Nefakturováno</v>
      </c>
      <c r="N85" s="16">
        <f t="shared" si="13"/>
        <v>0</v>
      </c>
      <c r="O85" s="16">
        <f t="shared" si="14"/>
        <v>-100</v>
      </c>
      <c r="AE85" s="16">
        <v>0</v>
      </c>
    </row>
    <row r="86" spans="1:31" ht="12.75">
      <c r="A86" s="4" t="s">
        <v>78</v>
      </c>
      <c r="B86" s="4"/>
      <c r="C86" s="4" t="s">
        <v>178</v>
      </c>
      <c r="D86" s="101" t="s">
        <v>284</v>
      </c>
      <c r="E86" s="102"/>
      <c r="F86" s="16">
        <f>'Stavební rozpočet'!J87</f>
        <v>0</v>
      </c>
      <c r="G86" s="16">
        <v>0</v>
      </c>
      <c r="H86" s="16">
        <f t="shared" si="10"/>
        <v>0</v>
      </c>
      <c r="I86" s="16">
        <f t="shared" si="11"/>
        <v>0</v>
      </c>
      <c r="J86" s="16">
        <f>'Stavební rozpočet'!F87</f>
        <v>38</v>
      </c>
      <c r="K86" s="16">
        <v>0</v>
      </c>
      <c r="L86" s="53">
        <v>38</v>
      </c>
      <c r="M86" s="58" t="str">
        <f t="shared" si="12"/>
        <v>Nefakturováno</v>
      </c>
      <c r="N86" s="16">
        <f t="shared" si="13"/>
        <v>0</v>
      </c>
      <c r="O86" s="16">
        <f t="shared" si="14"/>
        <v>-100</v>
      </c>
      <c r="AE86" s="16">
        <v>0</v>
      </c>
    </row>
    <row r="87" spans="1:31" ht="12.75">
      <c r="A87" s="4" t="s">
        <v>79</v>
      </c>
      <c r="B87" s="4"/>
      <c r="C87" s="4" t="s">
        <v>179</v>
      </c>
      <c r="D87" s="101" t="s">
        <v>285</v>
      </c>
      <c r="E87" s="102"/>
      <c r="F87" s="16">
        <f>'Stavební rozpočet'!J88</f>
        <v>0</v>
      </c>
      <c r="G87" s="16">
        <v>0</v>
      </c>
      <c r="H87" s="16">
        <f t="shared" si="10"/>
        <v>0</v>
      </c>
      <c r="I87" s="16">
        <f t="shared" si="11"/>
        <v>0</v>
      </c>
      <c r="J87" s="16">
        <f>'Stavební rozpočet'!F88</f>
        <v>15</v>
      </c>
      <c r="K87" s="16">
        <v>0</v>
      </c>
      <c r="L87" s="53">
        <v>15</v>
      </c>
      <c r="M87" s="58" t="str">
        <f t="shared" si="12"/>
        <v>Nefakturováno</v>
      </c>
      <c r="N87" s="16">
        <f t="shared" si="13"/>
        <v>0</v>
      </c>
      <c r="O87" s="16">
        <f t="shared" si="14"/>
        <v>-100</v>
      </c>
      <c r="AE87" s="16">
        <v>0</v>
      </c>
    </row>
    <row r="88" spans="1:31" ht="12.75">
      <c r="A88" s="4" t="s">
        <v>80</v>
      </c>
      <c r="B88" s="4"/>
      <c r="C88" s="4" t="s">
        <v>180</v>
      </c>
      <c r="D88" s="101" t="s">
        <v>286</v>
      </c>
      <c r="E88" s="102"/>
      <c r="F88" s="16">
        <f>'Stavební rozpočet'!J89</f>
        <v>0</v>
      </c>
      <c r="G88" s="16">
        <v>0</v>
      </c>
      <c r="H88" s="16">
        <f t="shared" si="10"/>
        <v>0</v>
      </c>
      <c r="I88" s="16">
        <f t="shared" si="11"/>
        <v>0</v>
      </c>
      <c r="J88" s="16">
        <f>'Stavební rozpočet'!F89</f>
        <v>4</v>
      </c>
      <c r="K88" s="16">
        <v>0</v>
      </c>
      <c r="L88" s="53">
        <v>4</v>
      </c>
      <c r="M88" s="58" t="str">
        <f t="shared" si="12"/>
        <v>Nefakturováno</v>
      </c>
      <c r="N88" s="16">
        <f t="shared" si="13"/>
        <v>0</v>
      </c>
      <c r="O88" s="16">
        <f t="shared" si="14"/>
        <v>-100</v>
      </c>
      <c r="AE88" s="16">
        <v>0</v>
      </c>
    </row>
    <row r="89" spans="1:31" ht="12.75">
      <c r="A89" s="4" t="s">
        <v>81</v>
      </c>
      <c r="B89" s="4"/>
      <c r="C89" s="4" t="s">
        <v>181</v>
      </c>
      <c r="D89" s="101" t="s">
        <v>287</v>
      </c>
      <c r="E89" s="102"/>
      <c r="F89" s="16">
        <f>'Stavební rozpočet'!J90</f>
        <v>0</v>
      </c>
      <c r="G89" s="16">
        <v>0</v>
      </c>
      <c r="H89" s="16">
        <f t="shared" si="10"/>
        <v>0</v>
      </c>
      <c r="I89" s="16">
        <f t="shared" si="11"/>
        <v>0</v>
      </c>
      <c r="J89" s="16">
        <f>'Stavební rozpočet'!F90</f>
        <v>7</v>
      </c>
      <c r="K89" s="16">
        <v>0</v>
      </c>
      <c r="L89" s="53">
        <v>7</v>
      </c>
      <c r="M89" s="58" t="str">
        <f t="shared" si="12"/>
        <v>Nefakturováno</v>
      </c>
      <c r="N89" s="16">
        <f t="shared" si="13"/>
        <v>0</v>
      </c>
      <c r="O89" s="16">
        <f t="shared" si="14"/>
        <v>-100</v>
      </c>
      <c r="AE89" s="16">
        <v>0</v>
      </c>
    </row>
    <row r="90" spans="1:31" ht="12.75">
      <c r="A90" s="4" t="s">
        <v>82</v>
      </c>
      <c r="B90" s="4"/>
      <c r="C90" s="4" t="s">
        <v>182</v>
      </c>
      <c r="D90" s="101" t="s">
        <v>288</v>
      </c>
      <c r="E90" s="102"/>
      <c r="F90" s="16">
        <f>'Stavební rozpočet'!J91</f>
        <v>0</v>
      </c>
      <c r="G90" s="16">
        <v>0</v>
      </c>
      <c r="H90" s="16">
        <f t="shared" si="10"/>
        <v>0</v>
      </c>
      <c r="I90" s="16">
        <f t="shared" si="11"/>
        <v>0</v>
      </c>
      <c r="J90" s="16">
        <f>'Stavební rozpočet'!F91</f>
        <v>2</v>
      </c>
      <c r="K90" s="16">
        <v>0</v>
      </c>
      <c r="L90" s="53">
        <v>2</v>
      </c>
      <c r="M90" s="58" t="str">
        <f t="shared" si="12"/>
        <v>Nefakturováno</v>
      </c>
      <c r="N90" s="16">
        <f t="shared" si="13"/>
        <v>0</v>
      </c>
      <c r="O90" s="16">
        <f t="shared" si="14"/>
        <v>-100</v>
      </c>
      <c r="AE90" s="16">
        <v>0</v>
      </c>
    </row>
    <row r="91" spans="1:31" ht="12.75">
      <c r="A91" s="4" t="s">
        <v>83</v>
      </c>
      <c r="B91" s="4"/>
      <c r="C91" s="4" t="s">
        <v>183</v>
      </c>
      <c r="D91" s="101" t="s">
        <v>289</v>
      </c>
      <c r="E91" s="102"/>
      <c r="F91" s="16">
        <f>'Stavební rozpočet'!J92</f>
        <v>0</v>
      </c>
      <c r="G91" s="16">
        <v>0</v>
      </c>
      <c r="H91" s="16">
        <f t="shared" si="10"/>
        <v>0</v>
      </c>
      <c r="I91" s="16">
        <f t="shared" si="11"/>
        <v>0</v>
      </c>
      <c r="J91" s="16">
        <f>'Stavební rozpočet'!F92</f>
        <v>2</v>
      </c>
      <c r="K91" s="16">
        <v>0</v>
      </c>
      <c r="L91" s="53">
        <v>2</v>
      </c>
      <c r="M91" s="58" t="str">
        <f t="shared" si="12"/>
        <v>Nefakturováno</v>
      </c>
      <c r="N91" s="16">
        <f t="shared" si="13"/>
        <v>0</v>
      </c>
      <c r="O91" s="16">
        <f t="shared" si="14"/>
        <v>-100</v>
      </c>
      <c r="AE91" s="16">
        <v>0</v>
      </c>
    </row>
    <row r="92" spans="1:31" ht="12.75">
      <c r="A92" s="4" t="s">
        <v>84</v>
      </c>
      <c r="B92" s="4"/>
      <c r="C92" s="4" t="s">
        <v>184</v>
      </c>
      <c r="D92" s="101" t="s">
        <v>290</v>
      </c>
      <c r="E92" s="102"/>
      <c r="F92" s="16">
        <f>'Stavební rozpočet'!J93</f>
        <v>0</v>
      </c>
      <c r="G92" s="16">
        <v>0</v>
      </c>
      <c r="H92" s="16">
        <f t="shared" si="10"/>
        <v>0</v>
      </c>
      <c r="I92" s="16">
        <f t="shared" si="11"/>
        <v>0</v>
      </c>
      <c r="J92" s="16">
        <f>'Stavební rozpočet'!F93</f>
        <v>4</v>
      </c>
      <c r="K92" s="16">
        <v>0</v>
      </c>
      <c r="L92" s="53">
        <v>4</v>
      </c>
      <c r="M92" s="58" t="str">
        <f t="shared" si="12"/>
        <v>Nefakturováno</v>
      </c>
      <c r="N92" s="16">
        <f t="shared" si="13"/>
        <v>0</v>
      </c>
      <c r="O92" s="16">
        <f t="shared" si="14"/>
        <v>-100</v>
      </c>
      <c r="AE92" s="16">
        <v>0</v>
      </c>
    </row>
    <row r="93" spans="1:31" ht="12.75">
      <c r="A93" s="4" t="s">
        <v>85</v>
      </c>
      <c r="B93" s="4"/>
      <c r="C93" s="4" t="s">
        <v>185</v>
      </c>
      <c r="D93" s="101" t="s">
        <v>291</v>
      </c>
      <c r="E93" s="102"/>
      <c r="F93" s="16">
        <f>'Stavební rozpočet'!J94</f>
        <v>0</v>
      </c>
      <c r="G93" s="16">
        <v>0</v>
      </c>
      <c r="H93" s="16">
        <f t="shared" si="10"/>
        <v>0</v>
      </c>
      <c r="I93" s="16">
        <f t="shared" si="11"/>
        <v>0</v>
      </c>
      <c r="J93" s="16">
        <f>'Stavební rozpočet'!F94</f>
        <v>9</v>
      </c>
      <c r="K93" s="16">
        <v>0</v>
      </c>
      <c r="L93" s="53">
        <v>9</v>
      </c>
      <c r="M93" s="58" t="str">
        <f t="shared" si="12"/>
        <v>Nefakturováno</v>
      </c>
      <c r="N93" s="16">
        <f t="shared" si="13"/>
        <v>0</v>
      </c>
      <c r="O93" s="16">
        <f t="shared" si="14"/>
        <v>-100</v>
      </c>
      <c r="AE93" s="16">
        <v>0</v>
      </c>
    </row>
    <row r="94" spans="1:31" ht="12.75">
      <c r="A94" s="4" t="s">
        <v>86</v>
      </c>
      <c r="B94" s="4"/>
      <c r="C94" s="4" t="s">
        <v>186</v>
      </c>
      <c r="D94" s="101" t="s">
        <v>292</v>
      </c>
      <c r="E94" s="102"/>
      <c r="F94" s="16">
        <f>'Stavební rozpočet'!J95</f>
        <v>0</v>
      </c>
      <c r="G94" s="16">
        <v>0</v>
      </c>
      <c r="H94" s="16">
        <f t="shared" si="10"/>
        <v>0</v>
      </c>
      <c r="I94" s="16">
        <f t="shared" si="11"/>
        <v>0</v>
      </c>
      <c r="J94" s="16">
        <f>'Stavební rozpočet'!F95</f>
        <v>2</v>
      </c>
      <c r="K94" s="16">
        <v>0</v>
      </c>
      <c r="L94" s="53">
        <v>2</v>
      </c>
      <c r="M94" s="58" t="str">
        <f t="shared" si="12"/>
        <v>Nefakturováno</v>
      </c>
      <c r="N94" s="16">
        <f t="shared" si="13"/>
        <v>0</v>
      </c>
      <c r="O94" s="16">
        <f t="shared" si="14"/>
        <v>-100</v>
      </c>
      <c r="AE94" s="16">
        <v>0</v>
      </c>
    </row>
    <row r="95" spans="1:31" ht="12.75">
      <c r="A95" s="4" t="s">
        <v>87</v>
      </c>
      <c r="B95" s="4"/>
      <c r="C95" s="4" t="s">
        <v>187</v>
      </c>
      <c r="D95" s="101" t="s">
        <v>293</v>
      </c>
      <c r="E95" s="102"/>
      <c r="F95" s="16">
        <f>'Stavební rozpočet'!J96</f>
        <v>0</v>
      </c>
      <c r="G95" s="16">
        <v>0</v>
      </c>
      <c r="H95" s="16">
        <f t="shared" si="10"/>
        <v>0</v>
      </c>
      <c r="I95" s="16">
        <f t="shared" si="11"/>
        <v>0</v>
      </c>
      <c r="J95" s="16">
        <f>'Stavební rozpočet'!F96</f>
        <v>22</v>
      </c>
      <c r="K95" s="16">
        <v>0</v>
      </c>
      <c r="L95" s="53">
        <v>22</v>
      </c>
      <c r="M95" s="58" t="str">
        <f t="shared" si="12"/>
        <v>Nefakturováno</v>
      </c>
      <c r="N95" s="16">
        <f t="shared" si="13"/>
        <v>0</v>
      </c>
      <c r="O95" s="16">
        <f t="shared" si="14"/>
        <v>-100</v>
      </c>
      <c r="AE95" s="16">
        <v>0</v>
      </c>
    </row>
    <row r="96" spans="1:31" ht="12.75">
      <c r="A96" s="4" t="s">
        <v>88</v>
      </c>
      <c r="B96" s="4"/>
      <c r="C96" s="4" t="s">
        <v>188</v>
      </c>
      <c r="D96" s="101" t="s">
        <v>294</v>
      </c>
      <c r="E96" s="102"/>
      <c r="F96" s="16">
        <f>'Stavební rozpočet'!J97</f>
        <v>0</v>
      </c>
      <c r="G96" s="16">
        <v>0</v>
      </c>
      <c r="H96" s="16">
        <f t="shared" si="10"/>
        <v>0</v>
      </c>
      <c r="I96" s="16">
        <f t="shared" si="11"/>
        <v>0</v>
      </c>
      <c r="J96" s="16">
        <f>'Stavební rozpočet'!F97</f>
        <v>1</v>
      </c>
      <c r="K96" s="16">
        <v>0</v>
      </c>
      <c r="L96" s="53">
        <v>1</v>
      </c>
      <c r="M96" s="58" t="str">
        <f t="shared" si="12"/>
        <v>Nefakturováno</v>
      </c>
      <c r="N96" s="16">
        <f t="shared" si="13"/>
        <v>0</v>
      </c>
      <c r="O96" s="16">
        <f t="shared" si="14"/>
        <v>-100</v>
      </c>
      <c r="AE96" s="16">
        <v>0</v>
      </c>
    </row>
    <row r="97" spans="1:31" ht="12.75">
      <c r="A97" s="4" t="s">
        <v>89</v>
      </c>
      <c r="B97" s="4"/>
      <c r="C97" s="4" t="s">
        <v>189</v>
      </c>
      <c r="D97" s="101" t="s">
        <v>295</v>
      </c>
      <c r="E97" s="102"/>
      <c r="F97" s="16">
        <f>'Stavební rozpočet'!J98</f>
        <v>0</v>
      </c>
      <c r="G97" s="16">
        <v>0</v>
      </c>
      <c r="H97" s="16">
        <f t="shared" si="10"/>
        <v>0</v>
      </c>
      <c r="I97" s="16">
        <f t="shared" si="11"/>
        <v>0</v>
      </c>
      <c r="J97" s="16">
        <f>'Stavební rozpočet'!F98</f>
        <v>2</v>
      </c>
      <c r="K97" s="16">
        <v>0</v>
      </c>
      <c r="L97" s="53">
        <v>2</v>
      </c>
      <c r="M97" s="58" t="str">
        <f t="shared" si="12"/>
        <v>Nefakturováno</v>
      </c>
      <c r="N97" s="16">
        <f t="shared" si="13"/>
        <v>0</v>
      </c>
      <c r="O97" s="16">
        <f t="shared" si="14"/>
        <v>-100</v>
      </c>
      <c r="AE97" s="16">
        <v>0</v>
      </c>
    </row>
    <row r="98" spans="1:31" ht="12.75">
      <c r="A98" s="4" t="s">
        <v>90</v>
      </c>
      <c r="B98" s="4"/>
      <c r="C98" s="4" t="s">
        <v>190</v>
      </c>
      <c r="D98" s="101" t="s">
        <v>296</v>
      </c>
      <c r="E98" s="102"/>
      <c r="F98" s="16">
        <f>'Stavební rozpočet'!J99</f>
        <v>0</v>
      </c>
      <c r="G98" s="16">
        <v>0</v>
      </c>
      <c r="H98" s="16">
        <f t="shared" si="10"/>
        <v>0</v>
      </c>
      <c r="I98" s="16">
        <f t="shared" si="11"/>
        <v>0</v>
      </c>
      <c r="J98" s="16">
        <f>'Stavební rozpočet'!F99</f>
        <v>2</v>
      </c>
      <c r="K98" s="16">
        <v>0</v>
      </c>
      <c r="L98" s="53">
        <v>2</v>
      </c>
      <c r="M98" s="58" t="str">
        <f t="shared" si="12"/>
        <v>Nefakturováno</v>
      </c>
      <c r="N98" s="16">
        <f t="shared" si="13"/>
        <v>0</v>
      </c>
      <c r="O98" s="16">
        <f t="shared" si="14"/>
        <v>-100</v>
      </c>
      <c r="AE98" s="16">
        <v>0</v>
      </c>
    </row>
    <row r="99" spans="1:31" ht="12.75">
      <c r="A99" s="4" t="s">
        <v>91</v>
      </c>
      <c r="B99" s="4"/>
      <c r="C99" s="4" t="s">
        <v>191</v>
      </c>
      <c r="D99" s="101" t="s">
        <v>297</v>
      </c>
      <c r="E99" s="102"/>
      <c r="F99" s="16">
        <f>'Stavební rozpočet'!J100</f>
        <v>0</v>
      </c>
      <c r="G99" s="16">
        <v>0</v>
      </c>
      <c r="H99" s="16">
        <f t="shared" si="10"/>
        <v>0</v>
      </c>
      <c r="I99" s="16">
        <f t="shared" si="11"/>
        <v>0</v>
      </c>
      <c r="J99" s="16">
        <f>'Stavební rozpočet'!F100</f>
        <v>7</v>
      </c>
      <c r="K99" s="16">
        <v>0</v>
      </c>
      <c r="L99" s="53">
        <v>7</v>
      </c>
      <c r="M99" s="58" t="str">
        <f t="shared" si="12"/>
        <v>Nefakturováno</v>
      </c>
      <c r="N99" s="16">
        <f t="shared" si="13"/>
        <v>0</v>
      </c>
      <c r="O99" s="16">
        <f t="shared" si="14"/>
        <v>-100</v>
      </c>
      <c r="AE99" s="16">
        <v>0</v>
      </c>
    </row>
    <row r="100" spans="1:31" ht="12.75">
      <c r="A100" s="4" t="s">
        <v>92</v>
      </c>
      <c r="B100" s="4"/>
      <c r="C100" s="4" t="s">
        <v>192</v>
      </c>
      <c r="D100" s="101" t="s">
        <v>298</v>
      </c>
      <c r="E100" s="102"/>
      <c r="F100" s="16">
        <f>'Stavební rozpočet'!J101</f>
        <v>0</v>
      </c>
      <c r="G100" s="16">
        <v>0</v>
      </c>
      <c r="H100" s="16">
        <f t="shared" si="10"/>
        <v>0</v>
      </c>
      <c r="I100" s="16">
        <f t="shared" si="11"/>
        <v>0</v>
      </c>
      <c r="J100" s="16">
        <f>'Stavební rozpočet'!F101</f>
        <v>1</v>
      </c>
      <c r="K100" s="16">
        <v>0</v>
      </c>
      <c r="L100" s="53">
        <v>1</v>
      </c>
      <c r="M100" s="58" t="str">
        <f t="shared" si="12"/>
        <v>Nefakturováno</v>
      </c>
      <c r="N100" s="16">
        <f t="shared" si="13"/>
        <v>0</v>
      </c>
      <c r="O100" s="16">
        <f t="shared" si="14"/>
        <v>-100</v>
      </c>
      <c r="AE100" s="16">
        <v>0</v>
      </c>
    </row>
    <row r="101" spans="1:31" ht="12.75">
      <c r="A101" s="4" t="s">
        <v>93</v>
      </c>
      <c r="B101" s="4"/>
      <c r="C101" s="4" t="s">
        <v>193</v>
      </c>
      <c r="D101" s="101" t="s">
        <v>299</v>
      </c>
      <c r="E101" s="102"/>
      <c r="F101" s="16">
        <f>'Stavební rozpočet'!J102</f>
        <v>0</v>
      </c>
      <c r="G101" s="16">
        <v>0</v>
      </c>
      <c r="H101" s="16">
        <f t="shared" si="10"/>
        <v>0</v>
      </c>
      <c r="I101" s="16">
        <f t="shared" si="11"/>
        <v>0</v>
      </c>
      <c r="J101" s="16">
        <f>'Stavební rozpočet'!F102</f>
        <v>15</v>
      </c>
      <c r="K101" s="16">
        <v>0</v>
      </c>
      <c r="L101" s="53">
        <v>15</v>
      </c>
      <c r="M101" s="58" t="str">
        <f t="shared" si="12"/>
        <v>Nefakturováno</v>
      </c>
      <c r="N101" s="16">
        <f t="shared" si="13"/>
        <v>0</v>
      </c>
      <c r="O101" s="16">
        <f t="shared" si="14"/>
        <v>-100</v>
      </c>
      <c r="AE101" s="16">
        <v>0</v>
      </c>
    </row>
    <row r="102" spans="1:31" ht="12.75">
      <c r="A102" s="4" t="s">
        <v>94</v>
      </c>
      <c r="B102" s="4"/>
      <c r="C102" s="4" t="s">
        <v>194</v>
      </c>
      <c r="D102" s="101" t="s">
        <v>300</v>
      </c>
      <c r="E102" s="102"/>
      <c r="F102" s="16">
        <f>'Stavební rozpočet'!J103</f>
        <v>0</v>
      </c>
      <c r="G102" s="16">
        <v>0</v>
      </c>
      <c r="H102" s="16">
        <f t="shared" si="10"/>
        <v>0</v>
      </c>
      <c r="I102" s="16">
        <f t="shared" si="11"/>
        <v>0</v>
      </c>
      <c r="J102" s="16">
        <f>'Stavební rozpočet'!F103</f>
        <v>7</v>
      </c>
      <c r="K102" s="16">
        <v>0</v>
      </c>
      <c r="L102" s="53">
        <v>7</v>
      </c>
      <c r="M102" s="58" t="str">
        <f t="shared" si="12"/>
        <v>Nefakturováno</v>
      </c>
      <c r="N102" s="16">
        <f t="shared" si="13"/>
        <v>0</v>
      </c>
      <c r="O102" s="16">
        <f t="shared" si="14"/>
        <v>-100</v>
      </c>
      <c r="AE102" s="16">
        <v>0</v>
      </c>
    </row>
    <row r="103" spans="1:31" ht="12.75">
      <c r="A103" s="4" t="s">
        <v>95</v>
      </c>
      <c r="B103" s="4"/>
      <c r="C103" s="4" t="s">
        <v>195</v>
      </c>
      <c r="D103" s="101" t="s">
        <v>301</v>
      </c>
      <c r="E103" s="102"/>
      <c r="F103" s="16">
        <f>'Stavební rozpočet'!J104</f>
        <v>0</v>
      </c>
      <c r="G103" s="16">
        <v>0</v>
      </c>
      <c r="H103" s="16">
        <f t="shared" si="10"/>
        <v>0</v>
      </c>
      <c r="I103" s="16">
        <f t="shared" si="11"/>
        <v>0</v>
      </c>
      <c r="J103" s="16">
        <f>'Stavební rozpočet'!F104</f>
        <v>5</v>
      </c>
      <c r="K103" s="16">
        <v>0</v>
      </c>
      <c r="L103" s="53">
        <v>5</v>
      </c>
      <c r="M103" s="58" t="str">
        <f t="shared" si="12"/>
        <v>Nefakturováno</v>
      </c>
      <c r="N103" s="16">
        <f t="shared" si="13"/>
        <v>0</v>
      </c>
      <c r="O103" s="16">
        <f t="shared" si="14"/>
        <v>-100</v>
      </c>
      <c r="AE103" s="16">
        <v>0</v>
      </c>
    </row>
    <row r="104" spans="1:31" ht="12.75">
      <c r="A104" s="12"/>
      <c r="B104" s="12"/>
      <c r="C104" s="12" t="s">
        <v>196</v>
      </c>
      <c r="D104" s="103" t="s">
        <v>209</v>
      </c>
      <c r="E104" s="104"/>
      <c r="F104" s="34">
        <f>SUM(F105:F105)</f>
        <v>0</v>
      </c>
      <c r="G104" s="34">
        <f>SUM(G105:G105)</f>
        <v>0</v>
      </c>
      <c r="H104" s="34">
        <f t="shared" si="10"/>
        <v>0</v>
      </c>
      <c r="I104" s="34">
        <f t="shared" si="11"/>
        <v>0</v>
      </c>
      <c r="J104" s="34">
        <f>SUM(J105:J105)</f>
        <v>0.0026</v>
      </c>
      <c r="K104" s="34">
        <f>SUM(K105:K105)</f>
        <v>0</v>
      </c>
      <c r="L104" s="56">
        <f>J104-K104</f>
        <v>0.0026</v>
      </c>
      <c r="M104" s="59" t="str">
        <f t="shared" si="12"/>
        <v>Nefakturováno</v>
      </c>
      <c r="N104" s="34">
        <f t="shared" si="13"/>
        <v>0</v>
      </c>
      <c r="O104" s="34">
        <f t="shared" si="14"/>
        <v>-100</v>
      </c>
      <c r="AE104" s="16">
        <v>0</v>
      </c>
    </row>
    <row r="105" spans="1:31" ht="12.75">
      <c r="A105" s="4" t="s">
        <v>96</v>
      </c>
      <c r="B105" s="4"/>
      <c r="C105" s="4" t="s">
        <v>197</v>
      </c>
      <c r="D105" s="101" t="s">
        <v>302</v>
      </c>
      <c r="E105" s="102"/>
      <c r="F105" s="16">
        <f>'Stavební rozpočet'!J106</f>
        <v>0</v>
      </c>
      <c r="G105" s="16">
        <v>0</v>
      </c>
      <c r="H105" s="16">
        <f t="shared" si="10"/>
        <v>0</v>
      </c>
      <c r="I105" s="16">
        <f t="shared" si="11"/>
        <v>0</v>
      </c>
      <c r="J105" s="16">
        <f>'Stavební rozpočet'!F106</f>
        <v>0.0026</v>
      </c>
      <c r="K105" s="16">
        <v>0</v>
      </c>
      <c r="L105" s="53">
        <v>0.0026</v>
      </c>
      <c r="M105" s="58" t="str">
        <f t="shared" si="12"/>
        <v>Nefakturováno</v>
      </c>
      <c r="N105" s="16">
        <f t="shared" si="13"/>
        <v>0</v>
      </c>
      <c r="O105" s="16">
        <f t="shared" si="14"/>
        <v>-100</v>
      </c>
      <c r="AE105" s="16">
        <v>0</v>
      </c>
    </row>
    <row r="106" spans="1:31" ht="12.75">
      <c r="A106" s="12"/>
      <c r="B106" s="12"/>
      <c r="C106" s="12" t="s">
        <v>198</v>
      </c>
      <c r="D106" s="103" t="s">
        <v>211</v>
      </c>
      <c r="E106" s="104"/>
      <c r="F106" s="34">
        <f>SUM(F107:F107)</f>
        <v>0</v>
      </c>
      <c r="G106" s="34">
        <f>SUM(G107:G107)</f>
        <v>0</v>
      </c>
      <c r="H106" s="34">
        <f t="shared" si="10"/>
        <v>0</v>
      </c>
      <c r="I106" s="34">
        <f t="shared" si="11"/>
        <v>0</v>
      </c>
      <c r="J106" s="34">
        <f>SUM(J107:J107)</f>
        <v>3.6241</v>
      </c>
      <c r="K106" s="34">
        <f>SUM(K107:K107)</f>
        <v>0</v>
      </c>
      <c r="L106" s="56">
        <f>J106-K106</f>
        <v>3.6241</v>
      </c>
      <c r="M106" s="59" t="str">
        <f t="shared" si="12"/>
        <v>Nefakturováno</v>
      </c>
      <c r="N106" s="34">
        <f t="shared" si="13"/>
        <v>0</v>
      </c>
      <c r="O106" s="34">
        <f t="shared" si="14"/>
        <v>-100</v>
      </c>
      <c r="AE106" s="16">
        <v>0</v>
      </c>
    </row>
    <row r="107" spans="1:31" ht="12.75">
      <c r="A107" s="4" t="s">
        <v>97</v>
      </c>
      <c r="B107" s="4"/>
      <c r="C107" s="4" t="s">
        <v>199</v>
      </c>
      <c r="D107" s="101" t="s">
        <v>303</v>
      </c>
      <c r="E107" s="102"/>
      <c r="F107" s="16">
        <f>'Stavební rozpočet'!J108</f>
        <v>0</v>
      </c>
      <c r="G107" s="16">
        <v>0</v>
      </c>
      <c r="H107" s="16">
        <f>G107-F107</f>
        <v>0</v>
      </c>
      <c r="I107" s="16">
        <f>IF(F107=0,0,H107/F107*100)</f>
        <v>0</v>
      </c>
      <c r="J107" s="16">
        <f>'Stavební rozpočet'!F108</f>
        <v>3.6241</v>
      </c>
      <c r="K107" s="16">
        <v>0</v>
      </c>
      <c r="L107" s="53">
        <v>3.6241</v>
      </c>
      <c r="M107" s="58" t="str">
        <f t="shared" si="12"/>
        <v>Nefakturováno</v>
      </c>
      <c r="N107" s="16">
        <f t="shared" si="13"/>
        <v>0</v>
      </c>
      <c r="O107" s="16">
        <f>IF(G107&lt;&gt;0,N107/G107*100,-100)</f>
        <v>-100</v>
      </c>
      <c r="AE107" s="16">
        <v>0</v>
      </c>
    </row>
    <row r="108" spans="1:31" ht="12.75">
      <c r="A108" s="12"/>
      <c r="B108" s="12"/>
      <c r="C108" s="12" t="s">
        <v>200</v>
      </c>
      <c r="D108" s="103" t="s">
        <v>236</v>
      </c>
      <c r="E108" s="104"/>
      <c r="F108" s="34">
        <f>SUM(F109:F109)</f>
        <v>0</v>
      </c>
      <c r="G108" s="34">
        <f>SUM(G109:G109)</f>
        <v>0</v>
      </c>
      <c r="H108" s="34">
        <f>G108-F108</f>
        <v>0</v>
      </c>
      <c r="I108" s="34">
        <f>IF(F108=0,0,H108/F108*100)</f>
        <v>0</v>
      </c>
      <c r="J108" s="34">
        <f>SUM(J109:J109)</f>
        <v>4.0419</v>
      </c>
      <c r="K108" s="34">
        <f>SUM(K109:K109)</f>
        <v>0</v>
      </c>
      <c r="L108" s="56">
        <f>J108-K108</f>
        <v>4.0419</v>
      </c>
      <c r="M108" s="59" t="str">
        <f t="shared" si="12"/>
        <v>Nefakturováno</v>
      </c>
      <c r="N108" s="34">
        <f t="shared" si="13"/>
        <v>0</v>
      </c>
      <c r="O108" s="34">
        <f>IF(G108&lt;&gt;0,N108/G108*100,-100)</f>
        <v>-100</v>
      </c>
      <c r="AE108" s="16">
        <v>0</v>
      </c>
    </row>
    <row r="109" spans="1:31" ht="12.75">
      <c r="A109" s="4" t="s">
        <v>98</v>
      </c>
      <c r="B109" s="4"/>
      <c r="C109" s="4" t="s">
        <v>201</v>
      </c>
      <c r="D109" s="101" t="s">
        <v>304</v>
      </c>
      <c r="E109" s="102"/>
      <c r="F109" s="16">
        <f>'Stavební rozpočet'!J110</f>
        <v>0</v>
      </c>
      <c r="G109" s="16">
        <v>0</v>
      </c>
      <c r="H109" s="16">
        <f>G109-F109</f>
        <v>0</v>
      </c>
      <c r="I109" s="16">
        <f>IF(F109=0,0,H109/F109*100)</f>
        <v>0</v>
      </c>
      <c r="J109" s="16">
        <f>'Stavební rozpočet'!F110</f>
        <v>4.0419</v>
      </c>
      <c r="K109" s="16">
        <v>0</v>
      </c>
      <c r="L109" s="53">
        <v>4.0419</v>
      </c>
      <c r="M109" s="58" t="str">
        <f t="shared" si="12"/>
        <v>Nefakturováno</v>
      </c>
      <c r="N109" s="16">
        <f t="shared" si="13"/>
        <v>0</v>
      </c>
      <c r="O109" s="16">
        <f>IF(G109&lt;&gt;0,N109/G109*100,-100)</f>
        <v>-100</v>
      </c>
      <c r="AE109" s="16">
        <v>0</v>
      </c>
    </row>
    <row r="110" spans="1:31" ht="12.75">
      <c r="A110" s="12"/>
      <c r="B110" s="12"/>
      <c r="C110" s="12" t="s">
        <v>202</v>
      </c>
      <c r="D110" s="103" t="s">
        <v>266</v>
      </c>
      <c r="E110" s="104"/>
      <c r="F110" s="34">
        <f>SUM(F111:F111)</f>
        <v>0</v>
      </c>
      <c r="G110" s="34">
        <f>SUM(G111:G111)</f>
        <v>0</v>
      </c>
      <c r="H110" s="34">
        <f>G110-F110</f>
        <v>0</v>
      </c>
      <c r="I110" s="34">
        <f>IF(F110=0,0,H110/F110*100)</f>
        <v>0</v>
      </c>
      <c r="J110" s="34">
        <f>SUM(J111:J111)</f>
        <v>1.4049</v>
      </c>
      <c r="K110" s="34">
        <f>SUM(K111:K111)</f>
        <v>0</v>
      </c>
      <c r="L110" s="56">
        <f>J110-K110</f>
        <v>1.4049</v>
      </c>
      <c r="M110" s="59" t="str">
        <f t="shared" si="12"/>
        <v>Nefakturováno</v>
      </c>
      <c r="N110" s="34">
        <f t="shared" si="13"/>
        <v>0</v>
      </c>
      <c r="O110" s="34">
        <f>IF(G110&lt;&gt;0,N110/G110*100,-100)</f>
        <v>-100</v>
      </c>
      <c r="AE110" s="16">
        <v>0</v>
      </c>
    </row>
    <row r="111" spans="1:31" ht="12.75">
      <c r="A111" s="4" t="s">
        <v>99</v>
      </c>
      <c r="B111" s="4"/>
      <c r="C111" s="4" t="s">
        <v>203</v>
      </c>
      <c r="D111" s="101" t="s">
        <v>305</v>
      </c>
      <c r="E111" s="102"/>
      <c r="F111" s="16">
        <f>'Stavební rozpočet'!J112</f>
        <v>0</v>
      </c>
      <c r="G111" s="16">
        <v>0</v>
      </c>
      <c r="H111" s="16">
        <f>G111-F111</f>
        <v>0</v>
      </c>
      <c r="I111" s="16">
        <f>IF(F111=0,0,H111/F111*100)</f>
        <v>0</v>
      </c>
      <c r="J111" s="16">
        <f>'Stavební rozpočet'!F112</f>
        <v>1.4049</v>
      </c>
      <c r="K111" s="16">
        <v>0</v>
      </c>
      <c r="L111" s="53">
        <v>1.4049</v>
      </c>
      <c r="M111" s="58" t="str">
        <f t="shared" si="12"/>
        <v>Nefakturováno</v>
      </c>
      <c r="N111" s="16">
        <f t="shared" si="13"/>
        <v>0</v>
      </c>
      <c r="O111" s="16">
        <f>IF(G111&lt;&gt;0,N111/G111*100,-100)</f>
        <v>-100</v>
      </c>
      <c r="AE111" s="16">
        <v>0</v>
      </c>
    </row>
    <row r="113" ht="11.25" customHeight="1">
      <c r="A113" s="8" t="s">
        <v>100</v>
      </c>
    </row>
    <row r="114" spans="1:10" ht="12.75">
      <c r="A114" s="88"/>
      <c r="B114" s="76"/>
      <c r="C114" s="76"/>
      <c r="D114" s="76"/>
      <c r="E114" s="76"/>
      <c r="F114" s="76"/>
      <c r="G114" s="76"/>
      <c r="H114" s="76"/>
      <c r="I114" s="76"/>
      <c r="J114" s="76"/>
    </row>
  </sheetData>
  <sheetProtection/>
  <mergeCells count="128">
    <mergeCell ref="A114:J114"/>
    <mergeCell ref="D108:E108"/>
    <mergeCell ref="D109:E109"/>
    <mergeCell ref="D110:E110"/>
    <mergeCell ref="D111:E111"/>
    <mergeCell ref="D104:E104"/>
    <mergeCell ref="D105:E105"/>
    <mergeCell ref="D106:E106"/>
    <mergeCell ref="D107:E107"/>
    <mergeCell ref="D100:E100"/>
    <mergeCell ref="D101:E101"/>
    <mergeCell ref="D102:E102"/>
    <mergeCell ref="D103:E103"/>
    <mergeCell ref="D96:E96"/>
    <mergeCell ref="D97:E97"/>
    <mergeCell ref="D98:E98"/>
    <mergeCell ref="D99:E99"/>
    <mergeCell ref="D92:E92"/>
    <mergeCell ref="D93:E93"/>
    <mergeCell ref="D94:E94"/>
    <mergeCell ref="D95:E95"/>
    <mergeCell ref="D88:E88"/>
    <mergeCell ref="D89:E89"/>
    <mergeCell ref="D90:E90"/>
    <mergeCell ref="D91:E91"/>
    <mergeCell ref="D84:E84"/>
    <mergeCell ref="D85:E85"/>
    <mergeCell ref="D86:E86"/>
    <mergeCell ref="D87:E87"/>
    <mergeCell ref="D80:E80"/>
    <mergeCell ref="D81:E81"/>
    <mergeCell ref="D82:E82"/>
    <mergeCell ref="D83:E83"/>
    <mergeCell ref="D76:E76"/>
    <mergeCell ref="D77:E77"/>
    <mergeCell ref="D78:E78"/>
    <mergeCell ref="D79:E79"/>
    <mergeCell ref="D72:E72"/>
    <mergeCell ref="D73:E73"/>
    <mergeCell ref="D74:E74"/>
    <mergeCell ref="D75:E75"/>
    <mergeCell ref="D68:E68"/>
    <mergeCell ref="D69:E69"/>
    <mergeCell ref="D70:E70"/>
    <mergeCell ref="D71:E71"/>
    <mergeCell ref="D64:E64"/>
    <mergeCell ref="D65:E65"/>
    <mergeCell ref="D66:E66"/>
    <mergeCell ref="D67:E67"/>
    <mergeCell ref="D60:E60"/>
    <mergeCell ref="D61:E61"/>
    <mergeCell ref="D62:E62"/>
    <mergeCell ref="D63:E63"/>
    <mergeCell ref="D56:E56"/>
    <mergeCell ref="D57:E57"/>
    <mergeCell ref="D58:E58"/>
    <mergeCell ref="D59:E59"/>
    <mergeCell ref="D52:E52"/>
    <mergeCell ref="D53:E53"/>
    <mergeCell ref="D54:E54"/>
    <mergeCell ref="D55:E55"/>
    <mergeCell ref="D48:E48"/>
    <mergeCell ref="D49:E49"/>
    <mergeCell ref="D50:E50"/>
    <mergeCell ref="D51:E51"/>
    <mergeCell ref="D44:E44"/>
    <mergeCell ref="D45:E45"/>
    <mergeCell ref="D46:E46"/>
    <mergeCell ref="D47:E47"/>
    <mergeCell ref="D40:E40"/>
    <mergeCell ref="D41:E41"/>
    <mergeCell ref="D42:E42"/>
    <mergeCell ref="D43:E43"/>
    <mergeCell ref="D36:E36"/>
    <mergeCell ref="D37:E37"/>
    <mergeCell ref="D38:E38"/>
    <mergeCell ref="D39:E39"/>
    <mergeCell ref="D32:E32"/>
    <mergeCell ref="D33:E33"/>
    <mergeCell ref="D34:E34"/>
    <mergeCell ref="D35:E35"/>
    <mergeCell ref="D28:E28"/>
    <mergeCell ref="D29:E29"/>
    <mergeCell ref="D30:E30"/>
    <mergeCell ref="D31:E31"/>
    <mergeCell ref="D24:E24"/>
    <mergeCell ref="D25:E25"/>
    <mergeCell ref="D26:E26"/>
    <mergeCell ref="D27:E27"/>
    <mergeCell ref="D20:E20"/>
    <mergeCell ref="D21:E21"/>
    <mergeCell ref="D22:E22"/>
    <mergeCell ref="D23:E23"/>
    <mergeCell ref="D16:E16"/>
    <mergeCell ref="D17:E17"/>
    <mergeCell ref="D18:E18"/>
    <mergeCell ref="D19:E19"/>
    <mergeCell ref="D12:E12"/>
    <mergeCell ref="D13:E13"/>
    <mergeCell ref="D14:E14"/>
    <mergeCell ref="D15:E15"/>
    <mergeCell ref="G8:G9"/>
    <mergeCell ref="H8:O9"/>
    <mergeCell ref="D10:E10"/>
    <mergeCell ref="D11:E11"/>
    <mergeCell ref="A8:A9"/>
    <mergeCell ref="B8:D9"/>
    <mergeCell ref="E8:E9"/>
    <mergeCell ref="F8:F9"/>
    <mergeCell ref="G4:G5"/>
    <mergeCell ref="H4:O5"/>
    <mergeCell ref="A6:A7"/>
    <mergeCell ref="B6:D7"/>
    <mergeCell ref="E6:E7"/>
    <mergeCell ref="F6:F7"/>
    <mergeCell ref="G6:G7"/>
    <mergeCell ref="H6:O7"/>
    <mergeCell ref="A4:A5"/>
    <mergeCell ref="B4:D5"/>
    <mergeCell ref="E4:E5"/>
    <mergeCell ref="F4:F5"/>
    <mergeCell ref="A1:O1"/>
    <mergeCell ref="A2:A3"/>
    <mergeCell ref="B2:D3"/>
    <mergeCell ref="E2:E3"/>
    <mergeCell ref="F2:F3"/>
    <mergeCell ref="G2:G3"/>
    <mergeCell ref="H2:O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60"/>
      <c r="C1" s="110" t="s">
        <v>397</v>
      </c>
      <c r="D1" s="78"/>
      <c r="E1" s="78"/>
      <c r="F1" s="78"/>
      <c r="G1" s="78"/>
      <c r="H1" s="78"/>
      <c r="I1" s="78"/>
    </row>
    <row r="2" spans="1:10" ht="12.75">
      <c r="A2" s="79" t="s">
        <v>1</v>
      </c>
      <c r="B2" s="80"/>
      <c r="C2" s="82" t="str">
        <f>'Stavební rozpočet'!D2</f>
        <v>Oddělení následné péče 1.etapa - východní křídlo</v>
      </c>
      <c r="D2" s="91"/>
      <c r="E2" s="85" t="s">
        <v>324</v>
      </c>
      <c r="F2" s="85" t="str">
        <f>'Stavební rozpočet'!J2</f>
        <v>Stodská nemocnice a.s.</v>
      </c>
      <c r="G2" s="80"/>
      <c r="H2" s="85" t="s">
        <v>422</v>
      </c>
      <c r="I2" s="109"/>
      <c r="J2" s="29"/>
    </row>
    <row r="3" spans="1:10" ht="12.75">
      <c r="A3" s="81"/>
      <c r="B3" s="76"/>
      <c r="C3" s="83"/>
      <c r="D3" s="83"/>
      <c r="E3" s="76"/>
      <c r="F3" s="76"/>
      <c r="G3" s="76"/>
      <c r="H3" s="76"/>
      <c r="I3" s="87"/>
      <c r="J3" s="29"/>
    </row>
    <row r="4" spans="1:10" ht="12.75">
      <c r="A4" s="89" t="s">
        <v>2</v>
      </c>
      <c r="B4" s="76"/>
      <c r="C4" s="88" t="str">
        <f>'Stavební rozpočet'!D4</f>
        <v>Zdravotní instalace</v>
      </c>
      <c r="D4" s="76"/>
      <c r="E4" s="88" t="s">
        <v>325</v>
      </c>
      <c r="F4" s="88" t="str">
        <f>'Stavební rozpočet'!J4</f>
        <v>Ing.arch.V.Mastný</v>
      </c>
      <c r="G4" s="76"/>
      <c r="H4" s="88" t="s">
        <v>422</v>
      </c>
      <c r="I4" s="111"/>
      <c r="J4" s="29"/>
    </row>
    <row r="5" spans="1:10" ht="12.75">
      <c r="A5" s="81"/>
      <c r="B5" s="76"/>
      <c r="C5" s="76"/>
      <c r="D5" s="76"/>
      <c r="E5" s="76"/>
      <c r="F5" s="76"/>
      <c r="G5" s="76"/>
      <c r="H5" s="76"/>
      <c r="I5" s="87"/>
      <c r="J5" s="29"/>
    </row>
    <row r="6" spans="1:10" ht="12.75">
      <c r="A6" s="89" t="s">
        <v>3</v>
      </c>
      <c r="B6" s="76"/>
      <c r="C6" s="88" t="str">
        <f>'Stavební rozpočet'!D6</f>
        <v>Stodská nemocnice</v>
      </c>
      <c r="D6" s="76"/>
      <c r="E6" s="88" t="s">
        <v>326</v>
      </c>
      <c r="F6" s="88" t="str">
        <f>'Stavební rozpočet'!J6</f>
        <v>V.Přibyl</v>
      </c>
      <c r="G6" s="76"/>
      <c r="H6" s="88" t="s">
        <v>422</v>
      </c>
      <c r="I6" s="111"/>
      <c r="J6" s="29"/>
    </row>
    <row r="7" spans="1:10" ht="12.75">
      <c r="A7" s="81"/>
      <c r="B7" s="76"/>
      <c r="C7" s="76"/>
      <c r="D7" s="76"/>
      <c r="E7" s="76"/>
      <c r="F7" s="76"/>
      <c r="G7" s="76"/>
      <c r="H7" s="76"/>
      <c r="I7" s="87"/>
      <c r="J7" s="29"/>
    </row>
    <row r="8" spans="1:10" ht="12.75">
      <c r="A8" s="89" t="s">
        <v>307</v>
      </c>
      <c r="B8" s="76"/>
      <c r="C8" s="88" t="str">
        <f>'Stavební rozpočet'!G4</f>
        <v> </v>
      </c>
      <c r="D8" s="76"/>
      <c r="E8" s="88" t="s">
        <v>308</v>
      </c>
      <c r="F8" s="88" t="str">
        <f>'Stavební rozpočet'!G6</f>
        <v> </v>
      </c>
      <c r="G8" s="76"/>
      <c r="H8" s="75" t="s">
        <v>423</v>
      </c>
      <c r="I8" s="111" t="s">
        <v>99</v>
      </c>
      <c r="J8" s="29"/>
    </row>
    <row r="9" spans="1:10" ht="12.75">
      <c r="A9" s="81"/>
      <c r="B9" s="76"/>
      <c r="C9" s="76"/>
      <c r="D9" s="76"/>
      <c r="E9" s="76"/>
      <c r="F9" s="76"/>
      <c r="G9" s="76"/>
      <c r="H9" s="76"/>
      <c r="I9" s="87"/>
      <c r="J9" s="29"/>
    </row>
    <row r="10" spans="1:10" ht="12.75">
      <c r="A10" s="89" t="s">
        <v>4</v>
      </c>
      <c r="B10" s="76"/>
      <c r="C10" s="88" t="str">
        <f>'Stavební rozpočet'!D8</f>
        <v> </v>
      </c>
      <c r="D10" s="76"/>
      <c r="E10" s="88" t="s">
        <v>327</v>
      </c>
      <c r="F10" s="88" t="str">
        <f>'Stavební rozpočet'!J8</f>
        <v>V.Přibyl</v>
      </c>
      <c r="G10" s="76"/>
      <c r="H10" s="75" t="s">
        <v>424</v>
      </c>
      <c r="I10" s="114" t="str">
        <f>'Stavební rozpočet'!G8</f>
        <v>08.06.2018</v>
      </c>
      <c r="J10" s="29"/>
    </row>
    <row r="11" spans="1:10" ht="12.75">
      <c r="A11" s="112"/>
      <c r="B11" s="113"/>
      <c r="C11" s="113"/>
      <c r="D11" s="113"/>
      <c r="E11" s="113"/>
      <c r="F11" s="113"/>
      <c r="G11" s="113"/>
      <c r="H11" s="113"/>
      <c r="I11" s="115"/>
      <c r="J11" s="29"/>
    </row>
    <row r="12" spans="1:9" ht="23.25" customHeight="1">
      <c r="A12" s="118" t="s">
        <v>382</v>
      </c>
      <c r="B12" s="119"/>
      <c r="C12" s="119"/>
      <c r="D12" s="119"/>
      <c r="E12" s="119"/>
      <c r="F12" s="119"/>
      <c r="G12" s="119"/>
      <c r="H12" s="119"/>
      <c r="I12" s="119"/>
    </row>
    <row r="13" spans="1:10" ht="26.25" customHeight="1">
      <c r="A13" s="61" t="s">
        <v>383</v>
      </c>
      <c r="B13" s="120" t="s">
        <v>395</v>
      </c>
      <c r="C13" s="121"/>
      <c r="D13" s="61" t="s">
        <v>398</v>
      </c>
      <c r="E13" s="120" t="s">
        <v>407</v>
      </c>
      <c r="F13" s="121"/>
      <c r="G13" s="61" t="s">
        <v>408</v>
      </c>
      <c r="H13" s="120" t="s">
        <v>425</v>
      </c>
      <c r="I13" s="121"/>
      <c r="J13" s="29"/>
    </row>
    <row r="14" spans="1:10" ht="15" customHeight="1">
      <c r="A14" s="62" t="s">
        <v>384</v>
      </c>
      <c r="B14" s="65" t="s">
        <v>396</v>
      </c>
      <c r="C14" s="68">
        <f>SUM('Stavební rozpočet'!R12:R112)</f>
        <v>0</v>
      </c>
      <c r="D14" s="116" t="s">
        <v>399</v>
      </c>
      <c r="E14" s="117"/>
      <c r="F14" s="68">
        <v>0</v>
      </c>
      <c r="G14" s="116" t="s">
        <v>409</v>
      </c>
      <c r="H14" s="117"/>
      <c r="I14" s="68">
        <v>0</v>
      </c>
      <c r="J14" s="29"/>
    </row>
    <row r="15" spans="1:10" ht="15" customHeight="1">
      <c r="A15" s="63"/>
      <c r="B15" s="65" t="s">
        <v>328</v>
      </c>
      <c r="C15" s="68">
        <f>SUM('Stavební rozpočet'!S12:S112)</f>
        <v>0</v>
      </c>
      <c r="D15" s="116" t="s">
        <v>400</v>
      </c>
      <c r="E15" s="117"/>
      <c r="F15" s="68">
        <v>0</v>
      </c>
      <c r="G15" s="116" t="s">
        <v>410</v>
      </c>
      <c r="H15" s="117"/>
      <c r="I15" s="68">
        <v>0</v>
      </c>
      <c r="J15" s="29"/>
    </row>
    <row r="16" spans="1:10" ht="15" customHeight="1">
      <c r="A16" s="62" t="s">
        <v>385</v>
      </c>
      <c r="B16" s="65" t="s">
        <v>396</v>
      </c>
      <c r="C16" s="68">
        <f>SUM('Stavební rozpočet'!T12:T112)</f>
        <v>0</v>
      </c>
      <c r="D16" s="116" t="s">
        <v>401</v>
      </c>
      <c r="E16" s="117"/>
      <c r="F16" s="68">
        <v>0</v>
      </c>
      <c r="G16" s="116" t="s">
        <v>411</v>
      </c>
      <c r="H16" s="117"/>
      <c r="I16" s="68">
        <v>0</v>
      </c>
      <c r="J16" s="29"/>
    </row>
    <row r="17" spans="1:10" ht="15" customHeight="1">
      <c r="A17" s="63"/>
      <c r="B17" s="65" t="s">
        <v>328</v>
      </c>
      <c r="C17" s="68">
        <f>SUM('Stavební rozpočet'!U12:U112)</f>
        <v>0</v>
      </c>
      <c r="D17" s="116"/>
      <c r="E17" s="117"/>
      <c r="F17" s="69"/>
      <c r="G17" s="116" t="s">
        <v>412</v>
      </c>
      <c r="H17" s="117"/>
      <c r="I17" s="68">
        <v>0</v>
      </c>
      <c r="J17" s="29"/>
    </row>
    <row r="18" spans="1:10" ht="15" customHeight="1">
      <c r="A18" s="62" t="s">
        <v>386</v>
      </c>
      <c r="B18" s="65" t="s">
        <v>396</v>
      </c>
      <c r="C18" s="68">
        <f>SUM('Stavební rozpočet'!V12:V112)</f>
        <v>0</v>
      </c>
      <c r="D18" s="116"/>
      <c r="E18" s="117"/>
      <c r="F18" s="69"/>
      <c r="G18" s="116" t="s">
        <v>413</v>
      </c>
      <c r="H18" s="117"/>
      <c r="I18" s="68">
        <v>0</v>
      </c>
      <c r="J18" s="29"/>
    </row>
    <row r="19" spans="1:10" ht="15" customHeight="1">
      <c r="A19" s="63"/>
      <c r="B19" s="65" t="s">
        <v>328</v>
      </c>
      <c r="C19" s="68">
        <f>SUM('Stavební rozpočet'!W12:W112)</f>
        <v>0</v>
      </c>
      <c r="D19" s="116"/>
      <c r="E19" s="117"/>
      <c r="F19" s="69"/>
      <c r="G19" s="116" t="s">
        <v>414</v>
      </c>
      <c r="H19" s="117"/>
      <c r="I19" s="68">
        <v>0</v>
      </c>
      <c r="J19" s="29"/>
    </row>
    <row r="20" spans="1:10" ht="15" customHeight="1">
      <c r="A20" s="122" t="s">
        <v>387</v>
      </c>
      <c r="B20" s="123"/>
      <c r="C20" s="68">
        <f>SUM('Stavební rozpočet'!X12:X112)</f>
        <v>0</v>
      </c>
      <c r="D20" s="116"/>
      <c r="E20" s="117"/>
      <c r="F20" s="69"/>
      <c r="G20" s="116"/>
      <c r="H20" s="117"/>
      <c r="I20" s="69"/>
      <c r="J20" s="29"/>
    </row>
    <row r="21" spans="1:10" ht="15" customHeight="1">
      <c r="A21" s="122" t="s">
        <v>388</v>
      </c>
      <c r="B21" s="123"/>
      <c r="C21" s="68">
        <f>SUM('Stavební rozpočet'!P12:P112)</f>
        <v>0</v>
      </c>
      <c r="D21" s="116"/>
      <c r="E21" s="117"/>
      <c r="F21" s="69"/>
      <c r="G21" s="116"/>
      <c r="H21" s="117"/>
      <c r="I21" s="69"/>
      <c r="J21" s="29"/>
    </row>
    <row r="22" spans="1:10" ht="16.5" customHeight="1">
      <c r="A22" s="122" t="s">
        <v>389</v>
      </c>
      <c r="B22" s="123"/>
      <c r="C22" s="68">
        <f>SUM(C14:C21)</f>
        <v>0</v>
      </c>
      <c r="D22" s="122" t="s">
        <v>402</v>
      </c>
      <c r="E22" s="123"/>
      <c r="F22" s="68">
        <f>SUM(F14:F21)</f>
        <v>0</v>
      </c>
      <c r="G22" s="122" t="s">
        <v>415</v>
      </c>
      <c r="H22" s="123"/>
      <c r="I22" s="68">
        <f>SUM(I14:I21)</f>
        <v>0</v>
      </c>
      <c r="J22" s="29"/>
    </row>
    <row r="23" spans="1:10" ht="15" customHeight="1">
      <c r="A23" s="7"/>
      <c r="B23" s="7"/>
      <c r="C23" s="66"/>
      <c r="D23" s="122" t="s">
        <v>403</v>
      </c>
      <c r="E23" s="123"/>
      <c r="F23" s="70">
        <v>0</v>
      </c>
      <c r="G23" s="122" t="s">
        <v>416</v>
      </c>
      <c r="H23" s="123"/>
      <c r="I23" s="68">
        <v>0</v>
      </c>
      <c r="J23" s="29"/>
    </row>
    <row r="24" spans="4:10" ht="15" customHeight="1">
      <c r="D24" s="7"/>
      <c r="E24" s="7"/>
      <c r="F24" s="71"/>
      <c r="G24" s="122" t="s">
        <v>417</v>
      </c>
      <c r="H24" s="123"/>
      <c r="I24" s="68">
        <v>0</v>
      </c>
      <c r="J24" s="29"/>
    </row>
    <row r="25" spans="6:10" ht="15" customHeight="1">
      <c r="F25" s="72"/>
      <c r="G25" s="122" t="s">
        <v>418</v>
      </c>
      <c r="H25" s="123"/>
      <c r="I25" s="68">
        <v>0</v>
      </c>
      <c r="J25" s="29"/>
    </row>
    <row r="26" spans="1:9" ht="12.75">
      <c r="A26" s="60"/>
      <c r="B26" s="60"/>
      <c r="C26" s="60"/>
      <c r="G26" s="7"/>
      <c r="H26" s="7"/>
      <c r="I26" s="7"/>
    </row>
    <row r="27" spans="1:9" ht="15" customHeight="1">
      <c r="A27" s="124" t="s">
        <v>390</v>
      </c>
      <c r="B27" s="125"/>
      <c r="C27" s="73">
        <f>SUM('Stavební rozpočet'!Z12:Z112)</f>
        <v>0</v>
      </c>
      <c r="D27" s="67"/>
      <c r="E27" s="60"/>
      <c r="F27" s="60"/>
      <c r="G27" s="60"/>
      <c r="H27" s="60"/>
      <c r="I27" s="60"/>
    </row>
    <row r="28" spans="1:10" ht="15" customHeight="1">
      <c r="A28" s="124" t="s">
        <v>391</v>
      </c>
      <c r="B28" s="125"/>
      <c r="C28" s="73">
        <f>SUM('Stavební rozpočet'!AA12:AA112)</f>
        <v>0</v>
      </c>
      <c r="D28" s="124" t="s">
        <v>404</v>
      </c>
      <c r="E28" s="125"/>
      <c r="F28" s="73">
        <f>ROUND(C28*(15/100),2)</f>
        <v>0</v>
      </c>
      <c r="G28" s="124" t="s">
        <v>419</v>
      </c>
      <c r="H28" s="125"/>
      <c r="I28" s="73">
        <f>SUM(C27:C29)</f>
        <v>0</v>
      </c>
      <c r="J28" s="29"/>
    </row>
    <row r="29" spans="1:10" ht="15" customHeight="1">
      <c r="A29" s="124" t="s">
        <v>392</v>
      </c>
      <c r="B29" s="125"/>
      <c r="C29" s="73">
        <f>SUM('Stavební rozpočet'!AB12:AB112)+(F22+I22+F23+I23+I24+I25)</f>
        <v>0</v>
      </c>
      <c r="D29" s="124" t="s">
        <v>405</v>
      </c>
      <c r="E29" s="125"/>
      <c r="F29" s="73">
        <f>ROUND(C29*(21/100),2)</f>
        <v>0</v>
      </c>
      <c r="G29" s="124" t="s">
        <v>420</v>
      </c>
      <c r="H29" s="125"/>
      <c r="I29" s="73">
        <f>SUM(F28:F29)+I28</f>
        <v>0</v>
      </c>
      <c r="J29" s="29"/>
    </row>
    <row r="30" spans="1:9" ht="12.75">
      <c r="A30" s="64"/>
      <c r="B30" s="64"/>
      <c r="C30" s="64"/>
      <c r="D30" s="64"/>
      <c r="E30" s="64"/>
      <c r="F30" s="64"/>
      <c r="G30" s="64"/>
      <c r="H30" s="64"/>
      <c r="I30" s="64"/>
    </row>
    <row r="31" spans="1:10" ht="14.25" customHeight="1">
      <c r="A31" s="126" t="s">
        <v>393</v>
      </c>
      <c r="B31" s="127"/>
      <c r="C31" s="128"/>
      <c r="D31" s="126" t="s">
        <v>406</v>
      </c>
      <c r="E31" s="127"/>
      <c r="F31" s="128"/>
      <c r="G31" s="126" t="s">
        <v>421</v>
      </c>
      <c r="H31" s="127"/>
      <c r="I31" s="128"/>
      <c r="J31" s="30"/>
    </row>
    <row r="32" spans="1:10" ht="14.25" customHeight="1">
      <c r="A32" s="129"/>
      <c r="B32" s="130"/>
      <c r="C32" s="131"/>
      <c r="D32" s="129"/>
      <c r="E32" s="130"/>
      <c r="F32" s="131"/>
      <c r="G32" s="129"/>
      <c r="H32" s="130"/>
      <c r="I32" s="131"/>
      <c r="J32" s="30"/>
    </row>
    <row r="33" spans="1:10" ht="14.25" customHeight="1">
      <c r="A33" s="129"/>
      <c r="B33" s="130"/>
      <c r="C33" s="131"/>
      <c r="D33" s="129"/>
      <c r="E33" s="130"/>
      <c r="F33" s="131"/>
      <c r="G33" s="129"/>
      <c r="H33" s="130"/>
      <c r="I33" s="131"/>
      <c r="J33" s="30"/>
    </row>
    <row r="34" spans="1:10" ht="14.25" customHeight="1">
      <c r="A34" s="129"/>
      <c r="B34" s="130"/>
      <c r="C34" s="131"/>
      <c r="D34" s="129"/>
      <c r="E34" s="130"/>
      <c r="F34" s="131"/>
      <c r="G34" s="129"/>
      <c r="H34" s="130"/>
      <c r="I34" s="131"/>
      <c r="J34" s="30"/>
    </row>
    <row r="35" spans="1:10" ht="14.25" customHeight="1">
      <c r="A35" s="132" t="s">
        <v>394</v>
      </c>
      <c r="B35" s="133"/>
      <c r="C35" s="134"/>
      <c r="D35" s="132" t="s">
        <v>394</v>
      </c>
      <c r="E35" s="133"/>
      <c r="F35" s="134"/>
      <c r="G35" s="132" t="s">
        <v>394</v>
      </c>
      <c r="H35" s="133"/>
      <c r="I35" s="134"/>
      <c r="J35" s="30"/>
    </row>
    <row r="36" spans="1:9" ht="11.25" customHeight="1">
      <c r="A36" s="50" t="s">
        <v>100</v>
      </c>
      <c r="B36" s="46"/>
      <c r="C36" s="46"/>
      <c r="D36" s="46"/>
      <c r="E36" s="46"/>
      <c r="F36" s="46"/>
      <c r="G36" s="46"/>
      <c r="H36" s="46"/>
      <c r="I36" s="46"/>
    </row>
    <row r="37" spans="1:9" ht="12.75">
      <c r="A37" s="88"/>
      <c r="B37" s="76"/>
      <c r="C37" s="76"/>
      <c r="D37" s="76"/>
      <c r="E37" s="76"/>
      <c r="F37" s="76"/>
      <c r="G37" s="76"/>
      <c r="H37" s="76"/>
      <c r="I37" s="76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G24:H24"/>
    <mergeCell ref="G25:H25"/>
    <mergeCell ref="A27:B27"/>
    <mergeCell ref="A28:B28"/>
    <mergeCell ref="D28:E28"/>
    <mergeCell ref="G28:H28"/>
    <mergeCell ref="A22:B22"/>
    <mergeCell ref="D22:E22"/>
    <mergeCell ref="G22:H22"/>
    <mergeCell ref="D23:E23"/>
    <mergeCell ref="G23:H23"/>
    <mergeCell ref="A20:B20"/>
    <mergeCell ref="D20:E20"/>
    <mergeCell ref="G20:H20"/>
    <mergeCell ref="A21:B21"/>
    <mergeCell ref="D21:E21"/>
    <mergeCell ref="G21:H21"/>
    <mergeCell ref="D18:E18"/>
    <mergeCell ref="G18:H18"/>
    <mergeCell ref="D19:E19"/>
    <mergeCell ref="G19:H19"/>
    <mergeCell ref="D16:E16"/>
    <mergeCell ref="G16:H16"/>
    <mergeCell ref="D17:E17"/>
    <mergeCell ref="G17:H17"/>
    <mergeCell ref="C8:D9"/>
    <mergeCell ref="D14:E14"/>
    <mergeCell ref="G14:H14"/>
    <mergeCell ref="D15:E15"/>
    <mergeCell ref="G15:H15"/>
    <mergeCell ref="A12:I12"/>
    <mergeCell ref="B13:C13"/>
    <mergeCell ref="E13:F13"/>
    <mergeCell ref="H13:I13"/>
    <mergeCell ref="I6:I7"/>
    <mergeCell ref="H8:H9"/>
    <mergeCell ref="I8:I9"/>
    <mergeCell ref="A10:B11"/>
    <mergeCell ref="C10:D11"/>
    <mergeCell ref="E10:E11"/>
    <mergeCell ref="F10:G11"/>
    <mergeCell ref="H10:H11"/>
    <mergeCell ref="I10:I11"/>
    <mergeCell ref="A8:B9"/>
    <mergeCell ref="H2:H3"/>
    <mergeCell ref="E8:E9"/>
    <mergeCell ref="F8:G9"/>
    <mergeCell ref="H4:H5"/>
    <mergeCell ref="I4:I5"/>
    <mergeCell ref="A6:B7"/>
    <mergeCell ref="C6:D7"/>
    <mergeCell ref="E6:E7"/>
    <mergeCell ref="F6:G7"/>
    <mergeCell ref="H6:H7"/>
    <mergeCell ref="I2:I3"/>
    <mergeCell ref="A4:B5"/>
    <mergeCell ref="C4:D5"/>
    <mergeCell ref="E4:E5"/>
    <mergeCell ref="F4:G5"/>
    <mergeCell ref="C1:I1"/>
    <mergeCell ref="A2:B3"/>
    <mergeCell ref="C2:D3"/>
    <mergeCell ref="E2:E3"/>
    <mergeCell ref="F2:G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Přibyl</dc:creator>
  <cp:keywords/>
  <dc:description/>
  <cp:lastModifiedBy>Radka Tolarová</cp:lastModifiedBy>
  <dcterms:created xsi:type="dcterms:W3CDTF">2018-06-08T09:16:09Z</dcterms:created>
  <dcterms:modified xsi:type="dcterms:W3CDTF">2019-07-29T09:45:15Z</dcterms:modified>
  <cp:category/>
  <cp:version/>
  <cp:contentType/>
  <cp:contentStatus/>
</cp:coreProperties>
</file>