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035" windowWidth="29040" windowHeight="11085" firstSheet="2" activeTab="2"/>
  </bookViews>
  <sheets>
    <sheet name="SO101end" sheetId="1" r:id="rId1"/>
    <sheet name="SO.GABIONY, TERRAMESH, TRATIVOD" sheetId="2" r:id="rId2"/>
    <sheet name="SO.101- tabulka PK" sheetId="3" r:id="rId3"/>
    <sheet name="BILANCE" sheetId="4" r:id="rId4"/>
    <sheet name="SO.110-DIO" sheetId="5" r:id="rId5"/>
    <sheet name="SO.110B-DIO " sheetId="6" r:id="rId6"/>
    <sheet name="SO.110C-DIO" sheetId="7" r:id="rId7"/>
    <sheet name="SO.110D-DO - objíždka" sheetId="8" r:id="rId8"/>
    <sheet name="Propustky" sheetId="9" r:id="rId9"/>
    <sheet name="Propustky_celkem" sheetId="10" r:id="rId10"/>
    <sheet name="List3" sheetId="11" r:id="rId11"/>
    <sheet name="List1" sheetId="12" r:id="rId12"/>
    <sheet name="List2" sheetId="13" r:id="rId13"/>
  </sheets>
  <externalReferences>
    <externalReference r:id="rId16"/>
  </externalReferences>
  <definedNames>
    <definedName name="Excel_BuiltIn_Print_Area_1">#REF!</definedName>
    <definedName name="Excel_BuiltIn_Print_Area_2">#REF!</definedName>
    <definedName name="Excel_BuiltIn_Print_Area_9">#REF!</definedName>
    <definedName name="_xlnm.Print_Titles" localSheetId="9">'Propustky_celkem'!$1:$5</definedName>
  </definedNames>
  <calcPr fullCalcOnLoad="1"/>
</workbook>
</file>

<file path=xl/sharedStrings.xml><?xml version="1.0" encoding="utf-8"?>
<sst xmlns="http://schemas.openxmlformats.org/spreadsheetml/2006/main" count="2820" uniqueCount="774">
  <si>
    <t>staničení</t>
  </si>
  <si>
    <t>výkop</t>
  </si>
  <si>
    <t>násyp</t>
  </si>
  <si>
    <t>AZv</t>
  </si>
  <si>
    <t>vzdál.</t>
  </si>
  <si>
    <t>ŠD</t>
  </si>
  <si>
    <t>příč. řezů</t>
  </si>
  <si>
    <t>km</t>
  </si>
  <si>
    <t>m2</t>
  </si>
  <si>
    <t>m</t>
  </si>
  <si>
    <t>m3</t>
  </si>
  <si>
    <t>celkem</t>
  </si>
  <si>
    <t>Celá</t>
  </si>
  <si>
    <t>kce</t>
  </si>
  <si>
    <t>krajnice</t>
  </si>
  <si>
    <t>zemní</t>
  </si>
  <si>
    <t>odstr.</t>
  </si>
  <si>
    <t>Terram</t>
  </si>
  <si>
    <t>vozovky</t>
  </si>
  <si>
    <t>výkopů</t>
  </si>
  <si>
    <t>násypů</t>
  </si>
  <si>
    <t>kam.mat</t>
  </si>
  <si>
    <t>svah</t>
  </si>
  <si>
    <t>pero</t>
  </si>
  <si>
    <t>obsyp</t>
  </si>
  <si>
    <t>V/N</t>
  </si>
  <si>
    <t>ZÁSYP</t>
  </si>
  <si>
    <t>GAB</t>
  </si>
  <si>
    <t>poloskal.</t>
  </si>
  <si>
    <t>VÝKAZ VÝMĚR</t>
  </si>
  <si>
    <t>SCHÉMA</t>
  </si>
  <si>
    <t>A10</t>
  </si>
  <si>
    <t xml:space="preserve">A 15 </t>
  </si>
  <si>
    <t xml:space="preserve">A 15 + fluor.podklad </t>
  </si>
  <si>
    <t>B 1</t>
  </si>
  <si>
    <t>B 20a - 30 km/h</t>
  </si>
  <si>
    <t>B 20a - 50 km/h</t>
  </si>
  <si>
    <t xml:space="preserve"> </t>
  </si>
  <si>
    <t>B 20a - 70 km/h</t>
  </si>
  <si>
    <t>B 21a</t>
  </si>
  <si>
    <t>B 26</t>
  </si>
  <si>
    <t>C 3a</t>
  </si>
  <si>
    <t>C 4b</t>
  </si>
  <si>
    <t>IJ 4b</t>
  </si>
  <si>
    <t>E 3a</t>
  </si>
  <si>
    <t>Z 2 + 3 světla</t>
  </si>
  <si>
    <t>1x</t>
  </si>
  <si>
    <t>Stavba:  II/169 A II/145  DLOUHÁ VES - RADEŠOV, ÚSEK "C"</t>
  </si>
  <si>
    <t>SO.110C - DIO pro SO.103+104</t>
  </si>
  <si>
    <t xml:space="preserve"> C/5</t>
  </si>
  <si>
    <t>35dní</t>
  </si>
  <si>
    <t xml:space="preserve">Z 4 </t>
  </si>
  <si>
    <t>12+3</t>
  </si>
  <si>
    <t>úsek cca 200m</t>
  </si>
  <si>
    <t>instalace na 6 úsecích v délce cca 200m</t>
  </si>
  <si>
    <t xml:space="preserve">délka úpravy průměrně </t>
  </si>
  <si>
    <t>příčná čára V5</t>
  </si>
  <si>
    <t>2*3,5= 7m</t>
  </si>
  <si>
    <t>SO.110B - DIO pro opravu propustků</t>
  </si>
  <si>
    <t>úsek do 50m</t>
  </si>
  <si>
    <t xml:space="preserve"> C/6</t>
  </si>
  <si>
    <t>30dní</t>
  </si>
  <si>
    <t>A 6b</t>
  </si>
  <si>
    <t>SOUČET pro jeden úsek</t>
  </si>
  <si>
    <t>5+3</t>
  </si>
  <si>
    <t>B 26b</t>
  </si>
  <si>
    <t>P 7</t>
  </si>
  <si>
    <t>P 8</t>
  </si>
  <si>
    <t>instalace v místě rekonstrukce 10 propustků                                                                          po polovinách  ( tj. přemístění značek do protisměru)</t>
  </si>
  <si>
    <t>schéma C/6 upraveno     na extravilán</t>
  </si>
  <si>
    <t>SO.110 - DIO trasa</t>
  </si>
  <si>
    <t>10*3,5</t>
  </si>
  <si>
    <t>SOUČET úseku</t>
  </si>
  <si>
    <t>KÚ - KŘIŽOVATKA</t>
  </si>
  <si>
    <t>postupná instalace                                                                                                               možná na 2-3 místech současně                                                                                              ( nelze současně                 s výstavbou  SO.103,SO.104)                                                   ccca 10úseků</t>
  </si>
  <si>
    <t>SSZ - dvoucestné</t>
  </si>
  <si>
    <t>1x / 4cestné</t>
  </si>
  <si>
    <t>4*3,5</t>
  </si>
  <si>
    <t>5ti řada  3x</t>
  </si>
  <si>
    <r>
      <t>SSZ -2</t>
    </r>
    <r>
      <rPr>
        <b/>
        <i/>
        <sz val="10"/>
        <rFont val="Arial"/>
        <family val="2"/>
      </rPr>
      <t>cestné</t>
    </r>
  </si>
  <si>
    <r>
      <t xml:space="preserve">SSZ - </t>
    </r>
    <r>
      <rPr>
        <b/>
        <i/>
        <sz val="10"/>
        <rFont val="Arial"/>
        <family val="2"/>
      </rPr>
      <t>2cestné</t>
    </r>
  </si>
  <si>
    <t>bez rozšíření</t>
  </si>
  <si>
    <t>ŠD 100mm</t>
  </si>
  <si>
    <t>ZEĎ</t>
  </si>
  <si>
    <t>zásyp</t>
  </si>
  <si>
    <t>*)</t>
  </si>
  <si>
    <t>*) zálivy</t>
  </si>
  <si>
    <t>BEZ VÝKOPU PRO OPĚRNOU ZEĎ</t>
  </si>
  <si>
    <t>ODSTRANIT:</t>
  </si>
  <si>
    <t>Asfaltová komunikace:</t>
  </si>
  <si>
    <t>Sjezdy - štěrk:</t>
  </si>
  <si>
    <t>tl. 150 mm</t>
  </si>
  <si>
    <t>Řezání asfaltu:</t>
  </si>
  <si>
    <t>Svodidlo JSNH</t>
  </si>
  <si>
    <t>ZEMNÍ PRÁCE:</t>
  </si>
  <si>
    <t>Výkop:</t>
  </si>
  <si>
    <t>Násyp:</t>
  </si>
  <si>
    <t>Úprava pláně:</t>
  </si>
  <si>
    <t>Úprava parapláně:</t>
  </si>
  <si>
    <t>tl. 100 mm</t>
  </si>
  <si>
    <t>PLOCHY:</t>
  </si>
  <si>
    <t>Vozovka:</t>
  </si>
  <si>
    <t>8790+286+74+310-884</t>
  </si>
  <si>
    <t>z toho celá kce</t>
  </si>
  <si>
    <t>Sjezdy - asfalt:</t>
  </si>
  <si>
    <t>74+310</t>
  </si>
  <si>
    <t>Vozovka BUS:</t>
  </si>
  <si>
    <t>103+343</t>
  </si>
  <si>
    <t>KONSTRUKCE VOZOVKY - RÝHA, CELÁ KCE:</t>
  </si>
  <si>
    <t>ABS I</t>
  </si>
  <si>
    <t>tl. 40 mm</t>
  </si>
  <si>
    <t>ABVH I</t>
  </si>
  <si>
    <t>Obalované kamenivo hrubozrnné (ACP 22+ 50/70)</t>
  </si>
  <si>
    <t>OKH I</t>
  </si>
  <si>
    <t>tl. 70 mm</t>
  </si>
  <si>
    <t>Štěrkodrť</t>
  </si>
  <si>
    <t>KONSTRUKCE BUS:</t>
  </si>
  <si>
    <t>Dlažba žulová</t>
  </si>
  <si>
    <t>DL II</t>
  </si>
  <si>
    <t>tl. 160 mm</t>
  </si>
  <si>
    <t>Ložná vrstva dlažby</t>
  </si>
  <si>
    <t>L</t>
  </si>
  <si>
    <t>tl. 250 mm</t>
  </si>
  <si>
    <t>PROPUSTEK - sjezdy:</t>
  </si>
  <si>
    <t>dl.</t>
  </si>
  <si>
    <t>OSTATNÍ:</t>
  </si>
  <si>
    <t>Asfaltová zálivka:</t>
  </si>
  <si>
    <t>Čištění příkopů:</t>
  </si>
  <si>
    <t>Zábradlí se svislou výplní</t>
  </si>
  <si>
    <t>Trativod:</t>
  </si>
  <si>
    <t>ks</t>
  </si>
  <si>
    <t>Vodorovné dopravní značení:</t>
  </si>
  <si>
    <t>Svislé dopravní značení - vyměnit:</t>
  </si>
  <si>
    <t>A 2a</t>
  </si>
  <si>
    <t>E 2b</t>
  </si>
  <si>
    <t>IS 3a</t>
  </si>
  <si>
    <t>IS 3d</t>
  </si>
  <si>
    <t>IS 16d</t>
  </si>
  <si>
    <t>IS 24a</t>
  </si>
  <si>
    <t>IS 24b</t>
  </si>
  <si>
    <t>Směrové sloupky:</t>
  </si>
  <si>
    <t>směrové sloupky bílé</t>
  </si>
  <si>
    <t>směrové sloupky červené - sjezdy</t>
  </si>
  <si>
    <t xml:space="preserve"> - odstranění dalších konstrukčních vrstev dle TPK</t>
  </si>
  <si>
    <t xml:space="preserve"> - frézování - celá plocha stávající vozovky</t>
  </si>
  <si>
    <t>PROPUSTKY:</t>
  </si>
  <si>
    <t>SO.101 -REKONSTRUCE SIL. II/169 A II/145 Dlouhá Ves - Radešov</t>
  </si>
  <si>
    <t>VÝKAZ  PLOCH  A  KUBATUR</t>
  </si>
  <si>
    <t>GREEN TERRAMESH</t>
  </si>
  <si>
    <t>postupně dle PP a RZ</t>
  </si>
  <si>
    <t>km 4,292 - 4,319</t>
  </si>
  <si>
    <t>počet</t>
  </si>
  <si>
    <t>vrstev</t>
  </si>
  <si>
    <t xml:space="preserve">délka </t>
  </si>
  <si>
    <t>kotvení</t>
  </si>
  <si>
    <t>3m</t>
  </si>
  <si>
    <t>délka</t>
  </si>
  <si>
    <t>GABIONY</t>
  </si>
  <si>
    <t>objem</t>
  </si>
  <si>
    <t>km 4,430-4,510 vpravo</t>
  </si>
  <si>
    <t xml:space="preserve">    dtto vlevo</t>
  </si>
  <si>
    <t>km 5,967 -6,140</t>
  </si>
  <si>
    <t>km 6,140-6,270</t>
  </si>
  <si>
    <t>km 6,270-6,320</t>
  </si>
  <si>
    <t>km 4,670- 4,770</t>
  </si>
  <si>
    <t>km 4,770- 4,845</t>
  </si>
  <si>
    <t>plocha</t>
  </si>
  <si>
    <t>Asfaltový beton střednězrnný (ACO 11S  PMB 25/55-55)</t>
  </si>
  <si>
    <t>PS-E</t>
  </si>
  <si>
    <t>Asfaltový beton velmi hrubý (ACL 22S  PMB 25/55-55))</t>
  </si>
  <si>
    <t>tl. 90 mm</t>
  </si>
  <si>
    <t>tl. 180 mm</t>
  </si>
  <si>
    <t>Svodidlo JSNH/2</t>
  </si>
  <si>
    <t xml:space="preserve">                            </t>
  </si>
  <si>
    <t>TRATIVODY</t>
  </si>
  <si>
    <t>0,7*0,5</t>
  </si>
  <si>
    <t>dno příkopu</t>
  </si>
  <si>
    <t xml:space="preserve">0,7*0,5 </t>
  </si>
  <si>
    <t>dorovnání kamenivem do úrovně krajnice viz. TPK</t>
  </si>
  <si>
    <t>dno +zásyp</t>
  </si>
  <si>
    <t>0,8*0,5</t>
  </si>
  <si>
    <t>km 5,220 - 5,340</t>
  </si>
  <si>
    <t>dno+zásyp</t>
  </si>
  <si>
    <t>h*š</t>
  </si>
  <si>
    <t>1*0,4</t>
  </si>
  <si>
    <t>sk</t>
  </si>
  <si>
    <t>0,6*0,4</t>
  </si>
  <si>
    <t xml:space="preserve">PATNÍ trativod gabionu </t>
  </si>
  <si>
    <t>DN 110</t>
  </si>
  <si>
    <t>DN 200</t>
  </si>
  <si>
    <t xml:space="preserve">perforace </t>
  </si>
  <si>
    <t>220 st</t>
  </si>
  <si>
    <t>bez perforace</t>
  </si>
  <si>
    <t>PVC flex.</t>
  </si>
  <si>
    <t xml:space="preserve">                vyústění cca á 50m</t>
  </si>
  <si>
    <t xml:space="preserve">15ks </t>
  </si>
  <si>
    <t>á 6m</t>
  </si>
  <si>
    <t>peroŠD</t>
  </si>
  <si>
    <t>Terram.</t>
  </si>
  <si>
    <t>DLE STÁVAJÍCÍCH</t>
  </si>
  <si>
    <t>A 18</t>
  </si>
  <si>
    <t>A 22</t>
  </si>
  <si>
    <t>IS 4a</t>
  </si>
  <si>
    <t>IS 4c</t>
  </si>
  <si>
    <t>IS 21a</t>
  </si>
  <si>
    <t>IS 21c</t>
  </si>
  <si>
    <t>IS 23</t>
  </si>
  <si>
    <t>velká</t>
  </si>
  <si>
    <t>velká na příhr. Sloupcích</t>
  </si>
  <si>
    <t>IJ 7</t>
  </si>
  <si>
    <t>P1</t>
  </si>
  <si>
    <t>E 4</t>
  </si>
  <si>
    <t>E 6</t>
  </si>
  <si>
    <t>E 7b</t>
  </si>
  <si>
    <t>IS 9</t>
  </si>
  <si>
    <t>směrové sloupky bílé - nástavec na svodidla</t>
  </si>
  <si>
    <t>sloupky standard</t>
  </si>
  <si>
    <t>V1a</t>
  </si>
  <si>
    <t>1255+400+75</t>
  </si>
  <si>
    <t>0,125m</t>
  </si>
  <si>
    <t>V2b</t>
  </si>
  <si>
    <t>0,125m          kadence  3/1,5</t>
  </si>
  <si>
    <t>500+145</t>
  </si>
  <si>
    <t>V4</t>
  </si>
  <si>
    <t>0,250m</t>
  </si>
  <si>
    <t>2300+20+39+2310+20+60</t>
  </si>
  <si>
    <t>0,250m          kadence  0,5/0,5</t>
  </si>
  <si>
    <t>17+14    +7+14</t>
  </si>
  <si>
    <t>V11a</t>
  </si>
  <si>
    <t xml:space="preserve">ocelové </t>
  </si>
  <si>
    <t>ocelové</t>
  </si>
  <si>
    <t>bílá !!!</t>
  </si>
  <si>
    <t>26,5+36,5+26,5+36,5</t>
  </si>
  <si>
    <t>nápis BUS</t>
  </si>
  <si>
    <t>V12a</t>
  </si>
  <si>
    <t>žlutá !!!</t>
  </si>
  <si>
    <t>15+13+15+10</t>
  </si>
  <si>
    <t>0,125m  ( klíny  zastávkových zálivů)</t>
  </si>
  <si>
    <t>707+185+501+3</t>
  </si>
  <si>
    <t>DÉLKA  ÚPRAVY</t>
  </si>
  <si>
    <t>2385 m</t>
  </si>
  <si>
    <t>min.2x  v celé délce + napříč</t>
  </si>
  <si>
    <t>2*2385+20*6,5</t>
  </si>
  <si>
    <t>80mm</t>
  </si>
  <si>
    <r>
      <t>Postřik spojovací emulzí 0,3 kg/m</t>
    </r>
    <r>
      <rPr>
        <vertAlign val="super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 xml:space="preserve"> (C 60 BP 2)</t>
    </r>
  </si>
  <si>
    <t>Betonová zídka</t>
  </si>
  <si>
    <t>15,6*0,7*1,6</t>
  </si>
  <si>
    <t>v krajnici</t>
  </si>
  <si>
    <t>Betonové bloky ukotvení svodidel</t>
  </si>
  <si>
    <t>11*1,0*1,0*1,5</t>
  </si>
  <si>
    <t>26mm</t>
  </si>
  <si>
    <t>hřeb</t>
  </si>
  <si>
    <t xml:space="preserve">NÁSYP </t>
  </si>
  <si>
    <t xml:space="preserve">SO.110D - DO - objíždka </t>
  </si>
  <si>
    <t xml:space="preserve">délka objížky </t>
  </si>
  <si>
    <t xml:space="preserve">plocha zpevnění </t>
  </si>
  <si>
    <t>plocha násypu</t>
  </si>
  <si>
    <t xml:space="preserve">   konstrukce </t>
  </si>
  <si>
    <t>silničí panely</t>
  </si>
  <si>
    <t>150mm</t>
  </si>
  <si>
    <t>150 mm</t>
  </si>
  <si>
    <t>lože Šp</t>
  </si>
  <si>
    <t>průměrná výška</t>
  </si>
  <si>
    <t>1,8m</t>
  </si>
  <si>
    <t>356m2</t>
  </si>
  <si>
    <t>100  mm</t>
  </si>
  <si>
    <t>1,7 m</t>
  </si>
  <si>
    <t>objem násypu</t>
  </si>
  <si>
    <t>359*1,7</t>
  </si>
  <si>
    <t>dosypání zemních krajnic</t>
  </si>
  <si>
    <t>(65+42)*1,5</t>
  </si>
  <si>
    <t>(65+42)*1,5*0,45</t>
  </si>
  <si>
    <t>plocha krajnic</t>
  </si>
  <si>
    <t xml:space="preserve">provizorní propust </t>
  </si>
  <si>
    <t>2xDN 100</t>
  </si>
  <si>
    <t>délka 16m</t>
  </si>
  <si>
    <t>46kg/bm</t>
  </si>
  <si>
    <t xml:space="preserve">     materiál  Hel-Cor 68x13</t>
  </si>
  <si>
    <t>výkop ve dně vodoteče pro zřízení provizorních propustků</t>
  </si>
  <si>
    <t>18*(1+2,3)</t>
  </si>
  <si>
    <t xml:space="preserve">zpětná úprava koryta </t>
  </si>
  <si>
    <t>zához LK</t>
  </si>
  <si>
    <t>betonové prahy před a za provizoriem</t>
  </si>
  <si>
    <t>2*6m*0,3*0,8</t>
  </si>
  <si>
    <t xml:space="preserve">         výkop rýhy</t>
  </si>
  <si>
    <t>KÁCENÍ</t>
  </si>
  <si>
    <t>vrba+olše</t>
  </si>
  <si>
    <t>do 30cm</t>
  </si>
  <si>
    <t>křoví</t>
  </si>
  <si>
    <t xml:space="preserve">vícekmeny </t>
  </si>
  <si>
    <t>( km 4,475-4,503)</t>
  </si>
  <si>
    <t>km 6,320-6,350</t>
  </si>
  <si>
    <t>km 6,350-6,415</t>
  </si>
  <si>
    <t>km 4,145 - 4,670</t>
  </si>
  <si>
    <t xml:space="preserve">  +12m  </t>
  </si>
  <si>
    <t>napříč</t>
  </si>
  <si>
    <t>vlevo:</t>
  </si>
  <si>
    <t>vpravo:</t>
  </si>
  <si>
    <t>km 4,847 - 4,93350</t>
  </si>
  <si>
    <t>km 4,978 - 5,072</t>
  </si>
  <si>
    <t>km 4,670 - 4,800</t>
  </si>
  <si>
    <t>km 4,800 - 5,220</t>
  </si>
  <si>
    <t>km 5,340 - 6,380</t>
  </si>
  <si>
    <t>podél zastávkových zastávek</t>
  </si>
  <si>
    <t>27+45</t>
  </si>
  <si>
    <t>SKLUZ</t>
  </si>
  <si>
    <t xml:space="preserve">VPUSŤ </t>
  </si>
  <si>
    <t>DRENÁŽNÍ ŠACHTICE</t>
  </si>
  <si>
    <t>vlevo</t>
  </si>
  <si>
    <t>vpravo</t>
  </si>
  <si>
    <t>13+2</t>
  </si>
  <si>
    <t>ZEMNÍ JÍMKY</t>
  </si>
  <si>
    <t>3x2x2</t>
  </si>
  <si>
    <t>ŠACHTA</t>
  </si>
  <si>
    <t>výtok z trativodu - LK v rýze</t>
  </si>
  <si>
    <t>3392+3426+1381+951+2237+860+4267</t>
  </si>
  <si>
    <t>121+94</t>
  </si>
  <si>
    <t>4071+2020*0,01</t>
  </si>
  <si>
    <t>4071+2020*0,60</t>
  </si>
  <si>
    <t>4071+2020*0,40</t>
  </si>
  <si>
    <t>4071+2020*0,20</t>
  </si>
  <si>
    <t>4071+2020*0,08</t>
  </si>
  <si>
    <t>VIZ CELÁ PLOCHA</t>
  </si>
  <si>
    <t>KONSTRUKCE VOZOVKY - (PO  ODFRÉZOVÁNÍ 80mm):</t>
  </si>
  <si>
    <t>35+17</t>
  </si>
  <si>
    <t>Sjezdy - ASF.</t>
  </si>
  <si>
    <t>70+20+3+27</t>
  </si>
  <si>
    <t>16367+2385*0,01</t>
  </si>
  <si>
    <t>16367+2385*0,08</t>
  </si>
  <si>
    <t>16367+2385*0,20</t>
  </si>
  <si>
    <t>121+94+(119+60)*0,45</t>
  </si>
  <si>
    <t>Bednění po okraji desky</t>
  </si>
  <si>
    <t>NEJSOU NEBO JSOU NAHRAZENY TRATIVODEM</t>
  </si>
  <si>
    <t>VIZ SAMOSTATNÝ LIST</t>
  </si>
  <si>
    <t>ZAŘAZENO  DO   SO.102</t>
  </si>
  <si>
    <t>OSTATNÍ</t>
  </si>
  <si>
    <t>km 4,933 50</t>
  </si>
  <si>
    <t>719+322+500,2+488+252</t>
  </si>
  <si>
    <t>dle TPK + stavebná jáma pro SO.201  97m2</t>
  </si>
  <si>
    <t xml:space="preserve"> - odstranění dalších konstr. vrstev při budování propustků</t>
  </si>
  <si>
    <t xml:space="preserve">Svodidlo na mostě </t>
  </si>
  <si>
    <t>bez  náběhů,  sloupky po 2m</t>
  </si>
  <si>
    <t>včetně náběhů,  sloupky 2-4m</t>
  </si>
  <si>
    <t>47+32</t>
  </si>
  <si>
    <t xml:space="preserve">Bet deska z betonu C30/37 XF4 </t>
  </si>
  <si>
    <t>obostr vyztužená KARI sítí KY 49 8/100x8/100</t>
  </si>
  <si>
    <t>215*2+66*4*1</t>
  </si>
  <si>
    <t>m2… kg</t>
  </si>
  <si>
    <t>(119+60+27+45)*0,25</t>
  </si>
  <si>
    <t xml:space="preserve">v místě sjezdů </t>
  </si>
  <si>
    <t>2385*2+65</t>
  </si>
  <si>
    <t>kanalizační přípojky</t>
  </si>
  <si>
    <t>DN150:  12+16=28m</t>
  </si>
  <si>
    <t>DN200 = 3m</t>
  </si>
  <si>
    <t>km 4,510 - 4,590</t>
  </si>
  <si>
    <t>km 4,590 - 4,630</t>
  </si>
  <si>
    <t>km 4,630 - 4,670</t>
  </si>
  <si>
    <t>km 4,129 - 4,292</t>
  </si>
  <si>
    <t>km 4,327 - 4,350</t>
  </si>
  <si>
    <t>km 4,350 - 4,390</t>
  </si>
  <si>
    <t>km 4,390 - 4,430</t>
  </si>
  <si>
    <t>km 5,170 - 5,190</t>
  </si>
  <si>
    <t>km 5,190 - 6,218</t>
  </si>
  <si>
    <t>plocha svahu</t>
  </si>
  <si>
    <t>920*0,7</t>
  </si>
  <si>
    <t>plocha  pohledová</t>
  </si>
  <si>
    <t xml:space="preserve">do 2m </t>
  </si>
  <si>
    <t>nad 2m</t>
  </si>
  <si>
    <t>odvod.pero</t>
  </si>
  <si>
    <t>horn 5-7</t>
  </si>
  <si>
    <t>57,0 m3</t>
  </si>
  <si>
    <t>z toho frézovaná</t>
  </si>
  <si>
    <t xml:space="preserve">celkem      </t>
  </si>
  <si>
    <t>13055,3 m3</t>
  </si>
  <si>
    <t>HŘEBÍK</t>
  </si>
  <si>
    <t>HORN.4</t>
  </si>
  <si>
    <t xml:space="preserve">HORN.3 </t>
  </si>
  <si>
    <t>HORN.5</t>
  </si>
  <si>
    <t>HORN.6</t>
  </si>
  <si>
    <t>HORN.7</t>
  </si>
  <si>
    <t>VÝKOP VLEVO</t>
  </si>
  <si>
    <t xml:space="preserve">HŘEBÍK </t>
  </si>
  <si>
    <t>SKÁLA</t>
  </si>
  <si>
    <t>ostatní 3-6</t>
  </si>
  <si>
    <t>podíl ost.</t>
  </si>
  <si>
    <t>AZV</t>
  </si>
  <si>
    <t xml:space="preserve">KÁCENÍ </t>
  </si>
  <si>
    <t>2800+20+25+88</t>
  </si>
  <si>
    <t>ha</t>
  </si>
  <si>
    <t>hustý porost 100-160mm</t>
  </si>
  <si>
    <t>hustý porost 160-240mm</t>
  </si>
  <si>
    <t>řídký porost 100-160mm</t>
  </si>
  <si>
    <t>řídký porost 160-240mm</t>
  </si>
  <si>
    <t xml:space="preserve">  3240*0,5</t>
  </si>
  <si>
    <t>4208,5*0,2</t>
  </si>
  <si>
    <t>2153*0,5</t>
  </si>
  <si>
    <t>4365*0,4</t>
  </si>
  <si>
    <t>4365*0,6</t>
  </si>
  <si>
    <t>4208*0,1</t>
  </si>
  <si>
    <t xml:space="preserve">PROPUSTKY </t>
  </si>
  <si>
    <t>SO.101</t>
  </si>
  <si>
    <t>REKONSTRUKCE SIL. II/169 A II/145 DLOUHÁ VES - RADEŠOV</t>
  </si>
  <si>
    <t>km 4,336 00</t>
  </si>
  <si>
    <t xml:space="preserve"> = nový propustek</t>
  </si>
  <si>
    <t>Terramesh + vtoková jímka</t>
  </si>
  <si>
    <t>Trouba TZH 600/2500:</t>
  </si>
  <si>
    <t xml:space="preserve"> - Podkladní prah IZX 12/80:</t>
  </si>
  <si>
    <t>2*5</t>
  </si>
  <si>
    <t xml:space="preserve"> - Obetonování: C 25/30 XF2:</t>
  </si>
  <si>
    <t>tl. 200 mm</t>
  </si>
  <si>
    <r>
      <t>m</t>
    </r>
    <r>
      <rPr>
        <b/>
        <vertAlign val="superscript"/>
        <sz val="10"/>
        <rFont val="Arial"/>
        <family val="2"/>
      </rPr>
      <t>3</t>
    </r>
  </si>
  <si>
    <t>10,5*(1,2*1-3,14*0,4*0,4)</t>
  </si>
  <si>
    <t xml:space="preserve"> - KARI - síť ø 8/100 x 8/100 (KY 49):</t>
  </si>
  <si>
    <t>obetonování</t>
  </si>
  <si>
    <r>
      <t>m</t>
    </r>
    <r>
      <rPr>
        <b/>
        <vertAlign val="superscript"/>
        <sz val="10"/>
        <rFont val="Arial"/>
        <family val="2"/>
      </rPr>
      <t>2</t>
    </r>
  </si>
  <si>
    <t>kg</t>
  </si>
  <si>
    <t>10,45*(2*0,95+1,1)</t>
  </si>
  <si>
    <t>bet. lože</t>
  </si>
  <si>
    <t>2*10*1,1</t>
  </si>
  <si>
    <t xml:space="preserve"> - Betonové lože C 25/30 XF2:</t>
  </si>
  <si>
    <t>tl. 300 mm</t>
  </si>
  <si>
    <t>10*1,2*0,3</t>
  </si>
  <si>
    <t xml:space="preserve"> - Podkladní beton C 25/30 XF2:</t>
  </si>
  <si>
    <t>10*1,45*0,1</t>
  </si>
  <si>
    <t xml:space="preserve"> - Štěrkodrť fr. 16/32:</t>
  </si>
  <si>
    <t>10*1,65*0,1</t>
  </si>
  <si>
    <t xml:space="preserve"> - Bednění</t>
  </si>
  <si>
    <t>2*10,5*1,3+1,2*1,3</t>
  </si>
  <si>
    <t>Čelo/práh:</t>
  </si>
  <si>
    <t xml:space="preserve"> - Podkladní práh - beton C25/30 XF2</t>
  </si>
  <si>
    <t>2*0,5*1,1</t>
  </si>
  <si>
    <t>2*0,7*0,1</t>
  </si>
  <si>
    <t>2*2*0,8+2*0,5*0,8</t>
  </si>
  <si>
    <t>Vtoková jímka:</t>
  </si>
  <si>
    <t xml:space="preserve"> - Vtoková jímka - beton C30/37 XF4</t>
  </si>
  <si>
    <t>1,8*1,95*2,05-1,2*0,6*1,75-1,05*3,14*0,4*0,4</t>
  </si>
  <si>
    <t>bet. jímka</t>
  </si>
  <si>
    <t>4*1,7*1,95+2*1,85*1,95+2*0,7*1,75+1,7*1,85+1,3*0,7</t>
  </si>
  <si>
    <t>vtoková jímka</t>
  </si>
  <si>
    <t>2,4*2,6*0,15</t>
  </si>
  <si>
    <t>dlažba</t>
  </si>
  <si>
    <t>1,2*0,6*0,15</t>
  </si>
  <si>
    <t xml:space="preserve"> - Dlažba ze žulových kostek</t>
  </si>
  <si>
    <t>1,2*0,6</t>
  </si>
  <si>
    <t>2,3*2,3*0,1</t>
  </si>
  <si>
    <t>2*((1,8+1,95)*2,05+(1,2+0,6)*1,75)</t>
  </si>
  <si>
    <t xml:space="preserve"> - Ocelová mříž 1,2x0,6 m</t>
  </si>
  <si>
    <t xml:space="preserve"> - Ocelové stupadlo</t>
  </si>
  <si>
    <t>Koryto:</t>
  </si>
  <si>
    <t xml:space="preserve"> - Balvany cca 50 - 60 kg</t>
  </si>
  <si>
    <t>13*2,2</t>
  </si>
  <si>
    <t xml:space="preserve"> - Betonové lože C 25/30 XF2</t>
  </si>
  <si>
    <t>tl. 350 mm</t>
  </si>
  <si>
    <t>13*2,2*0,35</t>
  </si>
  <si>
    <t xml:space="preserve"> - Štěrkodrť fr. 0-32</t>
  </si>
  <si>
    <t>koryto</t>
  </si>
  <si>
    <t>13*2,2*0,1</t>
  </si>
  <si>
    <t>podkladní práh</t>
  </si>
  <si>
    <t>3*0,7*0,1</t>
  </si>
  <si>
    <t>3*0,7*1,45</t>
  </si>
  <si>
    <t xml:space="preserve"> - Zához těřkým lomovým kamenem</t>
  </si>
  <si>
    <t>3*3</t>
  </si>
  <si>
    <r>
      <t xml:space="preserve"> - Separační geotextilie 200 g/m</t>
    </r>
    <r>
      <rPr>
        <vertAlign val="superscript"/>
        <sz val="10"/>
        <rFont val="Arial"/>
        <family val="2"/>
      </rPr>
      <t>2</t>
    </r>
    <r>
      <rPr>
        <sz val="10"/>
        <rFont val="Arial CE"/>
        <family val="0"/>
      </rPr>
      <t xml:space="preserve"> (GT 35/35)</t>
    </r>
  </si>
  <si>
    <t>4*3</t>
  </si>
  <si>
    <t>2*3*1,45+2*0,5*1,45</t>
  </si>
  <si>
    <t>Zemní práce:</t>
  </si>
  <si>
    <t xml:space="preserve"> - Výkop pro propustek</t>
  </si>
  <si>
    <t>(11,55-2,35)*2,2*1,7</t>
  </si>
  <si>
    <t xml:space="preserve"> - Výkop pro vtokovou jímku</t>
  </si>
  <si>
    <t>2,8*3,75*3,25</t>
  </si>
  <si>
    <t xml:space="preserve"> - Výkop pro práh</t>
  </si>
  <si>
    <t>2,4*1,1*1,1</t>
  </si>
  <si>
    <t xml:space="preserve"> - Výkop pro koryto</t>
  </si>
  <si>
    <t>13*2,2*0,75+3*1,3*1,45</t>
  </si>
  <si>
    <t xml:space="preserve"> - Zásyp propustku po úroveň pláně</t>
  </si>
  <si>
    <t>(11,55-2,35)*(2,2*2,1-1,2*1,5)</t>
  </si>
  <si>
    <t xml:space="preserve"> - Zásyp vtokové jímky</t>
  </si>
  <si>
    <t>2,8*3,75*3,25-1,8*1,95*2,95-1,05*3,14*0,4*0,4-1,3*1,2*1,5</t>
  </si>
  <si>
    <t xml:space="preserve"> - Zásyp prahu</t>
  </si>
  <si>
    <t>2,4*1,1*1,1-2*0,5*1,1</t>
  </si>
  <si>
    <t xml:space="preserve"> - Zásyp koryta</t>
  </si>
  <si>
    <t>3*1,3*1,45-3*0,7*1,45</t>
  </si>
  <si>
    <t>Celá konstr. vozovky:</t>
  </si>
  <si>
    <t>plocha asfaltu</t>
  </si>
  <si>
    <t>6,8*3</t>
  </si>
  <si>
    <t>Záporové pažení:</t>
  </si>
  <si>
    <t>km 4,829 75</t>
  </si>
  <si>
    <t xml:space="preserve"> = prodloužení stávajícího propustku</t>
  </si>
  <si>
    <t>Gabion + vtoková jímka</t>
  </si>
  <si>
    <t>2*6</t>
  </si>
  <si>
    <t>12,25*(1,2*1-3,14*0,4*0,4)</t>
  </si>
  <si>
    <t>12,2*(2*0,95+1,1)</t>
  </si>
  <si>
    <t>2*12,2*1,1</t>
  </si>
  <si>
    <t>12,255*1,2*0,3</t>
  </si>
  <si>
    <t>12,25*1,45*0,1</t>
  </si>
  <si>
    <t>12,25*1,65*0,1</t>
  </si>
  <si>
    <t>2*12,25*1,3+1,2*1,3</t>
  </si>
  <si>
    <t>1,8*1,95*3,45-1,2*0,6*3,15-1,05*3,14*0,4*0,4</t>
  </si>
  <si>
    <t>4*1,7*3,35+2*1,85*3,35+2*0,7*3,15+1,7*1,85+1,3*0,7</t>
  </si>
  <si>
    <t>2*((1,8+1,95)*3,45+(1,2+0,6)*3,15)</t>
  </si>
  <si>
    <t>Výtok:</t>
  </si>
  <si>
    <t xml:space="preserve"> - Dlažba z lomového kamene</t>
  </si>
  <si>
    <t>3,4*2</t>
  </si>
  <si>
    <t>3,4*2*0,1</t>
  </si>
  <si>
    <t>dlažba z LK</t>
  </si>
  <si>
    <t>bet. práh</t>
  </si>
  <si>
    <t>2*0,4*0,1</t>
  </si>
  <si>
    <t xml:space="preserve"> - Betonový práh C 25/30 XF2</t>
  </si>
  <si>
    <t>2*0,4*0,6</t>
  </si>
  <si>
    <t xml:space="preserve"> - Bourání betonového čela </t>
  </si>
  <si>
    <t>odhadem</t>
  </si>
  <si>
    <t>2,1*0,7*1,8+2,9*0,7*2,3</t>
  </si>
  <si>
    <t xml:space="preserve"> - Bourání betonové trouby DN 600</t>
  </si>
  <si>
    <t>(13,3-2,85)*2,6*2,75</t>
  </si>
  <si>
    <t>3*4,35*3,65</t>
  </si>
  <si>
    <t xml:space="preserve"> - Výkop pro dlažbu z LK</t>
  </si>
  <si>
    <t>3,4*2*0,4+2*0,4*0,7</t>
  </si>
  <si>
    <t>(13,3-2,85)*(2,6*2,5-1,2*1,5)</t>
  </si>
  <si>
    <t>3*4,35*3,65-1,8*1,95*3,35-1,05*3,14*0,4*0,4-1,8*1,2*1,5</t>
  </si>
  <si>
    <t>7,7*3</t>
  </si>
  <si>
    <t>km 5,224 32</t>
  </si>
  <si>
    <t>čelo šikmé , tj. bez křídel + vtoková jímka</t>
  </si>
  <si>
    <t>11,95*(1,2*1-3,14*0,4*0,4)</t>
  </si>
  <si>
    <t>11,9*(2*0,95+1,1)</t>
  </si>
  <si>
    <t>2*10,45*1,1</t>
  </si>
  <si>
    <t>10,45*1,2*0,3</t>
  </si>
  <si>
    <t>10,45*1,45*0,1</t>
  </si>
  <si>
    <t>10,45*1,65*0,1</t>
  </si>
  <si>
    <t>2*10,45*1,3+1,2*1,3</t>
  </si>
  <si>
    <t>1,8*1,95*2,55-1,2*0,6*2,25-1,05*3,14*0,4*0,4</t>
  </si>
  <si>
    <t>4*1,7*2,45+2*1,85*2,45+2*0,7*2,25+1,7*1,85+1,3*0,7</t>
  </si>
  <si>
    <t>2*((1,8+1,95)*2,55+(1,2+0,6)*2,25)</t>
  </si>
  <si>
    <t>Čelo/základ:</t>
  </si>
  <si>
    <t xml:space="preserve"> - Základ - beton C25/30 XF2</t>
  </si>
  <si>
    <t>2*1,5*0,8</t>
  </si>
  <si>
    <t>2,6*2,1*0,15</t>
  </si>
  <si>
    <t>2,5*2*0,10</t>
  </si>
  <si>
    <t>3,2*2</t>
  </si>
  <si>
    <t>3,2*2*0,1</t>
  </si>
  <si>
    <t>2*(2*0,8+1,5*0,8)</t>
  </si>
  <si>
    <t>Výtok, vtok:</t>
  </si>
  <si>
    <t>4*(0,6+2*0,45)+10*2</t>
  </si>
  <si>
    <t>4*(0,6+2*0,45)*0,1+10*2*0,1</t>
  </si>
  <si>
    <t>3,4*2*0,1+10*2*0,1</t>
  </si>
  <si>
    <t>0,65*0,4*0,1</t>
  </si>
  <si>
    <t>0,65*0,4*0,6</t>
  </si>
  <si>
    <t>2,5*0,7*1,1+3,5*0,7*1,8</t>
  </si>
  <si>
    <t>(13-2,45)*2,3*1,9</t>
  </si>
  <si>
    <t>2,8*3,85*2,75</t>
  </si>
  <si>
    <t xml:space="preserve"> - Výkop pro základ</t>
  </si>
  <si>
    <t>2,9*2,4*0,8</t>
  </si>
  <si>
    <t>4*(0,6+2*0,45)*0,4+0,65*0,4*0,7+10*2*0,4</t>
  </si>
  <si>
    <t>(13-2,35)*(2,3*1,6-1,2*1,5)</t>
  </si>
  <si>
    <t>2,8*3,85*2,75-1,8*1,95*2,45-1,05*3,14*0,4*0,4-1,4*1,2*1,5</t>
  </si>
  <si>
    <t xml:space="preserve"> - Zásyp základu</t>
  </si>
  <si>
    <t>2,9*2,4*0,8-2*1,5*0,8</t>
  </si>
  <si>
    <t>7,6*3</t>
  </si>
  <si>
    <t>km 5,524 30</t>
  </si>
  <si>
    <t>stávající bet. opěrná zeď + vtoková jímka</t>
  </si>
  <si>
    <t>2*4</t>
  </si>
  <si>
    <t>7,15*(1,2*1-3,14*0,4*0,4)</t>
  </si>
  <si>
    <t>7,15*(2*0,95+1,1)</t>
  </si>
  <si>
    <t>2*7,15*1,1</t>
  </si>
  <si>
    <t>7,15*1,2*0,3</t>
  </si>
  <si>
    <t>7,15*1,45*0,1</t>
  </si>
  <si>
    <t>7,15*1,65*0,1</t>
  </si>
  <si>
    <t>2*7,15*1,3+1,2*1,3</t>
  </si>
  <si>
    <t>1,8*1,95*2,35-1,2*0,6*2,05-1,05*3,14*0,4*0,4</t>
  </si>
  <si>
    <t>4*1,7*2,25+2*1,85*2,25+2*0,7*2,05+1,7*1,85+1,3*0,7</t>
  </si>
  <si>
    <t>2*((1,8+1,95)*2,35+(1,2+0,6)*2,05)</t>
  </si>
  <si>
    <t xml:space="preserve"> - Bourání vtokové jímky</t>
  </si>
  <si>
    <t>1,8*1,2*2,35-1,2*0,6*2,05</t>
  </si>
  <si>
    <t xml:space="preserve"> - Otvor do opěrné zdi pro troubu DN 600</t>
  </si>
  <si>
    <t>1*0,9*0,9</t>
  </si>
  <si>
    <t>(9,4-1,2-2,35)*2,3*1,75</t>
  </si>
  <si>
    <t>2,8*3,85*2,55</t>
  </si>
  <si>
    <t>(9,4-1,2-2,35)*(2,3*1,4-1,2*1,5)</t>
  </si>
  <si>
    <t>2,8*3,85*2,55-1,8*1,95*2,25-1,05*3,14*0,4*0,4-1,3*1,2*1,5</t>
  </si>
  <si>
    <t>7,8*3</t>
  </si>
  <si>
    <t>km 5,669 50</t>
  </si>
  <si>
    <t>6*(1,2*1-3,14*0,4*0,4)</t>
  </si>
  <si>
    <t>6*(2*0,95+1,1)</t>
  </si>
  <si>
    <t>2*6*1,1</t>
  </si>
  <si>
    <t>6*1,2*0,3</t>
  </si>
  <si>
    <t>6*1,45*0,1</t>
  </si>
  <si>
    <t>6*1,65*0,1</t>
  </si>
  <si>
    <t>2*6*1,3+1,2*1,3</t>
  </si>
  <si>
    <t>1,8*1,95*2,25-1,2*0,6*1,95-1,05*3,14*0,4*0,4</t>
  </si>
  <si>
    <t>4*1,7*2,15+2*1,85*2,15+2*0,7*1,95+1,7*1,85+1,3*0,7</t>
  </si>
  <si>
    <t>2*((1,8+1,95)*2,25+(1,2+0,6)*1,95)</t>
  </si>
  <si>
    <t xml:space="preserve"> - Bourání rámového propustku 0,8x0,8 m</t>
  </si>
  <si>
    <t>8,9*(1,4*1,4-0,8*0,8)</t>
  </si>
  <si>
    <t xml:space="preserve"> - Bourání ocelových  překladů propustku</t>
  </si>
  <si>
    <t>8,9*1,4</t>
  </si>
  <si>
    <t>(9,7-2,6-2,35)*2,3*1,65</t>
  </si>
  <si>
    <t>2,8*3,75*2,45</t>
  </si>
  <si>
    <t>(9,7-2,6-2,35)*(2,3*1,3-1,2*1,5)</t>
  </si>
  <si>
    <t>2,8*3,75*2,45-1,8*1,95*2,15-1,05*3,14*0,4*0,4-1,3*1,2*1,5</t>
  </si>
  <si>
    <t>km 5,794 20</t>
  </si>
  <si>
    <t>6,15*(1,2*1-3,14*0,4*0,4)</t>
  </si>
  <si>
    <t>6,15*(2*0,95+1,1)</t>
  </si>
  <si>
    <t>2*6,15*1,1</t>
  </si>
  <si>
    <t>6,15*1,2*0,3</t>
  </si>
  <si>
    <t>6,15*1,45*0,1</t>
  </si>
  <si>
    <t>6,15*1,65*0,1</t>
  </si>
  <si>
    <t>2*6,15*1,3+1,2*1,3</t>
  </si>
  <si>
    <t>1,8*1,95*3,65-1,2*0,6*3,35-1,05*3,14*0,4*0,4</t>
  </si>
  <si>
    <t>4*1,7*3,55+2*1,85*3,55+2*0,7*3,35+1,7*1,85+1,3*0,7</t>
  </si>
  <si>
    <t>2*((1,8+1,95)*3,65+(1,2+0,6)*3,35)</t>
  </si>
  <si>
    <t>1,8*1,2*2-1,2*0,6*1,75</t>
  </si>
  <si>
    <t>(8,5-1,3-3)*2,7*3,05</t>
  </si>
  <si>
    <t>3*4,5*3,85</t>
  </si>
  <si>
    <t>(8,5-1,3-3)*(2,7*2,7-1,2*1,5)</t>
  </si>
  <si>
    <t>3*4,5*3,85-1,8*1,95*3,55-1,05*3,14*0,4*0,4-1,95*1,2*1,5</t>
  </si>
  <si>
    <t>km 5,903 90</t>
  </si>
  <si>
    <t>6,05*(1,2*1-3,14*0,4*0,4)</t>
  </si>
  <si>
    <t>6,05*(2*0,95+1,1)</t>
  </si>
  <si>
    <t>2*6,05*1,1</t>
  </si>
  <si>
    <t>6,05*1,2*0,3</t>
  </si>
  <si>
    <t>6,05*1,45*0,1</t>
  </si>
  <si>
    <t>6,05*1,65*0,1</t>
  </si>
  <si>
    <t>2*6,05*1,3+1,2*1,3</t>
  </si>
  <si>
    <t>1,8*1,95*2,95-1,2*0,6*2,65-1,05*3,14*0,4*0,4</t>
  </si>
  <si>
    <t>4*1,7*2,85+2*1,85*2,85+2*0,7*2,65+1,7*1,85+1,3*0,7</t>
  </si>
  <si>
    <t>2*((1,8+1,95)*2,95+(1,2+0,6)*2,65)</t>
  </si>
  <si>
    <t>2,8*0,7*1,7</t>
  </si>
  <si>
    <t>(9,5-2,4-2,6)*2,4*2,25</t>
  </si>
  <si>
    <t>3,05*4,05*3,15</t>
  </si>
  <si>
    <t>(9,5-2,4-2,6)*(2,4*2-1,2*1,5)</t>
  </si>
  <si>
    <t>3,05*4,05*3,15-1,8*1,95*2,85-1,05*3,14*0,4*0,4-1,55*1,2*1,5</t>
  </si>
  <si>
    <t>km 6,000 80</t>
  </si>
  <si>
    <t>9,05*(1,2*1-3,14*0,4*0,4)</t>
  </si>
  <si>
    <t>9*(2*0,95+1,1)</t>
  </si>
  <si>
    <t>2*9*1,1</t>
  </si>
  <si>
    <t>9,05*1,2*0,3</t>
  </si>
  <si>
    <t>9,05*1,45*0,1</t>
  </si>
  <si>
    <t>9,05*1,65*0,1</t>
  </si>
  <si>
    <t>2*9,05*1,3+1,2*1,3</t>
  </si>
  <si>
    <t>1,8*1,95*3,05-1,2*0,6*2,75-1,05*3,14*0,4*0,4</t>
  </si>
  <si>
    <t>4*1,7*2,95+2*1,85*2,95+2*0,7*2,75+1,7*1,85+1,3*0,7</t>
  </si>
  <si>
    <t>2*((1,8+1,95)*3,05+(1,2+0,6)*2,75)</t>
  </si>
  <si>
    <t>3*2</t>
  </si>
  <si>
    <t>3*2*0,1</t>
  </si>
  <si>
    <t xml:space="preserve"> - Betonový práh C30/37 XF4</t>
  </si>
  <si>
    <t>2*0,7*1,7+2*0,7*2,1</t>
  </si>
  <si>
    <t>(10,1-2,65)*2,5*2,35</t>
  </si>
  <si>
    <t>2,9*4,1*3,25</t>
  </si>
  <si>
    <t>3*2*0,4+2*0,4*0,7</t>
  </si>
  <si>
    <t>(10,1-2,65)*(2,5*2,1-1,2*1,5)</t>
  </si>
  <si>
    <t>2,9*4,1*3,25-1,8*1,95*2,95-1,05*3,14*0,4*0,4-1,6*1,2*1,5</t>
  </si>
  <si>
    <t>7,3*3</t>
  </si>
  <si>
    <t>km 6,180 80</t>
  </si>
  <si>
    <t>8,25*(1,2*1-3,14*0,4*0,4)</t>
  </si>
  <si>
    <t>8,15*(2*0,95+1,1)</t>
  </si>
  <si>
    <t>2*8,15*1,1</t>
  </si>
  <si>
    <t>8,25*1,2*0,3</t>
  </si>
  <si>
    <t>8,25*1,45*0,1</t>
  </si>
  <si>
    <t>8,25*1,65*0,1</t>
  </si>
  <si>
    <t>2*8,25*1,3+1,2*1,3</t>
  </si>
  <si>
    <t>1,8*1,95*2,9-1,2*0,6*2,6-1,05*3,14*0,4*0,4</t>
  </si>
  <si>
    <t>4*1,7*2,8+2*1,85*2,8+2*0,7*2,6+1,7*1,85+1,3*0,7</t>
  </si>
  <si>
    <t>2*((1,8+1,95)*2,9+(1,2+0,6)*2,6)</t>
  </si>
  <si>
    <t>2,5*2</t>
  </si>
  <si>
    <t>2,5*2*0,1</t>
  </si>
  <si>
    <t>2,9*0,7*2+2,9*0,7*2,1</t>
  </si>
  <si>
    <r>
      <t>(9,3-2,5)</t>
    </r>
    <r>
      <rPr>
        <sz val="9"/>
        <rFont val="Arial"/>
        <family val="2"/>
      </rPr>
      <t>*2,4*2,05</t>
    </r>
  </si>
  <si>
    <t>2,8*3,9*2,95</t>
  </si>
  <si>
    <t>2,5*2*0,4+2*0,4*0,7</t>
  </si>
  <si>
    <t>(9,3-2,5)*(2,4*1,8-1,2*1,5)</t>
  </si>
  <si>
    <t>2,8*3,9*2,95-1,8*1,95*2,65-1,05*3,14*0,4*0,4-1,45*1,2*1,5</t>
  </si>
  <si>
    <t>6,5*3</t>
  </si>
  <si>
    <t>km 6,418 70</t>
  </si>
  <si>
    <t>10,55*(1,2*1-3,14*0,4*0,4)</t>
  </si>
  <si>
    <t>10,55*1,2*0,3</t>
  </si>
  <si>
    <t>10,55*1,45*0,1</t>
  </si>
  <si>
    <t>10,55*1,65*0,1</t>
  </si>
  <si>
    <t>2*10,55*1,3+1,2*1,3</t>
  </si>
  <si>
    <t>1,8*1,95*2,45-1,2*0,6*2,15-1,05*3,14*0,4*0,4</t>
  </si>
  <si>
    <t>4*1,7*2,35+2*1,85*2,35+2*0,7*2,15+1,7*1,85+1,3*0,7</t>
  </si>
  <si>
    <t>2*((1,8+1,95)*2,45+(1,2+0,6)*2,15)</t>
  </si>
  <si>
    <t>2,1*0,7*1,8</t>
  </si>
  <si>
    <t>1,8*1,2*2,45-1,2*0,6*2,15</t>
  </si>
  <si>
    <t xml:space="preserve"> - Bourání betonové trouby DN 500</t>
  </si>
  <si>
    <t>(11,6-2,35)*2,3*1,75</t>
  </si>
  <si>
    <t>2,8*3,75*2,65</t>
  </si>
  <si>
    <t>(11,6-2,35)*(2,3*1,5-1,2*1,5)</t>
  </si>
  <si>
    <t>2,8*3,75*2,65-1,8*1,95*2,35-1,05*3,14*0,4*0,4-1,3*1,2*1,5</t>
  </si>
  <si>
    <t>PROPUSTKY CELKEM</t>
  </si>
  <si>
    <t>popis</t>
  </si>
  <si>
    <t>propustek v km</t>
  </si>
  <si>
    <t>Trouba</t>
  </si>
  <si>
    <t xml:space="preserve"> - Trouba DN 600</t>
  </si>
  <si>
    <t>TZH 600/2500:</t>
  </si>
  <si>
    <r>
      <t>m</t>
    </r>
    <r>
      <rPr>
        <b/>
        <vertAlign val="superscript"/>
        <sz val="9"/>
        <rFont val="Arial"/>
        <family val="2"/>
      </rPr>
      <t>3</t>
    </r>
  </si>
  <si>
    <r>
      <t>m</t>
    </r>
    <r>
      <rPr>
        <b/>
        <vertAlign val="superscript"/>
        <sz val="9"/>
        <rFont val="Arial"/>
        <family val="2"/>
      </rPr>
      <t>2</t>
    </r>
  </si>
  <si>
    <t>-</t>
  </si>
  <si>
    <t xml:space="preserve"> - Podkladní beton C 25/30 XF2, tl. 150 mm:</t>
  </si>
  <si>
    <t xml:space="preserve"> - Štěrkodrť fr. 0-32, tl 100 mm</t>
  </si>
  <si>
    <r>
      <t xml:space="preserve"> - Separační geotextilie 200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(GT 35/35)</t>
    </r>
  </si>
  <si>
    <t xml:space="preserve"> - Štěrkodrť fr. 0-32, tl. 150 mm</t>
  </si>
  <si>
    <t xml:space="preserve"> - Bourání betonové trouby </t>
  </si>
  <si>
    <t>DN 600</t>
  </si>
  <si>
    <t>DN 500</t>
  </si>
  <si>
    <t>SCHODIŠTĚ</t>
  </si>
  <si>
    <t>betonová palisáda</t>
  </si>
  <si>
    <t>betonová palisáda 160x160x400 (BEST - URIKO)</t>
  </si>
  <si>
    <t>17*10+2*19</t>
  </si>
  <si>
    <t>betonové lože C25/30 XF2</t>
  </si>
  <si>
    <t>5,7*2,2*0,3+2*2,2*0,3*0,3</t>
  </si>
  <si>
    <t>Štěrkodrť fr. 0-32</t>
  </si>
  <si>
    <t>5,1*2,2*0,1</t>
  </si>
  <si>
    <t>betonová dlažba</t>
  </si>
  <si>
    <t>betonová dlažba 160x160x60 (BEST - URIKO)</t>
  </si>
  <si>
    <t>tl. 60 mm</t>
  </si>
  <si>
    <t>5,8*1,6-17*1,6*0,16</t>
  </si>
  <si>
    <t>betonový obrubník 1000x70x250</t>
  </si>
  <si>
    <t>2*1,6+2*0,2</t>
  </si>
  <si>
    <t>ocelové dvoumadlové zábradlí</t>
  </si>
  <si>
    <t>ocelové zábradlí</t>
  </si>
  <si>
    <t>v. 0,9 m</t>
  </si>
  <si>
    <t xml:space="preserve"> - madla - tr. 60,3x3,2 mm</t>
  </si>
  <si>
    <t>2*(2*5,9+4*0,15+2*0,63)</t>
  </si>
  <si>
    <t xml:space="preserve"> - sloupky - tr. 60,3x3,2 mm</t>
  </si>
  <si>
    <t>2*4*1,3</t>
  </si>
  <si>
    <t>základ z betonu C25/30 XF2</t>
  </si>
  <si>
    <t>8*0,4*0,4*0,8</t>
  </si>
  <si>
    <t>Výkop</t>
  </si>
  <si>
    <t>5,7*2,0*0,0,8+2*2,2*0,3*0,3</t>
  </si>
  <si>
    <t>2*5,7*0,1*0,4</t>
  </si>
  <si>
    <t>KÚ - přístup na pozemek pí. Hynaušové</t>
  </si>
  <si>
    <t>objemy  podrobně viz doplňková tabulka             pod výpočtem polch a kubatur (TPK)</t>
  </si>
  <si>
    <t xml:space="preserve">  =6,520-4,130</t>
  </si>
  <si>
    <t>šp</t>
  </si>
  <si>
    <t>podkladní vrstva  ŠP  frakce  0-20mm</t>
  </si>
  <si>
    <t>sanční vrstva ŠD  16-63</t>
  </si>
  <si>
    <t>300mm</t>
  </si>
  <si>
    <t>obsyp  ŠP - ŠD   zrnitost do 32mm</t>
  </si>
  <si>
    <t>hutnění  po vrstvách 150-300mm</t>
  </si>
  <si>
    <t xml:space="preserve">      ponechat do 100m majitelům</t>
  </si>
  <si>
    <t>ÚSEK  "C"</t>
  </si>
  <si>
    <t xml:space="preserve">celkem </t>
  </si>
  <si>
    <t>Pohledová plocha</t>
  </si>
  <si>
    <t>2*8*2,5</t>
  </si>
  <si>
    <t>2*10*3</t>
  </si>
  <si>
    <t>2*8*2,,5</t>
  </si>
  <si>
    <t>2*10*3,6</t>
  </si>
  <si>
    <t>2*10*2,8</t>
  </si>
  <si>
    <t>2*10*2,5</t>
  </si>
  <si>
    <t>recyklát</t>
  </si>
  <si>
    <t>250 mm</t>
  </si>
  <si>
    <t>TABULKA BILANCE ZEMNÍCH PRACÍ</t>
  </si>
  <si>
    <t>ZEMNÍ PRÁCE</t>
  </si>
  <si>
    <t xml:space="preserve"> - komunikace vč.AZ</t>
  </si>
  <si>
    <t xml:space="preserve"> -Terramesh</t>
  </si>
  <si>
    <t xml:space="preserve"> - propustky, trativod</t>
  </si>
  <si>
    <t xml:space="preserve"> - výměna podloží</t>
  </si>
  <si>
    <t xml:space="preserve"> - podkladní vrstvy vozovky</t>
  </si>
  <si>
    <t xml:space="preserve"> - živičné vrstvy vozovky (frézování)</t>
  </si>
  <si>
    <t xml:space="preserve"> - komunikace</t>
  </si>
  <si>
    <t xml:space="preserve"> - Terramesh</t>
  </si>
  <si>
    <t xml:space="preserve"> - zemní krajnice </t>
  </si>
  <si>
    <t xml:space="preserve"> - zásyp - zemina</t>
  </si>
  <si>
    <t xml:space="preserve"> - zásyp  - kam nákup</t>
  </si>
  <si>
    <t>Sejmutí  ornice:</t>
  </si>
  <si>
    <t>Ohumusování:</t>
  </si>
  <si>
    <t xml:space="preserve"> - v rovině</t>
  </si>
  <si>
    <t xml:space="preserve"> - ve svahu </t>
  </si>
  <si>
    <t xml:space="preserve"> - bourání - kamenivo</t>
  </si>
  <si>
    <t xml:space="preserve"> - bourání - beton</t>
  </si>
  <si>
    <t xml:space="preserve"> - skalní stěna -bez úpravy</t>
  </si>
  <si>
    <t>4600 m2</t>
  </si>
  <si>
    <t>300m3</t>
  </si>
  <si>
    <t xml:space="preserve"> - krajnice --frézovaná</t>
  </si>
  <si>
    <t xml:space="preserve"> - zásyp  - zemina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</si>
</sst>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#,##0.0"/>
    <numFmt numFmtId="167" formatCode="0.0000"/>
    <numFmt numFmtId="168" formatCode="0.000"/>
  </numFmts>
  <fonts count="8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b/>
      <u val="doub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17"/>
      <name val="Arial CE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vertAlign val="superscript"/>
      <sz val="9"/>
      <color indexed="17"/>
      <name val="Arial"/>
      <family val="2"/>
    </font>
    <font>
      <sz val="9"/>
      <color indexed="8"/>
      <name val="Calibri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9"/>
      <color indexed="1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14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799847602844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19" borderId="0" applyNumberFormat="0" applyBorder="0" applyAlignment="0" applyProtection="0"/>
    <xf numFmtId="0" fontId="7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79" fillId="0" borderId="7" applyNumberFormat="0" applyFill="0" applyAlignment="0" applyProtection="0"/>
    <xf numFmtId="0" fontId="80" fillId="23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4" borderId="8" applyNumberFormat="0" applyAlignment="0" applyProtection="0"/>
    <xf numFmtId="0" fontId="83" fillId="25" borderId="8" applyNumberFormat="0" applyAlignment="0" applyProtection="0"/>
    <xf numFmtId="0" fontId="84" fillId="25" borderId="9" applyNumberFormat="0" applyAlignment="0" applyProtection="0"/>
    <xf numFmtId="0" fontId="85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</cellStyleXfs>
  <cellXfs count="71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165" fontId="0" fillId="0" borderId="13" xfId="0" applyNumberFormat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6" xfId="0" applyNumberFormat="1" applyFont="1" applyFill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2" fillId="0" borderId="23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5" fontId="0" fillId="0" borderId="26" xfId="0" applyNumberForma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29" xfId="0" applyNumberFormat="1" applyFill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31" xfId="0" applyNumberFormat="1" applyFill="1" applyBorder="1" applyAlignment="1">
      <alignment horizontal="center"/>
    </xf>
    <xf numFmtId="165" fontId="0" fillId="32" borderId="32" xfId="0" applyNumberFormat="1" applyFont="1" applyFill="1" applyBorder="1" applyAlignment="1">
      <alignment horizontal="center"/>
    </xf>
    <xf numFmtId="165" fontId="0" fillId="32" borderId="33" xfId="0" applyNumberFormat="1" applyFont="1" applyFill="1" applyBorder="1" applyAlignment="1">
      <alignment horizontal="center"/>
    </xf>
    <xf numFmtId="165" fontId="0" fillId="32" borderId="34" xfId="0" applyNumberFormat="1" applyFont="1" applyFill="1" applyBorder="1" applyAlignment="1">
      <alignment horizontal="center"/>
    </xf>
    <xf numFmtId="165" fontId="0" fillId="32" borderId="35" xfId="0" applyNumberFormat="1" applyFill="1" applyBorder="1" applyAlignment="1">
      <alignment horizontal="center"/>
    </xf>
    <xf numFmtId="165" fontId="0" fillId="32" borderId="24" xfId="0" applyNumberFormat="1" applyFill="1" applyBorder="1" applyAlignment="1">
      <alignment horizontal="center"/>
    </xf>
    <xf numFmtId="165" fontId="5" fillId="32" borderId="24" xfId="0" applyNumberFormat="1" applyFont="1" applyFill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0" fontId="0" fillId="0" borderId="26" xfId="0" applyFill="1" applyBorder="1" applyAlignment="1">
      <alignment/>
    </xf>
    <xf numFmtId="165" fontId="0" fillId="0" borderId="41" xfId="0" applyNumberFormat="1" applyBorder="1" applyAlignment="1">
      <alignment horizontal="center"/>
    </xf>
    <xf numFmtId="165" fontId="6" fillId="0" borderId="42" xfId="0" applyNumberFormat="1" applyFont="1" applyFill="1" applyBorder="1" applyAlignment="1">
      <alignment horizontal="center"/>
    </xf>
    <xf numFmtId="165" fontId="6" fillId="0" borderId="43" xfId="0" applyNumberFormat="1" applyFont="1" applyFill="1" applyBorder="1" applyAlignment="1">
      <alignment horizontal="center"/>
    </xf>
    <xf numFmtId="165" fontId="0" fillId="0" borderId="44" xfId="0" applyNumberForma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0" fillId="0" borderId="45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0" borderId="46" xfId="0" applyNumberFormat="1" applyFont="1" applyFill="1" applyBorder="1" applyAlignment="1">
      <alignment horizontal="center"/>
    </xf>
    <xf numFmtId="165" fontId="0" fillId="0" borderId="47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5" fontId="0" fillId="32" borderId="48" xfId="0" applyNumberFormat="1" applyFont="1" applyFill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5" fontId="0" fillId="32" borderId="52" xfId="0" applyNumberFormat="1" applyFill="1" applyBorder="1" applyAlignment="1">
      <alignment horizontal="center"/>
    </xf>
    <xf numFmtId="165" fontId="0" fillId="0" borderId="51" xfId="0" applyNumberFormat="1" applyFill="1" applyBorder="1" applyAlignment="1">
      <alignment horizontal="center"/>
    </xf>
    <xf numFmtId="165" fontId="0" fillId="0" borderId="40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55" xfId="0" applyNumberFormat="1" applyFont="1" applyBorder="1" applyAlignment="1">
      <alignment horizontal="center"/>
    </xf>
    <xf numFmtId="165" fontId="0" fillId="0" borderId="56" xfId="0" applyNumberFormat="1" applyFont="1" applyBorder="1" applyAlignment="1">
      <alignment horizontal="center"/>
    </xf>
    <xf numFmtId="165" fontId="0" fillId="0" borderId="57" xfId="0" applyNumberFormat="1" applyFont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44" xfId="0" applyNumberFormat="1" applyFont="1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165" fontId="0" fillId="0" borderId="58" xfId="0" applyNumberFormat="1" applyFont="1" applyFill="1" applyBorder="1" applyAlignment="1">
      <alignment horizontal="center"/>
    </xf>
    <xf numFmtId="165" fontId="0" fillId="0" borderId="59" xfId="0" applyNumberFormat="1" applyFill="1" applyBorder="1" applyAlignment="1">
      <alignment horizontal="center"/>
    </xf>
    <xf numFmtId="165" fontId="0" fillId="0" borderId="60" xfId="0" applyNumberFormat="1" applyFont="1" applyFill="1" applyBorder="1" applyAlignment="1">
      <alignment horizontal="center"/>
    </xf>
    <xf numFmtId="165" fontId="0" fillId="0" borderId="61" xfId="0" applyNumberFormat="1" applyFont="1" applyFill="1" applyBorder="1" applyAlignment="1">
      <alignment horizontal="center"/>
    </xf>
    <xf numFmtId="165" fontId="0" fillId="0" borderId="62" xfId="0" applyNumberFormat="1" applyFont="1" applyBorder="1" applyAlignment="1">
      <alignment horizontal="center"/>
    </xf>
    <xf numFmtId="165" fontId="0" fillId="0" borderId="63" xfId="0" applyNumberForma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1" fontId="5" fillId="0" borderId="65" xfId="0" applyNumberFormat="1" applyFont="1" applyFill="1" applyBorder="1" applyAlignment="1">
      <alignment horizontal="center"/>
    </xf>
    <xf numFmtId="1" fontId="5" fillId="0" borderId="66" xfId="0" applyNumberFormat="1" applyFon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33" borderId="26" xfId="0" applyNumberFormat="1" applyFill="1" applyBorder="1" applyAlignment="1">
      <alignment horizontal="center"/>
    </xf>
    <xf numFmtId="164" fontId="86" fillId="0" borderId="25" xfId="0" applyNumberFormat="1" applyFont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5" fontId="0" fillId="34" borderId="27" xfId="0" applyNumberFormat="1" applyFill="1" applyBorder="1" applyAlignment="1">
      <alignment horizontal="center"/>
    </xf>
    <xf numFmtId="165" fontId="0" fillId="34" borderId="26" xfId="0" applyNumberFormat="1" applyFill="1" applyBorder="1" applyAlignment="1">
      <alignment horizontal="center"/>
    </xf>
    <xf numFmtId="165" fontId="0" fillId="7" borderId="26" xfId="0" applyNumberFormat="1" applyFont="1" applyFill="1" applyBorder="1" applyAlignment="1">
      <alignment horizontal="center"/>
    </xf>
    <xf numFmtId="165" fontId="0" fillId="7" borderId="26" xfId="0" applyNumberFormat="1" applyFill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5" fontId="0" fillId="33" borderId="26" xfId="0" applyNumberFormat="1" applyFont="1" applyFill="1" applyBorder="1" applyAlignment="1">
      <alignment horizontal="center"/>
    </xf>
    <xf numFmtId="165" fontId="0" fillId="35" borderId="26" xfId="0" applyNumberFormat="1" applyFont="1" applyFill="1" applyBorder="1" applyAlignment="1">
      <alignment horizontal="center"/>
    </xf>
    <xf numFmtId="0" fontId="1" fillId="0" borderId="0" xfId="47" applyFill="1">
      <alignment/>
      <protection/>
    </xf>
    <xf numFmtId="0" fontId="7" fillId="0" borderId="0" xfId="46" applyFont="1" applyFill="1">
      <alignment/>
      <protection/>
    </xf>
    <xf numFmtId="0" fontId="1" fillId="0" borderId="0" xfId="47">
      <alignment/>
      <protection/>
    </xf>
    <xf numFmtId="0" fontId="1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0" fontId="11" fillId="0" borderId="0" xfId="46" applyFont="1" applyFill="1">
      <alignment/>
      <protection/>
    </xf>
    <xf numFmtId="0" fontId="1" fillId="0" borderId="0" xfId="46" applyFont="1" applyFill="1">
      <alignment/>
      <protection/>
    </xf>
    <xf numFmtId="0" fontId="12" fillId="0" borderId="0" xfId="47" applyFont="1" applyAlignment="1">
      <alignment horizontal="justify"/>
      <protection/>
    </xf>
    <xf numFmtId="0" fontId="1" fillId="0" borderId="0" xfId="47" applyFill="1" applyAlignment="1">
      <alignment horizontal="center"/>
      <protection/>
    </xf>
    <xf numFmtId="0" fontId="1" fillId="0" borderId="67" xfId="47" applyBorder="1">
      <alignment/>
      <protection/>
    </xf>
    <xf numFmtId="0" fontId="8" fillId="0" borderId="67" xfId="47" applyFont="1" applyBorder="1" applyAlignment="1">
      <alignment horizontal="center"/>
      <protection/>
    </xf>
    <xf numFmtId="0" fontId="1" fillId="0" borderId="68" xfId="47" applyBorder="1">
      <alignment/>
      <protection/>
    </xf>
    <xf numFmtId="0" fontId="8" fillId="0" borderId="68" xfId="47" applyFont="1" applyBorder="1" applyAlignment="1">
      <alignment horizontal="center"/>
      <protection/>
    </xf>
    <xf numFmtId="0" fontId="8" fillId="0" borderId="68" xfId="47" applyFont="1" applyBorder="1">
      <alignment/>
      <protection/>
    </xf>
    <xf numFmtId="0" fontId="1" fillId="0" borderId="0" xfId="47" applyAlignment="1">
      <alignment/>
      <protection/>
    </xf>
    <xf numFmtId="0" fontId="13" fillId="36" borderId="68" xfId="47" applyFont="1" applyFill="1" applyBorder="1" applyAlignment="1">
      <alignment horizontal="right" vertical="center"/>
      <protection/>
    </xf>
    <xf numFmtId="0" fontId="8" fillId="36" borderId="68" xfId="47" applyFont="1" applyFill="1" applyBorder="1" applyAlignment="1">
      <alignment horizontal="center"/>
      <protection/>
    </xf>
    <xf numFmtId="0" fontId="8" fillId="36" borderId="60" xfId="47" applyFont="1" applyFill="1" applyBorder="1" applyAlignment="1">
      <alignment horizontal="center"/>
      <protection/>
    </xf>
    <xf numFmtId="0" fontId="1" fillId="0" borderId="68" xfId="47" applyFont="1" applyBorder="1" applyAlignment="1">
      <alignment horizontal="left" vertical="center"/>
      <protection/>
    </xf>
    <xf numFmtId="0" fontId="14" fillId="0" borderId="68" xfId="47" applyFont="1" applyBorder="1" applyAlignment="1">
      <alignment horizontal="right" vertical="center"/>
      <protection/>
    </xf>
    <xf numFmtId="0" fontId="1" fillId="0" borderId="68" xfId="47" applyFont="1" applyBorder="1" applyAlignment="1">
      <alignment horizontal="left"/>
      <protection/>
    </xf>
    <xf numFmtId="0" fontId="14" fillId="0" borderId="68" xfId="47" applyFont="1" applyBorder="1" applyAlignment="1">
      <alignment horizontal="center" vertical="center"/>
      <protection/>
    </xf>
    <xf numFmtId="0" fontId="1" fillId="0" borderId="68" xfId="47" applyBorder="1" applyAlignment="1">
      <alignment wrapText="1"/>
      <protection/>
    </xf>
    <xf numFmtId="0" fontId="1" fillId="36" borderId="68" xfId="47" applyFill="1" applyBorder="1">
      <alignment/>
      <protection/>
    </xf>
    <xf numFmtId="0" fontId="1" fillId="0" borderId="68" xfId="47" applyFill="1" applyBorder="1">
      <alignment/>
      <protection/>
    </xf>
    <xf numFmtId="0" fontId="1" fillId="4" borderId="68" xfId="47" applyFill="1" applyBorder="1">
      <alignment/>
      <protection/>
    </xf>
    <xf numFmtId="0" fontId="1" fillId="4" borderId="68" xfId="47" applyFont="1" applyFill="1" applyBorder="1">
      <alignment/>
      <protection/>
    </xf>
    <xf numFmtId="0" fontId="1" fillId="0" borderId="0" xfId="47" applyAlignment="1">
      <alignment horizontal="center"/>
      <protection/>
    </xf>
    <xf numFmtId="0" fontId="8" fillId="0" borderId="68" xfId="47" applyFont="1" applyBorder="1" applyAlignment="1">
      <alignment horizontal="left" vertical="center"/>
      <protection/>
    </xf>
    <xf numFmtId="0" fontId="87" fillId="0" borderId="68" xfId="47" applyFont="1" applyBorder="1">
      <alignment/>
      <protection/>
    </xf>
    <xf numFmtId="0" fontId="8" fillId="0" borderId="32" xfId="47" applyFont="1" applyBorder="1" applyAlignment="1">
      <alignment horizontal="center"/>
      <protection/>
    </xf>
    <xf numFmtId="0" fontId="8" fillId="0" borderId="48" xfId="47" applyFont="1" applyBorder="1" applyAlignment="1">
      <alignment horizontal="center"/>
      <protection/>
    </xf>
    <xf numFmtId="0" fontId="87" fillId="0" borderId="48" xfId="47" applyFont="1" applyBorder="1" applyAlignment="1">
      <alignment horizontal="center"/>
      <protection/>
    </xf>
    <xf numFmtId="0" fontId="8" fillId="36" borderId="48" xfId="47" applyFont="1" applyFill="1" applyBorder="1" applyAlignment="1">
      <alignment horizontal="center"/>
      <protection/>
    </xf>
    <xf numFmtId="0" fontId="1" fillId="0" borderId="48" xfId="47" applyFont="1" applyFill="1" applyBorder="1" applyAlignment="1">
      <alignment horizontal="center"/>
      <protection/>
    </xf>
    <xf numFmtId="0" fontId="1" fillId="32" borderId="48" xfId="47" applyFont="1" applyFill="1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1" fillId="36" borderId="48" xfId="47" applyFont="1" applyFill="1" applyBorder="1" applyAlignment="1">
      <alignment horizontal="center"/>
      <protection/>
    </xf>
    <xf numFmtId="0" fontId="1" fillId="4" borderId="48" xfId="47" applyFont="1" applyFill="1" applyBorder="1" applyAlignment="1">
      <alignment horizontal="center"/>
      <protection/>
    </xf>
    <xf numFmtId="0" fontId="8" fillId="4" borderId="48" xfId="47" applyFont="1" applyFill="1" applyBorder="1" applyAlignment="1">
      <alignment horizontal="center"/>
      <protection/>
    </xf>
    <xf numFmtId="0" fontId="1" fillId="0" borderId="48" xfId="47" applyBorder="1" applyAlignment="1">
      <alignment/>
      <protection/>
    </xf>
    <xf numFmtId="0" fontId="1" fillId="7" borderId="24" xfId="47" applyFont="1" applyFill="1" applyBorder="1" applyAlignment="1">
      <alignment horizontal="center"/>
      <protection/>
    </xf>
    <xf numFmtId="0" fontId="1" fillId="7" borderId="24" xfId="47" applyFill="1" applyBorder="1">
      <alignment/>
      <protection/>
    </xf>
    <xf numFmtId="0" fontId="8" fillId="0" borderId="69" xfId="47" applyFont="1" applyBorder="1">
      <alignment/>
      <protection/>
    </xf>
    <xf numFmtId="0" fontId="8" fillId="0" borderId="70" xfId="47" applyFont="1" applyBorder="1" applyAlignment="1">
      <alignment horizontal="center"/>
      <protection/>
    </xf>
    <xf numFmtId="0" fontId="88" fillId="0" borderId="68" xfId="47" applyFont="1" applyBorder="1" applyAlignment="1">
      <alignment horizontal="center"/>
      <protection/>
    </xf>
    <xf numFmtId="0" fontId="1" fillId="0" borderId="32" xfId="47" applyFont="1" applyFill="1" applyBorder="1" applyAlignment="1">
      <alignment horizontal="center"/>
      <protection/>
    </xf>
    <xf numFmtId="0" fontId="1" fillId="0" borderId="32" xfId="47" applyBorder="1">
      <alignment/>
      <protection/>
    </xf>
    <xf numFmtId="0" fontId="1" fillId="0" borderId="48" xfId="47" applyBorder="1">
      <alignment/>
      <protection/>
    </xf>
    <xf numFmtId="0" fontId="87" fillId="0" borderId="48" xfId="47" applyFont="1" applyBorder="1">
      <alignment/>
      <protection/>
    </xf>
    <xf numFmtId="0" fontId="13" fillId="0" borderId="48" xfId="47" applyFont="1" applyBorder="1" applyAlignment="1">
      <alignment horizontal="right" vertical="center"/>
      <protection/>
    </xf>
    <xf numFmtId="0" fontId="13" fillId="36" borderId="48" xfId="47" applyFont="1" applyFill="1" applyBorder="1" applyAlignment="1">
      <alignment horizontal="right" vertical="center"/>
      <protection/>
    </xf>
    <xf numFmtId="0" fontId="1" fillId="0" borderId="48" xfId="47" applyFont="1" applyBorder="1" applyAlignment="1">
      <alignment horizontal="left" vertical="center"/>
      <protection/>
    </xf>
    <xf numFmtId="0" fontId="14" fillId="0" borderId="48" xfId="47" applyFont="1" applyBorder="1" applyAlignment="1">
      <alignment horizontal="right" vertical="center"/>
      <protection/>
    </xf>
    <xf numFmtId="0" fontId="1" fillId="0" borderId="48" xfId="47" applyFont="1" applyBorder="1" applyAlignment="1">
      <alignment horizontal="left"/>
      <protection/>
    </xf>
    <xf numFmtId="0" fontId="14" fillId="0" borderId="48" xfId="47" applyFont="1" applyBorder="1" applyAlignment="1">
      <alignment horizontal="center" vertical="center"/>
      <protection/>
    </xf>
    <xf numFmtId="0" fontId="1" fillId="0" borderId="48" xfId="47" applyBorder="1" applyAlignment="1">
      <alignment wrapText="1"/>
      <protection/>
    </xf>
    <xf numFmtId="0" fontId="1" fillId="36" borderId="48" xfId="47" applyFill="1" applyBorder="1">
      <alignment/>
      <protection/>
    </xf>
    <xf numFmtId="0" fontId="8" fillId="0" borderId="48" xfId="47" applyFont="1" applyBorder="1">
      <alignment/>
      <protection/>
    </xf>
    <xf numFmtId="0" fontId="1" fillId="0" borderId="48" xfId="47" applyFill="1" applyBorder="1">
      <alignment/>
      <protection/>
    </xf>
    <xf numFmtId="0" fontId="1" fillId="4" borderId="48" xfId="47" applyFill="1" applyBorder="1">
      <alignment/>
      <protection/>
    </xf>
    <xf numFmtId="0" fontId="1" fillId="4" borderId="48" xfId="47" applyFont="1" applyFill="1" applyBorder="1">
      <alignment/>
      <protection/>
    </xf>
    <xf numFmtId="0" fontId="88" fillId="0" borderId="48" xfId="47" applyFont="1" applyBorder="1" applyAlignment="1">
      <alignment horizontal="center"/>
      <protection/>
    </xf>
    <xf numFmtId="165" fontId="0" fillId="37" borderId="26" xfId="0" applyNumberFormat="1" applyFill="1" applyBorder="1" applyAlignment="1">
      <alignment horizontal="center"/>
    </xf>
    <xf numFmtId="165" fontId="0" fillId="0" borderId="27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13" borderId="11" xfId="0" applyNumberFormat="1" applyFill="1" applyBorder="1" applyAlignment="1">
      <alignment horizontal="center"/>
    </xf>
    <xf numFmtId="165" fontId="0" fillId="38" borderId="0" xfId="0" applyNumberFormat="1" applyFill="1" applyAlignment="1">
      <alignment/>
    </xf>
    <xf numFmtId="165" fontId="3" fillId="38" borderId="0" xfId="0" applyNumberFormat="1" applyFont="1" applyFill="1" applyAlignment="1">
      <alignment horizontal="center"/>
    </xf>
    <xf numFmtId="165" fontId="0" fillId="38" borderId="0" xfId="0" applyNumberFormat="1" applyFill="1" applyBorder="1" applyAlignment="1">
      <alignment horizontal="center"/>
    </xf>
    <xf numFmtId="165" fontId="0" fillId="38" borderId="16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>
      <alignment horizontal="center"/>
    </xf>
    <xf numFmtId="165" fontId="0" fillId="38" borderId="21" xfId="0" applyNumberFormat="1" applyFont="1" applyFill="1" applyBorder="1" applyAlignment="1">
      <alignment horizontal="center"/>
    </xf>
    <xf numFmtId="165" fontId="0" fillId="38" borderId="27" xfId="0" applyNumberFormat="1" applyFill="1" applyBorder="1" applyAlignment="1">
      <alignment horizontal="center"/>
    </xf>
    <xf numFmtId="165" fontId="0" fillId="38" borderId="51" xfId="0" applyNumberFormat="1" applyFill="1" applyBorder="1" applyAlignment="1">
      <alignment horizontal="center"/>
    </xf>
    <xf numFmtId="165" fontId="0" fillId="38" borderId="28" xfId="0" applyNumberFormat="1" applyFill="1" applyBorder="1" applyAlignment="1">
      <alignment horizontal="center"/>
    </xf>
    <xf numFmtId="165" fontId="5" fillId="38" borderId="13" xfId="0" applyNumberFormat="1" applyFont="1" applyFill="1" applyBorder="1" applyAlignment="1">
      <alignment horizontal="center"/>
    </xf>
    <xf numFmtId="165" fontId="0" fillId="38" borderId="13" xfId="0" applyNumberForma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165" fontId="0" fillId="38" borderId="0" xfId="0" applyNumberFormat="1" applyFont="1" applyFill="1" applyBorder="1" applyAlignment="1">
      <alignment horizontal="center"/>
    </xf>
    <xf numFmtId="165" fontId="2" fillId="38" borderId="0" xfId="0" applyNumberFormat="1" applyFont="1" applyFill="1" applyBorder="1" applyAlignment="1">
      <alignment horizontal="center"/>
    </xf>
    <xf numFmtId="165" fontId="0" fillId="7" borderId="40" xfId="0" applyNumberFormat="1" applyFill="1" applyBorder="1" applyAlignment="1">
      <alignment horizontal="center"/>
    </xf>
    <xf numFmtId="165" fontId="18" fillId="0" borderId="0" xfId="0" applyNumberFormat="1" applyFont="1" applyFill="1" applyBorder="1" applyAlignment="1">
      <alignment/>
    </xf>
    <xf numFmtId="0" fontId="1" fillId="0" borderId="0" xfId="48" applyFont="1" applyFill="1" applyBorder="1">
      <alignment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48" applyFont="1" applyFill="1">
      <alignment/>
      <protection/>
    </xf>
    <xf numFmtId="0" fontId="1" fillId="0" borderId="0" xfId="48" applyFont="1" applyFill="1" applyAlignment="1">
      <alignment horizontal="center"/>
      <protection/>
    </xf>
    <xf numFmtId="0" fontId="21" fillId="0" borderId="0" xfId="48" applyFont="1" applyFill="1">
      <alignment/>
      <protection/>
    </xf>
    <xf numFmtId="0" fontId="19" fillId="0" borderId="0" xfId="48" applyFont="1" applyFill="1">
      <alignment/>
      <protection/>
    </xf>
    <xf numFmtId="0" fontId="21" fillId="0" borderId="0" xfId="48" applyFont="1" applyFill="1" applyBorder="1">
      <alignment/>
      <protection/>
    </xf>
    <xf numFmtId="0" fontId="19" fillId="0" borderId="0" xfId="48" applyFont="1" applyFill="1" applyAlignment="1">
      <alignment horizontal="left"/>
      <protection/>
    </xf>
    <xf numFmtId="0" fontId="19" fillId="0" borderId="0" xfId="48" applyFont="1" applyFill="1" applyBorder="1" applyAlignment="1">
      <alignment horizontal="left"/>
      <protection/>
    </xf>
    <xf numFmtId="0" fontId="19" fillId="0" borderId="0" xfId="48" applyFont="1" applyFill="1" applyAlignment="1">
      <alignment horizontal="right"/>
      <protection/>
    </xf>
    <xf numFmtId="0" fontId="19" fillId="0" borderId="0" xfId="48" applyFont="1" applyFill="1" applyBorder="1">
      <alignment/>
      <protection/>
    </xf>
    <xf numFmtId="0" fontId="19" fillId="0" borderId="0" xfId="48" applyFont="1" applyFill="1" applyBorder="1" applyAlignment="1">
      <alignment horizontal="right"/>
      <protection/>
    </xf>
    <xf numFmtId="0" fontId="7" fillId="39" borderId="0" xfId="48" applyFont="1" applyFill="1" applyBorder="1">
      <alignment/>
      <protection/>
    </xf>
    <xf numFmtId="0" fontId="19" fillId="39" borderId="0" xfId="48" applyFont="1" applyFill="1" applyBorder="1">
      <alignment/>
      <protection/>
    </xf>
    <xf numFmtId="0" fontId="19" fillId="39" borderId="0" xfId="48" applyFont="1" applyFill="1" applyBorder="1" applyAlignment="1">
      <alignment horizontal="right"/>
      <protection/>
    </xf>
    <xf numFmtId="0" fontId="21" fillId="39" borderId="0" xfId="48" applyFont="1" applyFill="1" applyBorder="1">
      <alignment/>
      <protection/>
    </xf>
    <xf numFmtId="0" fontId="19" fillId="39" borderId="0" xfId="48" applyFont="1" applyFill="1">
      <alignment/>
      <protection/>
    </xf>
    <xf numFmtId="0" fontId="7" fillId="0" borderId="0" xfId="48" applyFont="1" applyFill="1" applyBorder="1">
      <alignment/>
      <protection/>
    </xf>
    <xf numFmtId="49" fontId="22" fillId="0" borderId="0" xfId="48" applyNumberFormat="1" applyFont="1" applyFill="1" applyBorder="1" applyAlignment="1">
      <alignment horizontal="left"/>
      <protection/>
    </xf>
    <xf numFmtId="0" fontId="8" fillId="0" borderId="0" xfId="48" applyFont="1" applyFill="1" applyBorder="1">
      <alignment/>
      <protection/>
    </xf>
    <xf numFmtId="0" fontId="23" fillId="0" borderId="0" xfId="48" applyFont="1" applyFill="1" applyBorder="1">
      <alignment/>
      <protection/>
    </xf>
    <xf numFmtId="0" fontId="19" fillId="39" borderId="0" xfId="48" applyFont="1" applyFill="1" applyBorder="1" applyAlignment="1">
      <alignment horizontal="left"/>
      <protection/>
    </xf>
    <xf numFmtId="0" fontId="21" fillId="40" borderId="0" xfId="48" applyFont="1" applyFill="1" applyBorder="1">
      <alignment/>
      <protection/>
    </xf>
    <xf numFmtId="0" fontId="19" fillId="40" borderId="0" xfId="48" applyFont="1" applyFill="1">
      <alignment/>
      <protection/>
    </xf>
    <xf numFmtId="0" fontId="1" fillId="40" borderId="0" xfId="48" applyFont="1" applyFill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19" fillId="0" borderId="0" xfId="48" applyFont="1" applyFill="1" applyAlignment="1">
      <alignment horizontal="center"/>
      <protection/>
    </xf>
    <xf numFmtId="0" fontId="21" fillId="39" borderId="0" xfId="48" applyFont="1" applyFill="1" applyBorder="1" applyAlignment="1">
      <alignment horizontal="right"/>
      <protection/>
    </xf>
    <xf numFmtId="165" fontId="21" fillId="0" borderId="0" xfId="48" applyNumberFormat="1" applyFont="1" applyFill="1" applyBorder="1">
      <alignment/>
      <protection/>
    </xf>
    <xf numFmtId="0" fontId="24" fillId="0" borderId="0" xfId="48" applyFont="1" applyFill="1" applyBorder="1">
      <alignment/>
      <protection/>
    </xf>
    <xf numFmtId="0" fontId="17" fillId="0" borderId="0" xfId="48">
      <alignment/>
      <protection/>
    </xf>
    <xf numFmtId="165" fontId="0" fillId="41" borderId="31" xfId="0" applyNumberFormat="1" applyFill="1" applyBorder="1" applyAlignment="1">
      <alignment horizontal="center"/>
    </xf>
    <xf numFmtId="0" fontId="20" fillId="40" borderId="0" xfId="48" applyFont="1" applyFill="1" applyBorder="1">
      <alignment/>
      <protection/>
    </xf>
    <xf numFmtId="165" fontId="3" fillId="0" borderId="0" xfId="0" applyNumberFormat="1" applyFont="1" applyFill="1" applyAlignment="1">
      <alignment horizontal="center"/>
    </xf>
    <xf numFmtId="0" fontId="8" fillId="0" borderId="0" xfId="47" applyFont="1">
      <alignment/>
      <protection/>
    </xf>
    <xf numFmtId="0" fontId="8" fillId="0" borderId="0" xfId="47" applyFont="1" applyFill="1" applyAlignment="1">
      <alignment horizontal="left"/>
      <protection/>
    </xf>
    <xf numFmtId="0" fontId="1" fillId="0" borderId="0" xfId="47" applyAlignment="1">
      <alignment horizontal="right"/>
      <protection/>
    </xf>
    <xf numFmtId="16" fontId="1" fillId="0" borderId="0" xfId="47" applyNumberFormat="1" applyFill="1">
      <alignment/>
      <protection/>
    </xf>
    <xf numFmtId="0" fontId="8" fillId="0" borderId="0" xfId="47" applyFont="1" applyAlignment="1">
      <alignment horizontal="center"/>
      <protection/>
    </xf>
    <xf numFmtId="0" fontId="8" fillId="0" borderId="0" xfId="47" applyFont="1" applyFill="1">
      <alignment/>
      <protection/>
    </xf>
    <xf numFmtId="0" fontId="1" fillId="0" borderId="0" xfId="47" applyAlignment="1">
      <alignment horizontal="left"/>
      <protection/>
    </xf>
    <xf numFmtId="0" fontId="26" fillId="0" borderId="0" xfId="48" applyFont="1">
      <alignment/>
      <protection/>
    </xf>
    <xf numFmtId="0" fontId="27" fillId="0" borderId="0" xfId="48" applyFont="1">
      <alignment/>
      <protection/>
    </xf>
    <xf numFmtId="0" fontId="2" fillId="0" borderId="0" xfId="48" applyFont="1" applyFill="1">
      <alignment/>
      <protection/>
    </xf>
    <xf numFmtId="0" fontId="0" fillId="0" borderId="0" xfId="48" applyFont="1" applyFill="1">
      <alignment/>
      <protection/>
    </xf>
    <xf numFmtId="0" fontId="0" fillId="39" borderId="0" xfId="48" applyFont="1" applyFill="1">
      <alignment/>
      <protection/>
    </xf>
    <xf numFmtId="0" fontId="0" fillId="0" borderId="0" xfId="48" applyFont="1" applyFill="1" applyAlignment="1">
      <alignment horizontal="right"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horizontal="right"/>
      <protection/>
    </xf>
    <xf numFmtId="0" fontId="0" fillId="39" borderId="0" xfId="48" applyFont="1" applyFill="1" applyBorder="1" applyAlignment="1">
      <alignment horizontal="right"/>
      <protection/>
    </xf>
    <xf numFmtId="0" fontId="28" fillId="0" borderId="0" xfId="48" applyFont="1" applyFill="1" applyBorder="1" applyAlignment="1">
      <alignment horizontal="right"/>
      <protection/>
    </xf>
    <xf numFmtId="0" fontId="0" fillId="40" borderId="0" xfId="48" applyFont="1" applyFill="1" applyBorder="1" applyAlignment="1">
      <alignment horizontal="right"/>
      <protection/>
    </xf>
    <xf numFmtId="0" fontId="0" fillId="39" borderId="0" xfId="48" applyFont="1" applyFill="1" applyAlignment="1">
      <alignment horizontal="right"/>
      <protection/>
    </xf>
    <xf numFmtId="0" fontId="0" fillId="0" borderId="0" xfId="48" applyFont="1" applyFill="1" applyBorder="1" applyAlignment="1">
      <alignment horizontal="left"/>
      <protection/>
    </xf>
    <xf numFmtId="0" fontId="25" fillId="0" borderId="0" xfId="48" applyFont="1" applyFill="1">
      <alignment/>
      <protection/>
    </xf>
    <xf numFmtId="0" fontId="29" fillId="0" borderId="0" xfId="46" applyFont="1" applyFill="1">
      <alignment/>
      <protection/>
    </xf>
    <xf numFmtId="0" fontId="30" fillId="0" borderId="0" xfId="46" applyFont="1" applyFill="1">
      <alignment/>
      <protection/>
    </xf>
    <xf numFmtId="0" fontId="30" fillId="0" borderId="0" xfId="48" applyFont="1" applyFill="1">
      <alignment/>
      <protection/>
    </xf>
    <xf numFmtId="0" fontId="30" fillId="0" borderId="0" xfId="48" applyFont="1" applyFill="1" applyBorder="1" applyAlignment="1">
      <alignment horizontal="left"/>
      <protection/>
    </xf>
    <xf numFmtId="0" fontId="29" fillId="39" borderId="0" xfId="48" applyFont="1" applyFill="1" applyBorder="1">
      <alignment/>
      <protection/>
    </xf>
    <xf numFmtId="0" fontId="30" fillId="0" borderId="0" xfId="48" applyFont="1" applyFill="1" applyBorder="1">
      <alignment/>
      <protection/>
    </xf>
    <xf numFmtId="0" fontId="31" fillId="0" borderId="0" xfId="48" applyFont="1" applyFill="1" applyBorder="1">
      <alignment/>
      <protection/>
    </xf>
    <xf numFmtId="0" fontId="25" fillId="0" borderId="0" xfId="48" applyFont="1" applyFill="1" applyBorder="1">
      <alignment/>
      <protection/>
    </xf>
    <xf numFmtId="0" fontId="29" fillId="39" borderId="0" xfId="48" applyFont="1" applyFill="1" applyBorder="1" applyAlignment="1">
      <alignment horizontal="left"/>
      <protection/>
    </xf>
    <xf numFmtId="0" fontId="25" fillId="40" borderId="0" xfId="48" applyFont="1" applyFill="1" applyBorder="1" applyAlignment="1">
      <alignment horizontal="left"/>
      <protection/>
    </xf>
    <xf numFmtId="0" fontId="31" fillId="0" borderId="0" xfId="48" applyFont="1" applyFill="1">
      <alignment/>
      <protection/>
    </xf>
    <xf numFmtId="0" fontId="30" fillId="39" borderId="0" xfId="48" applyFont="1" applyFill="1" applyBorder="1">
      <alignment/>
      <protection/>
    </xf>
    <xf numFmtId="0" fontId="33" fillId="0" borderId="0" xfId="48" applyFont="1">
      <alignment/>
      <protection/>
    </xf>
    <xf numFmtId="0" fontId="30" fillId="42" borderId="0" xfId="48" applyFont="1" applyFill="1" applyBorder="1">
      <alignment/>
      <protection/>
    </xf>
    <xf numFmtId="0" fontId="8" fillId="42" borderId="0" xfId="48" applyFont="1" applyFill="1" applyBorder="1">
      <alignment/>
      <protection/>
    </xf>
    <xf numFmtId="0" fontId="19" fillId="42" borderId="0" xfId="48" applyFont="1" applyFill="1" applyBorder="1">
      <alignment/>
      <protection/>
    </xf>
    <xf numFmtId="0" fontId="0" fillId="42" borderId="0" xfId="48" applyFont="1" applyFill="1" applyBorder="1" applyAlignment="1">
      <alignment horizontal="right"/>
      <protection/>
    </xf>
    <xf numFmtId="0" fontId="21" fillId="42" borderId="0" xfId="48" applyFont="1" applyFill="1" applyBorder="1">
      <alignment/>
      <protection/>
    </xf>
    <xf numFmtId="0" fontId="1" fillId="42" borderId="0" xfId="48" applyFont="1" applyFill="1" applyBorder="1">
      <alignment/>
      <protection/>
    </xf>
    <xf numFmtId="2" fontId="0" fillId="0" borderId="0" xfId="48" applyNumberFormat="1" applyFont="1" applyFill="1" applyAlignment="1">
      <alignment horizontal="right"/>
      <protection/>
    </xf>
    <xf numFmtId="0" fontId="0" fillId="7" borderId="26" xfId="0" applyFill="1" applyBorder="1" applyAlignment="1">
      <alignment/>
    </xf>
    <xf numFmtId="0" fontId="0" fillId="11" borderId="0" xfId="0" applyFill="1" applyAlignment="1">
      <alignment/>
    </xf>
    <xf numFmtId="165" fontId="0" fillId="11" borderId="26" xfId="0" applyNumberFormat="1" applyFont="1" applyFill="1" applyBorder="1" applyAlignment="1">
      <alignment horizontal="center"/>
    </xf>
    <xf numFmtId="165" fontId="0" fillId="11" borderId="26" xfId="0" applyNumberFormat="1" applyFill="1" applyBorder="1" applyAlignment="1">
      <alignment horizontal="center"/>
    </xf>
    <xf numFmtId="165" fontId="0" fillId="0" borderId="71" xfId="0" applyNumberFormat="1" applyFill="1" applyBorder="1" applyAlignment="1">
      <alignment horizontal="center"/>
    </xf>
    <xf numFmtId="165" fontId="0" fillId="0" borderId="72" xfId="0" applyNumberFormat="1" applyFill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165" fontId="0" fillId="0" borderId="4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" fontId="5" fillId="7" borderId="65" xfId="0" applyNumberFormat="1" applyFont="1" applyFill="1" applyBorder="1" applyAlignment="1">
      <alignment horizontal="center"/>
    </xf>
    <xf numFmtId="0" fontId="1" fillId="0" borderId="0" xfId="46" applyFont="1" applyFill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1" fillId="0" borderId="0" xfId="47" applyFill="1" applyAlignment="1">
      <alignment horizontal="left"/>
      <protection/>
    </xf>
    <xf numFmtId="0" fontId="1" fillId="0" borderId="0" xfId="47" applyFill="1" applyAlignment="1">
      <alignment horizontal="right"/>
      <protection/>
    </xf>
    <xf numFmtId="0" fontId="9" fillId="0" borderId="0" xfId="47" applyFont="1" applyAlignment="1">
      <alignment horizontal="right"/>
      <protection/>
    </xf>
    <xf numFmtId="0" fontId="10" fillId="0" borderId="0" xfId="47" applyFont="1" applyAlignment="1">
      <alignment horizontal="right"/>
      <protection/>
    </xf>
    <xf numFmtId="1" fontId="1" fillId="0" borderId="0" xfId="47" applyNumberFormat="1" applyAlignment="1">
      <alignment horizontal="right"/>
      <protection/>
    </xf>
    <xf numFmtId="0" fontId="1" fillId="0" borderId="0" xfId="47" applyFill="1" applyAlignment="1">
      <alignment/>
      <protection/>
    </xf>
    <xf numFmtId="165" fontId="1" fillId="0" borderId="0" xfId="47" applyNumberFormat="1" applyFill="1" applyAlignment="1">
      <alignment horizontal="right"/>
      <protection/>
    </xf>
    <xf numFmtId="165" fontId="1" fillId="0" borderId="0" xfId="47" applyNumberFormat="1" applyAlignment="1">
      <alignment horizontal="right"/>
      <protection/>
    </xf>
    <xf numFmtId="165" fontId="1" fillId="0" borderId="0" xfId="47" applyNumberFormat="1">
      <alignment/>
      <protection/>
    </xf>
    <xf numFmtId="2" fontId="1" fillId="0" borderId="0" xfId="47" applyNumberFormat="1" applyAlignment="1">
      <alignment horizontal="right"/>
      <protection/>
    </xf>
    <xf numFmtId="0" fontId="7" fillId="0" borderId="0" xfId="47" applyFont="1">
      <alignment/>
      <protection/>
    </xf>
    <xf numFmtId="0" fontId="0" fillId="0" borderId="0" xfId="48" applyFont="1" applyFill="1" applyAlignment="1">
      <alignment horizontal="center"/>
      <protection/>
    </xf>
    <xf numFmtId="165" fontId="1" fillId="0" borderId="0" xfId="48" applyNumberFormat="1" applyFont="1" applyFill="1" applyAlignment="1">
      <alignment horizontal="right"/>
      <protection/>
    </xf>
    <xf numFmtId="166" fontId="34" fillId="0" borderId="0" xfId="48" applyNumberFormat="1" applyFont="1">
      <alignment/>
      <protection/>
    </xf>
    <xf numFmtId="166" fontId="18" fillId="42" borderId="0" xfId="48" applyNumberFormat="1" applyFont="1" applyFill="1" applyBorder="1">
      <alignment/>
      <protection/>
    </xf>
    <xf numFmtId="166" fontId="18" fillId="0" borderId="0" xfId="48" applyNumberFormat="1" applyFont="1" applyFill="1" applyBorder="1" applyAlignment="1">
      <alignment horizontal="right"/>
      <protection/>
    </xf>
    <xf numFmtId="166" fontId="2" fillId="43" borderId="0" xfId="48" applyNumberFormat="1" applyFont="1" applyFill="1" applyBorder="1">
      <alignment/>
      <protection/>
    </xf>
    <xf numFmtId="166" fontId="2" fillId="0" borderId="0" xfId="48" applyNumberFormat="1" applyFont="1" applyFill="1" applyBorder="1">
      <alignment/>
      <protection/>
    </xf>
    <xf numFmtId="166" fontId="2" fillId="43" borderId="0" xfId="48" applyNumberFormat="1" applyFont="1" applyFill="1" applyBorder="1" applyAlignment="1">
      <alignment horizontal="right"/>
      <protection/>
    </xf>
    <xf numFmtId="166" fontId="18" fillId="39" borderId="0" xfId="48" applyNumberFormat="1" applyFont="1" applyFill="1" applyBorder="1">
      <alignment/>
      <protection/>
    </xf>
    <xf numFmtId="166" fontId="18" fillId="0" borderId="0" xfId="48" applyNumberFormat="1" applyFont="1" applyFill="1" applyBorder="1">
      <alignment/>
      <protection/>
    </xf>
    <xf numFmtId="166" fontId="8" fillId="0" borderId="0" xfId="48" applyNumberFormat="1" applyFont="1" applyFill="1" applyBorder="1" applyAlignment="1">
      <alignment horizontal="left"/>
      <protection/>
    </xf>
    <xf numFmtId="166" fontId="18" fillId="0" borderId="0" xfId="48" applyNumberFormat="1" applyFont="1" applyFill="1" applyAlignment="1">
      <alignment horizontal="right"/>
      <protection/>
    </xf>
    <xf numFmtId="166" fontId="2" fillId="44" borderId="0" xfId="48" applyNumberFormat="1" applyFont="1" applyFill="1" applyBorder="1">
      <alignment/>
      <protection/>
    </xf>
    <xf numFmtId="166" fontId="1" fillId="43" borderId="0" xfId="48" applyNumberFormat="1" applyFont="1" applyFill="1" applyBorder="1" applyAlignment="1">
      <alignment horizontal="right"/>
      <protection/>
    </xf>
    <xf numFmtId="166" fontId="2" fillId="39" borderId="0" xfId="48" applyNumberFormat="1" applyFont="1" applyFill="1" applyBorder="1">
      <alignment/>
      <protection/>
    </xf>
    <xf numFmtId="166" fontId="18" fillId="40" borderId="0" xfId="48" applyNumberFormat="1" applyFont="1" applyFill="1" applyBorder="1">
      <alignment/>
      <protection/>
    </xf>
    <xf numFmtId="165" fontId="8" fillId="43" borderId="0" xfId="48" applyNumberFormat="1" applyFont="1" applyFill="1" applyAlignment="1">
      <alignment horizontal="right"/>
      <protection/>
    </xf>
    <xf numFmtId="166" fontId="35" fillId="39" borderId="0" xfId="48" applyNumberFormat="1" applyFont="1" applyFill="1" applyBorder="1">
      <alignment/>
      <protection/>
    </xf>
    <xf numFmtId="166" fontId="35" fillId="0" borderId="0" xfId="48" applyNumberFormat="1" applyFont="1" applyFill="1">
      <alignment/>
      <protection/>
    </xf>
    <xf numFmtId="166" fontId="35" fillId="0" borderId="0" xfId="48" applyNumberFormat="1" applyFont="1" applyFill="1" applyBorder="1">
      <alignment/>
      <protection/>
    </xf>
    <xf numFmtId="166" fontId="18" fillId="0" borderId="0" xfId="48" applyNumberFormat="1" applyFont="1" applyFill="1">
      <alignment/>
      <protection/>
    </xf>
    <xf numFmtId="166" fontId="2" fillId="0" borderId="0" xfId="48" applyNumberFormat="1" applyFont="1" applyFill="1">
      <alignment/>
      <protection/>
    </xf>
    <xf numFmtId="166" fontId="34" fillId="0" borderId="0" xfId="48" applyNumberFormat="1" applyFont="1" applyFill="1">
      <alignment/>
      <protection/>
    </xf>
    <xf numFmtId="165" fontId="1" fillId="43" borderId="0" xfId="48" applyNumberFormat="1" applyFont="1" applyFill="1" applyBorder="1" applyAlignment="1">
      <alignment horizontal="right"/>
      <protection/>
    </xf>
    <xf numFmtId="166" fontId="18" fillId="45" borderId="0" xfId="48" applyNumberFormat="1" applyFont="1" applyFill="1" applyBorder="1">
      <alignment/>
      <protection/>
    </xf>
    <xf numFmtId="165" fontId="8" fillId="0" borderId="0" xfId="48" applyNumberFormat="1" applyFont="1" applyFill="1" applyAlignment="1">
      <alignment horizontal="right"/>
      <protection/>
    </xf>
    <xf numFmtId="166" fontId="18" fillId="46" borderId="0" xfId="48" applyNumberFormat="1" applyFont="1" applyFill="1" applyBorder="1" applyAlignment="1">
      <alignment horizontal="center"/>
      <protection/>
    </xf>
    <xf numFmtId="0" fontId="19" fillId="43" borderId="0" xfId="48" applyFont="1" applyFill="1" applyBorder="1">
      <alignment/>
      <protection/>
    </xf>
    <xf numFmtId="0" fontId="21" fillId="43" borderId="0" xfId="48" applyFont="1" applyFill="1" applyBorder="1">
      <alignment/>
      <protection/>
    </xf>
    <xf numFmtId="0" fontId="19" fillId="40" borderId="0" xfId="48" applyFont="1" applyFill="1" applyBorder="1" applyAlignment="1">
      <alignment horizontal="right"/>
      <protection/>
    </xf>
    <xf numFmtId="0" fontId="1" fillId="43" borderId="0" xfId="47" applyFill="1">
      <alignment/>
      <protection/>
    </xf>
    <xf numFmtId="165" fontId="8" fillId="0" borderId="0" xfId="47" applyNumberFormat="1" applyFont="1">
      <alignment/>
      <protection/>
    </xf>
    <xf numFmtId="165" fontId="0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Font="1" applyAlignment="1">
      <alignment horizontal="center" vertical="top" wrapText="1"/>
    </xf>
    <xf numFmtId="164" fontId="0" fillId="11" borderId="25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11" borderId="0" xfId="0" applyFont="1" applyFill="1" applyAlignment="1">
      <alignment/>
    </xf>
    <xf numFmtId="165" fontId="0" fillId="7" borderId="27" xfId="0" applyNumberForma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5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" fontId="5" fillId="43" borderId="65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" fontId="1" fillId="0" borderId="0" xfId="48" applyNumberFormat="1" applyFont="1" applyFill="1">
      <alignment/>
      <protection/>
    </xf>
    <xf numFmtId="168" fontId="1" fillId="0" borderId="0" xfId="47" applyNumberFormat="1" applyFill="1" applyAlignment="1">
      <alignment horizontal="right"/>
      <protection/>
    </xf>
    <xf numFmtId="0" fontId="37" fillId="0" borderId="0" xfId="47" applyFont="1" applyFill="1">
      <alignment/>
      <protection/>
    </xf>
    <xf numFmtId="0" fontId="1" fillId="0" borderId="0" xfId="47" applyFont="1" applyFill="1">
      <alignment/>
      <protection/>
    </xf>
    <xf numFmtId="0" fontId="1" fillId="0" borderId="0" xfId="47" applyFont="1">
      <alignment/>
      <protection/>
    </xf>
    <xf numFmtId="0" fontId="25" fillId="0" borderId="0" xfId="47" applyFont="1">
      <alignment/>
      <protection/>
    </xf>
    <xf numFmtId="0" fontId="13" fillId="0" borderId="0" xfId="47" applyFont="1">
      <alignment/>
      <protection/>
    </xf>
    <xf numFmtId="0" fontId="38" fillId="0" borderId="0" xfId="47" applyFont="1" applyAlignment="1">
      <alignment vertical="center"/>
      <protection/>
    </xf>
    <xf numFmtId="0" fontId="1" fillId="0" borderId="0" xfId="47" applyAlignment="1">
      <alignment vertical="center"/>
      <protection/>
    </xf>
    <xf numFmtId="0" fontId="1" fillId="0" borderId="0" xfId="47" applyFont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1" fillId="0" borderId="0" xfId="47" applyFill="1" applyAlignment="1">
      <alignment vertical="center"/>
      <protection/>
    </xf>
    <xf numFmtId="0" fontId="30" fillId="47" borderId="0" xfId="47" applyFont="1" applyFill="1" applyAlignment="1">
      <alignment vertical="center"/>
      <protection/>
    </xf>
    <xf numFmtId="0" fontId="8" fillId="47" borderId="0" xfId="47" applyFont="1" applyFill="1" applyAlignment="1">
      <alignment vertical="center"/>
      <protection/>
    </xf>
    <xf numFmtId="0" fontId="1" fillId="47" borderId="0" xfId="47" applyFill="1" applyAlignment="1">
      <alignment vertical="center"/>
      <protection/>
    </xf>
    <xf numFmtId="0" fontId="1" fillId="47" borderId="0" xfId="47" applyFont="1" applyFill="1" applyAlignment="1">
      <alignment vertical="center"/>
      <protection/>
    </xf>
    <xf numFmtId="0" fontId="25" fillId="47" borderId="0" xfId="47" applyFont="1" applyFill="1" applyAlignment="1">
      <alignment vertical="center"/>
      <protection/>
    </xf>
    <xf numFmtId="0" fontId="39" fillId="0" borderId="0" xfId="47" applyFont="1" applyFill="1" applyAlignment="1">
      <alignment vertical="center"/>
      <protection/>
    </xf>
    <xf numFmtId="0" fontId="1" fillId="0" borderId="0" xfId="47" applyFont="1" applyFill="1" applyAlignment="1">
      <alignment vertical="center"/>
      <protection/>
    </xf>
    <xf numFmtId="0" fontId="25" fillId="0" borderId="0" xfId="47" applyFont="1" applyFill="1" applyAlignment="1">
      <alignment vertical="center"/>
      <protection/>
    </xf>
    <xf numFmtId="0" fontId="30" fillId="0" borderId="0" xfId="47" applyFont="1" applyFill="1" applyAlignment="1">
      <alignment vertical="center"/>
      <protection/>
    </xf>
    <xf numFmtId="0" fontId="30" fillId="0" borderId="0" xfId="47" applyFont="1" applyFill="1" applyBorder="1">
      <alignment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>
      <alignment/>
      <protection/>
    </xf>
    <xf numFmtId="0" fontId="25" fillId="0" borderId="0" xfId="47" applyFont="1" applyFill="1" applyBorder="1" applyAlignment="1">
      <alignment horizontal="right"/>
      <protection/>
    </xf>
    <xf numFmtId="168" fontId="8" fillId="0" borderId="0" xfId="47" applyNumberFormat="1" applyFont="1" applyFill="1" applyBorder="1">
      <alignment/>
      <protection/>
    </xf>
    <xf numFmtId="0" fontId="8" fillId="0" borderId="0" xfId="47" applyFont="1" applyFill="1" applyBorder="1">
      <alignment/>
      <protection/>
    </xf>
    <xf numFmtId="0" fontId="25" fillId="0" borderId="0" xfId="47" applyFont="1" applyFill="1">
      <alignment/>
      <protection/>
    </xf>
    <xf numFmtId="0" fontId="40" fillId="0" borderId="0" xfId="47" applyFont="1" applyFill="1">
      <alignment/>
      <protection/>
    </xf>
    <xf numFmtId="0" fontId="19" fillId="0" borderId="0" xfId="47" applyFont="1" applyFill="1" applyAlignment="1">
      <alignment horizontal="left"/>
      <protection/>
    </xf>
    <xf numFmtId="0" fontId="21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right"/>
      <protection/>
    </xf>
    <xf numFmtId="165" fontId="21" fillId="0" borderId="0" xfId="47" applyNumberFormat="1" applyFont="1" applyFill="1" applyBorder="1">
      <alignment/>
      <protection/>
    </xf>
    <xf numFmtId="0" fontId="40" fillId="0" borderId="0" xfId="47" applyFont="1" applyFill="1" applyBorder="1">
      <alignment/>
      <protection/>
    </xf>
    <xf numFmtId="1" fontId="36" fillId="0" borderId="0" xfId="47" applyNumberFormat="1" applyFont="1" applyFill="1" applyBorder="1">
      <alignment/>
      <protection/>
    </xf>
    <xf numFmtId="0" fontId="36" fillId="0" borderId="0" xfId="47" applyFont="1" applyFill="1" applyBorder="1">
      <alignment/>
      <protection/>
    </xf>
    <xf numFmtId="168" fontId="41" fillId="0" borderId="0" xfId="47" applyNumberFormat="1" applyFont="1" applyFill="1">
      <alignment/>
      <protection/>
    </xf>
    <xf numFmtId="0" fontId="36" fillId="0" borderId="0" xfId="47" applyFont="1" applyFill="1">
      <alignment/>
      <protection/>
    </xf>
    <xf numFmtId="0" fontId="40" fillId="0" borderId="0" xfId="47" applyFont="1" applyFill="1" applyAlignment="1">
      <alignment horizontal="left"/>
      <protection/>
    </xf>
    <xf numFmtId="0" fontId="22" fillId="0" borderId="0" xfId="47" applyFont="1" applyFill="1" applyBorder="1">
      <alignment/>
      <protection/>
    </xf>
    <xf numFmtId="1" fontId="20" fillId="0" borderId="0" xfId="47" applyNumberFormat="1" applyFont="1" applyFill="1" applyBorder="1">
      <alignment/>
      <protection/>
    </xf>
    <xf numFmtId="0" fontId="22" fillId="0" borderId="0" xfId="47" applyFont="1" applyFill="1" applyAlignment="1">
      <alignment horizontal="left"/>
      <protection/>
    </xf>
    <xf numFmtId="0" fontId="25" fillId="0" borderId="0" xfId="47" applyFont="1" applyFill="1" applyBorder="1">
      <alignment/>
      <protection/>
    </xf>
    <xf numFmtId="168" fontId="8" fillId="0" borderId="0" xfId="47" applyNumberFormat="1" applyFont="1" applyFill="1" applyAlignment="1">
      <alignment horizontal="right"/>
      <protection/>
    </xf>
    <xf numFmtId="168" fontId="1" fillId="0" borderId="0" xfId="47" applyNumberFormat="1" applyFont="1" applyFill="1">
      <alignment/>
      <protection/>
    </xf>
    <xf numFmtId="0" fontId="43" fillId="0" borderId="0" xfId="47" applyFont="1" applyFill="1">
      <alignment/>
      <protection/>
    </xf>
    <xf numFmtId="0" fontId="25" fillId="0" borderId="0" xfId="47" applyFont="1" applyFill="1" applyAlignment="1">
      <alignment horizontal="left"/>
      <protection/>
    </xf>
    <xf numFmtId="168" fontId="8" fillId="0" borderId="0" xfId="47" applyNumberFormat="1" applyFont="1" applyFill="1">
      <alignment/>
      <protection/>
    </xf>
    <xf numFmtId="0" fontId="1" fillId="0" borderId="0" xfId="47" applyFont="1" applyFill="1" applyBorder="1" applyAlignment="1">
      <alignment horizontal="right"/>
      <protection/>
    </xf>
    <xf numFmtId="0" fontId="25" fillId="0" borderId="0" xfId="47" applyFont="1" applyFill="1" applyBorder="1" applyAlignment="1">
      <alignment horizontal="left"/>
      <protection/>
    </xf>
    <xf numFmtId="1" fontId="8" fillId="0" borderId="0" xfId="47" applyNumberFormat="1" applyFont="1" applyFill="1" applyBorder="1">
      <alignment/>
      <protection/>
    </xf>
    <xf numFmtId="0" fontId="30" fillId="0" borderId="0" xfId="47" applyFont="1" applyFill="1">
      <alignment/>
      <protection/>
    </xf>
    <xf numFmtId="0" fontId="30" fillId="0" borderId="0" xfId="47" applyFont="1" applyFill="1" applyAlignment="1">
      <alignment horizontal="left" vertical="center"/>
      <protection/>
    </xf>
    <xf numFmtId="168" fontId="8" fillId="0" borderId="0" xfId="47" applyNumberFormat="1" applyFont="1" applyFill="1" applyAlignment="1">
      <alignment vertical="center"/>
      <protection/>
    </xf>
    <xf numFmtId="168" fontId="44" fillId="0" borderId="0" xfId="47" applyNumberFormat="1" applyFont="1" applyFill="1" applyAlignment="1">
      <alignment vertical="center"/>
      <protection/>
    </xf>
    <xf numFmtId="168" fontId="1" fillId="0" borderId="0" xfId="47" applyNumberFormat="1" applyFont="1" applyFill="1" applyAlignment="1">
      <alignment vertical="center"/>
      <protection/>
    </xf>
    <xf numFmtId="0" fontId="25" fillId="0" borderId="0" xfId="47" applyFont="1" applyFill="1" applyAlignment="1">
      <alignment horizontal="center" vertical="center"/>
      <protection/>
    </xf>
    <xf numFmtId="0" fontId="1" fillId="0" borderId="0" xfId="47" applyFill="1" applyAlignment="1">
      <alignment horizontal="left" vertical="center"/>
      <protection/>
    </xf>
    <xf numFmtId="0" fontId="40" fillId="0" borderId="0" xfId="47" applyFont="1" applyFill="1" applyBorder="1" applyAlignment="1">
      <alignment horizontal="right"/>
      <protection/>
    </xf>
    <xf numFmtId="168" fontId="8" fillId="48" borderId="0" xfId="47" applyNumberFormat="1" applyFont="1" applyFill="1" applyBorder="1">
      <alignment/>
      <protection/>
    </xf>
    <xf numFmtId="0" fontId="8" fillId="48" borderId="0" xfId="47" applyFont="1" applyFill="1" applyBorder="1">
      <alignment/>
      <protection/>
    </xf>
    <xf numFmtId="0" fontId="25" fillId="48" borderId="0" xfId="47" applyFont="1" applyFill="1">
      <alignment/>
      <protection/>
    </xf>
    <xf numFmtId="0" fontId="40" fillId="48" borderId="0" xfId="47" applyFont="1" applyFill="1">
      <alignment/>
      <protection/>
    </xf>
    <xf numFmtId="0" fontId="25" fillId="48" borderId="0" xfId="47" applyFont="1" applyFill="1" applyBorder="1">
      <alignment/>
      <protection/>
    </xf>
    <xf numFmtId="0" fontId="1" fillId="48" borderId="0" xfId="47" applyFont="1" applyFill="1">
      <alignment/>
      <protection/>
    </xf>
    <xf numFmtId="164" fontId="25" fillId="0" borderId="32" xfId="47" applyNumberFormat="1" applyFont="1" applyBorder="1" applyAlignment="1">
      <alignment horizontal="center"/>
      <protection/>
    </xf>
    <xf numFmtId="0" fontId="25" fillId="0" borderId="73" xfId="47" applyFont="1" applyBorder="1" applyAlignment="1">
      <alignment horizontal="center"/>
      <protection/>
    </xf>
    <xf numFmtId="0" fontId="25" fillId="0" borderId="74" xfId="47" applyFont="1" applyBorder="1" applyAlignment="1">
      <alignment horizontal="center"/>
      <protection/>
    </xf>
    <xf numFmtId="0" fontId="25" fillId="0" borderId="75" xfId="47" applyFont="1" applyBorder="1" applyAlignment="1">
      <alignment horizontal="center"/>
      <protection/>
    </xf>
    <xf numFmtId="164" fontId="25" fillId="0" borderId="76" xfId="47" applyNumberFormat="1" applyFont="1" applyBorder="1" applyAlignment="1">
      <alignment horizontal="center"/>
      <protection/>
    </xf>
    <xf numFmtId="164" fontId="25" fillId="0" borderId="77" xfId="47" applyNumberFormat="1" applyFont="1" applyBorder="1" applyAlignment="1">
      <alignment horizontal="center"/>
      <protection/>
    </xf>
    <xf numFmtId="164" fontId="25" fillId="0" borderId="78" xfId="47" applyNumberFormat="1" applyFont="1" applyBorder="1" applyAlignment="1">
      <alignment horizontal="center"/>
      <protection/>
    </xf>
    <xf numFmtId="164" fontId="30" fillId="0" borderId="79" xfId="47" applyNumberFormat="1" applyFont="1" applyBorder="1" applyAlignment="1">
      <alignment horizontal="center"/>
      <protection/>
    </xf>
    <xf numFmtId="0" fontId="25" fillId="0" borderId="75" xfId="47" applyFont="1" applyBorder="1">
      <alignment/>
      <protection/>
    </xf>
    <xf numFmtId="0" fontId="30" fillId="0" borderId="80" xfId="47" applyFont="1" applyFill="1" applyBorder="1">
      <alignment/>
      <protection/>
    </xf>
    <xf numFmtId="0" fontId="25" fillId="0" borderId="81" xfId="47" applyFont="1" applyFill="1" applyBorder="1">
      <alignment/>
      <protection/>
    </xf>
    <xf numFmtId="0" fontId="25" fillId="0" borderId="82" xfId="47" applyFont="1" applyFill="1" applyBorder="1" applyAlignment="1">
      <alignment horizontal="right"/>
      <protection/>
    </xf>
    <xf numFmtId="168" fontId="25" fillId="0" borderId="80" xfId="47" applyNumberFormat="1" applyFont="1" applyFill="1" applyBorder="1" applyAlignment="1">
      <alignment horizontal="right"/>
      <protection/>
    </xf>
    <xf numFmtId="168" fontId="25" fillId="0" borderId="83" xfId="47" applyNumberFormat="1" applyFont="1" applyFill="1" applyBorder="1" applyAlignment="1">
      <alignment horizontal="right"/>
      <protection/>
    </xf>
    <xf numFmtId="168" fontId="25" fillId="0" borderId="82" xfId="47" applyNumberFormat="1" applyFont="1" applyFill="1" applyBorder="1" applyAlignment="1">
      <alignment horizontal="right"/>
      <protection/>
    </xf>
    <xf numFmtId="168" fontId="30" fillId="0" borderId="48" xfId="47" applyNumberFormat="1" applyFont="1" applyFill="1" applyBorder="1">
      <alignment/>
      <protection/>
    </xf>
    <xf numFmtId="0" fontId="25" fillId="0" borderId="80" xfId="47" applyFont="1" applyFill="1" applyBorder="1" applyAlignment="1">
      <alignment horizontal="right"/>
      <protection/>
    </xf>
    <xf numFmtId="0" fontId="25" fillId="0" borderId="82" xfId="47" applyFont="1" applyFill="1" applyBorder="1">
      <alignment/>
      <protection/>
    </xf>
    <xf numFmtId="0" fontId="30" fillId="0" borderId="17" xfId="47" applyFont="1" applyFill="1" applyBorder="1">
      <alignment/>
      <protection/>
    </xf>
    <xf numFmtId="0" fontId="25" fillId="0" borderId="84" xfId="47" applyFont="1" applyFill="1" applyBorder="1">
      <alignment/>
      <protection/>
    </xf>
    <xf numFmtId="0" fontId="25" fillId="0" borderId="85" xfId="47" applyFont="1" applyFill="1" applyBorder="1" applyAlignment="1">
      <alignment horizontal="right"/>
      <protection/>
    </xf>
    <xf numFmtId="1" fontId="25" fillId="32" borderId="86" xfId="47" applyNumberFormat="1" applyFont="1" applyFill="1" applyBorder="1" applyAlignment="1">
      <alignment horizontal="right"/>
      <protection/>
    </xf>
    <xf numFmtId="1" fontId="25" fillId="32" borderId="87" xfId="47" applyNumberFormat="1" applyFont="1" applyFill="1" applyBorder="1" applyAlignment="1">
      <alignment horizontal="right"/>
      <protection/>
    </xf>
    <xf numFmtId="1" fontId="25" fillId="32" borderId="85" xfId="47" applyNumberFormat="1" applyFont="1" applyFill="1" applyBorder="1" applyAlignment="1">
      <alignment horizontal="right"/>
      <protection/>
    </xf>
    <xf numFmtId="1" fontId="30" fillId="32" borderId="70" xfId="47" applyNumberFormat="1" applyFont="1" applyFill="1" applyBorder="1">
      <alignment/>
      <protection/>
    </xf>
    <xf numFmtId="0" fontId="25" fillId="0" borderId="86" xfId="47" applyFont="1" applyFill="1" applyBorder="1" applyAlignment="1">
      <alignment horizontal="right"/>
      <protection/>
    </xf>
    <xf numFmtId="0" fontId="25" fillId="0" borderId="85" xfId="47" applyFont="1" applyFill="1" applyBorder="1">
      <alignment/>
      <protection/>
    </xf>
    <xf numFmtId="0" fontId="40" fillId="0" borderId="88" xfId="47" applyFont="1" applyFill="1" applyBorder="1">
      <alignment/>
      <protection/>
    </xf>
    <xf numFmtId="0" fontId="25" fillId="0" borderId="89" xfId="47" applyFont="1" applyFill="1" applyBorder="1" applyAlignment="1">
      <alignment horizontal="right"/>
      <protection/>
    </xf>
    <xf numFmtId="1" fontId="40" fillId="0" borderId="90" xfId="47" applyNumberFormat="1" applyFont="1" applyFill="1" applyBorder="1" applyAlignment="1">
      <alignment horizontal="right"/>
      <protection/>
    </xf>
    <xf numFmtId="1" fontId="40" fillId="0" borderId="91" xfId="47" applyNumberFormat="1" applyFont="1" applyFill="1" applyBorder="1" applyAlignment="1">
      <alignment horizontal="right"/>
      <protection/>
    </xf>
    <xf numFmtId="1" fontId="40" fillId="0" borderId="89" xfId="47" applyNumberFormat="1" applyFont="1" applyFill="1" applyBorder="1" applyAlignment="1">
      <alignment horizontal="right"/>
      <protection/>
    </xf>
    <xf numFmtId="1" fontId="46" fillId="0" borderId="92" xfId="47" applyNumberFormat="1" applyFont="1" applyFill="1" applyBorder="1">
      <alignment/>
      <protection/>
    </xf>
    <xf numFmtId="0" fontId="46" fillId="0" borderId="0" xfId="47" applyFont="1" applyFill="1" applyBorder="1">
      <alignment/>
      <protection/>
    </xf>
    <xf numFmtId="0" fontId="25" fillId="0" borderId="90" xfId="47" applyFont="1" applyFill="1" applyBorder="1" applyAlignment="1">
      <alignment horizontal="right"/>
      <protection/>
    </xf>
    <xf numFmtId="0" fontId="40" fillId="0" borderId="89" xfId="47" applyFont="1" applyFill="1" applyBorder="1">
      <alignment/>
      <protection/>
    </xf>
    <xf numFmtId="0" fontId="46" fillId="0" borderId="0" xfId="47" applyFont="1" applyFill="1">
      <alignment/>
      <protection/>
    </xf>
    <xf numFmtId="0" fontId="25" fillId="0" borderId="88" xfId="47" applyFont="1" applyFill="1" applyBorder="1">
      <alignment/>
      <protection/>
    </xf>
    <xf numFmtId="168" fontId="25" fillId="0" borderId="90" xfId="47" applyNumberFormat="1" applyFont="1" applyFill="1" applyBorder="1" applyAlignment="1">
      <alignment horizontal="right"/>
      <protection/>
    </xf>
    <xf numFmtId="168" fontId="25" fillId="0" borderId="91" xfId="47" applyNumberFormat="1" applyFont="1" applyFill="1" applyBorder="1" applyAlignment="1">
      <alignment horizontal="right"/>
      <protection/>
    </xf>
    <xf numFmtId="168" fontId="25" fillId="0" borderId="89" xfId="47" applyNumberFormat="1" applyFont="1" applyFill="1" applyBorder="1" applyAlignment="1">
      <alignment horizontal="right"/>
      <protection/>
    </xf>
    <xf numFmtId="168" fontId="30" fillId="0" borderId="92" xfId="47" applyNumberFormat="1" applyFont="1" applyFill="1" applyBorder="1">
      <alignment/>
      <protection/>
    </xf>
    <xf numFmtId="0" fontId="25" fillId="0" borderId="89" xfId="47" applyFont="1" applyFill="1" applyBorder="1">
      <alignment/>
      <protection/>
    </xf>
    <xf numFmtId="0" fontId="48" fillId="0" borderId="0" xfId="47" applyFont="1" applyFill="1">
      <alignment/>
      <protection/>
    </xf>
    <xf numFmtId="0" fontId="25" fillId="0" borderId="93" xfId="47" applyFont="1" applyFill="1" applyBorder="1">
      <alignment/>
      <protection/>
    </xf>
    <xf numFmtId="0" fontId="25" fillId="0" borderId="94" xfId="47" applyFont="1" applyFill="1" applyBorder="1" applyAlignment="1">
      <alignment horizontal="right"/>
      <protection/>
    </xf>
    <xf numFmtId="168" fontId="25" fillId="0" borderId="95" xfId="47" applyNumberFormat="1" applyFont="1" applyFill="1" applyBorder="1" applyAlignment="1">
      <alignment horizontal="right"/>
      <protection/>
    </xf>
    <xf numFmtId="168" fontId="25" fillId="0" borderId="93" xfId="47" applyNumberFormat="1" applyFont="1" applyFill="1" applyBorder="1" applyAlignment="1">
      <alignment horizontal="right"/>
      <protection/>
    </xf>
    <xf numFmtId="168" fontId="25" fillId="0" borderId="94" xfId="47" applyNumberFormat="1" applyFont="1" applyFill="1" applyBorder="1" applyAlignment="1">
      <alignment horizontal="right"/>
      <protection/>
    </xf>
    <xf numFmtId="168" fontId="30" fillId="0" borderId="96" xfId="47" applyNumberFormat="1" applyFont="1" applyFill="1" applyBorder="1">
      <alignment/>
      <protection/>
    </xf>
    <xf numFmtId="0" fontId="25" fillId="0" borderId="95" xfId="47" applyFont="1" applyFill="1" applyBorder="1" applyAlignment="1">
      <alignment horizontal="right"/>
      <protection/>
    </xf>
    <xf numFmtId="0" fontId="25" fillId="0" borderId="94" xfId="47" applyFont="1" applyFill="1" applyBorder="1">
      <alignment/>
      <protection/>
    </xf>
    <xf numFmtId="0" fontId="25" fillId="0" borderId="44" xfId="47" applyFont="1" applyFill="1" applyBorder="1">
      <alignment/>
      <protection/>
    </xf>
    <xf numFmtId="168" fontId="25" fillId="32" borderId="86" xfId="47" applyNumberFormat="1" applyFont="1" applyFill="1" applyBorder="1" applyAlignment="1">
      <alignment horizontal="right"/>
      <protection/>
    </xf>
    <xf numFmtId="168" fontId="25" fillId="32" borderId="87" xfId="47" applyNumberFormat="1" applyFont="1" applyFill="1" applyBorder="1" applyAlignment="1">
      <alignment horizontal="right"/>
      <protection/>
    </xf>
    <xf numFmtId="168" fontId="25" fillId="32" borderId="85" xfId="47" applyNumberFormat="1" applyFont="1" applyFill="1" applyBorder="1" applyAlignment="1">
      <alignment horizontal="right"/>
      <protection/>
    </xf>
    <xf numFmtId="168" fontId="30" fillId="32" borderId="70" xfId="47" applyNumberFormat="1" applyFont="1" applyFill="1" applyBorder="1">
      <alignment/>
      <protection/>
    </xf>
    <xf numFmtId="0" fontId="25" fillId="0" borderId="49" xfId="47" applyFont="1" applyFill="1" applyBorder="1">
      <alignment/>
      <protection/>
    </xf>
    <xf numFmtId="0" fontId="25" fillId="0" borderId="87" xfId="47" applyFont="1" applyFill="1" applyBorder="1">
      <alignment/>
      <protection/>
    </xf>
    <xf numFmtId="0" fontId="25" fillId="0" borderId="97" xfId="47" applyFont="1" applyFill="1" applyBorder="1">
      <alignment/>
      <protection/>
    </xf>
    <xf numFmtId="0" fontId="30" fillId="0" borderId="86" xfId="47" applyFont="1" applyFill="1" applyBorder="1">
      <alignment/>
      <protection/>
    </xf>
    <xf numFmtId="0" fontId="30" fillId="49" borderId="90" xfId="47" applyFont="1" applyFill="1" applyBorder="1">
      <alignment/>
      <protection/>
    </xf>
    <xf numFmtId="0" fontId="25" fillId="49" borderId="88" xfId="47" applyFont="1" applyFill="1" applyBorder="1">
      <alignment/>
      <protection/>
    </xf>
    <xf numFmtId="0" fontId="25" fillId="49" borderId="89" xfId="47" applyFont="1" applyFill="1" applyBorder="1" applyAlignment="1">
      <alignment horizontal="right"/>
      <protection/>
    </xf>
    <xf numFmtId="168" fontId="25" fillId="49" borderId="90" xfId="47" applyNumberFormat="1" applyFont="1" applyFill="1" applyBorder="1" applyAlignment="1">
      <alignment horizontal="right"/>
      <protection/>
    </xf>
    <xf numFmtId="168" fontId="25" fillId="49" borderId="91" xfId="47" applyNumberFormat="1" applyFont="1" applyFill="1" applyBorder="1" applyAlignment="1">
      <alignment horizontal="right"/>
      <protection/>
    </xf>
    <xf numFmtId="168" fontId="25" fillId="49" borderId="89" xfId="47" applyNumberFormat="1" applyFont="1" applyFill="1" applyBorder="1" applyAlignment="1">
      <alignment horizontal="right"/>
      <protection/>
    </xf>
    <xf numFmtId="168" fontId="30" fillId="49" borderId="92" xfId="47" applyNumberFormat="1" applyFont="1" applyFill="1" applyBorder="1">
      <alignment/>
      <protection/>
    </xf>
    <xf numFmtId="0" fontId="25" fillId="49" borderId="90" xfId="47" applyFont="1" applyFill="1" applyBorder="1" applyAlignment="1">
      <alignment horizontal="right"/>
      <protection/>
    </xf>
    <xf numFmtId="0" fontId="25" fillId="49" borderId="89" xfId="47" applyFont="1" applyFill="1" applyBorder="1">
      <alignment/>
      <protection/>
    </xf>
    <xf numFmtId="0" fontId="30" fillId="0" borderId="95" xfId="47" applyFont="1" applyFill="1" applyBorder="1">
      <alignment/>
      <protection/>
    </xf>
    <xf numFmtId="0" fontId="30" fillId="49" borderId="95" xfId="47" applyFont="1" applyFill="1" applyBorder="1">
      <alignment/>
      <protection/>
    </xf>
    <xf numFmtId="0" fontId="25" fillId="0" borderId="88" xfId="47" applyFont="1" applyFill="1" applyBorder="1" applyAlignment="1">
      <alignment horizontal="left"/>
      <protection/>
    </xf>
    <xf numFmtId="1" fontId="25" fillId="0" borderId="90" xfId="47" applyNumberFormat="1" applyFont="1" applyFill="1" applyBorder="1" applyAlignment="1">
      <alignment horizontal="right"/>
      <protection/>
    </xf>
    <xf numFmtId="1" fontId="25" fillId="0" borderId="91" xfId="47" applyNumberFormat="1" applyFont="1" applyFill="1" applyBorder="1" applyAlignment="1">
      <alignment horizontal="right"/>
      <protection/>
    </xf>
    <xf numFmtId="1" fontId="25" fillId="0" borderId="89" xfId="47" applyNumberFormat="1" applyFont="1" applyFill="1" applyBorder="1" applyAlignment="1">
      <alignment horizontal="right"/>
      <protection/>
    </xf>
    <xf numFmtId="1" fontId="30" fillId="0" borderId="92" xfId="47" applyNumberFormat="1" applyFont="1" applyFill="1" applyBorder="1">
      <alignment/>
      <protection/>
    </xf>
    <xf numFmtId="0" fontId="25" fillId="0" borderId="89" xfId="47" applyFont="1" applyFill="1" applyBorder="1" applyAlignment="1">
      <alignment horizontal="left"/>
      <protection/>
    </xf>
    <xf numFmtId="0" fontId="30" fillId="0" borderId="95" xfId="47" applyFont="1" applyFill="1" applyBorder="1" applyAlignment="1">
      <alignment horizontal="left" vertical="center"/>
      <protection/>
    </xf>
    <xf numFmtId="0" fontId="25" fillId="0" borderId="88" xfId="47" applyFont="1" applyFill="1" applyBorder="1" applyAlignment="1">
      <alignment vertical="center"/>
      <protection/>
    </xf>
    <xf numFmtId="0" fontId="25" fillId="0" borderId="89" xfId="47" applyFont="1" applyFill="1" applyBorder="1" applyAlignment="1">
      <alignment vertical="center"/>
      <protection/>
    </xf>
    <xf numFmtId="168" fontId="25" fillId="0" borderId="90" xfId="47" applyNumberFormat="1" applyFont="1" applyFill="1" applyBorder="1" applyAlignment="1">
      <alignment horizontal="right" vertical="center"/>
      <protection/>
    </xf>
    <xf numFmtId="168" fontId="25" fillId="0" borderId="91" xfId="47" applyNumberFormat="1" applyFont="1" applyFill="1" applyBorder="1" applyAlignment="1">
      <alignment horizontal="right" vertical="center"/>
      <protection/>
    </xf>
    <xf numFmtId="0" fontId="30" fillId="0" borderId="17" xfId="47" applyFont="1" applyFill="1" applyBorder="1" applyAlignment="1">
      <alignment horizontal="left" vertical="center"/>
      <protection/>
    </xf>
    <xf numFmtId="0" fontId="25" fillId="0" borderId="93" xfId="47" applyFont="1" applyFill="1" applyBorder="1" applyAlignment="1">
      <alignment vertical="center"/>
      <protection/>
    </xf>
    <xf numFmtId="168" fontId="25" fillId="0" borderId="95" xfId="47" applyNumberFormat="1" applyFont="1" applyFill="1" applyBorder="1" applyAlignment="1">
      <alignment horizontal="right" vertical="center"/>
      <protection/>
    </xf>
    <xf numFmtId="168" fontId="25" fillId="0" borderId="93" xfId="47" applyNumberFormat="1" applyFont="1" applyFill="1" applyBorder="1" applyAlignment="1">
      <alignment horizontal="right" vertical="center"/>
      <protection/>
    </xf>
    <xf numFmtId="0" fontId="25" fillId="0" borderId="94" xfId="47" applyFont="1" applyFill="1" applyBorder="1" applyAlignment="1">
      <alignment vertical="center"/>
      <protection/>
    </xf>
    <xf numFmtId="0" fontId="25" fillId="0" borderId="44" xfId="47" applyFont="1" applyFill="1" applyBorder="1" applyAlignment="1">
      <alignment vertical="center"/>
      <protection/>
    </xf>
    <xf numFmtId="168" fontId="25" fillId="32" borderId="86" xfId="47" applyNumberFormat="1" applyFont="1" applyFill="1" applyBorder="1" applyAlignment="1">
      <alignment horizontal="right" vertical="center"/>
      <protection/>
    </xf>
    <xf numFmtId="168" fontId="25" fillId="32" borderId="87" xfId="47" applyNumberFormat="1" applyFont="1" applyFill="1" applyBorder="1" applyAlignment="1">
      <alignment horizontal="right" vertical="center"/>
      <protection/>
    </xf>
    <xf numFmtId="0" fontId="25" fillId="0" borderId="49" xfId="47" applyFont="1" applyFill="1" applyBorder="1" applyAlignment="1">
      <alignment vertical="center"/>
      <protection/>
    </xf>
    <xf numFmtId="0" fontId="25" fillId="0" borderId="87" xfId="47" applyFont="1" applyFill="1" applyBorder="1" applyAlignment="1">
      <alignment vertical="center"/>
      <protection/>
    </xf>
    <xf numFmtId="0" fontId="25" fillId="0" borderId="85" xfId="47" applyFont="1" applyFill="1" applyBorder="1" applyAlignment="1">
      <alignment vertical="center"/>
      <protection/>
    </xf>
    <xf numFmtId="0" fontId="30" fillId="0" borderId="86" xfId="47" applyFont="1" applyFill="1" applyBorder="1" applyAlignment="1">
      <alignment horizontal="left" vertical="center"/>
      <protection/>
    </xf>
    <xf numFmtId="0" fontId="30" fillId="49" borderId="90" xfId="47" applyFont="1" applyFill="1" applyBorder="1" applyAlignment="1">
      <alignment horizontal="left" vertical="center"/>
      <protection/>
    </xf>
    <xf numFmtId="0" fontId="25" fillId="49" borderId="0" xfId="47" applyFont="1" applyFill="1">
      <alignment/>
      <protection/>
    </xf>
    <xf numFmtId="0" fontId="1" fillId="0" borderId="91" xfId="47" applyFill="1" applyBorder="1" applyAlignment="1">
      <alignment vertical="center"/>
      <protection/>
    </xf>
    <xf numFmtId="0" fontId="1" fillId="0" borderId="89" xfId="47" applyFill="1" applyBorder="1" applyAlignment="1">
      <alignment vertical="center"/>
      <protection/>
    </xf>
    <xf numFmtId="0" fontId="1" fillId="0" borderId="93" xfId="47" applyFill="1" applyBorder="1" applyAlignment="1">
      <alignment vertical="center"/>
      <protection/>
    </xf>
    <xf numFmtId="0" fontId="1" fillId="0" borderId="94" xfId="47" applyFill="1" applyBorder="1" applyAlignment="1">
      <alignment vertical="center"/>
      <protection/>
    </xf>
    <xf numFmtId="0" fontId="1" fillId="0" borderId="44" xfId="47" applyFill="1" applyBorder="1" applyAlignment="1">
      <alignment vertical="center"/>
      <protection/>
    </xf>
    <xf numFmtId="0" fontId="1" fillId="0" borderId="49" xfId="47" applyFill="1" applyBorder="1" applyAlignment="1">
      <alignment vertical="center"/>
      <protection/>
    </xf>
    <xf numFmtId="0" fontId="1" fillId="0" borderId="87" xfId="47" applyFill="1" applyBorder="1" applyAlignment="1">
      <alignment vertical="center"/>
      <protection/>
    </xf>
    <xf numFmtId="0" fontId="1" fillId="0" borderId="85" xfId="47" applyFill="1" applyBorder="1" applyAlignment="1">
      <alignment vertical="center"/>
      <protection/>
    </xf>
    <xf numFmtId="0" fontId="25" fillId="49" borderId="91" xfId="47" applyFont="1" applyFill="1" applyBorder="1">
      <alignment/>
      <protection/>
    </xf>
    <xf numFmtId="0" fontId="25" fillId="49" borderId="89" xfId="47" applyFont="1" applyFill="1" applyBorder="1" applyAlignment="1">
      <alignment vertical="center"/>
      <protection/>
    </xf>
    <xf numFmtId="168" fontId="25" fillId="49" borderId="90" xfId="47" applyNumberFormat="1" applyFont="1" applyFill="1" applyBorder="1" applyAlignment="1">
      <alignment horizontal="right" vertical="center"/>
      <protection/>
    </xf>
    <xf numFmtId="168" fontId="25" fillId="49" borderId="98" xfId="47" applyNumberFormat="1" applyFont="1" applyFill="1" applyBorder="1" applyAlignment="1">
      <alignment horizontal="right" vertical="center"/>
      <protection/>
    </xf>
    <xf numFmtId="168" fontId="25" fillId="49" borderId="91" xfId="47" applyNumberFormat="1" applyFont="1" applyFill="1" applyBorder="1" applyAlignment="1">
      <alignment horizontal="right" vertical="center"/>
      <protection/>
    </xf>
    <xf numFmtId="168" fontId="25" fillId="49" borderId="89" xfId="47" applyNumberFormat="1" applyFont="1" applyFill="1" applyBorder="1" applyAlignment="1">
      <alignment horizontal="right" vertical="center"/>
      <protection/>
    </xf>
    <xf numFmtId="0" fontId="25" fillId="0" borderId="91" xfId="47" applyFont="1" applyFill="1" applyBorder="1">
      <alignment/>
      <protection/>
    </xf>
    <xf numFmtId="0" fontId="1" fillId="0" borderId="89" xfId="47" applyFont="1" applyFill="1" applyBorder="1">
      <alignment/>
      <protection/>
    </xf>
    <xf numFmtId="168" fontId="25" fillId="0" borderId="89" xfId="47" applyNumberFormat="1" applyFont="1" applyFill="1" applyBorder="1" applyAlignment="1">
      <alignment horizontal="right" vertical="center"/>
      <protection/>
    </xf>
    <xf numFmtId="0" fontId="25" fillId="0" borderId="17" xfId="47" applyFont="1" applyFill="1" applyBorder="1" applyAlignment="1">
      <alignment horizontal="center" vertical="center"/>
      <protection/>
    </xf>
    <xf numFmtId="0" fontId="25" fillId="0" borderId="88" xfId="47" applyFont="1" applyFill="1" applyBorder="1" applyAlignment="1">
      <alignment horizontal="left" vertical="center"/>
      <protection/>
    </xf>
    <xf numFmtId="0" fontId="25" fillId="0" borderId="89" xfId="47" applyFont="1" applyFill="1" applyBorder="1" applyAlignment="1">
      <alignment horizontal="left" vertical="center"/>
      <protection/>
    </xf>
    <xf numFmtId="0" fontId="25" fillId="0" borderId="86" xfId="47" applyFont="1" applyFill="1" applyBorder="1" applyAlignment="1">
      <alignment horizontal="center" vertical="center"/>
      <protection/>
    </xf>
    <xf numFmtId="0" fontId="25" fillId="49" borderId="90" xfId="47" applyFont="1" applyFill="1" applyBorder="1" applyAlignment="1">
      <alignment horizontal="center" vertical="center"/>
      <protection/>
    </xf>
    <xf numFmtId="0" fontId="30" fillId="0" borderId="90" xfId="47" applyFont="1" applyFill="1" applyBorder="1" applyAlignment="1">
      <alignment horizontal="left" vertical="center" wrapText="1"/>
      <protection/>
    </xf>
    <xf numFmtId="0" fontId="30" fillId="0" borderId="99" xfId="47" applyFont="1" applyFill="1" applyBorder="1" applyAlignment="1">
      <alignment horizontal="left" vertical="center" wrapText="1"/>
      <protection/>
    </xf>
    <xf numFmtId="0" fontId="25" fillId="0" borderId="100" xfId="47" applyFont="1" applyFill="1" applyBorder="1">
      <alignment/>
      <protection/>
    </xf>
    <xf numFmtId="0" fontId="25" fillId="0" borderId="101" xfId="47" applyFont="1" applyFill="1" applyBorder="1" applyAlignment="1">
      <alignment horizontal="right"/>
      <protection/>
    </xf>
    <xf numFmtId="168" fontId="25" fillId="0" borderId="99" xfId="47" applyNumberFormat="1" applyFont="1" applyFill="1" applyBorder="1" applyAlignment="1">
      <alignment horizontal="right"/>
      <protection/>
    </xf>
    <xf numFmtId="168" fontId="25" fillId="0" borderId="102" xfId="47" applyNumberFormat="1" applyFont="1" applyFill="1" applyBorder="1" applyAlignment="1">
      <alignment horizontal="right"/>
      <protection/>
    </xf>
    <xf numFmtId="168" fontId="25" fillId="0" borderId="101" xfId="47" applyNumberFormat="1" applyFont="1" applyFill="1" applyBorder="1" applyAlignment="1">
      <alignment horizontal="right"/>
      <protection/>
    </xf>
    <xf numFmtId="168" fontId="30" fillId="0" borderId="103" xfId="47" applyNumberFormat="1" applyFont="1" applyFill="1" applyBorder="1">
      <alignment/>
      <protection/>
    </xf>
    <xf numFmtId="0" fontId="25" fillId="0" borderId="99" xfId="47" applyFont="1" applyFill="1" applyBorder="1" applyAlignment="1">
      <alignment horizontal="right"/>
      <protection/>
    </xf>
    <xf numFmtId="0" fontId="25" fillId="0" borderId="101" xfId="47" applyFont="1" applyFill="1" applyBorder="1">
      <alignment/>
      <protection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30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right"/>
    </xf>
    <xf numFmtId="168" fontId="30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5" fillId="32" borderId="0" xfId="0" applyNumberFormat="1" applyFont="1" applyFill="1" applyAlignment="1">
      <alignment/>
    </xf>
    <xf numFmtId="165" fontId="30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50" fillId="0" borderId="0" xfId="48" applyFont="1">
      <alignment/>
      <protection/>
    </xf>
    <xf numFmtId="0" fontId="87" fillId="0" borderId="0" xfId="0" applyFont="1" applyAlignment="1">
      <alignment/>
    </xf>
    <xf numFmtId="0" fontId="17" fillId="0" borderId="0" xfId="48" applyAlignment="1">
      <alignment horizontal="right"/>
      <protection/>
    </xf>
    <xf numFmtId="166" fontId="27" fillId="0" borderId="0" xfId="48" applyNumberFormat="1" applyFont="1" applyAlignment="1">
      <alignment horizontal="center"/>
      <protection/>
    </xf>
    <xf numFmtId="1" fontId="1" fillId="0" borderId="0" xfId="47" applyNumberFormat="1">
      <alignment/>
      <protection/>
    </xf>
    <xf numFmtId="0" fontId="30" fillId="0" borderId="0" xfId="47" applyFont="1">
      <alignment/>
      <protection/>
    </xf>
    <xf numFmtId="0" fontId="25" fillId="0" borderId="0" xfId="47" applyFont="1" applyAlignment="1">
      <alignment horizontal="right"/>
      <protection/>
    </xf>
    <xf numFmtId="0" fontId="25" fillId="0" borderId="73" xfId="47" applyFont="1" applyBorder="1" applyAlignment="1">
      <alignment horizontal="right"/>
      <protection/>
    </xf>
    <xf numFmtId="0" fontId="25" fillId="0" borderId="90" xfId="47" applyFont="1" applyFill="1" applyBorder="1" applyAlignment="1">
      <alignment horizontal="right" vertical="center"/>
      <protection/>
    </xf>
    <xf numFmtId="0" fontId="25" fillId="0" borderId="95" xfId="47" applyFont="1" applyFill="1" applyBorder="1" applyAlignment="1">
      <alignment horizontal="right" vertical="center"/>
      <protection/>
    </xf>
    <xf numFmtId="0" fontId="25" fillId="49" borderId="90" xfId="47" applyFont="1" applyFill="1" applyBorder="1" applyAlignment="1">
      <alignment horizontal="right" vertical="center"/>
      <protection/>
    </xf>
    <xf numFmtId="0" fontId="1" fillId="0" borderId="90" xfId="47" applyFont="1" applyFill="1" applyBorder="1" applyAlignment="1">
      <alignment horizontal="right"/>
      <protection/>
    </xf>
    <xf numFmtId="0" fontId="0" fillId="0" borderId="97" xfId="0" applyFont="1" applyBorder="1" applyAlignment="1">
      <alignment vertical="top" wrapText="1"/>
    </xf>
    <xf numFmtId="0" fontId="0" fillId="0" borderId="84" xfId="0" applyFont="1" applyBorder="1" applyAlignment="1">
      <alignment vertical="top" wrapText="1"/>
    </xf>
    <xf numFmtId="0" fontId="0" fillId="0" borderId="104" xfId="0" applyFont="1" applyBorder="1" applyAlignment="1">
      <alignment vertical="top" wrapText="1"/>
    </xf>
    <xf numFmtId="165" fontId="0" fillId="0" borderId="84" xfId="0" applyNumberFormat="1" applyFont="1" applyFill="1" applyBorder="1" applyAlignment="1">
      <alignment/>
    </xf>
    <xf numFmtId="0" fontId="0" fillId="0" borderId="88" xfId="0" applyFont="1" applyBorder="1" applyAlignment="1">
      <alignment vertical="top" wrapText="1"/>
    </xf>
    <xf numFmtId="0" fontId="2" fillId="0" borderId="98" xfId="0" applyNumberFormat="1" applyFont="1" applyFill="1" applyBorder="1" applyAlignment="1">
      <alignment/>
    </xf>
    <xf numFmtId="0" fontId="0" fillId="43" borderId="97" xfId="0" applyFont="1" applyFill="1" applyBorder="1" applyAlignment="1">
      <alignment vertical="top" wrapText="1"/>
    </xf>
    <xf numFmtId="0" fontId="2" fillId="0" borderId="88" xfId="0" applyNumberFormat="1" applyFont="1" applyFill="1" applyBorder="1" applyAlignment="1">
      <alignment/>
    </xf>
    <xf numFmtId="0" fontId="51" fillId="0" borderId="0" xfId="49" applyNumberFormat="1" applyFont="1" applyFill="1" applyBorder="1" applyAlignment="1" applyProtection="1">
      <alignment horizontal="left" vertical="center"/>
      <protection/>
    </xf>
    <xf numFmtId="0" fontId="15" fillId="0" borderId="91" xfId="49" applyNumberFormat="1" applyFont="1" applyFill="1" applyBorder="1" applyAlignment="1" applyProtection="1">
      <alignment horizontal="left" vertical="center" wrapText="1"/>
      <protection/>
    </xf>
    <xf numFmtId="0" fontId="1" fillId="0" borderId="91" xfId="49" applyBorder="1" applyAlignment="1">
      <alignment horizontal="center" vertical="center"/>
      <protection/>
    </xf>
    <xf numFmtId="0" fontId="1" fillId="0" borderId="91" xfId="49" applyFont="1" applyBorder="1" applyAlignment="1">
      <alignment horizontal="center" vertical="center"/>
      <protection/>
    </xf>
    <xf numFmtId="0" fontId="8" fillId="0" borderId="91" xfId="49" applyNumberFormat="1" applyFont="1" applyFill="1" applyBorder="1" applyAlignment="1" applyProtection="1">
      <alignment vertical="center" wrapText="1"/>
      <protection/>
    </xf>
    <xf numFmtId="165" fontId="8" fillId="0" borderId="91" xfId="49" applyNumberFormat="1" applyFont="1" applyFill="1" applyBorder="1" applyAlignment="1" applyProtection="1">
      <alignment horizontal="right" vertical="center"/>
      <protection/>
    </xf>
    <xf numFmtId="165" fontId="1" fillId="0" borderId="91" xfId="49" applyNumberFormat="1" applyFont="1" applyFill="1" applyBorder="1" applyAlignment="1" applyProtection="1">
      <alignment horizontal="right" vertical="center"/>
      <protection/>
    </xf>
    <xf numFmtId="165" fontId="8" fillId="0" borderId="91" xfId="49" applyNumberFormat="1" applyFont="1" applyFill="1" applyBorder="1" applyAlignment="1" applyProtection="1">
      <alignment horizontal="right" vertical="center" wrapText="1"/>
      <protection/>
    </xf>
    <xf numFmtId="165" fontId="25" fillId="0" borderId="91" xfId="49" applyNumberFormat="1" applyFont="1" applyFill="1" applyBorder="1" applyAlignment="1" applyProtection="1">
      <alignment horizontal="center" vertical="center" wrapText="1"/>
      <protection/>
    </xf>
    <xf numFmtId="0" fontId="1" fillId="0" borderId="91" xfId="49" applyNumberFormat="1" applyFont="1" applyFill="1" applyBorder="1" applyAlignment="1" applyProtection="1">
      <alignment vertical="center" wrapText="1"/>
      <protection/>
    </xf>
    <xf numFmtId="165" fontId="1" fillId="0" borderId="91" xfId="49" applyNumberFormat="1" applyFont="1" applyFill="1" applyBorder="1" applyAlignment="1" applyProtection="1">
      <alignment horizontal="right" vertical="center" wrapText="1"/>
      <protection/>
    </xf>
    <xf numFmtId="165" fontId="1" fillId="0" borderId="91" xfId="49" applyNumberFormat="1" applyFont="1" applyFill="1" applyBorder="1" applyAlignment="1" applyProtection="1">
      <alignment horizontal="right" vertical="center" wrapText="1"/>
      <protection/>
    </xf>
    <xf numFmtId="0" fontId="8" fillId="0" borderId="93" xfId="49" applyNumberFormat="1" applyFont="1" applyFill="1" applyBorder="1" applyAlignment="1" applyProtection="1">
      <alignment vertical="center" wrapText="1"/>
      <protection/>
    </xf>
    <xf numFmtId="165" fontId="8" fillId="0" borderId="93" xfId="49" applyNumberFormat="1" applyFont="1" applyFill="1" applyBorder="1" applyAlignment="1" applyProtection="1">
      <alignment horizontal="right" vertical="center"/>
      <protection/>
    </xf>
    <xf numFmtId="165" fontId="1" fillId="0" borderId="93" xfId="49" applyNumberFormat="1" applyFont="1" applyFill="1" applyBorder="1" applyAlignment="1" applyProtection="1">
      <alignment horizontal="right" vertical="center"/>
      <protection/>
    </xf>
    <xf numFmtId="0" fontId="1" fillId="0" borderId="105" xfId="49" applyNumberFormat="1" applyFont="1" applyFill="1" applyBorder="1" applyAlignment="1" applyProtection="1">
      <alignment vertical="center" wrapText="1"/>
      <protection/>
    </xf>
    <xf numFmtId="165" fontId="1" fillId="0" borderId="106" xfId="49" applyNumberFormat="1" applyFont="1" applyFill="1" applyBorder="1" applyAlignment="1" applyProtection="1">
      <alignment horizontal="right" vertical="center" wrapText="1"/>
      <protection/>
    </xf>
    <xf numFmtId="165" fontId="25" fillId="0" borderId="107" xfId="49" applyNumberFormat="1" applyFont="1" applyFill="1" applyBorder="1" applyAlignment="1" applyProtection="1">
      <alignment horizontal="center" vertical="center" wrapText="1"/>
      <protection/>
    </xf>
    <xf numFmtId="0" fontId="1" fillId="0" borderId="99" xfId="49" applyNumberFormat="1" applyFont="1" applyFill="1" applyBorder="1" applyAlignment="1" applyProtection="1">
      <alignment vertical="center" wrapText="1"/>
      <protection/>
    </xf>
    <xf numFmtId="165" fontId="1" fillId="0" borderId="102" xfId="49" applyNumberFormat="1" applyFont="1" applyFill="1" applyBorder="1" applyAlignment="1" applyProtection="1">
      <alignment horizontal="right" vertical="center" wrapText="1"/>
      <protection/>
    </xf>
    <xf numFmtId="165" fontId="25" fillId="0" borderId="101" xfId="49" applyNumberFormat="1" applyFont="1" applyFill="1" applyBorder="1" applyAlignment="1" applyProtection="1">
      <alignment horizontal="center" vertical="center" wrapText="1"/>
      <protection/>
    </xf>
    <xf numFmtId="0" fontId="1" fillId="0" borderId="87" xfId="49" applyNumberFormat="1" applyFont="1" applyFill="1" applyBorder="1" applyAlignment="1" applyProtection="1">
      <alignment vertical="center" wrapText="1"/>
      <protection/>
    </xf>
    <xf numFmtId="165" fontId="8" fillId="0" borderId="87" xfId="49" applyNumberFormat="1" applyFont="1" applyFill="1" applyBorder="1" applyAlignment="1" applyProtection="1">
      <alignment horizontal="right" vertical="center" wrapText="1"/>
      <protection/>
    </xf>
    <xf numFmtId="165" fontId="25" fillId="0" borderId="87" xfId="49" applyNumberFormat="1" applyFont="1" applyFill="1" applyBorder="1" applyAlignment="1" applyProtection="1">
      <alignment horizontal="center" vertical="center" wrapText="1"/>
      <protection/>
    </xf>
    <xf numFmtId="0" fontId="1" fillId="0" borderId="91" xfId="49" applyNumberFormat="1" applyFont="1" applyFill="1" applyBorder="1" applyAlignment="1" applyProtection="1">
      <alignment vertical="center" wrapText="1"/>
      <protection/>
    </xf>
    <xf numFmtId="165" fontId="1" fillId="0" borderId="91" xfId="49" applyNumberFormat="1" applyFont="1" applyFill="1" applyBorder="1" applyAlignment="1" applyProtection="1">
      <alignment horizontal="right" vertical="center"/>
      <protection/>
    </xf>
    <xf numFmtId="0" fontId="1" fillId="0" borderId="93" xfId="49" applyNumberFormat="1" applyFont="1" applyFill="1" applyBorder="1" applyAlignment="1" applyProtection="1">
      <alignment vertical="center" wrapText="1"/>
      <protection/>
    </xf>
    <xf numFmtId="165" fontId="1" fillId="0" borderId="93" xfId="49" applyNumberFormat="1" applyFont="1" applyFill="1" applyBorder="1" applyAlignment="1" applyProtection="1">
      <alignment horizontal="right" vertical="center"/>
      <protection/>
    </xf>
    <xf numFmtId="165" fontId="25" fillId="0" borderId="93" xfId="49" applyNumberFormat="1" applyFont="1" applyFill="1" applyBorder="1" applyAlignment="1" applyProtection="1">
      <alignment horizontal="center" vertical="center" wrapText="1"/>
      <protection/>
    </xf>
    <xf numFmtId="0" fontId="1" fillId="0" borderId="105" xfId="49" applyNumberFormat="1" applyFont="1" applyFill="1" applyBorder="1" applyAlignment="1" applyProtection="1">
      <alignment vertical="center" wrapText="1"/>
      <protection/>
    </xf>
    <xf numFmtId="0" fontId="1" fillId="0" borderId="87" xfId="49" applyNumberFormat="1" applyFont="1" applyFill="1" applyBorder="1" applyAlignment="1" applyProtection="1">
      <alignment vertical="center" wrapText="1"/>
      <protection/>
    </xf>
    <xf numFmtId="165" fontId="1" fillId="0" borderId="87" xfId="49" applyNumberFormat="1" applyFont="1" applyFill="1" applyBorder="1" applyAlignment="1" applyProtection="1">
      <alignment horizontal="right" vertical="center"/>
      <protection/>
    </xf>
    <xf numFmtId="165" fontId="25" fillId="0" borderId="87" xfId="49" applyNumberFormat="1" applyFont="1" applyFill="1" applyBorder="1" applyAlignment="1" applyProtection="1">
      <alignment horizontal="center" vertical="center"/>
      <protection/>
    </xf>
    <xf numFmtId="165" fontId="25" fillId="0" borderId="91" xfId="49" applyNumberFormat="1" applyFont="1" applyFill="1" applyBorder="1" applyAlignment="1" applyProtection="1">
      <alignment horizontal="center" vertical="center"/>
      <protection/>
    </xf>
    <xf numFmtId="0" fontId="1" fillId="0" borderId="77" xfId="49" applyNumberFormat="1" applyFont="1" applyFill="1" applyBorder="1" applyAlignment="1" applyProtection="1">
      <alignment vertical="center" wrapText="1"/>
      <protection/>
    </xf>
    <xf numFmtId="165" fontId="8" fillId="0" borderId="77" xfId="49" applyNumberFormat="1" applyFont="1" applyFill="1" applyBorder="1" applyAlignment="1" applyProtection="1">
      <alignment horizontal="right" vertical="center" wrapText="1"/>
      <protection/>
    </xf>
    <xf numFmtId="165" fontId="25" fillId="0" borderId="77" xfId="49" applyNumberFormat="1" applyFont="1" applyFill="1" applyBorder="1" applyAlignment="1" applyProtection="1">
      <alignment horizontal="center" vertical="center" wrapText="1"/>
      <protection/>
    </xf>
    <xf numFmtId="0" fontId="1" fillId="0" borderId="19" xfId="49" applyNumberFormat="1" applyFont="1" applyFill="1" applyBorder="1" applyAlignment="1" applyProtection="1">
      <alignment vertical="center" wrapText="1"/>
      <protection/>
    </xf>
    <xf numFmtId="165" fontId="1" fillId="0" borderId="108" xfId="49" applyNumberFormat="1" applyFont="1" applyFill="1" applyBorder="1" applyAlignment="1" applyProtection="1">
      <alignment horizontal="right" vertical="center" wrapText="1"/>
      <protection/>
    </xf>
    <xf numFmtId="0" fontId="1" fillId="0" borderId="18" xfId="49" applyNumberFormat="1" applyFont="1" applyFill="1" applyBorder="1" applyAlignment="1" applyProtection="1">
      <alignment vertical="center" wrapText="1"/>
      <protection/>
    </xf>
    <xf numFmtId="165" fontId="1" fillId="0" borderId="30" xfId="49" applyNumberFormat="1" applyFont="1" applyFill="1" applyBorder="1" applyAlignment="1" applyProtection="1">
      <alignment horizontal="right" vertical="center" wrapText="1"/>
      <protection/>
    </xf>
    <xf numFmtId="0" fontId="0" fillId="50" borderId="0" xfId="0" applyFont="1" applyFill="1" applyAlignment="1">
      <alignment/>
    </xf>
    <xf numFmtId="0" fontId="0" fillId="50" borderId="97" xfId="0" applyFont="1" applyFill="1" applyBorder="1" applyAlignment="1">
      <alignment vertical="top" wrapText="1"/>
    </xf>
    <xf numFmtId="165" fontId="0" fillId="13" borderId="0" xfId="0" applyNumberFormat="1" applyFill="1" applyAlignment="1">
      <alignment/>
    </xf>
    <xf numFmtId="165" fontId="0" fillId="46" borderId="0" xfId="0" applyNumberFormat="1" applyFill="1" applyAlignment="1">
      <alignment/>
    </xf>
    <xf numFmtId="0" fontId="0" fillId="46" borderId="84" xfId="0" applyFont="1" applyFill="1" applyBorder="1" applyAlignment="1">
      <alignment vertical="top" wrapText="1"/>
    </xf>
    <xf numFmtId="0" fontId="0" fillId="46" borderId="84" xfId="0" applyNumberFormat="1" applyFont="1" applyFill="1" applyBorder="1" applyAlignment="1">
      <alignment/>
    </xf>
    <xf numFmtId="165" fontId="0" fillId="13" borderId="88" xfId="0" applyNumberFormat="1" applyFont="1" applyFill="1" applyBorder="1" applyAlignment="1">
      <alignment/>
    </xf>
    <xf numFmtId="1" fontId="0" fillId="13" borderId="97" xfId="0" applyNumberFormat="1" applyFont="1" applyFill="1" applyBorder="1" applyAlignment="1">
      <alignment/>
    </xf>
    <xf numFmtId="165" fontId="0" fillId="37" borderId="84" xfId="0" applyNumberFormat="1" applyFont="1" applyFill="1" applyBorder="1" applyAlignment="1">
      <alignment vertical="top" wrapText="1"/>
    </xf>
    <xf numFmtId="0" fontId="2" fillId="37" borderId="0" xfId="0" applyFont="1" applyFill="1" applyAlignment="1">
      <alignment/>
    </xf>
    <xf numFmtId="0" fontId="0" fillId="46" borderId="104" xfId="0" applyFont="1" applyFill="1" applyBorder="1" applyAlignment="1">
      <alignment vertical="top" wrapText="1"/>
    </xf>
    <xf numFmtId="165" fontId="1" fillId="0" borderId="102" xfId="49" applyNumberFormat="1" applyFont="1" applyFill="1" applyBorder="1" applyAlignment="1" applyProtection="1">
      <alignment horizontal="right" vertical="center"/>
      <protection/>
    </xf>
    <xf numFmtId="0" fontId="1" fillId="0" borderId="86" xfId="49" applyNumberFormat="1" applyFont="1" applyFill="1" applyBorder="1" applyAlignment="1" applyProtection="1">
      <alignment vertical="center" wrapText="1"/>
      <protection/>
    </xf>
    <xf numFmtId="165" fontId="1" fillId="0" borderId="87" xfId="49" applyNumberFormat="1" applyFont="1" applyFill="1" applyBorder="1" applyAlignment="1" applyProtection="1">
      <alignment horizontal="right" vertical="center" wrapText="1"/>
      <protection/>
    </xf>
    <xf numFmtId="165" fontId="25" fillId="0" borderId="85" xfId="49" applyNumberFormat="1" applyFont="1" applyFill="1" applyBorder="1" applyAlignment="1" applyProtection="1">
      <alignment horizontal="center" vertical="center" wrapText="1"/>
      <protection/>
    </xf>
    <xf numFmtId="166" fontId="2" fillId="0" borderId="0" xfId="48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47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0" borderId="0" xfId="47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0" borderId="0" xfId="4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5" fontId="0" fillId="0" borderId="97" xfId="0" applyNumberFormat="1" applyFont="1" applyFill="1" applyBorder="1" applyAlignment="1">
      <alignment horizontal="center"/>
    </xf>
    <xf numFmtId="0" fontId="0" fillId="0" borderId="109" xfId="0" applyBorder="1" applyAlignment="1">
      <alignment horizontal="center"/>
    </xf>
    <xf numFmtId="165" fontId="0" fillId="0" borderId="84" xfId="0" applyNumberFormat="1" applyFont="1" applyFill="1" applyBorder="1" applyAlignment="1">
      <alignment horizontal="center"/>
    </xf>
    <xf numFmtId="0" fontId="0" fillId="0" borderId="110" xfId="0" applyBorder="1" applyAlignment="1">
      <alignment horizontal="center"/>
    </xf>
    <xf numFmtId="165" fontId="0" fillId="0" borderId="88" xfId="0" applyNumberFormat="1" applyFont="1" applyFill="1" applyBorder="1" applyAlignment="1">
      <alignment horizontal="center"/>
    </xf>
    <xf numFmtId="0" fontId="0" fillId="0" borderId="111" xfId="0" applyBorder="1" applyAlignment="1">
      <alignment horizontal="center"/>
    </xf>
    <xf numFmtId="165" fontId="0" fillId="0" borderId="84" xfId="0" applyNumberFormat="1" applyFill="1" applyBorder="1" applyAlignment="1">
      <alignment horizontal="center"/>
    </xf>
    <xf numFmtId="165" fontId="0" fillId="0" borderId="10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97" xfId="0" applyNumberFormat="1" applyFill="1" applyBorder="1" applyAlignment="1">
      <alignment horizontal="center"/>
    </xf>
    <xf numFmtId="0" fontId="2" fillId="0" borderId="97" xfId="0" applyFont="1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2" fillId="0" borderId="112" xfId="0" applyFont="1" applyBorder="1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165" fontId="2" fillId="0" borderId="97" xfId="0" applyNumberFormat="1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0" fillId="0" borderId="63" xfId="0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43" xfId="47" applyFont="1" applyBorder="1" applyAlignment="1">
      <alignment horizontal="center" wrapText="1"/>
      <protection/>
    </xf>
    <xf numFmtId="0" fontId="1" fillId="0" borderId="60" xfId="46" applyBorder="1" applyAlignment="1">
      <alignment horizontal="center" wrapText="1"/>
      <protection/>
    </xf>
    <xf numFmtId="0" fontId="15" fillId="0" borderId="48" xfId="47" applyFont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8" fillId="0" borderId="32" xfId="47" applyFont="1" applyBorder="1" applyAlignment="1">
      <alignment horizontal="center" vertical="center" wrapText="1"/>
      <protection/>
    </xf>
    <xf numFmtId="0" fontId="86" fillId="0" borderId="48" xfId="0" applyFont="1" applyBorder="1" applyAlignment="1">
      <alignment horizontal="center" vertical="center" wrapText="1"/>
    </xf>
    <xf numFmtId="0" fontId="15" fillId="0" borderId="32" xfId="47" applyFont="1" applyBorder="1" applyAlignment="1">
      <alignment horizontal="center" vertical="center" textRotation="90" wrapText="1"/>
      <protection/>
    </xf>
    <xf numFmtId="0" fontId="12" fillId="0" borderId="48" xfId="46" applyFont="1" applyBorder="1" applyAlignment="1">
      <alignment horizontal="center" vertical="center" textRotation="90" wrapText="1"/>
      <protection/>
    </xf>
    <xf numFmtId="0" fontId="16" fillId="0" borderId="4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25" fillId="0" borderId="19" xfId="47" applyFont="1" applyBorder="1" applyAlignment="1">
      <alignment horizontal="center"/>
      <protection/>
    </xf>
    <xf numFmtId="0" fontId="25" fillId="0" borderId="108" xfId="47" applyFont="1" applyBorder="1" applyAlignment="1">
      <alignment horizontal="center"/>
      <protection/>
    </xf>
    <xf numFmtId="0" fontId="25" fillId="0" borderId="114" xfId="47" applyFont="1" applyBorder="1" applyAlignment="1">
      <alignment horizontal="center"/>
      <protection/>
    </xf>
    <xf numFmtId="0" fontId="25" fillId="0" borderId="105" xfId="47" applyFont="1" applyBorder="1" applyAlignment="1">
      <alignment horizontal="center"/>
      <protection/>
    </xf>
    <xf numFmtId="0" fontId="25" fillId="0" borderId="106" xfId="47" applyFont="1" applyBorder="1" applyAlignment="1">
      <alignment horizontal="center"/>
      <protection/>
    </xf>
    <xf numFmtId="0" fontId="25" fillId="0" borderId="107" xfId="47" applyFont="1" applyBorder="1" applyAlignment="1">
      <alignment horizontal="center"/>
      <protection/>
    </xf>
    <xf numFmtId="0" fontId="25" fillId="0" borderId="67" xfId="47" applyFont="1" applyBorder="1" applyAlignment="1">
      <alignment horizontal="center"/>
      <protection/>
    </xf>
    <xf numFmtId="0" fontId="25" fillId="0" borderId="43" xfId="47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Plesna_CENY_kraj_prac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_rozpracovanych_zakazek\Dlouha_Ves_Radesov\usek_B_C_2016\usek_C\DSP_usek_C\V&#221;KAZ%20V&#221;M&#282;R\VV_Propustky+schod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ustky"/>
      <sheetName val="Propustky_celkem"/>
      <sheetName val="Schodiště"/>
    </sheetNames>
    <sheetDataSet>
      <sheetData sheetId="0">
        <row r="6">
          <cell r="F6">
            <v>11.55</v>
          </cell>
          <cell r="H6">
            <v>5</v>
          </cell>
        </row>
        <row r="7">
          <cell r="F7">
            <v>10</v>
          </cell>
        </row>
        <row r="8">
          <cell r="F8">
            <v>7.324799999999999</v>
          </cell>
        </row>
        <row r="9">
          <cell r="F9">
            <v>31.349999999999998</v>
          </cell>
          <cell r="H9">
            <v>247.665</v>
          </cell>
        </row>
        <row r="10">
          <cell r="F10">
            <v>22</v>
          </cell>
          <cell r="H10">
            <v>173.8</v>
          </cell>
        </row>
        <row r="11">
          <cell r="F11">
            <v>3.5999999999999996</v>
          </cell>
        </row>
        <row r="12">
          <cell r="F12">
            <v>1.4500000000000002</v>
          </cell>
        </row>
        <row r="13">
          <cell r="F13">
            <v>1.6500000000000001</v>
          </cell>
          <cell r="H13">
            <v>16.5</v>
          </cell>
        </row>
        <row r="14">
          <cell r="F14">
            <v>28.86</v>
          </cell>
        </row>
        <row r="16">
          <cell r="F16">
            <v>1.1</v>
          </cell>
        </row>
        <row r="17">
          <cell r="F17">
            <v>0.13999999999999999</v>
          </cell>
          <cell r="H17">
            <v>1.4</v>
          </cell>
        </row>
        <row r="18">
          <cell r="F18">
            <v>4</v>
          </cell>
        </row>
        <row r="20">
          <cell r="F20">
            <v>5.407979999999999</v>
          </cell>
        </row>
        <row r="21">
          <cell r="F21">
            <v>26.98</v>
          </cell>
          <cell r="H21">
            <v>213.14200000000002</v>
          </cell>
        </row>
        <row r="23">
          <cell r="F23">
            <v>0.9359999999999999</v>
          </cell>
        </row>
        <row r="24">
          <cell r="F24">
            <v>0.108</v>
          </cell>
        </row>
        <row r="25">
          <cell r="F25">
            <v>0.72</v>
          </cell>
        </row>
        <row r="26">
          <cell r="F26">
            <v>0.5289999999999999</v>
          </cell>
          <cell r="H26">
            <v>5.289999999999999</v>
          </cell>
        </row>
        <row r="27">
          <cell r="F27">
            <v>21.674999999999997</v>
          </cell>
        </row>
        <row r="28">
          <cell r="F28">
            <v>1</v>
          </cell>
        </row>
        <row r="29">
          <cell r="F29">
            <v>4</v>
          </cell>
        </row>
        <row r="31">
          <cell r="F31">
            <v>28.6</v>
          </cell>
        </row>
        <row r="32">
          <cell r="F32">
            <v>10.01</v>
          </cell>
        </row>
        <row r="34">
          <cell r="F34">
            <v>2.8600000000000003</v>
          </cell>
          <cell r="H34">
            <v>28.6</v>
          </cell>
        </row>
        <row r="35">
          <cell r="F35">
            <v>0.20999999999999996</v>
          </cell>
          <cell r="H35">
            <v>2.0999999999999996</v>
          </cell>
        </row>
        <row r="36">
          <cell r="F36">
            <v>3.0449999999999995</v>
          </cell>
        </row>
        <row r="37">
          <cell r="F37">
            <v>9</v>
          </cell>
        </row>
        <row r="38">
          <cell r="F38">
            <v>12</v>
          </cell>
        </row>
        <row r="39">
          <cell r="F39">
            <v>10.149999999999999</v>
          </cell>
        </row>
        <row r="41">
          <cell r="F41">
            <v>34.40800000000001</v>
          </cell>
        </row>
        <row r="42">
          <cell r="F42">
            <v>34.125</v>
          </cell>
        </row>
        <row r="43">
          <cell r="F43">
            <v>2.9040000000000004</v>
          </cell>
        </row>
        <row r="44">
          <cell r="F44">
            <v>27.105000000000004</v>
          </cell>
        </row>
        <row r="46">
          <cell r="F46">
            <v>25.944000000000013</v>
          </cell>
        </row>
        <row r="47">
          <cell r="F47">
            <v>20.90298</v>
          </cell>
        </row>
        <row r="48">
          <cell r="F48">
            <v>1.8040000000000003</v>
          </cell>
        </row>
        <row r="49">
          <cell r="F49">
            <v>2.6100000000000008</v>
          </cell>
        </row>
        <row r="51">
          <cell r="F51">
            <v>20.4</v>
          </cell>
        </row>
        <row r="58">
          <cell r="F58">
            <v>13.3</v>
          </cell>
          <cell r="H58">
            <v>6</v>
          </cell>
        </row>
        <row r="59">
          <cell r="F59">
            <v>12</v>
          </cell>
        </row>
        <row r="60">
          <cell r="F60">
            <v>8.545599999999999</v>
          </cell>
        </row>
        <row r="61">
          <cell r="F61">
            <v>36.599999999999994</v>
          </cell>
          <cell r="H61">
            <v>289.14</v>
          </cell>
        </row>
        <row r="62">
          <cell r="F62">
            <v>26.84</v>
          </cell>
          <cell r="H62">
            <v>212.036</v>
          </cell>
        </row>
        <row r="63">
          <cell r="F63">
            <v>4.409999999999999</v>
          </cell>
        </row>
        <row r="64">
          <cell r="F64">
            <v>1.77625</v>
          </cell>
        </row>
        <row r="65">
          <cell r="F65">
            <v>2.0212499999999998</v>
          </cell>
          <cell r="H65">
            <v>20.2125</v>
          </cell>
        </row>
        <row r="66">
          <cell r="F66">
            <v>33.410000000000004</v>
          </cell>
        </row>
        <row r="68">
          <cell r="F68">
            <v>9.313979999999999</v>
          </cell>
        </row>
        <row r="69">
          <cell r="F69">
            <v>43.64</v>
          </cell>
          <cell r="H69">
            <v>344.75600000000003</v>
          </cell>
        </row>
        <row r="71">
          <cell r="F71">
            <v>0.9359999999999999</v>
          </cell>
        </row>
        <row r="72">
          <cell r="F72">
            <v>0.108</v>
          </cell>
        </row>
        <row r="73">
          <cell r="F73">
            <v>0.72</v>
          </cell>
        </row>
        <row r="74">
          <cell r="F74">
            <v>0.5289999999999999</v>
          </cell>
          <cell r="H74">
            <v>5.289999999999999</v>
          </cell>
        </row>
        <row r="75">
          <cell r="F75">
            <v>37.214999999999996</v>
          </cell>
        </row>
        <row r="76">
          <cell r="F76">
            <v>1</v>
          </cell>
        </row>
        <row r="77">
          <cell r="F77">
            <v>9</v>
          </cell>
        </row>
        <row r="79">
          <cell r="F79">
            <v>6.8</v>
          </cell>
        </row>
        <row r="80">
          <cell r="F80">
            <v>0.68</v>
          </cell>
        </row>
        <row r="82">
          <cell r="F82">
            <v>0.68</v>
          </cell>
          <cell r="H82">
            <v>6.8</v>
          </cell>
        </row>
        <row r="83">
          <cell r="F83">
            <v>0.08000000000000002</v>
          </cell>
          <cell r="H83">
            <v>0.8</v>
          </cell>
        </row>
        <row r="84">
          <cell r="F84">
            <v>0.48</v>
          </cell>
        </row>
        <row r="86">
          <cell r="F86">
            <v>7.3149999999999995</v>
          </cell>
        </row>
        <row r="87">
          <cell r="F87">
            <v>10.5</v>
          </cell>
        </row>
        <row r="89">
          <cell r="F89">
            <v>74.71750000000002</v>
          </cell>
        </row>
        <row r="90">
          <cell r="F90">
            <v>47.63249999999999</v>
          </cell>
        </row>
        <row r="91">
          <cell r="F91">
            <v>3.2800000000000002</v>
          </cell>
        </row>
        <row r="93">
          <cell r="F93">
            <v>49.11500000000001</v>
          </cell>
        </row>
        <row r="94">
          <cell r="F94">
            <v>32.10647999999999</v>
          </cell>
        </row>
        <row r="96">
          <cell r="F96">
            <v>23.1</v>
          </cell>
        </row>
        <row r="103">
          <cell r="F103">
            <v>13</v>
          </cell>
          <cell r="H103">
            <v>6</v>
          </cell>
        </row>
        <row r="104">
          <cell r="F104">
            <v>12</v>
          </cell>
        </row>
        <row r="105">
          <cell r="F105">
            <v>8.336319999999999</v>
          </cell>
        </row>
        <row r="106">
          <cell r="F106">
            <v>35.7</v>
          </cell>
          <cell r="H106">
            <v>282.03000000000003</v>
          </cell>
        </row>
        <row r="107">
          <cell r="F107">
            <v>22.990000000000002</v>
          </cell>
          <cell r="H107">
            <v>181.62100000000004</v>
          </cell>
        </row>
        <row r="108">
          <cell r="F108">
            <v>3.7619999999999996</v>
          </cell>
        </row>
        <row r="109">
          <cell r="F109">
            <v>1.51525</v>
          </cell>
        </row>
        <row r="110">
          <cell r="F110">
            <v>1.7242499999999996</v>
          </cell>
          <cell r="H110">
            <v>17.242499999999996</v>
          </cell>
        </row>
        <row r="111">
          <cell r="F111">
            <v>28.729999999999997</v>
          </cell>
        </row>
        <row r="113">
          <cell r="F113">
            <v>6.802979999999998</v>
          </cell>
        </row>
        <row r="114">
          <cell r="F114">
            <v>32.93</v>
          </cell>
          <cell r="H114">
            <v>260.147</v>
          </cell>
        </row>
        <row r="116">
          <cell r="F116">
            <v>0.9359999999999999</v>
          </cell>
        </row>
        <row r="117">
          <cell r="F117">
            <v>0.108</v>
          </cell>
        </row>
        <row r="118">
          <cell r="F118">
            <v>0.72</v>
          </cell>
        </row>
        <row r="119">
          <cell r="F119">
            <v>0.5289999999999999</v>
          </cell>
          <cell r="H119">
            <v>5.289999999999999</v>
          </cell>
        </row>
        <row r="120">
          <cell r="F120">
            <v>27.225</v>
          </cell>
        </row>
        <row r="121">
          <cell r="F121">
            <v>1</v>
          </cell>
        </row>
        <row r="122">
          <cell r="F122">
            <v>6</v>
          </cell>
        </row>
        <row r="124">
          <cell r="F124">
            <v>2.4000000000000004</v>
          </cell>
        </row>
        <row r="125">
          <cell r="F125">
            <v>0.8190000000000001</v>
          </cell>
        </row>
        <row r="126">
          <cell r="F126">
            <v>0.5</v>
          </cell>
          <cell r="H126">
            <v>5</v>
          </cell>
        </row>
        <row r="127">
          <cell r="F127">
            <v>6.4</v>
          </cell>
        </row>
        <row r="128">
          <cell r="F128">
            <v>0.6400000000000001</v>
          </cell>
        </row>
        <row r="129">
          <cell r="F129">
            <v>5.6000000000000005</v>
          </cell>
        </row>
        <row r="131">
          <cell r="F131">
            <v>26</v>
          </cell>
        </row>
        <row r="132">
          <cell r="F132">
            <v>2.6</v>
          </cell>
        </row>
        <row r="134">
          <cell r="F134">
            <v>2.68</v>
          </cell>
          <cell r="H134">
            <v>26.8</v>
          </cell>
        </row>
        <row r="135">
          <cell r="F135">
            <v>0.026000000000000002</v>
          </cell>
          <cell r="H135">
            <v>0.26</v>
          </cell>
        </row>
        <row r="136">
          <cell r="F136">
            <v>0.156</v>
          </cell>
        </row>
        <row r="138">
          <cell r="F138">
            <v>6.334999999999999</v>
          </cell>
        </row>
        <row r="139">
          <cell r="F139">
            <v>10.5</v>
          </cell>
        </row>
        <row r="141">
          <cell r="F141">
            <v>46.1035</v>
          </cell>
        </row>
        <row r="142">
          <cell r="F142">
            <v>29.645</v>
          </cell>
        </row>
        <row r="143">
          <cell r="F143">
            <v>5.5680000000000005</v>
          </cell>
        </row>
        <row r="144">
          <cell r="F144">
            <v>10.582</v>
          </cell>
        </row>
        <row r="146">
          <cell r="F146">
            <v>20.022</v>
          </cell>
        </row>
        <row r="147">
          <cell r="F147">
            <v>17.99798</v>
          </cell>
        </row>
        <row r="148">
          <cell r="F148">
            <v>3.168</v>
          </cell>
        </row>
        <row r="150">
          <cell r="F150">
            <v>22.799999999999997</v>
          </cell>
        </row>
        <row r="157">
          <cell r="F157">
            <v>9.4</v>
          </cell>
          <cell r="H157">
            <v>4</v>
          </cell>
        </row>
        <row r="158">
          <cell r="F158">
            <v>8</v>
          </cell>
        </row>
        <row r="159">
          <cell r="F159">
            <v>4.987839999999999</v>
          </cell>
        </row>
        <row r="160">
          <cell r="F160">
            <v>21.450000000000003</v>
          </cell>
          <cell r="H160">
            <v>169.45500000000004</v>
          </cell>
        </row>
        <row r="161">
          <cell r="F161">
            <v>15.730000000000002</v>
          </cell>
          <cell r="H161">
            <v>124.26700000000002</v>
          </cell>
        </row>
        <row r="162">
          <cell r="F162">
            <v>2.574</v>
          </cell>
        </row>
        <row r="163">
          <cell r="F163">
            <v>1.03675</v>
          </cell>
        </row>
        <row r="164">
          <cell r="F164">
            <v>1.17975</v>
          </cell>
          <cell r="H164">
            <v>11.7975</v>
          </cell>
        </row>
        <row r="165">
          <cell r="F165">
            <v>20.15</v>
          </cell>
        </row>
        <row r="167">
          <cell r="F167">
            <v>6.24498</v>
          </cell>
        </row>
        <row r="168">
          <cell r="F168">
            <v>30.55</v>
          </cell>
          <cell r="H168">
            <v>241.34500000000003</v>
          </cell>
        </row>
        <row r="170">
          <cell r="F170">
            <v>0.9359999999999999</v>
          </cell>
        </row>
        <row r="171">
          <cell r="F171">
            <v>0.108</v>
          </cell>
        </row>
        <row r="172">
          <cell r="F172">
            <v>0.72</v>
          </cell>
        </row>
        <row r="173">
          <cell r="F173">
            <v>0.5289999999999999</v>
          </cell>
          <cell r="H173">
            <v>5.289999999999999</v>
          </cell>
        </row>
        <row r="174">
          <cell r="F174">
            <v>25.005</v>
          </cell>
        </row>
        <row r="175">
          <cell r="F175">
            <v>1</v>
          </cell>
        </row>
        <row r="176">
          <cell r="F176">
            <v>5</v>
          </cell>
        </row>
        <row r="178">
          <cell r="F178">
            <v>3.6000000000000005</v>
          </cell>
        </row>
        <row r="179">
          <cell r="F179">
            <v>8.5</v>
          </cell>
        </row>
        <row r="180">
          <cell r="F180">
            <v>0.81</v>
          </cell>
        </row>
        <row r="182">
          <cell r="F182">
            <v>23.546250000000004</v>
          </cell>
        </row>
        <row r="183">
          <cell r="F183">
            <v>27.488999999999997</v>
          </cell>
        </row>
        <row r="185">
          <cell r="F185">
            <v>8.307000000000002</v>
          </cell>
        </row>
        <row r="186">
          <cell r="F186">
            <v>16.723979999999997</v>
          </cell>
        </row>
        <row r="188">
          <cell r="F188">
            <v>23.4</v>
          </cell>
        </row>
        <row r="195">
          <cell r="F195">
            <v>9.7</v>
          </cell>
          <cell r="H195">
            <v>4</v>
          </cell>
        </row>
        <row r="196">
          <cell r="F196">
            <v>8</v>
          </cell>
        </row>
        <row r="197">
          <cell r="F197">
            <v>4.185599999999999</v>
          </cell>
        </row>
        <row r="198">
          <cell r="F198">
            <v>18</v>
          </cell>
          <cell r="H198">
            <v>142.20000000000002</v>
          </cell>
        </row>
        <row r="199">
          <cell r="F199">
            <v>13.200000000000001</v>
          </cell>
          <cell r="H199">
            <v>104.28000000000002</v>
          </cell>
        </row>
        <row r="200">
          <cell r="F200">
            <v>2.1599999999999997</v>
          </cell>
        </row>
        <row r="201">
          <cell r="F201">
            <v>0.87</v>
          </cell>
        </row>
        <row r="202">
          <cell r="F202">
            <v>0.9899999999999999</v>
          </cell>
          <cell r="H202">
            <v>9.899999999999999</v>
          </cell>
        </row>
        <row r="203">
          <cell r="F203">
            <v>17.16</v>
          </cell>
        </row>
        <row r="205">
          <cell r="F205">
            <v>5.965979999999999</v>
          </cell>
        </row>
        <row r="206">
          <cell r="F206">
            <v>29.36</v>
          </cell>
          <cell r="H206">
            <v>231.94400000000002</v>
          </cell>
        </row>
        <row r="208">
          <cell r="F208">
            <v>0.9359999999999999</v>
          </cell>
        </row>
        <row r="209">
          <cell r="F209">
            <v>0.108</v>
          </cell>
        </row>
        <row r="210">
          <cell r="F210">
            <v>0.72</v>
          </cell>
        </row>
        <row r="211">
          <cell r="F211">
            <v>0.5289999999999999</v>
          </cell>
          <cell r="H211">
            <v>5.289999999999999</v>
          </cell>
        </row>
        <row r="212">
          <cell r="F212">
            <v>23.895</v>
          </cell>
        </row>
        <row r="213">
          <cell r="F213">
            <v>1</v>
          </cell>
        </row>
        <row r="214">
          <cell r="F214">
            <v>5</v>
          </cell>
        </row>
        <row r="216">
          <cell r="F216">
            <v>11.747999999999998</v>
          </cell>
        </row>
        <row r="217">
          <cell r="F217">
            <v>12.459999999999999</v>
          </cell>
        </row>
        <row r="218">
          <cell r="F218">
            <v>0.81</v>
          </cell>
        </row>
        <row r="220">
          <cell r="F220">
            <v>18.026249999999997</v>
          </cell>
        </row>
        <row r="221">
          <cell r="F221">
            <v>25.725</v>
          </cell>
        </row>
        <row r="223">
          <cell r="F223">
            <v>5.6525</v>
          </cell>
        </row>
        <row r="224">
          <cell r="F224">
            <v>15.310980000000004</v>
          </cell>
        </row>
        <row r="226">
          <cell r="F226">
            <v>20.4</v>
          </cell>
        </row>
        <row r="233">
          <cell r="F233">
            <v>8.5</v>
          </cell>
          <cell r="H233">
            <v>4</v>
          </cell>
        </row>
        <row r="234">
          <cell r="F234">
            <v>8</v>
          </cell>
        </row>
        <row r="235">
          <cell r="F235">
            <v>4.29024</v>
          </cell>
        </row>
        <row r="236">
          <cell r="F236">
            <v>18.450000000000003</v>
          </cell>
          <cell r="H236">
            <v>145.75500000000002</v>
          </cell>
        </row>
        <row r="237">
          <cell r="F237">
            <v>13.530000000000001</v>
          </cell>
          <cell r="H237">
            <v>106.88700000000001</v>
          </cell>
        </row>
        <row r="238">
          <cell r="F238">
            <v>2.214</v>
          </cell>
        </row>
        <row r="239">
          <cell r="F239">
            <v>0.89175</v>
          </cell>
        </row>
        <row r="240">
          <cell r="F240">
            <v>1.01475</v>
          </cell>
          <cell r="H240">
            <v>10.1475</v>
          </cell>
        </row>
        <row r="241">
          <cell r="F241">
            <v>17.55</v>
          </cell>
        </row>
        <row r="243">
          <cell r="F243">
            <v>9.871979999999999</v>
          </cell>
        </row>
        <row r="244">
          <cell r="F244">
            <v>46.019999999999996</v>
          </cell>
          <cell r="H244">
            <v>363.558</v>
          </cell>
        </row>
        <row r="246">
          <cell r="F246">
            <v>0.9359999999999999</v>
          </cell>
        </row>
        <row r="247">
          <cell r="F247">
            <v>0.108</v>
          </cell>
        </row>
        <row r="248">
          <cell r="F248">
            <v>0.72</v>
          </cell>
        </row>
        <row r="249">
          <cell r="F249">
            <v>0.5289999999999999</v>
          </cell>
          <cell r="H249">
            <v>5.289999999999999</v>
          </cell>
        </row>
        <row r="250">
          <cell r="F250">
            <v>39.435</v>
          </cell>
        </row>
        <row r="251">
          <cell r="F251">
            <v>1</v>
          </cell>
        </row>
        <row r="252">
          <cell r="F252">
            <v>9</v>
          </cell>
        </row>
        <row r="254">
          <cell r="F254">
            <v>3.0600000000000005</v>
          </cell>
        </row>
        <row r="255">
          <cell r="F255">
            <v>7.8</v>
          </cell>
        </row>
        <row r="256">
          <cell r="F256">
            <v>0.81</v>
          </cell>
        </row>
        <row r="258">
          <cell r="F258">
            <v>34.587</v>
          </cell>
        </row>
        <row r="259">
          <cell r="F259">
            <v>51.975</v>
          </cell>
        </row>
        <row r="261">
          <cell r="F261">
            <v>23.058000000000007</v>
          </cell>
        </row>
        <row r="262">
          <cell r="F262">
            <v>35.476980000000005</v>
          </cell>
        </row>
        <row r="264">
          <cell r="F264">
            <v>20.4</v>
          </cell>
        </row>
        <row r="271">
          <cell r="F271">
            <v>9.5</v>
          </cell>
          <cell r="H271">
            <v>4</v>
          </cell>
        </row>
        <row r="272">
          <cell r="F272">
            <v>8</v>
          </cell>
        </row>
        <row r="273">
          <cell r="F273">
            <v>4.220479999999999</v>
          </cell>
        </row>
        <row r="274">
          <cell r="F274">
            <v>18.15</v>
          </cell>
          <cell r="H274">
            <v>143.385</v>
          </cell>
        </row>
        <row r="275">
          <cell r="F275">
            <v>13.31</v>
          </cell>
          <cell r="H275">
            <v>105.14900000000002</v>
          </cell>
        </row>
        <row r="276">
          <cell r="F276">
            <v>2.178</v>
          </cell>
        </row>
        <row r="277">
          <cell r="F277">
            <v>0.87725</v>
          </cell>
        </row>
        <row r="278">
          <cell r="F278">
            <v>0.9982500000000001</v>
          </cell>
          <cell r="H278">
            <v>9.9825</v>
          </cell>
        </row>
        <row r="279">
          <cell r="F279">
            <v>17.29</v>
          </cell>
        </row>
        <row r="281">
          <cell r="F281">
            <v>7.91898</v>
          </cell>
        </row>
        <row r="282">
          <cell r="F282">
            <v>37.69</v>
          </cell>
          <cell r="H282">
            <v>297.751</v>
          </cell>
        </row>
        <row r="284">
          <cell r="F284">
            <v>0.9359999999999999</v>
          </cell>
        </row>
        <row r="285">
          <cell r="F285">
            <v>0.108</v>
          </cell>
        </row>
        <row r="286">
          <cell r="F286">
            <v>0.72</v>
          </cell>
        </row>
        <row r="287">
          <cell r="F287">
            <v>0.5289999999999999</v>
          </cell>
          <cell r="H287">
            <v>5.289999999999999</v>
          </cell>
        </row>
        <row r="288">
          <cell r="F288">
            <v>31.665</v>
          </cell>
        </row>
        <row r="289">
          <cell r="F289">
            <v>1</v>
          </cell>
        </row>
        <row r="290">
          <cell r="F290">
            <v>7</v>
          </cell>
        </row>
        <row r="292">
          <cell r="F292">
            <v>3.3319999999999994</v>
          </cell>
        </row>
        <row r="293">
          <cell r="F293">
            <v>9.5</v>
          </cell>
        </row>
        <row r="294">
          <cell r="F294">
            <v>0.81</v>
          </cell>
        </row>
        <row r="296">
          <cell r="F296">
            <v>24.299999999999997</v>
          </cell>
        </row>
        <row r="297">
          <cell r="F297">
            <v>38.910374999999995</v>
          </cell>
        </row>
        <row r="299">
          <cell r="F299">
            <v>13.5</v>
          </cell>
        </row>
        <row r="300">
          <cell r="F300">
            <v>25.589354999999998</v>
          </cell>
        </row>
        <row r="302">
          <cell r="F302">
            <v>20.4</v>
          </cell>
        </row>
        <row r="309">
          <cell r="F309">
            <v>10.1</v>
          </cell>
          <cell r="H309">
            <v>5</v>
          </cell>
        </row>
        <row r="310">
          <cell r="F310">
            <v>10</v>
          </cell>
        </row>
        <row r="311">
          <cell r="F311">
            <v>6.31328</v>
          </cell>
        </row>
        <row r="312">
          <cell r="F312">
            <v>27</v>
          </cell>
          <cell r="H312">
            <v>213.3</v>
          </cell>
        </row>
        <row r="313">
          <cell r="F313">
            <v>19.8</v>
          </cell>
          <cell r="H313">
            <v>156.42000000000002</v>
          </cell>
        </row>
        <row r="314">
          <cell r="F314">
            <v>3.2219999999999995</v>
          </cell>
        </row>
        <row r="315">
          <cell r="F315">
            <v>1.3122500000000001</v>
          </cell>
        </row>
        <row r="316">
          <cell r="F316">
            <v>1.4932500000000002</v>
          </cell>
          <cell r="H316">
            <v>14.932500000000001</v>
          </cell>
        </row>
        <row r="317">
          <cell r="F317">
            <v>25.09</v>
          </cell>
        </row>
        <row r="319">
          <cell r="F319">
            <v>8.197979999999998</v>
          </cell>
        </row>
        <row r="320">
          <cell r="F320">
            <v>38.88</v>
          </cell>
          <cell r="H320">
            <v>307.15200000000004</v>
          </cell>
        </row>
        <row r="322">
          <cell r="F322">
            <v>0.9359999999999999</v>
          </cell>
        </row>
        <row r="323">
          <cell r="F323">
            <v>0.108</v>
          </cell>
        </row>
        <row r="324">
          <cell r="F324">
            <v>0.72</v>
          </cell>
        </row>
        <row r="325">
          <cell r="F325">
            <v>0.5289999999999999</v>
          </cell>
          <cell r="H325">
            <v>5.289999999999999</v>
          </cell>
        </row>
        <row r="326">
          <cell r="F326">
            <v>32.775</v>
          </cell>
        </row>
        <row r="327">
          <cell r="F327">
            <v>1</v>
          </cell>
        </row>
        <row r="328">
          <cell r="F328">
            <v>7</v>
          </cell>
        </row>
        <row r="330">
          <cell r="F330">
            <v>6</v>
          </cell>
        </row>
        <row r="331">
          <cell r="F331">
            <v>0.6000000000000001</v>
          </cell>
        </row>
        <row r="333">
          <cell r="F333">
            <v>0.6000000000000001</v>
          </cell>
          <cell r="H333">
            <v>6</v>
          </cell>
        </row>
        <row r="334">
          <cell r="F334">
            <v>0.08000000000000002</v>
          </cell>
          <cell r="H334">
            <v>0.8</v>
          </cell>
        </row>
        <row r="335">
          <cell r="F335">
            <v>0.48</v>
          </cell>
        </row>
        <row r="337">
          <cell r="F337">
            <v>5.32</v>
          </cell>
        </row>
        <row r="338">
          <cell r="F338">
            <v>8.6</v>
          </cell>
        </row>
        <row r="340">
          <cell r="F340">
            <v>43.768750000000004</v>
          </cell>
        </row>
        <row r="341">
          <cell r="F341">
            <v>38.6425</v>
          </cell>
        </row>
        <row r="342">
          <cell r="F342">
            <v>2.9600000000000004</v>
          </cell>
        </row>
        <row r="344">
          <cell r="F344">
            <v>25.7025</v>
          </cell>
        </row>
        <row r="345">
          <cell r="F345">
            <v>24.88048</v>
          </cell>
        </row>
        <row r="347">
          <cell r="F347">
            <v>21.9</v>
          </cell>
        </row>
        <row r="354">
          <cell r="F354">
            <v>9.3</v>
          </cell>
          <cell r="H354">
            <v>4</v>
          </cell>
        </row>
        <row r="355">
          <cell r="F355">
            <v>8</v>
          </cell>
        </row>
        <row r="356">
          <cell r="F356">
            <v>5.755199999999999</v>
          </cell>
        </row>
        <row r="357">
          <cell r="F357">
            <v>24.450000000000003</v>
          </cell>
          <cell r="H357">
            <v>193.15500000000003</v>
          </cell>
        </row>
        <row r="358">
          <cell r="F358">
            <v>17.930000000000003</v>
          </cell>
          <cell r="H358">
            <v>141.64700000000002</v>
          </cell>
        </row>
        <row r="359">
          <cell r="F359">
            <v>2.97</v>
          </cell>
        </row>
        <row r="360">
          <cell r="F360">
            <v>1.19625</v>
          </cell>
        </row>
        <row r="361">
          <cell r="F361">
            <v>1.36125</v>
          </cell>
          <cell r="H361">
            <v>13.612499999999999</v>
          </cell>
        </row>
        <row r="362">
          <cell r="F362">
            <v>23.009999999999998</v>
          </cell>
        </row>
        <row r="364">
          <cell r="F364">
            <v>7.779479999999999</v>
          </cell>
        </row>
        <row r="365">
          <cell r="F365">
            <v>37.095</v>
          </cell>
          <cell r="H365">
            <v>293.0505</v>
          </cell>
        </row>
        <row r="367">
          <cell r="F367">
            <v>0.9359999999999999</v>
          </cell>
        </row>
        <row r="368">
          <cell r="F368">
            <v>0.108</v>
          </cell>
        </row>
        <row r="369">
          <cell r="F369">
            <v>0.72</v>
          </cell>
        </row>
        <row r="370">
          <cell r="F370">
            <v>0.5289999999999999</v>
          </cell>
          <cell r="H370">
            <v>5.289999999999999</v>
          </cell>
        </row>
        <row r="371">
          <cell r="F371">
            <v>31.11</v>
          </cell>
        </row>
        <row r="372">
          <cell r="F372">
            <v>1</v>
          </cell>
        </row>
        <row r="373">
          <cell r="F373">
            <v>7</v>
          </cell>
        </row>
        <row r="375">
          <cell r="F375">
            <v>5</v>
          </cell>
        </row>
        <row r="376">
          <cell r="F376">
            <v>0.5</v>
          </cell>
        </row>
        <row r="378">
          <cell r="F378">
            <v>0.5</v>
          </cell>
          <cell r="H378">
            <v>5</v>
          </cell>
        </row>
        <row r="379">
          <cell r="F379">
            <v>0.08000000000000002</v>
          </cell>
          <cell r="H379">
            <v>0.8</v>
          </cell>
        </row>
        <row r="380">
          <cell r="F380">
            <v>0.48</v>
          </cell>
        </row>
        <row r="382">
          <cell r="F382">
            <v>8.323</v>
          </cell>
        </row>
        <row r="383">
          <cell r="F383">
            <v>8.3</v>
          </cell>
        </row>
        <row r="385">
          <cell r="F385">
            <v>33.455999999999996</v>
          </cell>
        </row>
        <row r="386">
          <cell r="F386">
            <v>32.214</v>
          </cell>
        </row>
        <row r="387">
          <cell r="F387">
            <v>2.56</v>
          </cell>
        </row>
        <row r="389">
          <cell r="F389">
            <v>17.136000000000006</v>
          </cell>
        </row>
        <row r="390">
          <cell r="F390">
            <v>19.774980000000003</v>
          </cell>
        </row>
        <row r="392">
          <cell r="F392">
            <v>19.5</v>
          </cell>
        </row>
        <row r="399">
          <cell r="F399">
            <v>11.6</v>
          </cell>
          <cell r="H399">
            <v>5</v>
          </cell>
        </row>
        <row r="400">
          <cell r="F400">
            <v>10</v>
          </cell>
        </row>
        <row r="401">
          <cell r="F401">
            <v>7.359679999999999</v>
          </cell>
        </row>
        <row r="402">
          <cell r="F402">
            <v>31.349999999999998</v>
          </cell>
          <cell r="H402">
            <v>247.665</v>
          </cell>
        </row>
        <row r="403">
          <cell r="F403">
            <v>22.990000000000002</v>
          </cell>
          <cell r="H403">
            <v>181.62100000000004</v>
          </cell>
        </row>
        <row r="404">
          <cell r="F404">
            <v>3.798</v>
          </cell>
        </row>
        <row r="405">
          <cell r="F405">
            <v>1.5297500000000002</v>
          </cell>
        </row>
        <row r="406">
          <cell r="F406">
            <v>1.74075</v>
          </cell>
          <cell r="H406">
            <v>16.417499999999997</v>
          </cell>
        </row>
        <row r="407">
          <cell r="F407">
            <v>28.990000000000002</v>
          </cell>
        </row>
        <row r="409">
          <cell r="F409">
            <v>4.768979999999999</v>
          </cell>
        </row>
        <row r="410">
          <cell r="F410">
            <v>31.740000000000002</v>
          </cell>
          <cell r="H410">
            <v>250.74600000000004</v>
          </cell>
        </row>
        <row r="412">
          <cell r="F412">
            <v>0.9359999999999999</v>
          </cell>
        </row>
        <row r="413">
          <cell r="F413">
            <v>0.108</v>
          </cell>
        </row>
        <row r="414">
          <cell r="F414">
            <v>0.72</v>
          </cell>
        </row>
        <row r="415">
          <cell r="F415">
            <v>0.5289999999999999</v>
          </cell>
          <cell r="H415">
            <v>5.289999999999999</v>
          </cell>
        </row>
        <row r="416">
          <cell r="F416">
            <v>26.115</v>
          </cell>
        </row>
        <row r="417">
          <cell r="F417">
            <v>1</v>
          </cell>
        </row>
        <row r="418">
          <cell r="F418">
            <v>5</v>
          </cell>
        </row>
        <row r="420">
          <cell r="F420">
            <v>2.4000000000000004</v>
          </cell>
        </row>
        <row r="421">
          <cell r="F421">
            <v>0.8190000000000001</v>
          </cell>
        </row>
        <row r="422">
          <cell r="F422">
            <v>0.5</v>
          </cell>
          <cell r="H422">
            <v>5</v>
          </cell>
        </row>
        <row r="423">
          <cell r="F423">
            <v>6</v>
          </cell>
        </row>
        <row r="424">
          <cell r="F424">
            <v>0.6000000000000001</v>
          </cell>
        </row>
        <row r="425">
          <cell r="F425">
            <v>5.6000000000000005</v>
          </cell>
        </row>
        <row r="427">
          <cell r="F427">
            <v>2.646</v>
          </cell>
        </row>
        <row r="428">
          <cell r="F428">
            <v>3.7440000000000007</v>
          </cell>
        </row>
        <row r="429">
          <cell r="F429">
            <v>9.1</v>
          </cell>
        </row>
        <row r="431">
          <cell r="F431">
            <v>37.231249999999996</v>
          </cell>
        </row>
        <row r="432">
          <cell r="F432">
            <v>27.825</v>
          </cell>
        </row>
        <row r="433">
          <cell r="F433">
            <v>5.5680000000000005</v>
          </cell>
        </row>
        <row r="435">
          <cell r="F435">
            <v>15.2625</v>
          </cell>
        </row>
        <row r="436">
          <cell r="F436">
            <v>16.70898</v>
          </cell>
        </row>
        <row r="437">
          <cell r="F437">
            <v>3.168</v>
          </cell>
        </row>
        <row r="439">
          <cell r="F439">
            <v>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B170"/>
  <sheetViews>
    <sheetView zoomScalePageLayoutView="0" workbookViewId="0" topLeftCell="A43">
      <selection activeCell="Q9" sqref="Q9"/>
    </sheetView>
  </sheetViews>
  <sheetFormatPr defaultColWidth="9.00390625" defaultRowHeight="12.75"/>
  <cols>
    <col min="1" max="1" width="4.25390625" style="271" customWidth="1"/>
    <col min="2" max="2" width="9.125" style="308" customWidth="1"/>
    <col min="3" max="3" width="29.25390625" style="271" customWidth="1"/>
    <col min="4" max="4" width="19.75390625" style="271" customWidth="1"/>
    <col min="5" max="5" width="9.125" style="282" customWidth="1"/>
    <col min="6" max="6" width="8.875" style="341" customWidth="1"/>
    <col min="7" max="7" width="7.75390625" style="271" customWidth="1"/>
    <col min="8" max="8" width="7.875" style="271" bestFit="1" customWidth="1"/>
    <col min="9" max="9" width="2.00390625" style="271" customWidth="1"/>
    <col min="10" max="10" width="16.00390625" style="271" customWidth="1"/>
    <col min="11" max="16" width="9.125" style="271" customWidth="1"/>
    <col min="17" max="17" width="20.125" style="271" customWidth="1"/>
    <col min="18" max="18" width="11.25390625" style="271" bestFit="1" customWidth="1"/>
    <col min="19" max="16384" width="9.125" style="271" customWidth="1"/>
  </cols>
  <sheetData>
    <row r="1" ht="15">
      <c r="B1" s="296" t="s">
        <v>47</v>
      </c>
    </row>
    <row r="2" spans="2:13" ht="15">
      <c r="B2" s="297" t="s">
        <v>146</v>
      </c>
      <c r="F2" s="595" t="s">
        <v>239</v>
      </c>
      <c r="G2" s="594"/>
      <c r="H2" s="283" t="s">
        <v>240</v>
      </c>
      <c r="K2" s="271" t="s">
        <v>731</v>
      </c>
      <c r="M2" s="271">
        <f>6520-4130</f>
        <v>2390</v>
      </c>
    </row>
    <row r="3" ht="15">
      <c r="B3" s="297"/>
    </row>
    <row r="4" spans="2:12" s="243" customFormat="1" ht="12.75">
      <c r="B4" s="309" t="s">
        <v>88</v>
      </c>
      <c r="C4" s="310"/>
      <c r="D4" s="311"/>
      <c r="E4" s="312"/>
      <c r="F4" s="342"/>
      <c r="G4" s="313"/>
      <c r="H4" s="314"/>
      <c r="I4" s="241"/>
      <c r="J4" s="241"/>
      <c r="K4" s="241"/>
      <c r="L4" s="242"/>
    </row>
    <row r="5" spans="2:12" s="243" customFormat="1" ht="12.75">
      <c r="B5" s="298" t="s">
        <v>89</v>
      </c>
      <c r="C5" s="246"/>
      <c r="D5" s="246"/>
      <c r="E5" s="285"/>
      <c r="F5" s="343"/>
      <c r="G5" s="247"/>
      <c r="H5" s="241"/>
      <c r="I5" s="241"/>
      <c r="J5" s="248"/>
      <c r="K5" s="249"/>
      <c r="L5" s="242"/>
    </row>
    <row r="6" spans="2:14" s="243" customFormat="1" ht="12.75">
      <c r="B6" s="295"/>
      <c r="C6" s="243" t="s">
        <v>144</v>
      </c>
      <c r="D6" s="246"/>
      <c r="E6" s="287" t="s">
        <v>243</v>
      </c>
      <c r="F6" s="344">
        <v>16514</v>
      </c>
      <c r="G6" s="247" t="s">
        <v>8</v>
      </c>
      <c r="H6" s="241"/>
      <c r="I6" s="241"/>
      <c r="J6" s="248" t="s">
        <v>315</v>
      </c>
      <c r="K6" s="249"/>
      <c r="L6" s="248"/>
      <c r="N6" s="248"/>
    </row>
    <row r="7" spans="2:12" s="243" customFormat="1" ht="12.75">
      <c r="B7" s="295"/>
      <c r="C7" s="243" t="s">
        <v>143</v>
      </c>
      <c r="D7" s="246"/>
      <c r="E7" s="315" t="s">
        <v>250</v>
      </c>
      <c r="F7" s="344">
        <f>3914+97</f>
        <v>4011</v>
      </c>
      <c r="G7" s="247" t="s">
        <v>8</v>
      </c>
      <c r="H7" s="241"/>
      <c r="I7" s="241"/>
      <c r="J7" s="248" t="s">
        <v>338</v>
      </c>
      <c r="K7" s="249"/>
      <c r="L7" s="244"/>
    </row>
    <row r="8" spans="2:12" s="243" customFormat="1" ht="12.75">
      <c r="B8" s="295"/>
      <c r="C8" s="243" t="s">
        <v>339</v>
      </c>
      <c r="D8" s="246"/>
      <c r="E8" s="315" t="s">
        <v>250</v>
      </c>
      <c r="F8" s="365">
        <v>211.8</v>
      </c>
      <c r="G8" s="247" t="s">
        <v>8</v>
      </c>
      <c r="H8" s="241"/>
      <c r="I8" s="241"/>
      <c r="J8" s="248"/>
      <c r="K8" s="249"/>
      <c r="L8" s="244"/>
    </row>
    <row r="9" spans="2:12" s="243" customFormat="1" ht="12.75">
      <c r="B9" s="299" t="s">
        <v>90</v>
      </c>
      <c r="C9" s="251"/>
      <c r="D9" s="251"/>
      <c r="E9" s="288"/>
      <c r="F9" s="346">
        <f>35+17</f>
        <v>52</v>
      </c>
      <c r="G9" s="247" t="s">
        <v>8</v>
      </c>
      <c r="H9" s="241"/>
      <c r="I9" s="241"/>
      <c r="J9" s="248" t="s">
        <v>324</v>
      </c>
      <c r="K9" s="249"/>
      <c r="L9" s="242"/>
    </row>
    <row r="10" spans="2:12" s="243" customFormat="1" ht="12.75">
      <c r="B10" s="299" t="s">
        <v>325</v>
      </c>
      <c r="C10" s="251"/>
      <c r="D10" s="251"/>
      <c r="E10" s="288"/>
      <c r="F10" s="346">
        <f>70+20+3+27</f>
        <v>120</v>
      </c>
      <c r="G10" s="247" t="s">
        <v>8</v>
      </c>
      <c r="H10" s="241"/>
      <c r="I10" s="241"/>
      <c r="J10" s="248" t="s">
        <v>326</v>
      </c>
      <c r="K10" s="249"/>
      <c r="L10" s="242"/>
    </row>
    <row r="11" spans="2:12" s="243" customFormat="1" ht="12.75">
      <c r="B11" s="298" t="s">
        <v>245</v>
      </c>
      <c r="C11" s="246"/>
      <c r="D11" s="243" t="s">
        <v>247</v>
      </c>
      <c r="E11" s="287"/>
      <c r="F11" s="344">
        <f>15.6*0.7*1.6</f>
        <v>17.472</v>
      </c>
      <c r="G11" s="247" t="s">
        <v>8</v>
      </c>
      <c r="H11" s="241"/>
      <c r="I11" s="241"/>
      <c r="J11" s="246" t="s">
        <v>246</v>
      </c>
      <c r="K11" s="249"/>
      <c r="L11" s="242"/>
    </row>
    <row r="12" spans="2:12" s="243" customFormat="1" ht="12.75">
      <c r="B12" s="299" t="s">
        <v>248</v>
      </c>
      <c r="C12" s="251"/>
      <c r="D12" s="251"/>
      <c r="E12" s="288"/>
      <c r="F12" s="346">
        <f>11*1.5</f>
        <v>16.5</v>
      </c>
      <c r="G12" s="247" t="s">
        <v>9</v>
      </c>
      <c r="H12" s="241"/>
      <c r="I12" s="241"/>
      <c r="J12" s="248" t="s">
        <v>249</v>
      </c>
      <c r="K12" s="249"/>
      <c r="L12" s="242"/>
    </row>
    <row r="13" spans="2:12" s="243" customFormat="1" ht="12.75">
      <c r="B13" s="299" t="s">
        <v>92</v>
      </c>
      <c r="C13" s="251"/>
      <c r="D13" s="251" t="s">
        <v>241</v>
      </c>
      <c r="E13" s="288"/>
      <c r="F13" s="346">
        <f>2*2385+65*2</f>
        <v>4900</v>
      </c>
      <c r="G13" s="247" t="s">
        <v>9</v>
      </c>
      <c r="H13" s="241"/>
      <c r="I13" s="241"/>
      <c r="J13" s="248" t="s">
        <v>242</v>
      </c>
      <c r="K13" s="249"/>
      <c r="L13" s="242"/>
    </row>
    <row r="14" spans="2:12" s="243" customFormat="1" ht="12.75">
      <c r="B14" s="299" t="s">
        <v>93</v>
      </c>
      <c r="C14" s="251"/>
      <c r="D14" s="251"/>
      <c r="E14" s="288"/>
      <c r="F14" s="346">
        <f>707+185+501+3</f>
        <v>1396</v>
      </c>
      <c r="G14" s="247" t="s">
        <v>9</v>
      </c>
      <c r="H14" s="241"/>
      <c r="I14" s="241"/>
      <c r="J14" s="248" t="s">
        <v>238</v>
      </c>
      <c r="K14" s="249"/>
      <c r="L14" s="242"/>
    </row>
    <row r="15" spans="2:12" s="243" customFormat="1" ht="12.75">
      <c r="B15" s="299"/>
      <c r="C15" s="251"/>
      <c r="D15" s="251"/>
      <c r="E15" s="288"/>
      <c r="F15" s="343"/>
      <c r="G15" s="247"/>
      <c r="H15" s="241"/>
      <c r="I15" s="241"/>
      <c r="J15" s="248"/>
      <c r="K15" s="249"/>
      <c r="L15" s="242"/>
    </row>
    <row r="16" spans="2:12" s="243" customFormat="1" ht="12.75">
      <c r="B16" s="300" t="s">
        <v>94</v>
      </c>
      <c r="C16" s="253"/>
      <c r="D16" s="254"/>
      <c r="E16" s="290"/>
      <c r="F16" s="347"/>
      <c r="G16" s="256"/>
      <c r="H16" s="257"/>
      <c r="I16" s="241"/>
      <c r="J16" s="248"/>
      <c r="K16" s="249"/>
      <c r="L16" s="242"/>
    </row>
    <row r="17" spans="2:12" s="243" customFormat="1" ht="12.75">
      <c r="B17" s="298" t="s">
        <v>95</v>
      </c>
      <c r="C17" s="258"/>
      <c r="D17" s="674" t="s">
        <v>730</v>
      </c>
      <c r="E17" s="675"/>
      <c r="F17" s="675"/>
      <c r="G17" s="247" t="s">
        <v>10</v>
      </c>
      <c r="H17" s="246"/>
      <c r="I17" s="241"/>
      <c r="J17" s="248"/>
      <c r="K17" s="259"/>
      <c r="L17" s="242"/>
    </row>
    <row r="18" spans="2:12" s="243" customFormat="1" ht="12.75">
      <c r="B18" s="298"/>
      <c r="C18" s="258"/>
      <c r="D18" s="675"/>
      <c r="E18" s="675"/>
      <c r="F18" s="675"/>
      <c r="G18" s="247"/>
      <c r="H18" s="246"/>
      <c r="I18" s="241"/>
      <c r="J18" s="248"/>
      <c r="K18" s="259"/>
      <c r="L18" s="242"/>
    </row>
    <row r="19" spans="2:12" s="243" customFormat="1" ht="12.75">
      <c r="B19" s="298" t="s">
        <v>96</v>
      </c>
      <c r="C19" s="260"/>
      <c r="D19" s="675"/>
      <c r="E19" s="675"/>
      <c r="F19" s="675"/>
      <c r="G19" s="247" t="s">
        <v>10</v>
      </c>
      <c r="H19" s="241"/>
      <c r="I19" s="241"/>
      <c r="J19" s="248"/>
      <c r="K19" s="259"/>
      <c r="L19" s="242"/>
    </row>
    <row r="20" spans="2:12" s="243" customFormat="1" ht="12.75">
      <c r="B20" s="298"/>
      <c r="C20" s="260"/>
      <c r="D20" s="675"/>
      <c r="E20" s="675"/>
      <c r="F20" s="675"/>
      <c r="G20" s="247"/>
      <c r="H20" s="241"/>
      <c r="I20" s="241"/>
      <c r="J20" s="248"/>
      <c r="K20" s="259"/>
      <c r="L20" s="242"/>
    </row>
    <row r="21" spans="2:12" s="243" customFormat="1" ht="12.75">
      <c r="B21" s="298" t="s">
        <v>97</v>
      </c>
      <c r="C21" s="260"/>
      <c r="D21" s="675"/>
      <c r="E21" s="675"/>
      <c r="F21" s="675"/>
      <c r="G21" s="247" t="s">
        <v>8</v>
      </c>
      <c r="H21" s="241"/>
      <c r="I21" s="241"/>
      <c r="J21" s="248"/>
      <c r="K21" s="259"/>
      <c r="L21" s="242"/>
    </row>
    <row r="22" spans="2:12" s="243" customFormat="1" ht="12.75">
      <c r="B22" s="298" t="s">
        <v>98</v>
      </c>
      <c r="C22" s="260"/>
      <c r="D22" s="675"/>
      <c r="E22" s="675"/>
      <c r="F22" s="675"/>
      <c r="G22" s="247" t="s">
        <v>8</v>
      </c>
      <c r="H22" s="241"/>
      <c r="I22" s="241"/>
      <c r="J22" s="248"/>
      <c r="K22" s="259"/>
      <c r="L22" s="242"/>
    </row>
    <row r="23" spans="2:12" s="243" customFormat="1" ht="12.75">
      <c r="B23" s="298"/>
      <c r="C23" s="260"/>
      <c r="D23" s="251"/>
      <c r="E23" s="289"/>
      <c r="F23" s="348"/>
      <c r="G23" s="247"/>
      <c r="H23" s="241"/>
      <c r="I23" s="241"/>
      <c r="J23" s="248"/>
      <c r="K23" s="249"/>
      <c r="L23" s="242"/>
    </row>
    <row r="24" spans="2:12" s="243" customFormat="1" ht="12.75">
      <c r="B24" s="298"/>
      <c r="C24" s="260"/>
      <c r="D24" s="251"/>
      <c r="E24" s="289"/>
      <c r="F24" s="348"/>
      <c r="G24" s="247"/>
      <c r="H24" s="241"/>
      <c r="I24" s="241"/>
      <c r="J24" s="248"/>
      <c r="K24" s="249"/>
      <c r="L24" s="242"/>
    </row>
    <row r="25" spans="2:12" s="243" customFormat="1" ht="12.75">
      <c r="B25" s="338" t="s">
        <v>311</v>
      </c>
      <c r="D25" s="183" t="s">
        <v>336</v>
      </c>
      <c r="E25" s="154"/>
      <c r="F25" s="170">
        <f>3*2*2</f>
        <v>12</v>
      </c>
      <c r="G25" s="328" t="s">
        <v>10</v>
      </c>
      <c r="H25" s="241"/>
      <c r="I25" s="241"/>
      <c r="J25" s="164" t="s">
        <v>312</v>
      </c>
      <c r="K25" s="249"/>
      <c r="L25" s="242"/>
    </row>
    <row r="26" spans="2:12" s="243" customFormat="1" ht="12.75">
      <c r="B26" s="156"/>
      <c r="D26" s="183">
        <v>4.978</v>
      </c>
      <c r="E26" s="154"/>
      <c r="F26" s="170">
        <f>3*2*2</f>
        <v>12</v>
      </c>
      <c r="G26" s="156" t="s">
        <v>10</v>
      </c>
      <c r="H26" s="241"/>
      <c r="I26" s="241"/>
      <c r="J26" s="164" t="s">
        <v>312</v>
      </c>
      <c r="K26" s="249"/>
      <c r="L26" s="242"/>
    </row>
    <row r="27" spans="2:12" s="243" customFormat="1" ht="12.75">
      <c r="B27" s="156"/>
      <c r="D27" s="183">
        <v>6.466</v>
      </c>
      <c r="E27" s="154"/>
      <c r="F27" s="170">
        <f>3*2*2</f>
        <v>12</v>
      </c>
      <c r="G27" s="156" t="s">
        <v>10</v>
      </c>
      <c r="H27" s="241"/>
      <c r="I27" s="241"/>
      <c r="J27" s="164" t="s">
        <v>312</v>
      </c>
      <c r="K27" s="249"/>
      <c r="L27" s="242"/>
    </row>
    <row r="28" spans="2:12" s="243" customFormat="1" ht="12.75">
      <c r="B28" s="156"/>
      <c r="C28" s="183"/>
      <c r="D28" s="164"/>
      <c r="E28" s="154"/>
      <c r="F28" s="275">
        <f>SUM(F25:F27)</f>
        <v>36</v>
      </c>
      <c r="G28" s="275" t="s">
        <v>10</v>
      </c>
      <c r="H28" s="241"/>
      <c r="I28" s="241"/>
      <c r="J28" s="248"/>
      <c r="K28" s="249"/>
      <c r="L28" s="242"/>
    </row>
    <row r="29" spans="2:12" s="243" customFormat="1" ht="12.75">
      <c r="B29" s="338" t="s">
        <v>386</v>
      </c>
      <c r="C29" s="156" t="s">
        <v>389</v>
      </c>
      <c r="D29" s="388">
        <f>(2800+20+25+88)*0.0001</f>
        <v>0.2933</v>
      </c>
      <c r="E29" s="243" t="s">
        <v>388</v>
      </c>
      <c r="F29" s="387">
        <f>0.29*1390*0.8</f>
        <v>322.48</v>
      </c>
      <c r="G29" s="275" t="s">
        <v>130</v>
      </c>
      <c r="H29" s="241"/>
      <c r="I29" s="241"/>
      <c r="J29" s="164" t="s">
        <v>387</v>
      </c>
      <c r="K29" s="249"/>
      <c r="L29" s="242"/>
    </row>
    <row r="30" spans="3:12" s="243" customFormat="1" ht="12.75">
      <c r="C30" s="156" t="s">
        <v>390</v>
      </c>
      <c r="D30" s="164"/>
      <c r="E30" s="154"/>
      <c r="F30" s="387">
        <f>0.29*1390*0.2</f>
        <v>80.62</v>
      </c>
      <c r="G30" s="275" t="s">
        <v>130</v>
      </c>
      <c r="H30" s="241"/>
      <c r="I30" s="241"/>
      <c r="J30" s="248"/>
      <c r="K30" s="249"/>
      <c r="L30" s="242"/>
    </row>
    <row r="31" spans="2:12" s="243" customFormat="1" ht="12.75">
      <c r="B31" s="156"/>
      <c r="C31" s="183"/>
      <c r="D31" s="164"/>
      <c r="E31" s="154"/>
      <c r="F31" s="275"/>
      <c r="G31" s="275"/>
      <c r="H31" s="241"/>
      <c r="I31" s="241"/>
      <c r="J31" s="248"/>
      <c r="K31" s="249"/>
      <c r="L31" s="242"/>
    </row>
    <row r="32" spans="2:12" s="243" customFormat="1" ht="12.75">
      <c r="B32" s="156"/>
      <c r="C32" s="156" t="s">
        <v>391</v>
      </c>
      <c r="D32" s="388">
        <v>0.405</v>
      </c>
      <c r="E32" s="243" t="s">
        <v>388</v>
      </c>
      <c r="F32" s="387">
        <f>0.405*380*0.8</f>
        <v>123.12</v>
      </c>
      <c r="G32" s="275" t="s">
        <v>130</v>
      </c>
      <c r="H32" s="241"/>
      <c r="I32" s="241"/>
      <c r="J32" s="248"/>
      <c r="K32" s="249"/>
      <c r="L32" s="242"/>
    </row>
    <row r="33" spans="2:12" s="243" customFormat="1" ht="12.75">
      <c r="B33" s="156"/>
      <c r="C33" s="156" t="s">
        <v>392</v>
      </c>
      <c r="D33" s="164"/>
      <c r="E33" s="154"/>
      <c r="F33" s="387">
        <f>0.405*290*0.2</f>
        <v>23.490000000000002</v>
      </c>
      <c r="G33" s="275" t="s">
        <v>130</v>
      </c>
      <c r="H33" s="241"/>
      <c r="I33" s="241"/>
      <c r="J33" s="248"/>
      <c r="K33" s="249"/>
      <c r="L33" s="242"/>
    </row>
    <row r="34" spans="2:12" s="243" customFormat="1" ht="12.75">
      <c r="B34" s="156"/>
      <c r="C34" s="183"/>
      <c r="D34" s="164"/>
      <c r="E34" s="154"/>
      <c r="F34" s="275"/>
      <c r="G34" s="275"/>
      <c r="H34" s="241"/>
      <c r="I34" s="241"/>
      <c r="J34" s="248"/>
      <c r="K34" s="249"/>
      <c r="L34" s="242"/>
    </row>
    <row r="35" spans="2:12" s="243" customFormat="1" ht="12.75">
      <c r="B35" s="299"/>
      <c r="C35" s="251"/>
      <c r="D35" s="251"/>
      <c r="E35" s="288"/>
      <c r="F35" s="343"/>
      <c r="G35" s="247"/>
      <c r="H35" s="241"/>
      <c r="I35" s="241"/>
      <c r="J35" s="248"/>
      <c r="K35" s="249"/>
      <c r="L35" s="242"/>
    </row>
    <row r="36" spans="2:12" s="243" customFormat="1" ht="12.75">
      <c r="B36" s="300" t="s">
        <v>100</v>
      </c>
      <c r="C36" s="253"/>
      <c r="D36" s="254"/>
      <c r="E36" s="290"/>
      <c r="F36" s="347"/>
      <c r="G36" s="256"/>
      <c r="H36" s="257"/>
      <c r="I36" s="246"/>
      <c r="J36" s="249"/>
      <c r="K36" s="249"/>
      <c r="L36" s="244"/>
    </row>
    <row r="37" spans="2:13" s="243" customFormat="1" ht="12.75">
      <c r="B37" s="301" t="s">
        <v>101</v>
      </c>
      <c r="C37" s="251"/>
      <c r="D37" s="251"/>
      <c r="E37" s="289"/>
      <c r="F37" s="349">
        <f>F51</f>
        <v>16367</v>
      </c>
      <c r="G37" s="247" t="s">
        <v>8</v>
      </c>
      <c r="H37" s="251"/>
      <c r="I37" s="251"/>
      <c r="J37" s="249" t="s">
        <v>102</v>
      </c>
      <c r="K37" s="259"/>
      <c r="M37" s="243">
        <f>2390*6.5</f>
        <v>15535</v>
      </c>
    </row>
    <row r="38" spans="2:11" s="243" customFormat="1" ht="12.75">
      <c r="B38" s="301"/>
      <c r="C38" s="251"/>
      <c r="D38" s="251" t="s">
        <v>103</v>
      </c>
      <c r="E38" s="289"/>
      <c r="F38" s="345">
        <f>F42</f>
        <v>4071</v>
      </c>
      <c r="G38" s="247" t="s">
        <v>8</v>
      </c>
      <c r="H38" s="251"/>
      <c r="I38" s="251"/>
      <c r="J38" s="249"/>
      <c r="K38" s="259"/>
    </row>
    <row r="39" spans="2:12" s="243" customFormat="1" ht="12.75">
      <c r="B39" s="301" t="s">
        <v>104</v>
      </c>
      <c r="C39" s="251"/>
      <c r="D39" s="251"/>
      <c r="E39" s="289"/>
      <c r="F39" s="345">
        <f>F9+F10</f>
        <v>172</v>
      </c>
      <c r="G39" s="247" t="s">
        <v>8</v>
      </c>
      <c r="H39" s="251"/>
      <c r="I39" s="251"/>
      <c r="J39" s="249" t="s">
        <v>105</v>
      </c>
      <c r="K39" s="249"/>
      <c r="L39" s="244"/>
    </row>
    <row r="40" spans="2:12" s="243" customFormat="1" ht="12.75">
      <c r="B40" s="301" t="s">
        <v>106</v>
      </c>
      <c r="C40" s="251"/>
      <c r="D40" s="251"/>
      <c r="E40" s="289"/>
      <c r="F40" s="345">
        <f>F57</f>
        <v>215</v>
      </c>
      <c r="G40" s="247" t="s">
        <v>8</v>
      </c>
      <c r="H40" s="251"/>
      <c r="I40" s="251"/>
      <c r="J40" s="249" t="s">
        <v>107</v>
      </c>
      <c r="K40" s="249"/>
      <c r="L40" s="244"/>
    </row>
    <row r="41" spans="2:12" s="243" customFormat="1" ht="12.75">
      <c r="B41" s="295"/>
      <c r="C41" s="246"/>
      <c r="D41" s="246"/>
      <c r="E41" s="285"/>
      <c r="F41" s="350"/>
      <c r="G41" s="245"/>
      <c r="H41" s="246"/>
      <c r="J41" s="248"/>
      <c r="K41" s="249"/>
      <c r="L41" s="244"/>
    </row>
    <row r="42" spans="2:12" s="243" customFormat="1" ht="12.75">
      <c r="B42" s="300" t="s">
        <v>108</v>
      </c>
      <c r="C42" s="253"/>
      <c r="D42" s="254"/>
      <c r="E42" s="290"/>
      <c r="F42" s="351">
        <v>4071</v>
      </c>
      <c r="G42" s="256" t="s">
        <v>8</v>
      </c>
      <c r="H42" s="257"/>
      <c r="I42" s="246"/>
      <c r="J42" s="249"/>
      <c r="K42" s="249"/>
      <c r="L42" s="244"/>
    </row>
    <row r="43" spans="2:12" s="243" customFormat="1" ht="12.75">
      <c r="B43" s="302" t="s">
        <v>167</v>
      </c>
      <c r="C43" s="261"/>
      <c r="D43" s="261" t="s">
        <v>109</v>
      </c>
      <c r="E43" s="291" t="s">
        <v>110</v>
      </c>
      <c r="F43" s="668" t="s">
        <v>322</v>
      </c>
      <c r="G43" s="669"/>
      <c r="H43" s="251"/>
      <c r="I43" s="246"/>
      <c r="J43" s="249" t="s">
        <v>317</v>
      </c>
      <c r="K43" s="249"/>
      <c r="L43" s="244"/>
    </row>
    <row r="44" spans="2:12" s="243" customFormat="1" ht="13.5">
      <c r="B44" s="302" t="s">
        <v>244</v>
      </c>
      <c r="C44" s="261"/>
      <c r="D44" s="261" t="s">
        <v>168</v>
      </c>
      <c r="E44" s="291"/>
      <c r="F44" s="669"/>
      <c r="G44" s="669"/>
      <c r="H44" s="246"/>
      <c r="I44" s="246"/>
      <c r="J44" s="249" t="s">
        <v>321</v>
      </c>
      <c r="K44" s="249"/>
      <c r="L44" s="244"/>
    </row>
    <row r="45" spans="2:12" s="243" customFormat="1" ht="12.75">
      <c r="B45" s="302" t="s">
        <v>169</v>
      </c>
      <c r="C45" s="261"/>
      <c r="D45" s="261" t="s">
        <v>111</v>
      </c>
      <c r="E45" s="291" t="s">
        <v>170</v>
      </c>
      <c r="F45" s="669"/>
      <c r="G45" s="669"/>
      <c r="H45" s="246"/>
      <c r="I45" s="246"/>
      <c r="J45" s="249" t="s">
        <v>321</v>
      </c>
      <c r="K45" s="259"/>
      <c r="L45" s="244"/>
    </row>
    <row r="46" spans="2:12" s="243" customFormat="1" ht="13.5">
      <c r="B46" s="302" t="s">
        <v>244</v>
      </c>
      <c r="C46" s="261"/>
      <c r="D46" s="261" t="s">
        <v>168</v>
      </c>
      <c r="E46" s="291"/>
      <c r="F46" s="669"/>
      <c r="G46" s="669"/>
      <c r="H46" s="246"/>
      <c r="I46" s="246"/>
      <c r="J46" s="249" t="s">
        <v>320</v>
      </c>
      <c r="K46" s="249"/>
      <c r="L46" s="244"/>
    </row>
    <row r="47" spans="2:12" s="243" customFormat="1" ht="12.75">
      <c r="B47" s="302" t="s">
        <v>112</v>
      </c>
      <c r="C47" s="261"/>
      <c r="D47" s="261" t="s">
        <v>113</v>
      </c>
      <c r="E47" s="291" t="s">
        <v>114</v>
      </c>
      <c r="F47" s="352">
        <f>4071+2020*0.2</f>
        <v>4475</v>
      </c>
      <c r="G47" s="247" t="s">
        <v>8</v>
      </c>
      <c r="H47" s="246"/>
      <c r="I47" s="246"/>
      <c r="J47" s="249" t="s">
        <v>320</v>
      </c>
      <c r="K47" s="241"/>
      <c r="L47" s="244"/>
    </row>
    <row r="48" spans="2:12" s="243" customFormat="1" ht="12.75">
      <c r="B48" s="302" t="s">
        <v>115</v>
      </c>
      <c r="C48" s="261"/>
      <c r="D48" s="261" t="s">
        <v>5</v>
      </c>
      <c r="E48" s="291" t="s">
        <v>91</v>
      </c>
      <c r="F48" s="352">
        <f>4071+2020*0.4</f>
        <v>4879</v>
      </c>
      <c r="G48" s="247" t="s">
        <v>8</v>
      </c>
      <c r="H48" s="246"/>
      <c r="I48" s="246"/>
      <c r="J48" s="249" t="s">
        <v>319</v>
      </c>
      <c r="K48" s="241"/>
      <c r="L48" s="244"/>
    </row>
    <row r="49" spans="2:12" s="243" customFormat="1" ht="12.75">
      <c r="B49" s="302" t="s">
        <v>115</v>
      </c>
      <c r="C49" s="261"/>
      <c r="D49" s="261" t="s">
        <v>5</v>
      </c>
      <c r="E49" s="291" t="s">
        <v>91</v>
      </c>
      <c r="F49" s="352">
        <f>4071+2020*0.6</f>
        <v>5283</v>
      </c>
      <c r="G49" s="247" t="s">
        <v>8</v>
      </c>
      <c r="H49" s="246"/>
      <c r="I49" s="246"/>
      <c r="J49" s="249" t="s">
        <v>318</v>
      </c>
      <c r="K49" s="259"/>
      <c r="L49" s="244"/>
    </row>
    <row r="50" spans="2:12" s="243" customFormat="1" ht="12.75">
      <c r="B50" s="303"/>
      <c r="C50" s="251"/>
      <c r="D50" s="251"/>
      <c r="E50" s="289"/>
      <c r="F50" s="348"/>
      <c r="G50" s="247"/>
      <c r="H50" s="246"/>
      <c r="I50" s="246"/>
      <c r="J50" s="249"/>
      <c r="K50" s="249"/>
      <c r="L50" s="244"/>
    </row>
    <row r="51" spans="2:12" s="243" customFormat="1" ht="12.75">
      <c r="B51" s="304" t="s">
        <v>323</v>
      </c>
      <c r="C51" s="262"/>
      <c r="D51" s="254"/>
      <c r="E51" s="290"/>
      <c r="F51" s="351">
        <f>3010+1107+1547+1896+1545+1723+1269+833+857+2580</f>
        <v>16367</v>
      </c>
      <c r="G51" s="256" t="s">
        <v>8</v>
      </c>
      <c r="H51" s="257"/>
      <c r="I51" s="246"/>
      <c r="J51" s="248"/>
      <c r="K51" s="249"/>
      <c r="L51" s="244"/>
    </row>
    <row r="52" spans="2:12" s="243" customFormat="1" ht="12.75">
      <c r="B52" s="302" t="s">
        <v>167</v>
      </c>
      <c r="C52" s="261"/>
      <c r="D52" s="261" t="s">
        <v>109</v>
      </c>
      <c r="E52" s="291" t="s">
        <v>110</v>
      </c>
      <c r="F52" s="362">
        <f>16367+2385*0.01</f>
        <v>16390.85</v>
      </c>
      <c r="G52" s="247" t="s">
        <v>8</v>
      </c>
      <c r="H52" s="251"/>
      <c r="I52" s="246"/>
      <c r="J52" s="249" t="s">
        <v>327</v>
      </c>
      <c r="K52" s="249"/>
      <c r="L52" s="244"/>
    </row>
    <row r="53" spans="2:12" s="243" customFormat="1" ht="13.5">
      <c r="B53" s="302" t="s">
        <v>244</v>
      </c>
      <c r="C53" s="261"/>
      <c r="D53" s="261" t="s">
        <v>168</v>
      </c>
      <c r="E53" s="291"/>
      <c r="F53" s="362">
        <f>16367+2385*0.08</f>
        <v>16557.8</v>
      </c>
      <c r="G53" s="247" t="s">
        <v>8</v>
      </c>
      <c r="H53" s="246"/>
      <c r="I53" s="246"/>
      <c r="J53" s="249" t="s">
        <v>328</v>
      </c>
      <c r="K53" s="249"/>
      <c r="L53" s="244"/>
    </row>
    <row r="54" spans="2:12" s="243" customFormat="1" ht="12.75">
      <c r="B54" s="302" t="s">
        <v>169</v>
      </c>
      <c r="C54" s="261"/>
      <c r="D54" s="261" t="s">
        <v>111</v>
      </c>
      <c r="E54" s="291" t="s">
        <v>170</v>
      </c>
      <c r="F54" s="362">
        <f>16367+2385*0.2</f>
        <v>16844</v>
      </c>
      <c r="G54" s="247" t="s">
        <v>8</v>
      </c>
      <c r="H54" s="246"/>
      <c r="I54" s="246"/>
      <c r="J54" s="249" t="s">
        <v>329</v>
      </c>
      <c r="K54" s="259"/>
      <c r="L54" s="244"/>
    </row>
    <row r="55" spans="2:12" s="243" customFormat="1" ht="13.5">
      <c r="B55" s="302" t="s">
        <v>244</v>
      </c>
      <c r="C55" s="261"/>
      <c r="D55" s="261" t="s">
        <v>168</v>
      </c>
      <c r="E55" s="291"/>
      <c r="F55" s="362">
        <f>16367+2385*0.2</f>
        <v>16844</v>
      </c>
      <c r="G55" s="247" t="s">
        <v>8</v>
      </c>
      <c r="H55" s="246"/>
      <c r="I55" s="246"/>
      <c r="J55" s="249" t="s">
        <v>329</v>
      </c>
      <c r="K55" s="249"/>
      <c r="L55" s="244"/>
    </row>
    <row r="56" spans="2:12" s="243" customFormat="1" ht="12.75">
      <c r="B56" s="303"/>
      <c r="C56" s="251"/>
      <c r="D56" s="251"/>
      <c r="E56" s="289"/>
      <c r="F56" s="348"/>
      <c r="G56" s="247"/>
      <c r="H56" s="246"/>
      <c r="I56" s="246"/>
      <c r="J56" s="248"/>
      <c r="K56" s="249"/>
      <c r="L56" s="244"/>
    </row>
    <row r="57" spans="2:12" s="243" customFormat="1" ht="12.75">
      <c r="B57" s="300" t="s">
        <v>116</v>
      </c>
      <c r="C57" s="253"/>
      <c r="D57" s="254"/>
      <c r="E57" s="290"/>
      <c r="F57" s="353">
        <f>121+94</f>
        <v>215</v>
      </c>
      <c r="G57" s="256" t="s">
        <v>8</v>
      </c>
      <c r="H57" s="257"/>
      <c r="I57" s="246"/>
      <c r="J57" s="248" t="s">
        <v>316</v>
      </c>
      <c r="K57" s="249"/>
      <c r="L57" s="244"/>
    </row>
    <row r="58" spans="2:12" s="243" customFormat="1" ht="12.75">
      <c r="B58" s="302" t="s">
        <v>117</v>
      </c>
      <c r="C58" s="261"/>
      <c r="D58" s="261" t="s">
        <v>118</v>
      </c>
      <c r="E58" s="291" t="s">
        <v>119</v>
      </c>
      <c r="F58" s="344">
        <f>F57</f>
        <v>215</v>
      </c>
      <c r="G58" s="247" t="s">
        <v>8</v>
      </c>
      <c r="H58" s="251"/>
      <c r="I58" s="246"/>
      <c r="J58" s="248" t="s">
        <v>316</v>
      </c>
      <c r="K58" s="249"/>
      <c r="L58" s="244"/>
    </row>
    <row r="59" spans="2:12" s="243" customFormat="1" ht="12.75">
      <c r="B59" s="302" t="s">
        <v>120</v>
      </c>
      <c r="C59" s="261"/>
      <c r="D59" s="261" t="s">
        <v>121</v>
      </c>
      <c r="E59" s="291" t="s">
        <v>110</v>
      </c>
      <c r="F59" s="344">
        <f>F57</f>
        <v>215</v>
      </c>
      <c r="G59" s="247" t="s">
        <v>8</v>
      </c>
      <c r="H59" s="246"/>
      <c r="I59" s="246"/>
      <c r="J59" s="248" t="s">
        <v>316</v>
      </c>
      <c r="K59" s="249"/>
      <c r="L59" s="244"/>
    </row>
    <row r="60" spans="2:12" s="243" customFormat="1" ht="12.75">
      <c r="B60" s="302" t="s">
        <v>344</v>
      </c>
      <c r="C60" s="261"/>
      <c r="D60" s="261"/>
      <c r="E60" s="291" t="s">
        <v>122</v>
      </c>
      <c r="F60" s="344">
        <f>F57*0.25</f>
        <v>53.75</v>
      </c>
      <c r="G60" s="247" t="s">
        <v>10</v>
      </c>
      <c r="H60" s="246"/>
      <c r="I60" s="246"/>
      <c r="J60" s="248" t="s">
        <v>316</v>
      </c>
      <c r="K60" s="249"/>
      <c r="L60" s="244"/>
    </row>
    <row r="61" spans="2:12" s="243" customFormat="1" ht="12.75">
      <c r="B61" s="302"/>
      <c r="C61" s="261" t="s">
        <v>345</v>
      </c>
      <c r="D61" s="261"/>
      <c r="E61" s="291"/>
      <c r="F61" s="344">
        <f>215*2+264</f>
        <v>694</v>
      </c>
      <c r="G61" s="247" t="s">
        <v>347</v>
      </c>
      <c r="H61" s="245">
        <f>694*7.9</f>
        <v>5482.6</v>
      </c>
      <c r="I61" s="246"/>
      <c r="J61" s="248" t="s">
        <v>346</v>
      </c>
      <c r="K61" s="249"/>
      <c r="L61" s="244"/>
    </row>
    <row r="62" spans="2:12" s="243" customFormat="1" ht="12.75">
      <c r="B62" s="302" t="s">
        <v>115</v>
      </c>
      <c r="C62" s="261"/>
      <c r="D62" s="261" t="s">
        <v>5</v>
      </c>
      <c r="E62" s="291" t="s">
        <v>171</v>
      </c>
      <c r="F62" s="355">
        <f>121+94+(119+60)*0.45</f>
        <v>295.55</v>
      </c>
      <c r="G62" s="247" t="s">
        <v>8</v>
      </c>
      <c r="H62" s="246"/>
      <c r="I62" s="246"/>
      <c r="J62" s="248" t="s">
        <v>330</v>
      </c>
      <c r="K62" s="249"/>
      <c r="L62" s="244"/>
    </row>
    <row r="63" spans="2:12" s="243" customFormat="1" ht="12.75">
      <c r="B63" s="295"/>
      <c r="E63" s="285"/>
      <c r="F63" s="348"/>
      <c r="G63" s="247"/>
      <c r="H63" s="246"/>
      <c r="I63" s="246"/>
      <c r="J63" s="248"/>
      <c r="K63" s="249"/>
      <c r="L63" s="244"/>
    </row>
    <row r="64" spans="2:12" s="243" customFormat="1" ht="12.75">
      <c r="B64" s="303" t="s">
        <v>331</v>
      </c>
      <c r="C64" s="251"/>
      <c r="D64" s="251"/>
      <c r="E64" s="289"/>
      <c r="F64" s="340">
        <f>(119+60+27+45)*0.25</f>
        <v>62.75</v>
      </c>
      <c r="G64" s="247" t="s">
        <v>8</v>
      </c>
      <c r="H64" s="246"/>
      <c r="I64" s="246"/>
      <c r="J64" s="248" t="s">
        <v>348</v>
      </c>
      <c r="K64" s="249"/>
      <c r="L64" s="244"/>
    </row>
    <row r="65" spans="2:12" s="243" customFormat="1" ht="12.75">
      <c r="B65" s="304" t="s">
        <v>123</v>
      </c>
      <c r="C65" s="262"/>
      <c r="D65" s="254"/>
      <c r="E65" s="290"/>
      <c r="F65" s="347"/>
      <c r="G65" s="256"/>
      <c r="H65" s="257"/>
      <c r="I65" s="246"/>
      <c r="J65" s="249"/>
      <c r="K65" s="249"/>
      <c r="L65" s="244"/>
    </row>
    <row r="66" spans="2:12" s="243" customFormat="1" ht="12.75">
      <c r="B66" s="305" t="s">
        <v>349</v>
      </c>
      <c r="D66" s="368" t="s">
        <v>332</v>
      </c>
      <c r="E66" s="292" t="s">
        <v>124</v>
      </c>
      <c r="F66" s="363">
        <v>0</v>
      </c>
      <c r="G66" s="263" t="s">
        <v>9</v>
      </c>
      <c r="H66" s="264"/>
      <c r="I66" s="246"/>
      <c r="J66" s="249"/>
      <c r="K66" s="249"/>
      <c r="L66" s="244"/>
    </row>
    <row r="67" spans="2:12" s="243" customFormat="1" ht="12.75">
      <c r="B67" s="303"/>
      <c r="C67" s="251"/>
      <c r="D67" s="251"/>
      <c r="E67" s="289"/>
      <c r="F67" s="348"/>
      <c r="G67" s="247"/>
      <c r="H67" s="246"/>
      <c r="I67" s="246"/>
      <c r="J67" s="248"/>
      <c r="K67" s="249"/>
      <c r="L67" s="244"/>
    </row>
    <row r="68" spans="2:12" s="243" customFormat="1" ht="12.75">
      <c r="B68" s="304" t="s">
        <v>145</v>
      </c>
      <c r="C68" s="262"/>
      <c r="D68" s="254"/>
      <c r="E68" s="290"/>
      <c r="F68" s="347"/>
      <c r="G68" s="256"/>
      <c r="H68" s="257"/>
      <c r="I68" s="246"/>
      <c r="J68" s="248"/>
      <c r="K68" s="249"/>
      <c r="L68" s="244"/>
    </row>
    <row r="69" spans="2:12" s="243" customFormat="1" ht="12.75">
      <c r="B69" s="305"/>
      <c r="C69" s="273" t="s">
        <v>333</v>
      </c>
      <c r="D69" s="265"/>
      <c r="E69" s="292"/>
      <c r="F69" s="354"/>
      <c r="G69" s="263"/>
      <c r="H69" s="264"/>
      <c r="I69" s="246"/>
      <c r="J69" s="248"/>
      <c r="K69" s="249"/>
      <c r="L69" s="244"/>
    </row>
    <row r="70" spans="2:12" s="243" customFormat="1" ht="27" customHeight="1">
      <c r="B70" s="303"/>
      <c r="C70" s="251"/>
      <c r="D70" s="251"/>
      <c r="E70" s="289"/>
      <c r="F70" s="348"/>
      <c r="G70" s="247"/>
      <c r="H70" s="246"/>
      <c r="I70" s="246"/>
      <c r="J70" s="248"/>
      <c r="K70" s="266"/>
      <c r="L70" s="244"/>
    </row>
    <row r="71" spans="2:12" s="243" customFormat="1" ht="12.75">
      <c r="B71" s="304" t="s">
        <v>125</v>
      </c>
      <c r="C71" s="262"/>
      <c r="D71" s="254"/>
      <c r="E71" s="290"/>
      <c r="F71" s="347"/>
      <c r="G71" s="256"/>
      <c r="H71" s="257"/>
      <c r="I71" s="246"/>
      <c r="J71" s="248"/>
      <c r="K71" s="266"/>
      <c r="L71" s="244"/>
    </row>
    <row r="72" spans="2:12" s="243" customFormat="1" ht="12.75">
      <c r="B72" s="306" t="s">
        <v>126</v>
      </c>
      <c r="C72" s="246"/>
      <c r="D72" s="246"/>
      <c r="E72" s="287"/>
      <c r="F72" s="346">
        <f>2*2385+65</f>
        <v>4835</v>
      </c>
      <c r="G72" s="247" t="s">
        <v>9</v>
      </c>
      <c r="H72" s="241"/>
      <c r="I72" s="241"/>
      <c r="J72" s="248" t="s">
        <v>350</v>
      </c>
      <c r="K72" s="266"/>
      <c r="L72" s="267"/>
    </row>
    <row r="73" spans="2:12" s="243" customFormat="1" ht="12.75">
      <c r="B73" s="306" t="s">
        <v>127</v>
      </c>
      <c r="C73" s="246"/>
      <c r="D73" s="246"/>
      <c r="E73" s="287"/>
      <c r="F73" s="346">
        <v>0</v>
      </c>
      <c r="G73" s="247" t="s">
        <v>9</v>
      </c>
      <c r="H73" s="241"/>
      <c r="I73" s="241"/>
      <c r="J73" s="248"/>
      <c r="K73" s="266"/>
      <c r="L73" s="267"/>
    </row>
    <row r="74" spans="2:16" s="243" customFormat="1" ht="12.75">
      <c r="B74" s="306" t="s">
        <v>128</v>
      </c>
      <c r="C74" s="246"/>
      <c r="D74" s="339" t="s">
        <v>334</v>
      </c>
      <c r="F74" s="346">
        <v>0</v>
      </c>
      <c r="G74" s="247" t="s">
        <v>9</v>
      </c>
      <c r="H74" s="241"/>
      <c r="I74" s="241"/>
      <c r="J74" s="248"/>
      <c r="K74" s="266"/>
      <c r="L74" s="267"/>
      <c r="P74" s="156"/>
    </row>
    <row r="75" spans="2:16" s="243" customFormat="1" ht="12.75">
      <c r="B75" s="306" t="s">
        <v>172</v>
      </c>
      <c r="C75" s="246"/>
      <c r="D75" s="246" t="s">
        <v>342</v>
      </c>
      <c r="E75" s="287"/>
      <c r="F75" s="355">
        <f>719+322+500.2+488+252</f>
        <v>2281.2</v>
      </c>
      <c r="G75" s="247" t="s">
        <v>9</v>
      </c>
      <c r="H75" s="241"/>
      <c r="I75" s="241"/>
      <c r="J75" s="248" t="s">
        <v>337</v>
      </c>
      <c r="K75" s="266"/>
      <c r="L75" s="267"/>
      <c r="P75" s="156"/>
    </row>
    <row r="76" spans="2:16" s="243" customFormat="1" ht="12.75">
      <c r="B76" s="306" t="s">
        <v>340</v>
      </c>
      <c r="C76" s="246"/>
      <c r="D76" s="246" t="s">
        <v>341</v>
      </c>
      <c r="E76" s="287"/>
      <c r="F76" s="355">
        <f>47+32</f>
        <v>79</v>
      </c>
      <c r="G76" s="247" t="s">
        <v>9</v>
      </c>
      <c r="H76" s="241"/>
      <c r="I76" s="241"/>
      <c r="J76" s="248" t="s">
        <v>343</v>
      </c>
      <c r="K76" s="266"/>
      <c r="L76" s="267"/>
      <c r="P76" s="156"/>
    </row>
    <row r="77" spans="2:16" s="243" customFormat="1" ht="12.75">
      <c r="B77" s="306"/>
      <c r="C77" s="246"/>
      <c r="D77" s="246"/>
      <c r="E77" s="287"/>
      <c r="F77" s="364"/>
      <c r="G77" s="247"/>
      <c r="H77" s="241"/>
      <c r="I77" s="241"/>
      <c r="J77" s="248"/>
      <c r="K77" s="266"/>
      <c r="L77" s="267"/>
      <c r="P77" s="156"/>
    </row>
    <row r="78" spans="2:16" s="243" customFormat="1" ht="12.75">
      <c r="B78" s="303"/>
      <c r="C78" s="251"/>
      <c r="D78" s="251"/>
      <c r="E78" s="288"/>
      <c r="F78" s="348" t="s">
        <v>173</v>
      </c>
      <c r="G78" s="247"/>
      <c r="H78" s="251"/>
      <c r="I78" s="251"/>
      <c r="J78" s="251"/>
      <c r="K78" s="266"/>
      <c r="L78" s="267"/>
      <c r="P78" s="156"/>
    </row>
    <row r="79" spans="2:16" s="243" customFormat="1" ht="12.75">
      <c r="B79" s="307" t="s">
        <v>129</v>
      </c>
      <c r="C79" s="268"/>
      <c r="D79" s="257"/>
      <c r="E79" s="293" t="s">
        <v>124</v>
      </c>
      <c r="F79" s="356">
        <f>1178-56</f>
        <v>1122</v>
      </c>
      <c r="G79" s="256" t="s">
        <v>9</v>
      </c>
      <c r="H79" s="257"/>
      <c r="I79" s="246"/>
      <c r="J79" s="248"/>
      <c r="K79" s="251"/>
      <c r="L79" s="244"/>
      <c r="P79" s="156"/>
    </row>
    <row r="80" spans="2:22" s="243" customFormat="1" ht="12.75">
      <c r="B80" s="305"/>
      <c r="C80" s="273" t="s">
        <v>333</v>
      </c>
      <c r="D80" s="265"/>
      <c r="E80" s="292"/>
      <c r="F80" s="354"/>
      <c r="G80" s="263"/>
      <c r="H80" s="264"/>
      <c r="I80" s="246"/>
      <c r="J80" s="248"/>
      <c r="K80" s="251"/>
      <c r="L80" s="244"/>
      <c r="P80" s="156"/>
      <c r="Q80" s="156"/>
      <c r="R80" s="183"/>
      <c r="S80" s="328"/>
      <c r="T80" s="154"/>
      <c r="U80" s="170"/>
      <c r="V80" s="156"/>
    </row>
    <row r="81" spans="2:16" s="243" customFormat="1" ht="12.75">
      <c r="B81" s="303"/>
      <c r="C81" s="251"/>
      <c r="D81" s="251"/>
      <c r="E81" s="289"/>
      <c r="F81" s="348"/>
      <c r="G81" s="247"/>
      <c r="H81" s="246"/>
      <c r="I81" s="246"/>
      <c r="J81" s="250"/>
      <c r="K81" s="251"/>
      <c r="L81" s="244"/>
      <c r="P81" s="156"/>
    </row>
    <row r="82" spans="2:16" s="243" customFormat="1" ht="12.75">
      <c r="B82" s="338" t="s">
        <v>305</v>
      </c>
      <c r="C82" s="156" t="s">
        <v>314</v>
      </c>
      <c r="D82" s="156"/>
      <c r="E82" s="154"/>
      <c r="F82" s="277">
        <v>8</v>
      </c>
      <c r="G82" s="328" t="s">
        <v>9</v>
      </c>
      <c r="J82" s="250"/>
      <c r="K82" s="251"/>
      <c r="L82" s="244"/>
      <c r="P82" s="156"/>
    </row>
    <row r="83" spans="2:16" s="243" customFormat="1" ht="12.75">
      <c r="B83" s="156"/>
      <c r="C83" s="183"/>
      <c r="D83" s="328"/>
      <c r="E83" s="154"/>
      <c r="F83" s="277"/>
      <c r="G83" s="156"/>
      <c r="J83" s="250"/>
      <c r="K83" s="251"/>
      <c r="L83" s="244"/>
      <c r="P83" s="156"/>
    </row>
    <row r="84" spans="2:16" s="243" customFormat="1" ht="12.75">
      <c r="B84" s="338" t="s">
        <v>307</v>
      </c>
      <c r="D84" s="183" t="s">
        <v>308</v>
      </c>
      <c r="E84" s="329" t="s">
        <v>310</v>
      </c>
      <c r="F84" s="670">
        <v>20</v>
      </c>
      <c r="G84" s="672" t="s">
        <v>130</v>
      </c>
      <c r="J84" s="250"/>
      <c r="K84" s="251"/>
      <c r="L84" s="244"/>
      <c r="P84" s="156"/>
    </row>
    <row r="85" spans="2:22" s="243" customFormat="1" ht="12.75">
      <c r="B85" s="156"/>
      <c r="D85" s="183" t="s">
        <v>309</v>
      </c>
      <c r="E85" s="154">
        <v>5</v>
      </c>
      <c r="F85" s="671"/>
      <c r="G85" s="673"/>
      <c r="J85" s="250"/>
      <c r="K85" s="251"/>
      <c r="L85" s="244"/>
      <c r="P85" s="156"/>
      <c r="Q85" s="156"/>
      <c r="R85" s="183"/>
      <c r="S85" s="164"/>
      <c r="T85" s="154"/>
      <c r="U85" s="156"/>
      <c r="V85" s="156"/>
    </row>
    <row r="86" spans="10:16" s="243" customFormat="1" ht="12" customHeight="1">
      <c r="J86" s="246"/>
      <c r="K86" s="251"/>
      <c r="L86" s="244"/>
      <c r="P86" s="156"/>
    </row>
    <row r="87" spans="2:16" s="243" customFormat="1" ht="12" customHeight="1">
      <c r="B87" s="307" t="s">
        <v>335</v>
      </c>
      <c r="C87" s="254"/>
      <c r="D87" s="257"/>
      <c r="E87" s="290"/>
      <c r="F87" s="347"/>
      <c r="G87" s="256"/>
      <c r="H87" s="257"/>
      <c r="I87" s="246"/>
      <c r="J87" s="246"/>
      <c r="K87" s="251"/>
      <c r="L87" s="244"/>
      <c r="P87" s="156"/>
    </row>
    <row r="88" spans="2:236" s="247" customFormat="1" ht="12.75">
      <c r="B88" s="338" t="s">
        <v>306</v>
      </c>
      <c r="C88" s="183"/>
      <c r="D88" s="164"/>
      <c r="E88" s="154"/>
      <c r="F88" s="170">
        <v>2</v>
      </c>
      <c r="G88" s="328" t="s">
        <v>130</v>
      </c>
      <c r="H88" s="246"/>
      <c r="I88" s="246"/>
      <c r="J88" s="251"/>
      <c r="K88" s="251"/>
      <c r="L88" s="243"/>
      <c r="N88" s="252"/>
      <c r="O88" s="269"/>
      <c r="P88" s="156"/>
      <c r="Q88" s="156"/>
      <c r="R88" s="183"/>
      <c r="S88" s="164"/>
      <c r="T88" s="154"/>
      <c r="U88" s="156"/>
      <c r="V88" s="156"/>
      <c r="W88" s="252"/>
      <c r="X88" s="269"/>
      <c r="AA88" s="251"/>
      <c r="AB88" s="251"/>
      <c r="AC88" s="243"/>
      <c r="AD88" s="269"/>
      <c r="AF88" s="252"/>
      <c r="AG88" s="269"/>
      <c r="AJ88" s="251"/>
      <c r="AK88" s="251"/>
      <c r="AL88" s="243"/>
      <c r="AM88" s="269"/>
      <c r="AO88" s="252"/>
      <c r="AP88" s="269"/>
      <c r="AS88" s="251"/>
      <c r="AT88" s="251"/>
      <c r="AU88" s="243"/>
      <c r="AV88" s="269"/>
      <c r="AX88" s="252"/>
      <c r="AY88" s="269"/>
      <c r="BB88" s="251"/>
      <c r="BC88" s="251"/>
      <c r="BD88" s="243"/>
      <c r="BE88" s="269"/>
      <c r="BG88" s="252"/>
      <c r="BH88" s="269"/>
      <c r="BK88" s="251"/>
      <c r="BL88" s="251"/>
      <c r="BM88" s="243"/>
      <c r="BN88" s="269"/>
      <c r="BP88" s="252"/>
      <c r="BQ88" s="269"/>
      <c r="BT88" s="251"/>
      <c r="BU88" s="251"/>
      <c r="BV88" s="243"/>
      <c r="BW88" s="269"/>
      <c r="BY88" s="252"/>
      <c r="BZ88" s="269"/>
      <c r="CC88" s="251"/>
      <c r="CD88" s="251"/>
      <c r="CE88" s="243"/>
      <c r="CF88" s="269"/>
      <c r="CH88" s="252"/>
      <c r="CI88" s="269"/>
      <c r="CL88" s="251"/>
      <c r="CM88" s="251"/>
      <c r="CN88" s="243"/>
      <c r="CO88" s="269"/>
      <c r="CQ88" s="252"/>
      <c r="CR88" s="269"/>
      <c r="CU88" s="251"/>
      <c r="CV88" s="251"/>
      <c r="CW88" s="243"/>
      <c r="CX88" s="269"/>
      <c r="CZ88" s="252"/>
      <c r="DA88" s="269"/>
      <c r="DD88" s="251"/>
      <c r="DE88" s="251"/>
      <c r="DF88" s="243"/>
      <c r="DG88" s="269"/>
      <c r="DI88" s="252"/>
      <c r="DJ88" s="269"/>
      <c r="DM88" s="251"/>
      <c r="DN88" s="251"/>
      <c r="DO88" s="243"/>
      <c r="DP88" s="269"/>
      <c r="DR88" s="252"/>
      <c r="DS88" s="269"/>
      <c r="DV88" s="251"/>
      <c r="DW88" s="251"/>
      <c r="DX88" s="243"/>
      <c r="DY88" s="269"/>
      <c r="EA88" s="252"/>
      <c r="EB88" s="269"/>
      <c r="EE88" s="251"/>
      <c r="EF88" s="251"/>
      <c r="EG88" s="243"/>
      <c r="EH88" s="269"/>
      <c r="EJ88" s="252"/>
      <c r="EK88" s="269"/>
      <c r="EN88" s="251"/>
      <c r="EO88" s="251"/>
      <c r="EP88" s="243"/>
      <c r="EQ88" s="269"/>
      <c r="ES88" s="252"/>
      <c r="ET88" s="269"/>
      <c r="EW88" s="251"/>
      <c r="EX88" s="251"/>
      <c r="EY88" s="243"/>
      <c r="EZ88" s="269"/>
      <c r="FB88" s="252"/>
      <c r="FC88" s="269"/>
      <c r="FF88" s="251"/>
      <c r="FG88" s="251"/>
      <c r="FH88" s="243"/>
      <c r="FI88" s="269"/>
      <c r="FK88" s="252"/>
      <c r="FL88" s="269"/>
      <c r="FO88" s="251"/>
      <c r="FP88" s="251"/>
      <c r="FQ88" s="243"/>
      <c r="FR88" s="269"/>
      <c r="FT88" s="252"/>
      <c r="FU88" s="269"/>
      <c r="FX88" s="251"/>
      <c r="FY88" s="251"/>
      <c r="FZ88" s="243"/>
      <c r="GA88" s="269"/>
      <c r="GC88" s="252"/>
      <c r="GD88" s="269"/>
      <c r="GG88" s="251"/>
      <c r="GH88" s="251"/>
      <c r="GI88" s="243"/>
      <c r="GJ88" s="269"/>
      <c r="GL88" s="252"/>
      <c r="GM88" s="269"/>
      <c r="GP88" s="251"/>
      <c r="GQ88" s="251"/>
      <c r="GR88" s="243"/>
      <c r="GS88" s="269"/>
      <c r="GU88" s="252"/>
      <c r="GV88" s="269"/>
      <c r="GY88" s="251"/>
      <c r="GZ88" s="251"/>
      <c r="HA88" s="243"/>
      <c r="HB88" s="269"/>
      <c r="HD88" s="252"/>
      <c r="HE88" s="269"/>
      <c r="HH88" s="251"/>
      <c r="HI88" s="251"/>
      <c r="HJ88" s="243"/>
      <c r="HK88" s="269"/>
      <c r="HM88" s="252"/>
      <c r="HN88" s="269"/>
      <c r="HQ88" s="251"/>
      <c r="HR88" s="251"/>
      <c r="HS88" s="243"/>
      <c r="HT88" s="269"/>
      <c r="HV88" s="252"/>
      <c r="HW88" s="269"/>
      <c r="HZ88" s="251"/>
      <c r="IA88" s="251"/>
      <c r="IB88" s="243"/>
    </row>
    <row r="89" spans="2:236" s="247" customFormat="1" ht="12.75">
      <c r="B89" s="338" t="s">
        <v>313</v>
      </c>
      <c r="C89" s="183"/>
      <c r="D89" s="164"/>
      <c r="E89" s="154"/>
      <c r="F89" s="170">
        <v>1</v>
      </c>
      <c r="G89" s="328" t="s">
        <v>130</v>
      </c>
      <c r="H89" s="246"/>
      <c r="I89" s="246"/>
      <c r="J89" s="251"/>
      <c r="K89" s="251"/>
      <c r="L89" s="243"/>
      <c r="N89" s="252"/>
      <c r="O89" s="269"/>
      <c r="P89" s="156"/>
      <c r="Q89" s="156"/>
      <c r="W89" s="252"/>
      <c r="X89" s="269"/>
      <c r="AA89" s="251"/>
      <c r="AB89" s="251"/>
      <c r="AC89" s="243"/>
      <c r="AD89" s="269"/>
      <c r="AF89" s="252"/>
      <c r="AG89" s="269"/>
      <c r="AJ89" s="251"/>
      <c r="AK89" s="251"/>
      <c r="AL89" s="243"/>
      <c r="AM89" s="269"/>
      <c r="AO89" s="252"/>
      <c r="AP89" s="269"/>
      <c r="AS89" s="251"/>
      <c r="AT89" s="251"/>
      <c r="AU89" s="243"/>
      <c r="AV89" s="269"/>
      <c r="AX89" s="252"/>
      <c r="AY89" s="269"/>
      <c r="BB89" s="251"/>
      <c r="BC89" s="251"/>
      <c r="BD89" s="243"/>
      <c r="BE89" s="269"/>
      <c r="BG89" s="252"/>
      <c r="BH89" s="269"/>
      <c r="BK89" s="251"/>
      <c r="BL89" s="251"/>
      <c r="BM89" s="243"/>
      <c r="BN89" s="269"/>
      <c r="BP89" s="252"/>
      <c r="BQ89" s="269"/>
      <c r="BT89" s="251"/>
      <c r="BU89" s="251"/>
      <c r="BV89" s="243"/>
      <c r="BW89" s="269"/>
      <c r="BY89" s="252"/>
      <c r="BZ89" s="269"/>
      <c r="CC89" s="251"/>
      <c r="CD89" s="251"/>
      <c r="CE89" s="243"/>
      <c r="CF89" s="269"/>
      <c r="CH89" s="252"/>
      <c r="CI89" s="269"/>
      <c r="CL89" s="251"/>
      <c r="CM89" s="251"/>
      <c r="CN89" s="243"/>
      <c r="CO89" s="269"/>
      <c r="CQ89" s="252"/>
      <c r="CR89" s="269"/>
      <c r="CU89" s="251"/>
      <c r="CV89" s="251"/>
      <c r="CW89" s="243"/>
      <c r="CX89" s="269"/>
      <c r="CZ89" s="252"/>
      <c r="DA89" s="269"/>
      <c r="DD89" s="251"/>
      <c r="DE89" s="251"/>
      <c r="DF89" s="243"/>
      <c r="DG89" s="269"/>
      <c r="DI89" s="252"/>
      <c r="DJ89" s="269"/>
      <c r="DM89" s="251"/>
      <c r="DN89" s="251"/>
      <c r="DO89" s="243"/>
      <c r="DP89" s="269"/>
      <c r="DR89" s="252"/>
      <c r="DS89" s="269"/>
      <c r="DV89" s="251"/>
      <c r="DW89" s="251"/>
      <c r="DX89" s="243"/>
      <c r="DY89" s="269"/>
      <c r="EA89" s="252"/>
      <c r="EB89" s="269"/>
      <c r="EE89" s="251"/>
      <c r="EF89" s="251"/>
      <c r="EG89" s="243"/>
      <c r="EH89" s="269"/>
      <c r="EJ89" s="252"/>
      <c r="EK89" s="269"/>
      <c r="EN89" s="251"/>
      <c r="EO89" s="251"/>
      <c r="EP89" s="243"/>
      <c r="EQ89" s="269"/>
      <c r="ES89" s="252"/>
      <c r="ET89" s="269"/>
      <c r="EW89" s="251"/>
      <c r="EX89" s="251"/>
      <c r="EY89" s="243"/>
      <c r="EZ89" s="269"/>
      <c r="FB89" s="252"/>
      <c r="FC89" s="269"/>
      <c r="FF89" s="251"/>
      <c r="FG89" s="251"/>
      <c r="FH89" s="243"/>
      <c r="FI89" s="269"/>
      <c r="FK89" s="252"/>
      <c r="FL89" s="269"/>
      <c r="FO89" s="251"/>
      <c r="FP89" s="251"/>
      <c r="FQ89" s="243"/>
      <c r="FR89" s="269"/>
      <c r="FT89" s="252"/>
      <c r="FU89" s="269"/>
      <c r="FX89" s="251"/>
      <c r="FY89" s="251"/>
      <c r="FZ89" s="243"/>
      <c r="GA89" s="269"/>
      <c r="GC89" s="252"/>
      <c r="GD89" s="269"/>
      <c r="GG89" s="251"/>
      <c r="GH89" s="251"/>
      <c r="GI89" s="243"/>
      <c r="GJ89" s="269"/>
      <c r="GL89" s="252"/>
      <c r="GM89" s="269"/>
      <c r="GP89" s="251"/>
      <c r="GQ89" s="251"/>
      <c r="GR89" s="243"/>
      <c r="GS89" s="269"/>
      <c r="GU89" s="252"/>
      <c r="GV89" s="269"/>
      <c r="GY89" s="251"/>
      <c r="GZ89" s="251"/>
      <c r="HA89" s="243"/>
      <c r="HB89" s="269"/>
      <c r="HD89" s="252"/>
      <c r="HE89" s="269"/>
      <c r="HH89" s="251"/>
      <c r="HI89" s="251"/>
      <c r="HJ89" s="243"/>
      <c r="HK89" s="269"/>
      <c r="HM89" s="252"/>
      <c r="HN89" s="269"/>
      <c r="HQ89" s="251"/>
      <c r="HR89" s="251"/>
      <c r="HS89" s="243"/>
      <c r="HT89" s="269"/>
      <c r="HV89" s="252"/>
      <c r="HW89" s="269"/>
      <c r="HZ89" s="251"/>
      <c r="IA89" s="251"/>
      <c r="IB89" s="243"/>
    </row>
    <row r="90" spans="2:236" s="247" customFormat="1" ht="12.75">
      <c r="B90" s="302"/>
      <c r="C90" s="243" t="s">
        <v>351</v>
      </c>
      <c r="D90" s="246" t="s">
        <v>352</v>
      </c>
      <c r="E90" s="294" t="s">
        <v>353</v>
      </c>
      <c r="F90" s="357"/>
      <c r="G90" s="245"/>
      <c r="H90" s="246"/>
      <c r="I90" s="246"/>
      <c r="J90" s="251"/>
      <c r="K90" s="251"/>
      <c r="L90" s="243"/>
      <c r="N90" s="252"/>
      <c r="O90" s="269"/>
      <c r="P90" s="156"/>
      <c r="R90" s="183"/>
      <c r="S90" s="329"/>
      <c r="T90" s="154"/>
      <c r="U90" s="156"/>
      <c r="V90" s="156"/>
      <c r="W90" s="252"/>
      <c r="X90" s="269"/>
      <c r="AA90" s="251"/>
      <c r="AB90" s="251"/>
      <c r="AC90" s="243"/>
      <c r="AD90" s="269"/>
      <c r="AF90" s="252"/>
      <c r="AG90" s="269"/>
      <c r="AJ90" s="251"/>
      <c r="AK90" s="251"/>
      <c r="AL90" s="243"/>
      <c r="AM90" s="269"/>
      <c r="AO90" s="252"/>
      <c r="AP90" s="269"/>
      <c r="AS90" s="251"/>
      <c r="AT90" s="251"/>
      <c r="AU90" s="243"/>
      <c r="AV90" s="269"/>
      <c r="AX90" s="252"/>
      <c r="AY90" s="269"/>
      <c r="BB90" s="251"/>
      <c r="BC90" s="251"/>
      <c r="BD90" s="243"/>
      <c r="BE90" s="269"/>
      <c r="BG90" s="252"/>
      <c r="BH90" s="269"/>
      <c r="BK90" s="251"/>
      <c r="BL90" s="251"/>
      <c r="BM90" s="243"/>
      <c r="BN90" s="269"/>
      <c r="BP90" s="252"/>
      <c r="BQ90" s="269"/>
      <c r="BT90" s="251"/>
      <c r="BU90" s="251"/>
      <c r="BV90" s="243"/>
      <c r="BW90" s="269"/>
      <c r="BY90" s="252"/>
      <c r="BZ90" s="269"/>
      <c r="CC90" s="251"/>
      <c r="CD90" s="251"/>
      <c r="CE90" s="243"/>
      <c r="CF90" s="269"/>
      <c r="CH90" s="252"/>
      <c r="CI90" s="269"/>
      <c r="CL90" s="251"/>
      <c r="CM90" s="251"/>
      <c r="CN90" s="243"/>
      <c r="CO90" s="269"/>
      <c r="CQ90" s="252"/>
      <c r="CR90" s="269"/>
      <c r="CU90" s="251"/>
      <c r="CV90" s="251"/>
      <c r="CW90" s="243"/>
      <c r="CX90" s="269"/>
      <c r="CZ90" s="252"/>
      <c r="DA90" s="269"/>
      <c r="DD90" s="251"/>
      <c r="DE90" s="251"/>
      <c r="DF90" s="243"/>
      <c r="DG90" s="269"/>
      <c r="DI90" s="252"/>
      <c r="DJ90" s="269"/>
      <c r="DM90" s="251"/>
      <c r="DN90" s="251"/>
      <c r="DO90" s="243"/>
      <c r="DP90" s="269"/>
      <c r="DR90" s="252"/>
      <c r="DS90" s="269"/>
      <c r="DV90" s="251"/>
      <c r="DW90" s="251"/>
      <c r="DX90" s="243"/>
      <c r="DY90" s="269"/>
      <c r="EA90" s="252"/>
      <c r="EB90" s="269"/>
      <c r="EE90" s="251"/>
      <c r="EF90" s="251"/>
      <c r="EG90" s="243"/>
      <c r="EH90" s="269"/>
      <c r="EJ90" s="252"/>
      <c r="EK90" s="269"/>
      <c r="EN90" s="251"/>
      <c r="EO90" s="251"/>
      <c r="EP90" s="243"/>
      <c r="EQ90" s="269"/>
      <c r="ES90" s="252"/>
      <c r="ET90" s="269"/>
      <c r="EW90" s="251"/>
      <c r="EX90" s="251"/>
      <c r="EY90" s="243"/>
      <c r="EZ90" s="269"/>
      <c r="FB90" s="252"/>
      <c r="FC90" s="269"/>
      <c r="FF90" s="251"/>
      <c r="FG90" s="251"/>
      <c r="FH90" s="243"/>
      <c r="FI90" s="269"/>
      <c r="FK90" s="252"/>
      <c r="FL90" s="269"/>
      <c r="FO90" s="251"/>
      <c r="FP90" s="251"/>
      <c r="FQ90" s="243"/>
      <c r="FR90" s="269"/>
      <c r="FT90" s="252"/>
      <c r="FU90" s="269"/>
      <c r="FX90" s="251"/>
      <c r="FY90" s="251"/>
      <c r="FZ90" s="243"/>
      <c r="GA90" s="269"/>
      <c r="GC90" s="252"/>
      <c r="GD90" s="269"/>
      <c r="GG90" s="251"/>
      <c r="GH90" s="251"/>
      <c r="GI90" s="243"/>
      <c r="GJ90" s="269"/>
      <c r="GL90" s="252"/>
      <c r="GM90" s="269"/>
      <c r="GP90" s="251"/>
      <c r="GQ90" s="251"/>
      <c r="GR90" s="243"/>
      <c r="GS90" s="269"/>
      <c r="GU90" s="252"/>
      <c r="GV90" s="269"/>
      <c r="GY90" s="251"/>
      <c r="GZ90" s="251"/>
      <c r="HA90" s="243"/>
      <c r="HB90" s="269"/>
      <c r="HD90" s="252"/>
      <c r="HE90" s="269"/>
      <c r="HH90" s="251"/>
      <c r="HI90" s="251"/>
      <c r="HJ90" s="243"/>
      <c r="HK90" s="269"/>
      <c r="HM90" s="252"/>
      <c r="HN90" s="269"/>
      <c r="HQ90" s="251"/>
      <c r="HR90" s="251"/>
      <c r="HS90" s="243"/>
      <c r="HT90" s="269"/>
      <c r="HV90" s="252"/>
      <c r="HW90" s="269"/>
      <c r="HZ90" s="251"/>
      <c r="IA90" s="251"/>
      <c r="IB90" s="243"/>
    </row>
    <row r="91" spans="2:236" s="247" customFormat="1" ht="12.75">
      <c r="B91" s="338"/>
      <c r="C91" s="251"/>
      <c r="D91" s="246"/>
      <c r="E91" s="289"/>
      <c r="F91" s="348"/>
      <c r="H91" s="246"/>
      <c r="I91" s="246"/>
      <c r="J91" s="251"/>
      <c r="K91" s="251"/>
      <c r="L91" s="243"/>
      <c r="N91" s="252"/>
      <c r="O91" s="269"/>
      <c r="P91" s="156"/>
      <c r="Q91" s="156"/>
      <c r="R91" s="183"/>
      <c r="S91" s="164"/>
      <c r="T91" s="154"/>
      <c r="U91" s="156"/>
      <c r="V91" s="156"/>
      <c r="W91" s="252"/>
      <c r="X91" s="269"/>
      <c r="AA91" s="251"/>
      <c r="AB91" s="251"/>
      <c r="AC91" s="243"/>
      <c r="AD91" s="269"/>
      <c r="AF91" s="252"/>
      <c r="AG91" s="269"/>
      <c r="AJ91" s="251"/>
      <c r="AK91" s="251"/>
      <c r="AL91" s="243"/>
      <c r="AM91" s="269"/>
      <c r="AO91" s="252"/>
      <c r="AP91" s="269"/>
      <c r="AS91" s="251"/>
      <c r="AT91" s="251"/>
      <c r="AU91" s="243"/>
      <c r="AV91" s="269"/>
      <c r="AX91" s="252"/>
      <c r="AY91" s="269"/>
      <c r="BB91" s="251"/>
      <c r="BC91" s="251"/>
      <c r="BD91" s="243"/>
      <c r="BE91" s="269"/>
      <c r="BG91" s="252"/>
      <c r="BH91" s="269"/>
      <c r="BK91" s="251"/>
      <c r="BL91" s="251"/>
      <c r="BM91" s="243"/>
      <c r="BN91" s="269"/>
      <c r="BP91" s="252"/>
      <c r="BQ91" s="269"/>
      <c r="BT91" s="251"/>
      <c r="BU91" s="251"/>
      <c r="BV91" s="243"/>
      <c r="BW91" s="269"/>
      <c r="BY91" s="252"/>
      <c r="BZ91" s="269"/>
      <c r="CC91" s="251"/>
      <c r="CD91" s="251"/>
      <c r="CE91" s="243"/>
      <c r="CF91" s="269"/>
      <c r="CH91" s="252"/>
      <c r="CI91" s="269"/>
      <c r="CL91" s="251"/>
      <c r="CM91" s="251"/>
      <c r="CN91" s="243"/>
      <c r="CO91" s="269"/>
      <c r="CQ91" s="252"/>
      <c r="CR91" s="269"/>
      <c r="CU91" s="251"/>
      <c r="CV91" s="251"/>
      <c r="CW91" s="243"/>
      <c r="CX91" s="269"/>
      <c r="CZ91" s="252"/>
      <c r="DA91" s="269"/>
      <c r="DD91" s="251"/>
      <c r="DE91" s="251"/>
      <c r="DF91" s="243"/>
      <c r="DG91" s="269"/>
      <c r="DI91" s="252"/>
      <c r="DJ91" s="269"/>
      <c r="DM91" s="251"/>
      <c r="DN91" s="251"/>
      <c r="DO91" s="243"/>
      <c r="DP91" s="269"/>
      <c r="DR91" s="252"/>
      <c r="DS91" s="269"/>
      <c r="DV91" s="251"/>
      <c r="DW91" s="251"/>
      <c r="DX91" s="243"/>
      <c r="DY91" s="269"/>
      <c r="EA91" s="252"/>
      <c r="EB91" s="269"/>
      <c r="EE91" s="251"/>
      <c r="EF91" s="251"/>
      <c r="EG91" s="243"/>
      <c r="EH91" s="269"/>
      <c r="EJ91" s="252"/>
      <c r="EK91" s="269"/>
      <c r="EN91" s="251"/>
      <c r="EO91" s="251"/>
      <c r="EP91" s="243"/>
      <c r="EQ91" s="269"/>
      <c r="ES91" s="252"/>
      <c r="ET91" s="269"/>
      <c r="EW91" s="251"/>
      <c r="EX91" s="251"/>
      <c r="EY91" s="243"/>
      <c r="EZ91" s="269"/>
      <c r="FB91" s="252"/>
      <c r="FC91" s="269"/>
      <c r="FF91" s="251"/>
      <c r="FG91" s="251"/>
      <c r="FH91" s="243"/>
      <c r="FI91" s="269"/>
      <c r="FK91" s="252"/>
      <c r="FL91" s="269"/>
      <c r="FO91" s="251"/>
      <c r="FP91" s="251"/>
      <c r="FQ91" s="243"/>
      <c r="FR91" s="269"/>
      <c r="FT91" s="252"/>
      <c r="FU91" s="269"/>
      <c r="FX91" s="251"/>
      <c r="FY91" s="251"/>
      <c r="FZ91" s="243"/>
      <c r="GA91" s="269"/>
      <c r="GC91" s="252"/>
      <c r="GD91" s="269"/>
      <c r="GG91" s="251"/>
      <c r="GH91" s="251"/>
      <c r="GI91" s="243"/>
      <c r="GJ91" s="269"/>
      <c r="GL91" s="252"/>
      <c r="GM91" s="269"/>
      <c r="GP91" s="251"/>
      <c r="GQ91" s="251"/>
      <c r="GR91" s="243"/>
      <c r="GS91" s="269"/>
      <c r="GU91" s="252"/>
      <c r="GV91" s="269"/>
      <c r="GY91" s="251"/>
      <c r="GZ91" s="251"/>
      <c r="HA91" s="243"/>
      <c r="HB91" s="269"/>
      <c r="HD91" s="252"/>
      <c r="HE91" s="269"/>
      <c r="HH91" s="251"/>
      <c r="HI91" s="251"/>
      <c r="HJ91" s="243"/>
      <c r="HK91" s="269"/>
      <c r="HM91" s="252"/>
      <c r="HN91" s="269"/>
      <c r="HQ91" s="251"/>
      <c r="HR91" s="251"/>
      <c r="HS91" s="243"/>
      <c r="HT91" s="269"/>
      <c r="HV91" s="252"/>
      <c r="HW91" s="269"/>
      <c r="HZ91" s="251"/>
      <c r="IA91" s="251"/>
      <c r="IB91" s="243"/>
    </row>
    <row r="92" spans="2:236" s="247" customFormat="1" ht="12.75">
      <c r="B92" s="307" t="s">
        <v>131</v>
      </c>
      <c r="C92" s="254"/>
      <c r="D92" s="254"/>
      <c r="E92" s="286"/>
      <c r="F92" s="347"/>
      <c r="G92" s="256"/>
      <c r="H92" s="255"/>
      <c r="J92" s="251"/>
      <c r="K92" s="251"/>
      <c r="L92" s="243"/>
      <c r="N92" s="252"/>
      <c r="O92" s="269"/>
      <c r="P92" s="156"/>
      <c r="W92" s="252"/>
      <c r="X92" s="269"/>
      <c r="AA92" s="251"/>
      <c r="AB92" s="251"/>
      <c r="AC92" s="243"/>
      <c r="AD92" s="269"/>
      <c r="AF92" s="252"/>
      <c r="AG92" s="269"/>
      <c r="AJ92" s="251"/>
      <c r="AK92" s="251"/>
      <c r="AL92" s="243"/>
      <c r="AM92" s="269"/>
      <c r="AO92" s="252"/>
      <c r="AP92" s="269"/>
      <c r="AS92" s="251"/>
      <c r="AT92" s="251"/>
      <c r="AU92" s="243"/>
      <c r="AV92" s="269"/>
      <c r="AX92" s="252"/>
      <c r="AY92" s="269"/>
      <c r="BB92" s="251"/>
      <c r="BC92" s="251"/>
      <c r="BD92" s="243"/>
      <c r="BE92" s="269"/>
      <c r="BG92" s="252"/>
      <c r="BH92" s="269"/>
      <c r="BK92" s="251"/>
      <c r="BL92" s="251"/>
      <c r="BM92" s="243"/>
      <c r="BN92" s="269"/>
      <c r="BP92" s="252"/>
      <c r="BQ92" s="269"/>
      <c r="BT92" s="251"/>
      <c r="BU92" s="251"/>
      <c r="BV92" s="243"/>
      <c r="BW92" s="269"/>
      <c r="BY92" s="252"/>
      <c r="BZ92" s="269"/>
      <c r="CC92" s="251"/>
      <c r="CD92" s="251"/>
      <c r="CE92" s="243"/>
      <c r="CF92" s="269"/>
      <c r="CH92" s="252"/>
      <c r="CI92" s="269"/>
      <c r="CL92" s="251"/>
      <c r="CM92" s="251"/>
      <c r="CN92" s="243"/>
      <c r="CO92" s="269"/>
      <c r="CQ92" s="252"/>
      <c r="CR92" s="269"/>
      <c r="CU92" s="251"/>
      <c r="CV92" s="251"/>
      <c r="CW92" s="243"/>
      <c r="CX92" s="269"/>
      <c r="CZ92" s="252"/>
      <c r="DA92" s="269"/>
      <c r="DD92" s="251"/>
      <c r="DE92" s="251"/>
      <c r="DF92" s="243"/>
      <c r="DG92" s="269"/>
      <c r="DI92" s="252"/>
      <c r="DJ92" s="269"/>
      <c r="DM92" s="251"/>
      <c r="DN92" s="251"/>
      <c r="DO92" s="243"/>
      <c r="DP92" s="269"/>
      <c r="DR92" s="252"/>
      <c r="DS92" s="269"/>
      <c r="DV92" s="251"/>
      <c r="DW92" s="251"/>
      <c r="DX92" s="243"/>
      <c r="DY92" s="269"/>
      <c r="EA92" s="252"/>
      <c r="EB92" s="269"/>
      <c r="EE92" s="251"/>
      <c r="EF92" s="251"/>
      <c r="EG92" s="243"/>
      <c r="EH92" s="269"/>
      <c r="EJ92" s="252"/>
      <c r="EK92" s="269"/>
      <c r="EN92" s="251"/>
      <c r="EO92" s="251"/>
      <c r="EP92" s="243"/>
      <c r="EQ92" s="269"/>
      <c r="ES92" s="252"/>
      <c r="ET92" s="269"/>
      <c r="EW92" s="251"/>
      <c r="EX92" s="251"/>
      <c r="EY92" s="243"/>
      <c r="EZ92" s="269"/>
      <c r="FB92" s="252"/>
      <c r="FC92" s="269"/>
      <c r="FF92" s="251"/>
      <c r="FG92" s="251"/>
      <c r="FH92" s="243"/>
      <c r="FI92" s="269"/>
      <c r="FK92" s="252"/>
      <c r="FL92" s="269"/>
      <c r="FO92" s="251"/>
      <c r="FP92" s="251"/>
      <c r="FQ92" s="243"/>
      <c r="FR92" s="269"/>
      <c r="FT92" s="252"/>
      <c r="FU92" s="269"/>
      <c r="FX92" s="251"/>
      <c r="FY92" s="251"/>
      <c r="FZ92" s="243"/>
      <c r="GA92" s="269"/>
      <c r="GC92" s="252"/>
      <c r="GD92" s="269"/>
      <c r="GG92" s="251"/>
      <c r="GH92" s="251"/>
      <c r="GI92" s="243"/>
      <c r="GJ92" s="269"/>
      <c r="GL92" s="252"/>
      <c r="GM92" s="269"/>
      <c r="GP92" s="251"/>
      <c r="GQ92" s="251"/>
      <c r="GR92" s="243"/>
      <c r="GS92" s="269"/>
      <c r="GU92" s="252"/>
      <c r="GV92" s="269"/>
      <c r="GY92" s="251"/>
      <c r="GZ92" s="251"/>
      <c r="HA92" s="243"/>
      <c r="HB92" s="269"/>
      <c r="HD92" s="252"/>
      <c r="HE92" s="269"/>
      <c r="HH92" s="251"/>
      <c r="HI92" s="251"/>
      <c r="HJ92" s="243"/>
      <c r="HK92" s="269"/>
      <c r="HM92" s="252"/>
      <c r="HN92" s="269"/>
      <c r="HQ92" s="251"/>
      <c r="HR92" s="251"/>
      <c r="HS92" s="243"/>
      <c r="HT92" s="269"/>
      <c r="HV92" s="252"/>
      <c r="HW92" s="269"/>
      <c r="HZ92" s="251"/>
      <c r="IA92" s="251"/>
      <c r="IB92" s="243"/>
    </row>
    <row r="93" spans="2:236" s="247" customFormat="1" ht="12.75">
      <c r="B93" s="301"/>
      <c r="C93" s="251"/>
      <c r="D93" s="251"/>
      <c r="E93" s="285"/>
      <c r="F93" s="348"/>
      <c r="H93" s="252"/>
      <c r="J93" s="251"/>
      <c r="K93" s="251"/>
      <c r="L93" s="243"/>
      <c r="N93" s="252"/>
      <c r="O93" s="269"/>
      <c r="P93" s="156"/>
      <c r="Q93" s="156"/>
      <c r="R93" s="183"/>
      <c r="S93" s="164"/>
      <c r="T93" s="154"/>
      <c r="U93" s="156"/>
      <c r="V93" s="156"/>
      <c r="W93" s="252"/>
      <c r="X93" s="269"/>
      <c r="AA93" s="251"/>
      <c r="AB93" s="251"/>
      <c r="AC93" s="243"/>
      <c r="AD93" s="269"/>
      <c r="AF93" s="252"/>
      <c r="AG93" s="269"/>
      <c r="AJ93" s="251"/>
      <c r="AK93" s="251"/>
      <c r="AL93" s="243"/>
      <c r="AM93" s="269"/>
      <c r="AO93" s="252"/>
      <c r="AP93" s="269"/>
      <c r="AS93" s="251"/>
      <c r="AT93" s="251"/>
      <c r="AU93" s="243"/>
      <c r="AV93" s="269"/>
      <c r="AX93" s="252"/>
      <c r="AY93" s="269"/>
      <c r="BB93" s="251"/>
      <c r="BC93" s="251"/>
      <c r="BD93" s="243"/>
      <c r="BE93" s="269"/>
      <c r="BG93" s="252"/>
      <c r="BH93" s="269"/>
      <c r="BK93" s="251"/>
      <c r="BL93" s="251"/>
      <c r="BM93" s="243"/>
      <c r="BN93" s="269"/>
      <c r="BP93" s="252"/>
      <c r="BQ93" s="269"/>
      <c r="BT93" s="251"/>
      <c r="BU93" s="251"/>
      <c r="BV93" s="243"/>
      <c r="BW93" s="269"/>
      <c r="BY93" s="252"/>
      <c r="BZ93" s="269"/>
      <c r="CC93" s="251"/>
      <c r="CD93" s="251"/>
      <c r="CE93" s="243"/>
      <c r="CF93" s="269"/>
      <c r="CH93" s="252"/>
      <c r="CI93" s="269"/>
      <c r="CL93" s="251"/>
      <c r="CM93" s="251"/>
      <c r="CN93" s="243"/>
      <c r="CO93" s="269"/>
      <c r="CQ93" s="252"/>
      <c r="CR93" s="269"/>
      <c r="CU93" s="251"/>
      <c r="CV93" s="251"/>
      <c r="CW93" s="243"/>
      <c r="CX93" s="269"/>
      <c r="CZ93" s="252"/>
      <c r="DA93" s="269"/>
      <c r="DD93" s="251"/>
      <c r="DE93" s="251"/>
      <c r="DF93" s="243"/>
      <c r="DG93" s="269"/>
      <c r="DI93" s="252"/>
      <c r="DJ93" s="269"/>
      <c r="DM93" s="251"/>
      <c r="DN93" s="251"/>
      <c r="DO93" s="243"/>
      <c r="DP93" s="269"/>
      <c r="DR93" s="252"/>
      <c r="DS93" s="269"/>
      <c r="DV93" s="251"/>
      <c r="DW93" s="251"/>
      <c r="DX93" s="243"/>
      <c r="DY93" s="269"/>
      <c r="EA93" s="252"/>
      <c r="EB93" s="269"/>
      <c r="EE93" s="251"/>
      <c r="EF93" s="251"/>
      <c r="EG93" s="243"/>
      <c r="EH93" s="269"/>
      <c r="EJ93" s="252"/>
      <c r="EK93" s="269"/>
      <c r="EN93" s="251"/>
      <c r="EO93" s="251"/>
      <c r="EP93" s="243"/>
      <c r="EQ93" s="269"/>
      <c r="ES93" s="252"/>
      <c r="ET93" s="269"/>
      <c r="EW93" s="251"/>
      <c r="EX93" s="251"/>
      <c r="EY93" s="243"/>
      <c r="EZ93" s="269"/>
      <c r="FB93" s="252"/>
      <c r="FC93" s="269"/>
      <c r="FF93" s="251"/>
      <c r="FG93" s="251"/>
      <c r="FH93" s="243"/>
      <c r="FI93" s="269"/>
      <c r="FK93" s="252"/>
      <c r="FL93" s="269"/>
      <c r="FO93" s="251"/>
      <c r="FP93" s="251"/>
      <c r="FQ93" s="243"/>
      <c r="FR93" s="269"/>
      <c r="FT93" s="252"/>
      <c r="FU93" s="269"/>
      <c r="FX93" s="251"/>
      <c r="FY93" s="251"/>
      <c r="FZ93" s="243"/>
      <c r="GA93" s="269"/>
      <c r="GC93" s="252"/>
      <c r="GD93" s="269"/>
      <c r="GG93" s="251"/>
      <c r="GH93" s="251"/>
      <c r="GI93" s="243"/>
      <c r="GJ93" s="269"/>
      <c r="GL93" s="252"/>
      <c r="GM93" s="269"/>
      <c r="GP93" s="251"/>
      <c r="GQ93" s="251"/>
      <c r="GR93" s="243"/>
      <c r="GS93" s="269"/>
      <c r="GU93" s="252"/>
      <c r="GV93" s="269"/>
      <c r="GY93" s="251"/>
      <c r="GZ93" s="251"/>
      <c r="HA93" s="243"/>
      <c r="HB93" s="269"/>
      <c r="HD93" s="252"/>
      <c r="HE93" s="269"/>
      <c r="HH93" s="251"/>
      <c r="HI93" s="251"/>
      <c r="HJ93" s="243"/>
      <c r="HK93" s="269"/>
      <c r="HM93" s="252"/>
      <c r="HN93" s="269"/>
      <c r="HQ93" s="251"/>
      <c r="HR93" s="251"/>
      <c r="HS93" s="243"/>
      <c r="HT93" s="269"/>
      <c r="HV93" s="252"/>
      <c r="HW93" s="269"/>
      <c r="HZ93" s="251"/>
      <c r="IA93" s="251"/>
      <c r="IB93" s="243"/>
    </row>
    <row r="94" spans="2:236" s="247" customFormat="1" ht="12.75">
      <c r="B94" s="301" t="s">
        <v>217</v>
      </c>
      <c r="C94" s="251" t="s">
        <v>219</v>
      </c>
      <c r="D94" s="251" t="s">
        <v>218</v>
      </c>
      <c r="E94" s="285"/>
      <c r="F94" s="345">
        <f>1255+400+75</f>
        <v>1730</v>
      </c>
      <c r="G94" s="247" t="s">
        <v>9</v>
      </c>
      <c r="H94" s="252"/>
      <c r="J94" s="251"/>
      <c r="K94" s="251"/>
      <c r="L94" s="243"/>
      <c r="N94" s="252"/>
      <c r="O94" s="269"/>
      <c r="P94" s="156"/>
      <c r="Q94" s="156"/>
      <c r="R94" s="183"/>
      <c r="S94" s="164"/>
      <c r="T94" s="154"/>
      <c r="U94" s="156"/>
      <c r="V94" s="156"/>
      <c r="W94" s="252"/>
      <c r="X94" s="269"/>
      <c r="AA94" s="251"/>
      <c r="AB94" s="251"/>
      <c r="AC94" s="243"/>
      <c r="AD94" s="269"/>
      <c r="AF94" s="252"/>
      <c r="AG94" s="269"/>
      <c r="AJ94" s="251"/>
      <c r="AK94" s="251"/>
      <c r="AL94" s="243"/>
      <c r="AM94" s="269"/>
      <c r="AO94" s="252"/>
      <c r="AP94" s="269"/>
      <c r="AS94" s="251"/>
      <c r="AT94" s="251"/>
      <c r="AU94" s="243"/>
      <c r="AV94" s="269"/>
      <c r="AX94" s="252"/>
      <c r="AY94" s="269"/>
      <c r="BB94" s="251"/>
      <c r="BC94" s="251"/>
      <c r="BD94" s="243"/>
      <c r="BE94" s="269"/>
      <c r="BG94" s="252"/>
      <c r="BH94" s="269"/>
      <c r="BK94" s="251"/>
      <c r="BL94" s="251"/>
      <c r="BM94" s="243"/>
      <c r="BN94" s="269"/>
      <c r="BP94" s="252"/>
      <c r="BQ94" s="269"/>
      <c r="BT94" s="251"/>
      <c r="BU94" s="251"/>
      <c r="BV94" s="243"/>
      <c r="BW94" s="269"/>
      <c r="BY94" s="252"/>
      <c r="BZ94" s="269"/>
      <c r="CC94" s="251"/>
      <c r="CD94" s="251"/>
      <c r="CE94" s="243"/>
      <c r="CF94" s="269"/>
      <c r="CH94" s="252"/>
      <c r="CI94" s="269"/>
      <c r="CL94" s="251"/>
      <c r="CM94" s="251"/>
      <c r="CN94" s="243"/>
      <c r="CO94" s="269"/>
      <c r="CQ94" s="252"/>
      <c r="CR94" s="269"/>
      <c r="CU94" s="251"/>
      <c r="CV94" s="251"/>
      <c r="CW94" s="243"/>
      <c r="CX94" s="269"/>
      <c r="CZ94" s="252"/>
      <c r="DA94" s="269"/>
      <c r="DD94" s="251"/>
      <c r="DE94" s="251"/>
      <c r="DF94" s="243"/>
      <c r="DG94" s="269"/>
      <c r="DI94" s="252"/>
      <c r="DJ94" s="269"/>
      <c r="DM94" s="251"/>
      <c r="DN94" s="251"/>
      <c r="DO94" s="243"/>
      <c r="DP94" s="269"/>
      <c r="DR94" s="252"/>
      <c r="DS94" s="269"/>
      <c r="DV94" s="251"/>
      <c r="DW94" s="251"/>
      <c r="DX94" s="243"/>
      <c r="DY94" s="269"/>
      <c r="EA94" s="252"/>
      <c r="EB94" s="269"/>
      <c r="EE94" s="251"/>
      <c r="EF94" s="251"/>
      <c r="EG94" s="243"/>
      <c r="EH94" s="269"/>
      <c r="EJ94" s="252"/>
      <c r="EK94" s="269"/>
      <c r="EN94" s="251"/>
      <c r="EO94" s="251"/>
      <c r="EP94" s="243"/>
      <c r="EQ94" s="269"/>
      <c r="ES94" s="252"/>
      <c r="ET94" s="269"/>
      <c r="EW94" s="251"/>
      <c r="EX94" s="251"/>
      <c r="EY94" s="243"/>
      <c r="EZ94" s="269"/>
      <c r="FB94" s="252"/>
      <c r="FC94" s="269"/>
      <c r="FF94" s="251"/>
      <c r="FG94" s="251"/>
      <c r="FH94" s="243"/>
      <c r="FI94" s="269"/>
      <c r="FK94" s="252"/>
      <c r="FL94" s="269"/>
      <c r="FO94" s="251"/>
      <c r="FP94" s="251"/>
      <c r="FQ94" s="243"/>
      <c r="FR94" s="269"/>
      <c r="FT94" s="252"/>
      <c r="FU94" s="269"/>
      <c r="FX94" s="251"/>
      <c r="FY94" s="251"/>
      <c r="FZ94" s="243"/>
      <c r="GA94" s="269"/>
      <c r="GC94" s="252"/>
      <c r="GD94" s="269"/>
      <c r="GG94" s="251"/>
      <c r="GH94" s="251"/>
      <c r="GI94" s="243"/>
      <c r="GJ94" s="269"/>
      <c r="GL94" s="252"/>
      <c r="GM94" s="269"/>
      <c r="GP94" s="251"/>
      <c r="GQ94" s="251"/>
      <c r="GR94" s="243"/>
      <c r="GS94" s="269"/>
      <c r="GU94" s="252"/>
      <c r="GV94" s="269"/>
      <c r="GY94" s="251"/>
      <c r="GZ94" s="251"/>
      <c r="HA94" s="243"/>
      <c r="HB94" s="269"/>
      <c r="HD94" s="252"/>
      <c r="HE94" s="269"/>
      <c r="HH94" s="251"/>
      <c r="HI94" s="251"/>
      <c r="HJ94" s="243"/>
      <c r="HK94" s="269"/>
      <c r="HM94" s="252"/>
      <c r="HN94" s="269"/>
      <c r="HQ94" s="251"/>
      <c r="HR94" s="251"/>
      <c r="HS94" s="243"/>
      <c r="HT94" s="269"/>
      <c r="HV94" s="252"/>
      <c r="HW94" s="269"/>
      <c r="HZ94" s="251"/>
      <c r="IA94" s="251"/>
      <c r="IB94" s="243"/>
    </row>
    <row r="95" spans="2:236" s="247" customFormat="1" ht="12.75">
      <c r="B95" s="301"/>
      <c r="C95" s="251"/>
      <c r="D95" s="251"/>
      <c r="E95" s="285"/>
      <c r="F95" s="345"/>
      <c r="H95" s="252"/>
      <c r="J95" s="251"/>
      <c r="K95" s="251"/>
      <c r="L95" s="243"/>
      <c r="N95" s="252"/>
      <c r="O95" s="269"/>
      <c r="P95" s="156"/>
      <c r="Q95" s="156"/>
      <c r="R95" s="183"/>
      <c r="S95" s="164"/>
      <c r="T95" s="154"/>
      <c r="U95" s="156"/>
      <c r="V95" s="156"/>
      <c r="W95" s="252"/>
      <c r="X95" s="269"/>
      <c r="AA95" s="251"/>
      <c r="AB95" s="251"/>
      <c r="AC95" s="243"/>
      <c r="AD95" s="269"/>
      <c r="AF95" s="252"/>
      <c r="AG95" s="269"/>
      <c r="AJ95" s="251"/>
      <c r="AK95" s="251"/>
      <c r="AL95" s="243"/>
      <c r="AM95" s="269"/>
      <c r="AO95" s="252"/>
      <c r="AP95" s="269"/>
      <c r="AS95" s="251"/>
      <c r="AT95" s="251"/>
      <c r="AU95" s="243"/>
      <c r="AV95" s="269"/>
      <c r="AX95" s="252"/>
      <c r="AY95" s="269"/>
      <c r="BB95" s="251"/>
      <c r="BC95" s="251"/>
      <c r="BD95" s="243"/>
      <c r="BE95" s="269"/>
      <c r="BG95" s="252"/>
      <c r="BH95" s="269"/>
      <c r="BK95" s="251"/>
      <c r="BL95" s="251"/>
      <c r="BM95" s="243"/>
      <c r="BN95" s="269"/>
      <c r="BP95" s="252"/>
      <c r="BQ95" s="269"/>
      <c r="BT95" s="251"/>
      <c r="BU95" s="251"/>
      <c r="BV95" s="243"/>
      <c r="BW95" s="269"/>
      <c r="BY95" s="252"/>
      <c r="BZ95" s="269"/>
      <c r="CC95" s="251"/>
      <c r="CD95" s="251"/>
      <c r="CE95" s="243"/>
      <c r="CF95" s="269"/>
      <c r="CH95" s="252"/>
      <c r="CI95" s="269"/>
      <c r="CL95" s="251"/>
      <c r="CM95" s="251"/>
      <c r="CN95" s="243"/>
      <c r="CO95" s="269"/>
      <c r="CQ95" s="252"/>
      <c r="CR95" s="269"/>
      <c r="CU95" s="251"/>
      <c r="CV95" s="251"/>
      <c r="CW95" s="243"/>
      <c r="CX95" s="269"/>
      <c r="CZ95" s="252"/>
      <c r="DA95" s="269"/>
      <c r="DD95" s="251"/>
      <c r="DE95" s="251"/>
      <c r="DF95" s="243"/>
      <c r="DG95" s="269"/>
      <c r="DI95" s="252"/>
      <c r="DJ95" s="269"/>
      <c r="DM95" s="251"/>
      <c r="DN95" s="251"/>
      <c r="DO95" s="243"/>
      <c r="DP95" s="269"/>
      <c r="DR95" s="252"/>
      <c r="DS95" s="269"/>
      <c r="DV95" s="251"/>
      <c r="DW95" s="251"/>
      <c r="DX95" s="243"/>
      <c r="DY95" s="269"/>
      <c r="EA95" s="252"/>
      <c r="EB95" s="269"/>
      <c r="EE95" s="251"/>
      <c r="EF95" s="251"/>
      <c r="EG95" s="243"/>
      <c r="EH95" s="269"/>
      <c r="EJ95" s="252"/>
      <c r="EK95" s="269"/>
      <c r="EN95" s="251"/>
      <c r="EO95" s="251"/>
      <c r="EP95" s="243"/>
      <c r="EQ95" s="269"/>
      <c r="ES95" s="252"/>
      <c r="ET95" s="269"/>
      <c r="EW95" s="251"/>
      <c r="EX95" s="251"/>
      <c r="EY95" s="243"/>
      <c r="EZ95" s="269"/>
      <c r="FB95" s="252"/>
      <c r="FC95" s="269"/>
      <c r="FF95" s="251"/>
      <c r="FG95" s="251"/>
      <c r="FH95" s="243"/>
      <c r="FI95" s="269"/>
      <c r="FK95" s="252"/>
      <c r="FL95" s="269"/>
      <c r="FO95" s="251"/>
      <c r="FP95" s="251"/>
      <c r="FQ95" s="243"/>
      <c r="FR95" s="269"/>
      <c r="FT95" s="252"/>
      <c r="FU95" s="269"/>
      <c r="FX95" s="251"/>
      <c r="FY95" s="251"/>
      <c r="FZ95" s="243"/>
      <c r="GA95" s="269"/>
      <c r="GC95" s="252"/>
      <c r="GD95" s="269"/>
      <c r="GG95" s="251"/>
      <c r="GH95" s="251"/>
      <c r="GI95" s="243"/>
      <c r="GJ95" s="269"/>
      <c r="GL95" s="252"/>
      <c r="GM95" s="269"/>
      <c r="GP95" s="251"/>
      <c r="GQ95" s="251"/>
      <c r="GR95" s="243"/>
      <c r="GS95" s="269"/>
      <c r="GU95" s="252"/>
      <c r="GV95" s="269"/>
      <c r="GY95" s="251"/>
      <c r="GZ95" s="251"/>
      <c r="HA95" s="243"/>
      <c r="HB95" s="269"/>
      <c r="HD95" s="252"/>
      <c r="HE95" s="269"/>
      <c r="HH95" s="251"/>
      <c r="HI95" s="251"/>
      <c r="HJ95" s="243"/>
      <c r="HK95" s="269"/>
      <c r="HM95" s="252"/>
      <c r="HN95" s="269"/>
      <c r="HQ95" s="251"/>
      <c r="HR95" s="251"/>
      <c r="HS95" s="243"/>
      <c r="HT95" s="269"/>
      <c r="HV95" s="252"/>
      <c r="HW95" s="269"/>
      <c r="HZ95" s="251"/>
      <c r="IA95" s="251"/>
      <c r="IB95" s="243"/>
    </row>
    <row r="96" spans="2:236" s="247" customFormat="1" ht="12.75">
      <c r="B96" s="301" t="s">
        <v>220</v>
      </c>
      <c r="C96" s="251" t="s">
        <v>221</v>
      </c>
      <c r="D96" s="251" t="s">
        <v>222</v>
      </c>
      <c r="E96" s="285"/>
      <c r="F96" s="345">
        <f>500+145</f>
        <v>645</v>
      </c>
      <c r="G96" s="247" t="s">
        <v>9</v>
      </c>
      <c r="H96" s="252"/>
      <c r="J96" s="251"/>
      <c r="K96" s="251"/>
      <c r="L96" s="243"/>
      <c r="N96" s="252"/>
      <c r="O96" s="269"/>
      <c r="R96" s="251"/>
      <c r="S96" s="251"/>
      <c r="T96" s="243"/>
      <c r="U96" s="269"/>
      <c r="W96" s="252"/>
      <c r="X96" s="269"/>
      <c r="AA96" s="251"/>
      <c r="AB96" s="251"/>
      <c r="AC96" s="243"/>
      <c r="AD96" s="269"/>
      <c r="AF96" s="252"/>
      <c r="AG96" s="269"/>
      <c r="AJ96" s="251"/>
      <c r="AK96" s="251"/>
      <c r="AL96" s="243"/>
      <c r="AM96" s="269"/>
      <c r="AO96" s="252"/>
      <c r="AP96" s="269"/>
      <c r="AS96" s="251"/>
      <c r="AT96" s="251"/>
      <c r="AU96" s="243"/>
      <c r="AV96" s="269"/>
      <c r="AX96" s="252"/>
      <c r="AY96" s="269"/>
      <c r="BB96" s="251"/>
      <c r="BC96" s="251"/>
      <c r="BD96" s="243"/>
      <c r="BE96" s="269"/>
      <c r="BG96" s="252"/>
      <c r="BH96" s="269"/>
      <c r="BK96" s="251"/>
      <c r="BL96" s="251"/>
      <c r="BM96" s="243"/>
      <c r="BN96" s="269"/>
      <c r="BP96" s="252"/>
      <c r="BQ96" s="269"/>
      <c r="BT96" s="251"/>
      <c r="BU96" s="251"/>
      <c r="BV96" s="243"/>
      <c r="BW96" s="269"/>
      <c r="BY96" s="252"/>
      <c r="BZ96" s="269"/>
      <c r="CC96" s="251"/>
      <c r="CD96" s="251"/>
      <c r="CE96" s="243"/>
      <c r="CF96" s="269"/>
      <c r="CH96" s="252"/>
      <c r="CI96" s="269"/>
      <c r="CL96" s="251"/>
      <c r="CM96" s="251"/>
      <c r="CN96" s="243"/>
      <c r="CO96" s="269"/>
      <c r="CQ96" s="252"/>
      <c r="CR96" s="269"/>
      <c r="CU96" s="251"/>
      <c r="CV96" s="251"/>
      <c r="CW96" s="243"/>
      <c r="CX96" s="269"/>
      <c r="CZ96" s="252"/>
      <c r="DA96" s="269"/>
      <c r="DD96" s="251"/>
      <c r="DE96" s="251"/>
      <c r="DF96" s="243"/>
      <c r="DG96" s="269"/>
      <c r="DI96" s="252"/>
      <c r="DJ96" s="269"/>
      <c r="DM96" s="251"/>
      <c r="DN96" s="251"/>
      <c r="DO96" s="243"/>
      <c r="DP96" s="269"/>
      <c r="DR96" s="252"/>
      <c r="DS96" s="269"/>
      <c r="DV96" s="251"/>
      <c r="DW96" s="251"/>
      <c r="DX96" s="243"/>
      <c r="DY96" s="269"/>
      <c r="EA96" s="252"/>
      <c r="EB96" s="269"/>
      <c r="EE96" s="251"/>
      <c r="EF96" s="251"/>
      <c r="EG96" s="243"/>
      <c r="EH96" s="269"/>
      <c r="EJ96" s="252"/>
      <c r="EK96" s="269"/>
      <c r="EN96" s="251"/>
      <c r="EO96" s="251"/>
      <c r="EP96" s="243"/>
      <c r="EQ96" s="269"/>
      <c r="ES96" s="252"/>
      <c r="ET96" s="269"/>
      <c r="EW96" s="251"/>
      <c r="EX96" s="251"/>
      <c r="EY96" s="243"/>
      <c r="EZ96" s="269"/>
      <c r="FB96" s="252"/>
      <c r="FC96" s="269"/>
      <c r="FF96" s="251"/>
      <c r="FG96" s="251"/>
      <c r="FH96" s="243"/>
      <c r="FI96" s="269"/>
      <c r="FK96" s="252"/>
      <c r="FL96" s="269"/>
      <c r="FO96" s="251"/>
      <c r="FP96" s="251"/>
      <c r="FQ96" s="243"/>
      <c r="FR96" s="269"/>
      <c r="FT96" s="252"/>
      <c r="FU96" s="269"/>
      <c r="FX96" s="251"/>
      <c r="FY96" s="251"/>
      <c r="FZ96" s="243"/>
      <c r="GA96" s="269"/>
      <c r="GC96" s="252"/>
      <c r="GD96" s="269"/>
      <c r="GG96" s="251"/>
      <c r="GH96" s="251"/>
      <c r="GI96" s="243"/>
      <c r="GJ96" s="269"/>
      <c r="GL96" s="252"/>
      <c r="GM96" s="269"/>
      <c r="GP96" s="251"/>
      <c r="GQ96" s="251"/>
      <c r="GR96" s="243"/>
      <c r="GS96" s="269"/>
      <c r="GU96" s="252"/>
      <c r="GV96" s="269"/>
      <c r="GY96" s="251"/>
      <c r="GZ96" s="251"/>
      <c r="HA96" s="243"/>
      <c r="HB96" s="269"/>
      <c r="HD96" s="252"/>
      <c r="HE96" s="269"/>
      <c r="HH96" s="251"/>
      <c r="HI96" s="251"/>
      <c r="HJ96" s="243"/>
      <c r="HK96" s="269"/>
      <c r="HM96" s="252"/>
      <c r="HN96" s="269"/>
      <c r="HQ96" s="251"/>
      <c r="HR96" s="251"/>
      <c r="HS96" s="243"/>
      <c r="HT96" s="269"/>
      <c r="HV96" s="252"/>
      <c r="HW96" s="269"/>
      <c r="HZ96" s="251"/>
      <c r="IA96" s="251"/>
      <c r="IB96" s="243"/>
    </row>
    <row r="97" spans="2:236" s="247" customFormat="1" ht="12.75">
      <c r="B97" s="301"/>
      <c r="C97" s="251"/>
      <c r="D97" s="251"/>
      <c r="E97" s="285"/>
      <c r="F97" s="345"/>
      <c r="H97" s="252"/>
      <c r="J97" s="251"/>
      <c r="K97" s="251"/>
      <c r="L97" s="243"/>
      <c r="N97" s="252"/>
      <c r="O97" s="269"/>
      <c r="R97" s="251"/>
      <c r="S97" s="251"/>
      <c r="T97" s="243"/>
      <c r="U97" s="269"/>
      <c r="W97" s="252"/>
      <c r="X97" s="269"/>
      <c r="AA97" s="251"/>
      <c r="AB97" s="251"/>
      <c r="AC97" s="243"/>
      <c r="AD97" s="269"/>
      <c r="AF97" s="252"/>
      <c r="AG97" s="269"/>
      <c r="AJ97" s="251"/>
      <c r="AK97" s="251"/>
      <c r="AL97" s="243"/>
      <c r="AM97" s="269"/>
      <c r="AO97" s="252"/>
      <c r="AP97" s="269"/>
      <c r="AS97" s="251"/>
      <c r="AT97" s="251"/>
      <c r="AU97" s="243"/>
      <c r="AV97" s="269"/>
      <c r="AX97" s="252"/>
      <c r="AY97" s="269"/>
      <c r="BB97" s="251"/>
      <c r="BC97" s="251"/>
      <c r="BD97" s="243"/>
      <c r="BE97" s="269"/>
      <c r="BG97" s="252"/>
      <c r="BH97" s="269"/>
      <c r="BK97" s="251"/>
      <c r="BL97" s="251"/>
      <c r="BM97" s="243"/>
      <c r="BN97" s="269"/>
      <c r="BP97" s="252"/>
      <c r="BQ97" s="269"/>
      <c r="BT97" s="251"/>
      <c r="BU97" s="251"/>
      <c r="BV97" s="243"/>
      <c r="BW97" s="269"/>
      <c r="BY97" s="252"/>
      <c r="BZ97" s="269"/>
      <c r="CC97" s="251"/>
      <c r="CD97" s="251"/>
      <c r="CE97" s="243"/>
      <c r="CF97" s="269"/>
      <c r="CH97" s="252"/>
      <c r="CI97" s="269"/>
      <c r="CL97" s="251"/>
      <c r="CM97" s="251"/>
      <c r="CN97" s="243"/>
      <c r="CO97" s="269"/>
      <c r="CQ97" s="252"/>
      <c r="CR97" s="269"/>
      <c r="CU97" s="251"/>
      <c r="CV97" s="251"/>
      <c r="CW97" s="243"/>
      <c r="CX97" s="269"/>
      <c r="CZ97" s="252"/>
      <c r="DA97" s="269"/>
      <c r="DD97" s="251"/>
      <c r="DE97" s="251"/>
      <c r="DF97" s="243"/>
      <c r="DG97" s="269"/>
      <c r="DI97" s="252"/>
      <c r="DJ97" s="269"/>
      <c r="DM97" s="251"/>
      <c r="DN97" s="251"/>
      <c r="DO97" s="243"/>
      <c r="DP97" s="269"/>
      <c r="DR97" s="252"/>
      <c r="DS97" s="269"/>
      <c r="DV97" s="251"/>
      <c r="DW97" s="251"/>
      <c r="DX97" s="243"/>
      <c r="DY97" s="269"/>
      <c r="EA97" s="252"/>
      <c r="EB97" s="269"/>
      <c r="EE97" s="251"/>
      <c r="EF97" s="251"/>
      <c r="EG97" s="243"/>
      <c r="EH97" s="269"/>
      <c r="EJ97" s="252"/>
      <c r="EK97" s="269"/>
      <c r="EN97" s="251"/>
      <c r="EO97" s="251"/>
      <c r="EP97" s="243"/>
      <c r="EQ97" s="269"/>
      <c r="ES97" s="252"/>
      <c r="ET97" s="269"/>
      <c r="EW97" s="251"/>
      <c r="EX97" s="251"/>
      <c r="EY97" s="243"/>
      <c r="EZ97" s="269"/>
      <c r="FB97" s="252"/>
      <c r="FC97" s="269"/>
      <c r="FF97" s="251"/>
      <c r="FG97" s="251"/>
      <c r="FH97" s="243"/>
      <c r="FI97" s="269"/>
      <c r="FK97" s="252"/>
      <c r="FL97" s="269"/>
      <c r="FO97" s="251"/>
      <c r="FP97" s="251"/>
      <c r="FQ97" s="243"/>
      <c r="FR97" s="269"/>
      <c r="FT97" s="252"/>
      <c r="FU97" s="269"/>
      <c r="FX97" s="251"/>
      <c r="FY97" s="251"/>
      <c r="FZ97" s="243"/>
      <c r="GA97" s="269"/>
      <c r="GC97" s="252"/>
      <c r="GD97" s="269"/>
      <c r="GG97" s="251"/>
      <c r="GH97" s="251"/>
      <c r="GI97" s="243"/>
      <c r="GJ97" s="269"/>
      <c r="GL97" s="252"/>
      <c r="GM97" s="269"/>
      <c r="GP97" s="251"/>
      <c r="GQ97" s="251"/>
      <c r="GR97" s="243"/>
      <c r="GS97" s="269"/>
      <c r="GU97" s="252"/>
      <c r="GV97" s="269"/>
      <c r="GY97" s="251"/>
      <c r="GZ97" s="251"/>
      <c r="HA97" s="243"/>
      <c r="HB97" s="269"/>
      <c r="HD97" s="252"/>
      <c r="HE97" s="269"/>
      <c r="HH97" s="251"/>
      <c r="HI97" s="251"/>
      <c r="HJ97" s="243"/>
      <c r="HK97" s="269"/>
      <c r="HM97" s="252"/>
      <c r="HN97" s="269"/>
      <c r="HQ97" s="251"/>
      <c r="HR97" s="251"/>
      <c r="HS97" s="243"/>
      <c r="HT97" s="269"/>
      <c r="HV97" s="252"/>
      <c r="HW97" s="269"/>
      <c r="HZ97" s="251"/>
      <c r="IA97" s="251"/>
      <c r="IB97" s="243"/>
    </row>
    <row r="98" spans="2:236" s="247" customFormat="1" ht="12.75">
      <c r="B98" s="301" t="s">
        <v>223</v>
      </c>
      <c r="C98" s="251" t="s">
        <v>224</v>
      </c>
      <c r="D98" s="251" t="s">
        <v>225</v>
      </c>
      <c r="E98" s="285"/>
      <c r="F98" s="345">
        <f>2300+20+39+2310+20+60</f>
        <v>4749</v>
      </c>
      <c r="G98" s="247" t="s">
        <v>9</v>
      </c>
      <c r="H98" s="252"/>
      <c r="J98" s="251"/>
      <c r="K98" s="251"/>
      <c r="L98" s="243"/>
      <c r="N98" s="252"/>
      <c r="O98" s="269"/>
      <c r="R98" s="251"/>
      <c r="S98" s="251"/>
      <c r="T98" s="243"/>
      <c r="U98" s="269"/>
      <c r="W98" s="252"/>
      <c r="X98" s="269"/>
      <c r="AA98" s="251"/>
      <c r="AB98" s="251"/>
      <c r="AC98" s="243"/>
      <c r="AD98" s="269"/>
      <c r="AF98" s="252"/>
      <c r="AG98" s="269"/>
      <c r="AJ98" s="251"/>
      <c r="AK98" s="251"/>
      <c r="AL98" s="243"/>
      <c r="AM98" s="269"/>
      <c r="AO98" s="252"/>
      <c r="AP98" s="269"/>
      <c r="AS98" s="251"/>
      <c r="AT98" s="251"/>
      <c r="AU98" s="243"/>
      <c r="AV98" s="269"/>
      <c r="AX98" s="252"/>
      <c r="AY98" s="269"/>
      <c r="BB98" s="251"/>
      <c r="BC98" s="251"/>
      <c r="BD98" s="243"/>
      <c r="BE98" s="269"/>
      <c r="BG98" s="252"/>
      <c r="BH98" s="269"/>
      <c r="BK98" s="251"/>
      <c r="BL98" s="251"/>
      <c r="BM98" s="243"/>
      <c r="BN98" s="269"/>
      <c r="BP98" s="252"/>
      <c r="BQ98" s="269"/>
      <c r="BT98" s="251"/>
      <c r="BU98" s="251"/>
      <c r="BV98" s="243"/>
      <c r="BW98" s="269"/>
      <c r="BY98" s="252"/>
      <c r="BZ98" s="269"/>
      <c r="CC98" s="251"/>
      <c r="CD98" s="251"/>
      <c r="CE98" s="243"/>
      <c r="CF98" s="269"/>
      <c r="CH98" s="252"/>
      <c r="CI98" s="269"/>
      <c r="CL98" s="251"/>
      <c r="CM98" s="251"/>
      <c r="CN98" s="243"/>
      <c r="CO98" s="269"/>
      <c r="CQ98" s="252"/>
      <c r="CR98" s="269"/>
      <c r="CU98" s="251"/>
      <c r="CV98" s="251"/>
      <c r="CW98" s="243"/>
      <c r="CX98" s="269"/>
      <c r="CZ98" s="252"/>
      <c r="DA98" s="269"/>
      <c r="DD98" s="251"/>
      <c r="DE98" s="251"/>
      <c r="DF98" s="243"/>
      <c r="DG98" s="269"/>
      <c r="DI98" s="252"/>
      <c r="DJ98" s="269"/>
      <c r="DM98" s="251"/>
      <c r="DN98" s="251"/>
      <c r="DO98" s="243"/>
      <c r="DP98" s="269"/>
      <c r="DR98" s="252"/>
      <c r="DS98" s="269"/>
      <c r="DV98" s="251"/>
      <c r="DW98" s="251"/>
      <c r="DX98" s="243"/>
      <c r="DY98" s="269"/>
      <c r="EA98" s="252"/>
      <c r="EB98" s="269"/>
      <c r="EE98" s="251"/>
      <c r="EF98" s="251"/>
      <c r="EG98" s="243"/>
      <c r="EH98" s="269"/>
      <c r="EJ98" s="252"/>
      <c r="EK98" s="269"/>
      <c r="EN98" s="251"/>
      <c r="EO98" s="251"/>
      <c r="EP98" s="243"/>
      <c r="EQ98" s="269"/>
      <c r="ES98" s="252"/>
      <c r="ET98" s="269"/>
      <c r="EW98" s="251"/>
      <c r="EX98" s="251"/>
      <c r="EY98" s="243"/>
      <c r="EZ98" s="269"/>
      <c r="FB98" s="252"/>
      <c r="FC98" s="269"/>
      <c r="FF98" s="251"/>
      <c r="FG98" s="251"/>
      <c r="FH98" s="243"/>
      <c r="FI98" s="269"/>
      <c r="FK98" s="252"/>
      <c r="FL98" s="269"/>
      <c r="FO98" s="251"/>
      <c r="FP98" s="251"/>
      <c r="FQ98" s="243"/>
      <c r="FR98" s="269"/>
      <c r="FT98" s="252"/>
      <c r="FU98" s="269"/>
      <c r="FX98" s="251"/>
      <c r="FY98" s="251"/>
      <c r="FZ98" s="243"/>
      <c r="GA98" s="269"/>
      <c r="GC98" s="252"/>
      <c r="GD98" s="269"/>
      <c r="GG98" s="251"/>
      <c r="GH98" s="251"/>
      <c r="GI98" s="243"/>
      <c r="GJ98" s="269"/>
      <c r="GL98" s="252"/>
      <c r="GM98" s="269"/>
      <c r="GP98" s="251"/>
      <c r="GQ98" s="251"/>
      <c r="GR98" s="243"/>
      <c r="GS98" s="269"/>
      <c r="GU98" s="252"/>
      <c r="GV98" s="269"/>
      <c r="GY98" s="251"/>
      <c r="GZ98" s="251"/>
      <c r="HA98" s="243"/>
      <c r="HB98" s="269"/>
      <c r="HD98" s="252"/>
      <c r="HE98" s="269"/>
      <c r="HH98" s="251"/>
      <c r="HI98" s="251"/>
      <c r="HJ98" s="243"/>
      <c r="HK98" s="269"/>
      <c r="HM98" s="252"/>
      <c r="HN98" s="269"/>
      <c r="HQ98" s="251"/>
      <c r="HR98" s="251"/>
      <c r="HS98" s="243"/>
      <c r="HT98" s="269"/>
      <c r="HV98" s="252"/>
      <c r="HW98" s="269"/>
      <c r="HZ98" s="251"/>
      <c r="IA98" s="251"/>
      <c r="IB98" s="243"/>
    </row>
    <row r="99" spans="2:236" s="247" customFormat="1" ht="12.75">
      <c r="B99" s="301" t="s">
        <v>223</v>
      </c>
      <c r="C99" s="251" t="s">
        <v>226</v>
      </c>
      <c r="D99" s="251" t="s">
        <v>227</v>
      </c>
      <c r="E99" s="285"/>
      <c r="F99" s="345">
        <f>17+14+7+14</f>
        <v>52</v>
      </c>
      <c r="G99" s="247" t="s">
        <v>9</v>
      </c>
      <c r="H99" s="252"/>
      <c r="J99" s="251"/>
      <c r="K99" s="251"/>
      <c r="L99" s="243"/>
      <c r="N99" s="252"/>
      <c r="O99" s="269"/>
      <c r="R99" s="251"/>
      <c r="S99" s="251"/>
      <c r="T99" s="243"/>
      <c r="U99" s="269"/>
      <c r="W99" s="252"/>
      <c r="X99" s="269"/>
      <c r="AA99" s="251"/>
      <c r="AB99" s="251"/>
      <c r="AC99" s="243"/>
      <c r="AD99" s="269"/>
      <c r="AF99" s="252"/>
      <c r="AG99" s="269"/>
      <c r="AJ99" s="251"/>
      <c r="AK99" s="251"/>
      <c r="AL99" s="243"/>
      <c r="AM99" s="269"/>
      <c r="AO99" s="252"/>
      <c r="AP99" s="269"/>
      <c r="AS99" s="251"/>
      <c r="AT99" s="251"/>
      <c r="AU99" s="243"/>
      <c r="AV99" s="269"/>
      <c r="AX99" s="252"/>
      <c r="AY99" s="269"/>
      <c r="BB99" s="251"/>
      <c r="BC99" s="251"/>
      <c r="BD99" s="243"/>
      <c r="BE99" s="269"/>
      <c r="BG99" s="252"/>
      <c r="BH99" s="269"/>
      <c r="BK99" s="251"/>
      <c r="BL99" s="251"/>
      <c r="BM99" s="243"/>
      <c r="BN99" s="269"/>
      <c r="BP99" s="252"/>
      <c r="BQ99" s="269"/>
      <c r="BT99" s="251"/>
      <c r="BU99" s="251"/>
      <c r="BV99" s="243"/>
      <c r="BW99" s="269"/>
      <c r="BY99" s="252"/>
      <c r="BZ99" s="269"/>
      <c r="CC99" s="251"/>
      <c r="CD99" s="251"/>
      <c r="CE99" s="243"/>
      <c r="CF99" s="269"/>
      <c r="CH99" s="252"/>
      <c r="CI99" s="269"/>
      <c r="CL99" s="251"/>
      <c r="CM99" s="251"/>
      <c r="CN99" s="243"/>
      <c r="CO99" s="269"/>
      <c r="CQ99" s="252"/>
      <c r="CR99" s="269"/>
      <c r="CU99" s="251"/>
      <c r="CV99" s="251"/>
      <c r="CW99" s="243"/>
      <c r="CX99" s="269"/>
      <c r="CZ99" s="252"/>
      <c r="DA99" s="269"/>
      <c r="DD99" s="251"/>
      <c r="DE99" s="251"/>
      <c r="DF99" s="243"/>
      <c r="DG99" s="269"/>
      <c r="DI99" s="252"/>
      <c r="DJ99" s="269"/>
      <c r="DM99" s="251"/>
      <c r="DN99" s="251"/>
      <c r="DO99" s="243"/>
      <c r="DP99" s="269"/>
      <c r="DR99" s="252"/>
      <c r="DS99" s="269"/>
      <c r="DV99" s="251"/>
      <c r="DW99" s="251"/>
      <c r="DX99" s="243"/>
      <c r="DY99" s="269"/>
      <c r="EA99" s="252"/>
      <c r="EB99" s="269"/>
      <c r="EE99" s="251"/>
      <c r="EF99" s="251"/>
      <c r="EG99" s="243"/>
      <c r="EH99" s="269"/>
      <c r="EJ99" s="252"/>
      <c r="EK99" s="269"/>
      <c r="EN99" s="251"/>
      <c r="EO99" s="251"/>
      <c r="EP99" s="243"/>
      <c r="EQ99" s="269"/>
      <c r="ES99" s="252"/>
      <c r="ET99" s="269"/>
      <c r="EW99" s="251"/>
      <c r="EX99" s="251"/>
      <c r="EY99" s="243"/>
      <c r="EZ99" s="269"/>
      <c r="FB99" s="252"/>
      <c r="FC99" s="269"/>
      <c r="FF99" s="251"/>
      <c r="FG99" s="251"/>
      <c r="FH99" s="243"/>
      <c r="FI99" s="269"/>
      <c r="FK99" s="252"/>
      <c r="FL99" s="269"/>
      <c r="FO99" s="251"/>
      <c r="FP99" s="251"/>
      <c r="FQ99" s="243"/>
      <c r="FR99" s="269"/>
      <c r="FT99" s="252"/>
      <c r="FU99" s="269"/>
      <c r="FX99" s="251"/>
      <c r="FY99" s="251"/>
      <c r="FZ99" s="243"/>
      <c r="GA99" s="269"/>
      <c r="GC99" s="252"/>
      <c r="GD99" s="269"/>
      <c r="GG99" s="251"/>
      <c r="GH99" s="251"/>
      <c r="GI99" s="243"/>
      <c r="GJ99" s="269"/>
      <c r="GL99" s="252"/>
      <c r="GM99" s="269"/>
      <c r="GP99" s="251"/>
      <c r="GQ99" s="251"/>
      <c r="GR99" s="243"/>
      <c r="GS99" s="269"/>
      <c r="GU99" s="252"/>
      <c r="GV99" s="269"/>
      <c r="GY99" s="251"/>
      <c r="GZ99" s="251"/>
      <c r="HA99" s="243"/>
      <c r="HB99" s="269"/>
      <c r="HD99" s="252"/>
      <c r="HE99" s="269"/>
      <c r="HH99" s="251"/>
      <c r="HI99" s="251"/>
      <c r="HJ99" s="243"/>
      <c r="HK99" s="269"/>
      <c r="HM99" s="252"/>
      <c r="HN99" s="269"/>
      <c r="HQ99" s="251"/>
      <c r="HR99" s="251"/>
      <c r="HS99" s="243"/>
      <c r="HT99" s="269"/>
      <c r="HV99" s="252"/>
      <c r="HW99" s="269"/>
      <c r="HZ99" s="251"/>
      <c r="IA99" s="251"/>
      <c r="IB99" s="243"/>
    </row>
    <row r="100" spans="2:236" s="247" customFormat="1" ht="12.75">
      <c r="B100" s="301"/>
      <c r="C100" s="251"/>
      <c r="D100" s="251"/>
      <c r="E100" s="285"/>
      <c r="F100" s="345"/>
      <c r="H100" s="252"/>
      <c r="J100" s="251"/>
      <c r="K100" s="251"/>
      <c r="L100" s="243"/>
      <c r="N100" s="252"/>
      <c r="O100" s="269"/>
      <c r="R100" s="251"/>
      <c r="S100" s="251"/>
      <c r="T100" s="243"/>
      <c r="U100" s="269"/>
      <c r="W100" s="252"/>
      <c r="X100" s="269"/>
      <c r="AA100" s="251"/>
      <c r="AB100" s="251"/>
      <c r="AC100" s="243"/>
      <c r="AD100" s="269"/>
      <c r="AF100" s="252"/>
      <c r="AG100" s="269"/>
      <c r="AJ100" s="251"/>
      <c r="AK100" s="251"/>
      <c r="AL100" s="243"/>
      <c r="AM100" s="269"/>
      <c r="AO100" s="252"/>
      <c r="AP100" s="269"/>
      <c r="AS100" s="251"/>
      <c r="AT100" s="251"/>
      <c r="AU100" s="243"/>
      <c r="AV100" s="269"/>
      <c r="AX100" s="252"/>
      <c r="AY100" s="269"/>
      <c r="BB100" s="251"/>
      <c r="BC100" s="251"/>
      <c r="BD100" s="243"/>
      <c r="BE100" s="269"/>
      <c r="BG100" s="252"/>
      <c r="BH100" s="269"/>
      <c r="BK100" s="251"/>
      <c r="BL100" s="251"/>
      <c r="BM100" s="243"/>
      <c r="BN100" s="269"/>
      <c r="BP100" s="252"/>
      <c r="BQ100" s="269"/>
      <c r="BT100" s="251"/>
      <c r="BU100" s="251"/>
      <c r="BV100" s="243"/>
      <c r="BW100" s="269"/>
      <c r="BY100" s="252"/>
      <c r="BZ100" s="269"/>
      <c r="CC100" s="251"/>
      <c r="CD100" s="251"/>
      <c r="CE100" s="243"/>
      <c r="CF100" s="269"/>
      <c r="CH100" s="252"/>
      <c r="CI100" s="269"/>
      <c r="CL100" s="251"/>
      <c r="CM100" s="251"/>
      <c r="CN100" s="243"/>
      <c r="CO100" s="269"/>
      <c r="CQ100" s="252"/>
      <c r="CR100" s="269"/>
      <c r="CU100" s="251"/>
      <c r="CV100" s="251"/>
      <c r="CW100" s="243"/>
      <c r="CX100" s="269"/>
      <c r="CZ100" s="252"/>
      <c r="DA100" s="269"/>
      <c r="DD100" s="251"/>
      <c r="DE100" s="251"/>
      <c r="DF100" s="243"/>
      <c r="DG100" s="269"/>
      <c r="DI100" s="252"/>
      <c r="DJ100" s="269"/>
      <c r="DM100" s="251"/>
      <c r="DN100" s="251"/>
      <c r="DO100" s="243"/>
      <c r="DP100" s="269"/>
      <c r="DR100" s="252"/>
      <c r="DS100" s="269"/>
      <c r="DV100" s="251"/>
      <c r="DW100" s="251"/>
      <c r="DX100" s="243"/>
      <c r="DY100" s="269"/>
      <c r="EA100" s="252"/>
      <c r="EB100" s="269"/>
      <c r="EE100" s="251"/>
      <c r="EF100" s="251"/>
      <c r="EG100" s="243"/>
      <c r="EH100" s="269"/>
      <c r="EJ100" s="252"/>
      <c r="EK100" s="269"/>
      <c r="EN100" s="251"/>
      <c r="EO100" s="251"/>
      <c r="EP100" s="243"/>
      <c r="EQ100" s="269"/>
      <c r="ES100" s="252"/>
      <c r="ET100" s="269"/>
      <c r="EW100" s="251"/>
      <c r="EX100" s="251"/>
      <c r="EY100" s="243"/>
      <c r="EZ100" s="269"/>
      <c r="FB100" s="252"/>
      <c r="FC100" s="269"/>
      <c r="FF100" s="251"/>
      <c r="FG100" s="251"/>
      <c r="FH100" s="243"/>
      <c r="FI100" s="269"/>
      <c r="FK100" s="252"/>
      <c r="FL100" s="269"/>
      <c r="FO100" s="251"/>
      <c r="FP100" s="251"/>
      <c r="FQ100" s="243"/>
      <c r="FR100" s="269"/>
      <c r="FT100" s="252"/>
      <c r="FU100" s="269"/>
      <c r="FX100" s="251"/>
      <c r="FY100" s="251"/>
      <c r="FZ100" s="243"/>
      <c r="GA100" s="269"/>
      <c r="GC100" s="252"/>
      <c r="GD100" s="269"/>
      <c r="GG100" s="251"/>
      <c r="GH100" s="251"/>
      <c r="GI100" s="243"/>
      <c r="GJ100" s="269"/>
      <c r="GL100" s="252"/>
      <c r="GM100" s="269"/>
      <c r="GP100" s="251"/>
      <c r="GQ100" s="251"/>
      <c r="GR100" s="243"/>
      <c r="GS100" s="269"/>
      <c r="GU100" s="252"/>
      <c r="GV100" s="269"/>
      <c r="GY100" s="251"/>
      <c r="GZ100" s="251"/>
      <c r="HA100" s="243"/>
      <c r="HB100" s="269"/>
      <c r="HD100" s="252"/>
      <c r="HE100" s="269"/>
      <c r="HH100" s="251"/>
      <c r="HI100" s="251"/>
      <c r="HJ100" s="243"/>
      <c r="HK100" s="269"/>
      <c r="HM100" s="252"/>
      <c r="HN100" s="269"/>
      <c r="HQ100" s="251"/>
      <c r="HR100" s="251"/>
      <c r="HS100" s="243"/>
      <c r="HT100" s="269"/>
      <c r="HV100" s="252"/>
      <c r="HW100" s="269"/>
      <c r="HZ100" s="251"/>
      <c r="IA100" s="251"/>
      <c r="IB100" s="243"/>
    </row>
    <row r="101" spans="2:236" s="247" customFormat="1" ht="12.75">
      <c r="B101" s="301" t="s">
        <v>228</v>
      </c>
      <c r="C101" s="251" t="s">
        <v>219</v>
      </c>
      <c r="D101" s="251" t="s">
        <v>232</v>
      </c>
      <c r="E101" s="285" t="s">
        <v>231</v>
      </c>
      <c r="F101" s="345">
        <f>26.5+36.5+26.5+36.5</f>
        <v>126</v>
      </c>
      <c r="G101" s="247" t="s">
        <v>9</v>
      </c>
      <c r="H101" s="252"/>
      <c r="J101" s="251"/>
      <c r="K101" s="251"/>
      <c r="L101" s="243"/>
      <c r="N101" s="252"/>
      <c r="O101" s="269"/>
      <c r="R101" s="251"/>
      <c r="S101" s="251"/>
      <c r="T101" s="243"/>
      <c r="U101" s="269"/>
      <c r="W101" s="252"/>
      <c r="X101" s="269"/>
      <c r="AA101" s="251"/>
      <c r="AB101" s="251"/>
      <c r="AC101" s="243"/>
      <c r="AD101" s="269"/>
      <c r="AF101" s="252"/>
      <c r="AG101" s="269"/>
      <c r="AJ101" s="251"/>
      <c r="AK101" s="251"/>
      <c r="AL101" s="243"/>
      <c r="AM101" s="269"/>
      <c r="AO101" s="252"/>
      <c r="AP101" s="269"/>
      <c r="AS101" s="251"/>
      <c r="AT101" s="251"/>
      <c r="AU101" s="243"/>
      <c r="AV101" s="269"/>
      <c r="AX101" s="252"/>
      <c r="AY101" s="269"/>
      <c r="BB101" s="251"/>
      <c r="BC101" s="251"/>
      <c r="BD101" s="243"/>
      <c r="BE101" s="269"/>
      <c r="BG101" s="252"/>
      <c r="BH101" s="269"/>
      <c r="BK101" s="251"/>
      <c r="BL101" s="251"/>
      <c r="BM101" s="243"/>
      <c r="BN101" s="269"/>
      <c r="BP101" s="252"/>
      <c r="BQ101" s="269"/>
      <c r="BT101" s="251"/>
      <c r="BU101" s="251"/>
      <c r="BV101" s="243"/>
      <c r="BW101" s="269"/>
      <c r="BY101" s="252"/>
      <c r="BZ101" s="269"/>
      <c r="CC101" s="251"/>
      <c r="CD101" s="251"/>
      <c r="CE101" s="243"/>
      <c r="CF101" s="269"/>
      <c r="CH101" s="252"/>
      <c r="CI101" s="269"/>
      <c r="CL101" s="251"/>
      <c r="CM101" s="251"/>
      <c r="CN101" s="243"/>
      <c r="CO101" s="269"/>
      <c r="CQ101" s="252"/>
      <c r="CR101" s="269"/>
      <c r="CU101" s="251"/>
      <c r="CV101" s="251"/>
      <c r="CW101" s="243"/>
      <c r="CX101" s="269"/>
      <c r="CZ101" s="252"/>
      <c r="DA101" s="269"/>
      <c r="DD101" s="251"/>
      <c r="DE101" s="251"/>
      <c r="DF101" s="243"/>
      <c r="DG101" s="269"/>
      <c r="DI101" s="252"/>
      <c r="DJ101" s="269"/>
      <c r="DM101" s="251"/>
      <c r="DN101" s="251"/>
      <c r="DO101" s="243"/>
      <c r="DP101" s="269"/>
      <c r="DR101" s="252"/>
      <c r="DS101" s="269"/>
      <c r="DV101" s="251"/>
      <c r="DW101" s="251"/>
      <c r="DX101" s="243"/>
      <c r="DY101" s="269"/>
      <c r="EA101" s="252"/>
      <c r="EB101" s="269"/>
      <c r="EE101" s="251"/>
      <c r="EF101" s="251"/>
      <c r="EG101" s="243"/>
      <c r="EH101" s="269"/>
      <c r="EJ101" s="252"/>
      <c r="EK101" s="269"/>
      <c r="EN101" s="251"/>
      <c r="EO101" s="251"/>
      <c r="EP101" s="243"/>
      <c r="EQ101" s="269"/>
      <c r="ES101" s="252"/>
      <c r="ET101" s="269"/>
      <c r="EW101" s="251"/>
      <c r="EX101" s="251"/>
      <c r="EY101" s="243"/>
      <c r="EZ101" s="269"/>
      <c r="FB101" s="252"/>
      <c r="FC101" s="269"/>
      <c r="FF101" s="251"/>
      <c r="FG101" s="251"/>
      <c r="FH101" s="243"/>
      <c r="FI101" s="269"/>
      <c r="FK101" s="252"/>
      <c r="FL101" s="269"/>
      <c r="FO101" s="251"/>
      <c r="FP101" s="251"/>
      <c r="FQ101" s="243"/>
      <c r="FR101" s="269"/>
      <c r="FT101" s="252"/>
      <c r="FU101" s="269"/>
      <c r="FX101" s="251"/>
      <c r="FY101" s="251"/>
      <c r="FZ101" s="243"/>
      <c r="GA101" s="269"/>
      <c r="GC101" s="252"/>
      <c r="GD101" s="269"/>
      <c r="GG101" s="251"/>
      <c r="GH101" s="251"/>
      <c r="GI101" s="243"/>
      <c r="GJ101" s="269"/>
      <c r="GL101" s="252"/>
      <c r="GM101" s="269"/>
      <c r="GP101" s="251"/>
      <c r="GQ101" s="251"/>
      <c r="GR101" s="243"/>
      <c r="GS101" s="269"/>
      <c r="GU101" s="252"/>
      <c r="GV101" s="269"/>
      <c r="GY101" s="251"/>
      <c r="GZ101" s="251"/>
      <c r="HA101" s="243"/>
      <c r="HB101" s="269"/>
      <c r="HD101" s="252"/>
      <c r="HE101" s="269"/>
      <c r="HH101" s="251"/>
      <c r="HI101" s="251"/>
      <c r="HJ101" s="243"/>
      <c r="HK101" s="269"/>
      <c r="HM101" s="252"/>
      <c r="HN101" s="269"/>
      <c r="HQ101" s="251"/>
      <c r="HR101" s="251"/>
      <c r="HS101" s="243"/>
      <c r="HT101" s="269"/>
      <c r="HV101" s="252"/>
      <c r="HW101" s="269"/>
      <c r="HZ101" s="251"/>
      <c r="IA101" s="251"/>
      <c r="IB101" s="243"/>
    </row>
    <row r="102" spans="2:236" s="247" customFormat="1" ht="12.75">
      <c r="B102" s="301" t="s">
        <v>233</v>
      </c>
      <c r="C102" s="251"/>
      <c r="D102" s="251"/>
      <c r="E102" s="285" t="s">
        <v>231</v>
      </c>
      <c r="F102" s="345">
        <v>4</v>
      </c>
      <c r="G102" s="247" t="s">
        <v>130</v>
      </c>
      <c r="H102" s="252"/>
      <c r="J102" s="251"/>
      <c r="K102" s="251"/>
      <c r="L102" s="243"/>
      <c r="N102" s="252"/>
      <c r="O102" s="269"/>
      <c r="R102" s="251"/>
      <c r="S102" s="251"/>
      <c r="T102" s="243"/>
      <c r="U102" s="269"/>
      <c r="W102" s="252"/>
      <c r="X102" s="269"/>
      <c r="AA102" s="251"/>
      <c r="AB102" s="251"/>
      <c r="AC102" s="243"/>
      <c r="AD102" s="269"/>
      <c r="AF102" s="252"/>
      <c r="AG102" s="269"/>
      <c r="AJ102" s="251"/>
      <c r="AK102" s="251"/>
      <c r="AL102" s="243"/>
      <c r="AM102" s="269"/>
      <c r="AO102" s="252"/>
      <c r="AP102" s="269"/>
      <c r="AS102" s="251"/>
      <c r="AT102" s="251"/>
      <c r="AU102" s="243"/>
      <c r="AV102" s="269"/>
      <c r="AX102" s="252"/>
      <c r="AY102" s="269"/>
      <c r="BB102" s="251"/>
      <c r="BC102" s="251"/>
      <c r="BD102" s="243"/>
      <c r="BE102" s="269"/>
      <c r="BG102" s="252"/>
      <c r="BH102" s="269"/>
      <c r="BK102" s="251"/>
      <c r="BL102" s="251"/>
      <c r="BM102" s="243"/>
      <c r="BN102" s="269"/>
      <c r="BP102" s="252"/>
      <c r="BQ102" s="269"/>
      <c r="BT102" s="251"/>
      <c r="BU102" s="251"/>
      <c r="BV102" s="243"/>
      <c r="BW102" s="269"/>
      <c r="BY102" s="252"/>
      <c r="BZ102" s="269"/>
      <c r="CC102" s="251"/>
      <c r="CD102" s="251"/>
      <c r="CE102" s="243"/>
      <c r="CF102" s="269"/>
      <c r="CH102" s="252"/>
      <c r="CI102" s="269"/>
      <c r="CL102" s="251"/>
      <c r="CM102" s="251"/>
      <c r="CN102" s="243"/>
      <c r="CO102" s="269"/>
      <c r="CQ102" s="252"/>
      <c r="CR102" s="269"/>
      <c r="CU102" s="251"/>
      <c r="CV102" s="251"/>
      <c r="CW102" s="243"/>
      <c r="CX102" s="269"/>
      <c r="CZ102" s="252"/>
      <c r="DA102" s="269"/>
      <c r="DD102" s="251"/>
      <c r="DE102" s="251"/>
      <c r="DF102" s="243"/>
      <c r="DG102" s="269"/>
      <c r="DI102" s="252"/>
      <c r="DJ102" s="269"/>
      <c r="DM102" s="251"/>
      <c r="DN102" s="251"/>
      <c r="DO102" s="243"/>
      <c r="DP102" s="269"/>
      <c r="DR102" s="252"/>
      <c r="DS102" s="269"/>
      <c r="DV102" s="251"/>
      <c r="DW102" s="251"/>
      <c r="DX102" s="243"/>
      <c r="DY102" s="269"/>
      <c r="EA102" s="252"/>
      <c r="EB102" s="269"/>
      <c r="EE102" s="251"/>
      <c r="EF102" s="251"/>
      <c r="EG102" s="243"/>
      <c r="EH102" s="269"/>
      <c r="EJ102" s="252"/>
      <c r="EK102" s="269"/>
      <c r="EN102" s="251"/>
      <c r="EO102" s="251"/>
      <c r="EP102" s="243"/>
      <c r="EQ102" s="269"/>
      <c r="ES102" s="252"/>
      <c r="ET102" s="269"/>
      <c r="EW102" s="251"/>
      <c r="EX102" s="251"/>
      <c r="EY102" s="243"/>
      <c r="EZ102" s="269"/>
      <c r="FB102" s="252"/>
      <c r="FC102" s="269"/>
      <c r="FF102" s="251"/>
      <c r="FG102" s="251"/>
      <c r="FH102" s="243"/>
      <c r="FI102" s="269"/>
      <c r="FK102" s="252"/>
      <c r="FL102" s="269"/>
      <c r="FO102" s="251"/>
      <c r="FP102" s="251"/>
      <c r="FQ102" s="243"/>
      <c r="FR102" s="269"/>
      <c r="FT102" s="252"/>
      <c r="FU102" s="269"/>
      <c r="FX102" s="251"/>
      <c r="FY102" s="251"/>
      <c r="FZ102" s="243"/>
      <c r="GA102" s="269"/>
      <c r="GC102" s="252"/>
      <c r="GD102" s="269"/>
      <c r="GG102" s="251"/>
      <c r="GH102" s="251"/>
      <c r="GI102" s="243"/>
      <c r="GJ102" s="269"/>
      <c r="GL102" s="252"/>
      <c r="GM102" s="269"/>
      <c r="GP102" s="251"/>
      <c r="GQ102" s="251"/>
      <c r="GR102" s="243"/>
      <c r="GS102" s="269"/>
      <c r="GU102" s="252"/>
      <c r="GV102" s="269"/>
      <c r="GY102" s="251"/>
      <c r="GZ102" s="251"/>
      <c r="HA102" s="243"/>
      <c r="HB102" s="269"/>
      <c r="HD102" s="252"/>
      <c r="HE102" s="269"/>
      <c r="HH102" s="251"/>
      <c r="HI102" s="251"/>
      <c r="HJ102" s="243"/>
      <c r="HK102" s="269"/>
      <c r="HM102" s="252"/>
      <c r="HN102" s="269"/>
      <c r="HQ102" s="251"/>
      <c r="HR102" s="251"/>
      <c r="HS102" s="243"/>
      <c r="HT102" s="269"/>
      <c r="HV102" s="252"/>
      <c r="HW102" s="269"/>
      <c r="HZ102" s="251"/>
      <c r="IA102" s="251"/>
      <c r="IB102" s="243"/>
    </row>
    <row r="103" spans="2:236" s="247" customFormat="1" ht="12.75">
      <c r="B103" s="301"/>
      <c r="C103" s="261"/>
      <c r="D103" s="251"/>
      <c r="E103" s="289"/>
      <c r="F103" s="358"/>
      <c r="H103" s="252"/>
      <c r="J103" s="251"/>
      <c r="K103" s="251"/>
      <c r="L103" s="243"/>
      <c r="N103" s="252"/>
      <c r="O103" s="269"/>
      <c r="R103" s="251"/>
      <c r="S103" s="251"/>
      <c r="T103" s="243"/>
      <c r="U103" s="269"/>
      <c r="W103" s="252"/>
      <c r="X103" s="269"/>
      <c r="AA103" s="251"/>
      <c r="AB103" s="251"/>
      <c r="AC103" s="243"/>
      <c r="AD103" s="269"/>
      <c r="AF103" s="252"/>
      <c r="AG103" s="269"/>
      <c r="AJ103" s="251"/>
      <c r="AK103" s="251"/>
      <c r="AL103" s="243"/>
      <c r="AM103" s="269"/>
      <c r="AO103" s="252"/>
      <c r="AP103" s="269"/>
      <c r="AS103" s="251"/>
      <c r="AT103" s="251"/>
      <c r="AU103" s="243"/>
      <c r="AV103" s="269"/>
      <c r="AX103" s="252"/>
      <c r="AY103" s="269"/>
      <c r="BB103" s="251"/>
      <c r="BC103" s="251"/>
      <c r="BD103" s="243"/>
      <c r="BE103" s="269"/>
      <c r="BG103" s="252"/>
      <c r="BH103" s="269"/>
      <c r="BK103" s="251"/>
      <c r="BL103" s="251"/>
      <c r="BM103" s="243"/>
      <c r="BN103" s="269"/>
      <c r="BP103" s="252"/>
      <c r="BQ103" s="269"/>
      <c r="BT103" s="251"/>
      <c r="BU103" s="251"/>
      <c r="BV103" s="243"/>
      <c r="BW103" s="269"/>
      <c r="BY103" s="252"/>
      <c r="BZ103" s="269"/>
      <c r="CC103" s="251"/>
      <c r="CD103" s="251"/>
      <c r="CE103" s="243"/>
      <c r="CF103" s="269"/>
      <c r="CH103" s="252"/>
      <c r="CI103" s="269"/>
      <c r="CL103" s="251"/>
      <c r="CM103" s="251"/>
      <c r="CN103" s="243"/>
      <c r="CO103" s="269"/>
      <c r="CQ103" s="252"/>
      <c r="CR103" s="269"/>
      <c r="CU103" s="251"/>
      <c r="CV103" s="251"/>
      <c r="CW103" s="243"/>
      <c r="CX103" s="269"/>
      <c r="CZ103" s="252"/>
      <c r="DA103" s="269"/>
      <c r="DD103" s="251"/>
      <c r="DE103" s="251"/>
      <c r="DF103" s="243"/>
      <c r="DG103" s="269"/>
      <c r="DI103" s="252"/>
      <c r="DJ103" s="269"/>
      <c r="DM103" s="251"/>
      <c r="DN103" s="251"/>
      <c r="DO103" s="243"/>
      <c r="DP103" s="269"/>
      <c r="DR103" s="252"/>
      <c r="DS103" s="269"/>
      <c r="DV103" s="251"/>
      <c r="DW103" s="251"/>
      <c r="DX103" s="243"/>
      <c r="DY103" s="269"/>
      <c r="EA103" s="252"/>
      <c r="EB103" s="269"/>
      <c r="EE103" s="251"/>
      <c r="EF103" s="251"/>
      <c r="EG103" s="243"/>
      <c r="EH103" s="269"/>
      <c r="EJ103" s="252"/>
      <c r="EK103" s="269"/>
      <c r="EN103" s="251"/>
      <c r="EO103" s="251"/>
      <c r="EP103" s="243"/>
      <c r="EQ103" s="269"/>
      <c r="ES103" s="252"/>
      <c r="ET103" s="269"/>
      <c r="EW103" s="251"/>
      <c r="EX103" s="251"/>
      <c r="EY103" s="243"/>
      <c r="EZ103" s="269"/>
      <c r="FB103" s="252"/>
      <c r="FC103" s="269"/>
      <c r="FF103" s="251"/>
      <c r="FG103" s="251"/>
      <c r="FH103" s="243"/>
      <c r="FI103" s="269"/>
      <c r="FK103" s="252"/>
      <c r="FL103" s="269"/>
      <c r="FO103" s="251"/>
      <c r="FP103" s="251"/>
      <c r="FQ103" s="243"/>
      <c r="FR103" s="269"/>
      <c r="FT103" s="252"/>
      <c r="FU103" s="269"/>
      <c r="FX103" s="251"/>
      <c r="FY103" s="251"/>
      <c r="FZ103" s="243"/>
      <c r="GA103" s="269"/>
      <c r="GC103" s="252"/>
      <c r="GD103" s="269"/>
      <c r="GG103" s="251"/>
      <c r="GH103" s="251"/>
      <c r="GI103" s="243"/>
      <c r="GJ103" s="269"/>
      <c r="GL103" s="252"/>
      <c r="GM103" s="269"/>
      <c r="GP103" s="251"/>
      <c r="GQ103" s="251"/>
      <c r="GR103" s="243"/>
      <c r="GS103" s="269"/>
      <c r="GU103" s="252"/>
      <c r="GV103" s="269"/>
      <c r="GY103" s="251"/>
      <c r="GZ103" s="251"/>
      <c r="HA103" s="243"/>
      <c r="HB103" s="269"/>
      <c r="HD103" s="252"/>
      <c r="HE103" s="269"/>
      <c r="HH103" s="251"/>
      <c r="HI103" s="251"/>
      <c r="HJ103" s="243"/>
      <c r="HK103" s="269"/>
      <c r="HM103" s="252"/>
      <c r="HN103" s="269"/>
      <c r="HQ103" s="251"/>
      <c r="HR103" s="251"/>
      <c r="HS103" s="243"/>
      <c r="HT103" s="269"/>
      <c r="HV103" s="252"/>
      <c r="HW103" s="269"/>
      <c r="HZ103" s="251"/>
      <c r="IA103" s="251"/>
      <c r="IB103" s="243"/>
    </row>
    <row r="104" spans="2:236" s="247" customFormat="1" ht="12.75">
      <c r="B104" s="301" t="s">
        <v>234</v>
      </c>
      <c r="C104" s="251" t="s">
        <v>237</v>
      </c>
      <c r="D104" s="251" t="s">
        <v>236</v>
      </c>
      <c r="E104" s="294" t="s">
        <v>235</v>
      </c>
      <c r="F104" s="345">
        <f>15+13+15+10</f>
        <v>53</v>
      </c>
      <c r="G104" s="247" t="s">
        <v>9</v>
      </c>
      <c r="H104" s="252"/>
      <c r="J104" s="251"/>
      <c r="K104" s="251"/>
      <c r="L104" s="243"/>
      <c r="N104" s="252"/>
      <c r="O104" s="269"/>
      <c r="R104" s="251"/>
      <c r="S104" s="251"/>
      <c r="T104" s="243"/>
      <c r="U104" s="269"/>
      <c r="W104" s="252"/>
      <c r="X104" s="269"/>
      <c r="AA104" s="251"/>
      <c r="AB104" s="251"/>
      <c r="AC104" s="243"/>
      <c r="AD104" s="269"/>
      <c r="AF104" s="252"/>
      <c r="AG104" s="269"/>
      <c r="AJ104" s="251"/>
      <c r="AK104" s="251"/>
      <c r="AL104" s="243"/>
      <c r="AM104" s="269"/>
      <c r="AO104" s="252"/>
      <c r="AP104" s="269"/>
      <c r="AS104" s="251"/>
      <c r="AT104" s="251"/>
      <c r="AU104" s="243"/>
      <c r="AV104" s="269"/>
      <c r="AX104" s="252"/>
      <c r="AY104" s="269"/>
      <c r="BB104" s="251"/>
      <c r="BC104" s="251"/>
      <c r="BD104" s="243"/>
      <c r="BE104" s="269"/>
      <c r="BG104" s="252"/>
      <c r="BH104" s="269"/>
      <c r="BK104" s="251"/>
      <c r="BL104" s="251"/>
      <c r="BM104" s="243"/>
      <c r="BN104" s="269"/>
      <c r="BP104" s="252"/>
      <c r="BQ104" s="269"/>
      <c r="BT104" s="251"/>
      <c r="BU104" s="251"/>
      <c r="BV104" s="243"/>
      <c r="BW104" s="269"/>
      <c r="BY104" s="252"/>
      <c r="BZ104" s="269"/>
      <c r="CC104" s="251"/>
      <c r="CD104" s="251"/>
      <c r="CE104" s="243"/>
      <c r="CF104" s="269"/>
      <c r="CH104" s="252"/>
      <c r="CI104" s="269"/>
      <c r="CL104" s="251"/>
      <c r="CM104" s="251"/>
      <c r="CN104" s="243"/>
      <c r="CO104" s="269"/>
      <c r="CQ104" s="252"/>
      <c r="CR104" s="269"/>
      <c r="CU104" s="251"/>
      <c r="CV104" s="251"/>
      <c r="CW104" s="243"/>
      <c r="CX104" s="269"/>
      <c r="CZ104" s="252"/>
      <c r="DA104" s="269"/>
      <c r="DD104" s="251"/>
      <c r="DE104" s="251"/>
      <c r="DF104" s="243"/>
      <c r="DG104" s="269"/>
      <c r="DI104" s="252"/>
      <c r="DJ104" s="269"/>
      <c r="DM104" s="251"/>
      <c r="DN104" s="251"/>
      <c r="DO104" s="243"/>
      <c r="DP104" s="269"/>
      <c r="DR104" s="252"/>
      <c r="DS104" s="269"/>
      <c r="DV104" s="251"/>
      <c r="DW104" s="251"/>
      <c r="DX104" s="243"/>
      <c r="DY104" s="269"/>
      <c r="EA104" s="252"/>
      <c r="EB104" s="269"/>
      <c r="EE104" s="251"/>
      <c r="EF104" s="251"/>
      <c r="EG104" s="243"/>
      <c r="EH104" s="269"/>
      <c r="EJ104" s="252"/>
      <c r="EK104" s="269"/>
      <c r="EN104" s="251"/>
      <c r="EO104" s="251"/>
      <c r="EP104" s="243"/>
      <c r="EQ104" s="269"/>
      <c r="ES104" s="252"/>
      <c r="ET104" s="269"/>
      <c r="EW104" s="251"/>
      <c r="EX104" s="251"/>
      <c r="EY104" s="243"/>
      <c r="EZ104" s="269"/>
      <c r="FB104" s="252"/>
      <c r="FC104" s="269"/>
      <c r="FF104" s="251"/>
      <c r="FG104" s="251"/>
      <c r="FH104" s="243"/>
      <c r="FI104" s="269"/>
      <c r="FK104" s="252"/>
      <c r="FL104" s="269"/>
      <c r="FO104" s="251"/>
      <c r="FP104" s="251"/>
      <c r="FQ104" s="243"/>
      <c r="FR104" s="269"/>
      <c r="FT104" s="252"/>
      <c r="FU104" s="269"/>
      <c r="FX104" s="251"/>
      <c r="FY104" s="251"/>
      <c r="FZ104" s="243"/>
      <c r="GA104" s="269"/>
      <c r="GC104" s="252"/>
      <c r="GD104" s="269"/>
      <c r="GG104" s="251"/>
      <c r="GH104" s="251"/>
      <c r="GI104" s="243"/>
      <c r="GJ104" s="269"/>
      <c r="GL104" s="252"/>
      <c r="GM104" s="269"/>
      <c r="GP104" s="251"/>
      <c r="GQ104" s="251"/>
      <c r="GR104" s="243"/>
      <c r="GS104" s="269"/>
      <c r="GU104" s="252"/>
      <c r="GV104" s="269"/>
      <c r="GY104" s="251"/>
      <c r="GZ104" s="251"/>
      <c r="HA104" s="243"/>
      <c r="HB104" s="269"/>
      <c r="HD104" s="252"/>
      <c r="HE104" s="269"/>
      <c r="HH104" s="251"/>
      <c r="HI104" s="251"/>
      <c r="HJ104" s="243"/>
      <c r="HK104" s="269"/>
      <c r="HM104" s="252"/>
      <c r="HN104" s="269"/>
      <c r="HQ104" s="251"/>
      <c r="HR104" s="251"/>
      <c r="HS104" s="243"/>
      <c r="HT104" s="269"/>
      <c r="HV104" s="252"/>
      <c r="HW104" s="269"/>
      <c r="HZ104" s="251"/>
      <c r="IA104" s="251"/>
      <c r="IB104" s="243"/>
    </row>
    <row r="105" spans="2:236" s="247" customFormat="1" ht="12.75">
      <c r="B105" s="301"/>
      <c r="C105" s="261"/>
      <c r="D105" s="251"/>
      <c r="E105" s="289"/>
      <c r="F105" s="358"/>
      <c r="H105" s="252"/>
      <c r="J105" s="251"/>
      <c r="K105" s="251"/>
      <c r="L105" s="243"/>
      <c r="N105" s="252"/>
      <c r="O105" s="269"/>
      <c r="R105" s="251"/>
      <c r="S105" s="251"/>
      <c r="T105" s="243"/>
      <c r="U105" s="269"/>
      <c r="W105" s="252"/>
      <c r="X105" s="269"/>
      <c r="AA105" s="251"/>
      <c r="AB105" s="251"/>
      <c r="AC105" s="243"/>
      <c r="AD105" s="269"/>
      <c r="AF105" s="252"/>
      <c r="AG105" s="269"/>
      <c r="AJ105" s="251"/>
      <c r="AK105" s="251"/>
      <c r="AL105" s="243"/>
      <c r="AM105" s="269"/>
      <c r="AO105" s="252"/>
      <c r="AP105" s="269"/>
      <c r="AS105" s="251"/>
      <c r="AT105" s="251"/>
      <c r="AU105" s="243"/>
      <c r="AV105" s="269"/>
      <c r="AX105" s="252"/>
      <c r="AY105" s="269"/>
      <c r="BB105" s="251"/>
      <c r="BC105" s="251"/>
      <c r="BD105" s="243"/>
      <c r="BE105" s="269"/>
      <c r="BG105" s="252"/>
      <c r="BH105" s="269"/>
      <c r="BK105" s="251"/>
      <c r="BL105" s="251"/>
      <c r="BM105" s="243"/>
      <c r="BN105" s="269"/>
      <c r="BP105" s="252"/>
      <c r="BQ105" s="269"/>
      <c r="BT105" s="251"/>
      <c r="BU105" s="251"/>
      <c r="BV105" s="243"/>
      <c r="BW105" s="269"/>
      <c r="BY105" s="252"/>
      <c r="BZ105" s="269"/>
      <c r="CC105" s="251"/>
      <c r="CD105" s="251"/>
      <c r="CE105" s="243"/>
      <c r="CF105" s="269"/>
      <c r="CH105" s="252"/>
      <c r="CI105" s="269"/>
      <c r="CL105" s="251"/>
      <c r="CM105" s="251"/>
      <c r="CN105" s="243"/>
      <c r="CO105" s="269"/>
      <c r="CQ105" s="252"/>
      <c r="CR105" s="269"/>
      <c r="CU105" s="251"/>
      <c r="CV105" s="251"/>
      <c r="CW105" s="243"/>
      <c r="CX105" s="269"/>
      <c r="CZ105" s="252"/>
      <c r="DA105" s="269"/>
      <c r="DD105" s="251"/>
      <c r="DE105" s="251"/>
      <c r="DF105" s="243"/>
      <c r="DG105" s="269"/>
      <c r="DI105" s="252"/>
      <c r="DJ105" s="269"/>
      <c r="DM105" s="251"/>
      <c r="DN105" s="251"/>
      <c r="DO105" s="243"/>
      <c r="DP105" s="269"/>
      <c r="DR105" s="252"/>
      <c r="DS105" s="269"/>
      <c r="DV105" s="251"/>
      <c r="DW105" s="251"/>
      <c r="DX105" s="243"/>
      <c r="DY105" s="269"/>
      <c r="EA105" s="252"/>
      <c r="EB105" s="269"/>
      <c r="EE105" s="251"/>
      <c r="EF105" s="251"/>
      <c r="EG105" s="243"/>
      <c r="EH105" s="269"/>
      <c r="EJ105" s="252"/>
      <c r="EK105" s="269"/>
      <c r="EN105" s="251"/>
      <c r="EO105" s="251"/>
      <c r="EP105" s="243"/>
      <c r="EQ105" s="269"/>
      <c r="ES105" s="252"/>
      <c r="ET105" s="269"/>
      <c r="EW105" s="251"/>
      <c r="EX105" s="251"/>
      <c r="EY105" s="243"/>
      <c r="EZ105" s="269"/>
      <c r="FB105" s="252"/>
      <c r="FC105" s="269"/>
      <c r="FF105" s="251"/>
      <c r="FG105" s="251"/>
      <c r="FH105" s="243"/>
      <c r="FI105" s="269"/>
      <c r="FK105" s="252"/>
      <c r="FL105" s="269"/>
      <c r="FO105" s="251"/>
      <c r="FP105" s="251"/>
      <c r="FQ105" s="243"/>
      <c r="FR105" s="269"/>
      <c r="FT105" s="252"/>
      <c r="FU105" s="269"/>
      <c r="FX105" s="251"/>
      <c r="FY105" s="251"/>
      <c r="FZ105" s="243"/>
      <c r="GA105" s="269"/>
      <c r="GC105" s="252"/>
      <c r="GD105" s="269"/>
      <c r="GG105" s="251"/>
      <c r="GH105" s="251"/>
      <c r="GI105" s="243"/>
      <c r="GJ105" s="269"/>
      <c r="GL105" s="252"/>
      <c r="GM105" s="269"/>
      <c r="GP105" s="251"/>
      <c r="GQ105" s="251"/>
      <c r="GR105" s="243"/>
      <c r="GS105" s="269"/>
      <c r="GU105" s="252"/>
      <c r="GV105" s="269"/>
      <c r="GY105" s="251"/>
      <c r="GZ105" s="251"/>
      <c r="HA105" s="243"/>
      <c r="HB105" s="269"/>
      <c r="HD105" s="252"/>
      <c r="HE105" s="269"/>
      <c r="HH105" s="251"/>
      <c r="HI105" s="251"/>
      <c r="HJ105" s="243"/>
      <c r="HK105" s="269"/>
      <c r="HM105" s="252"/>
      <c r="HN105" s="269"/>
      <c r="HQ105" s="251"/>
      <c r="HR105" s="251"/>
      <c r="HS105" s="243"/>
      <c r="HT105" s="269"/>
      <c r="HV105" s="252"/>
      <c r="HW105" s="269"/>
      <c r="HZ105" s="251"/>
      <c r="IA105" s="251"/>
      <c r="IB105" s="243"/>
    </row>
    <row r="106" spans="2:236" s="247" customFormat="1" ht="12.75">
      <c r="B106" s="307" t="s">
        <v>132</v>
      </c>
      <c r="C106" s="254"/>
      <c r="D106" s="254"/>
      <c r="E106" s="286"/>
      <c r="F106" s="347"/>
      <c r="G106" s="256"/>
      <c r="H106" s="255"/>
      <c r="I106" s="246"/>
      <c r="J106" s="251"/>
      <c r="K106" s="251"/>
      <c r="L106" s="243"/>
      <c r="N106" s="252"/>
      <c r="O106" s="269"/>
      <c r="R106" s="251"/>
      <c r="S106" s="251"/>
      <c r="T106" s="243"/>
      <c r="U106" s="269"/>
      <c r="W106" s="252"/>
      <c r="X106" s="269"/>
      <c r="AA106" s="251"/>
      <c r="AB106" s="251"/>
      <c r="AC106" s="243"/>
      <c r="AD106" s="269"/>
      <c r="AF106" s="252"/>
      <c r="AG106" s="269"/>
      <c r="AJ106" s="251"/>
      <c r="AK106" s="251"/>
      <c r="AL106" s="243"/>
      <c r="AM106" s="269"/>
      <c r="AO106" s="252"/>
      <c r="AP106" s="269"/>
      <c r="AS106" s="251"/>
      <c r="AT106" s="251"/>
      <c r="AU106" s="243"/>
      <c r="AV106" s="269"/>
      <c r="AX106" s="252"/>
      <c r="AY106" s="269"/>
      <c r="BB106" s="251"/>
      <c r="BC106" s="251"/>
      <c r="BD106" s="243"/>
      <c r="BE106" s="269"/>
      <c r="BG106" s="252"/>
      <c r="BH106" s="269"/>
      <c r="BK106" s="251"/>
      <c r="BL106" s="251"/>
      <c r="BM106" s="243"/>
      <c r="BN106" s="269"/>
      <c r="BP106" s="252"/>
      <c r="BQ106" s="269"/>
      <c r="BT106" s="251"/>
      <c r="BU106" s="251"/>
      <c r="BV106" s="243"/>
      <c r="BW106" s="269"/>
      <c r="BY106" s="252"/>
      <c r="BZ106" s="269"/>
      <c r="CC106" s="251"/>
      <c r="CD106" s="251"/>
      <c r="CE106" s="243"/>
      <c r="CF106" s="269"/>
      <c r="CH106" s="252"/>
      <c r="CI106" s="269"/>
      <c r="CL106" s="251"/>
      <c r="CM106" s="251"/>
      <c r="CN106" s="243"/>
      <c r="CO106" s="269"/>
      <c r="CQ106" s="252"/>
      <c r="CR106" s="269"/>
      <c r="CU106" s="251"/>
      <c r="CV106" s="251"/>
      <c r="CW106" s="243"/>
      <c r="CX106" s="269"/>
      <c r="CZ106" s="252"/>
      <c r="DA106" s="269"/>
      <c r="DD106" s="251"/>
      <c r="DE106" s="251"/>
      <c r="DF106" s="243"/>
      <c r="DG106" s="269"/>
      <c r="DI106" s="252"/>
      <c r="DJ106" s="269"/>
      <c r="DM106" s="251"/>
      <c r="DN106" s="251"/>
      <c r="DO106" s="243"/>
      <c r="DP106" s="269"/>
      <c r="DR106" s="252"/>
      <c r="DS106" s="269"/>
      <c r="DV106" s="251"/>
      <c r="DW106" s="251"/>
      <c r="DX106" s="243"/>
      <c r="DY106" s="269"/>
      <c r="EA106" s="252"/>
      <c r="EB106" s="269"/>
      <c r="EE106" s="251"/>
      <c r="EF106" s="251"/>
      <c r="EG106" s="243"/>
      <c r="EH106" s="269"/>
      <c r="EJ106" s="252"/>
      <c r="EK106" s="269"/>
      <c r="EN106" s="251"/>
      <c r="EO106" s="251"/>
      <c r="EP106" s="243"/>
      <c r="EQ106" s="269"/>
      <c r="ES106" s="252"/>
      <c r="ET106" s="269"/>
      <c r="EW106" s="251"/>
      <c r="EX106" s="251"/>
      <c r="EY106" s="243"/>
      <c r="EZ106" s="269"/>
      <c r="FB106" s="252"/>
      <c r="FC106" s="269"/>
      <c r="FF106" s="251"/>
      <c r="FG106" s="251"/>
      <c r="FH106" s="243"/>
      <c r="FI106" s="269"/>
      <c r="FK106" s="252"/>
      <c r="FL106" s="269"/>
      <c r="FO106" s="251"/>
      <c r="FP106" s="251"/>
      <c r="FQ106" s="243"/>
      <c r="FR106" s="269"/>
      <c r="FT106" s="252"/>
      <c r="FU106" s="269"/>
      <c r="FX106" s="251"/>
      <c r="FY106" s="251"/>
      <c r="FZ106" s="243"/>
      <c r="GA106" s="269"/>
      <c r="GC106" s="252"/>
      <c r="GD106" s="269"/>
      <c r="GG106" s="251"/>
      <c r="GH106" s="251"/>
      <c r="GI106" s="243"/>
      <c r="GJ106" s="269"/>
      <c r="GL106" s="252"/>
      <c r="GM106" s="269"/>
      <c r="GP106" s="251"/>
      <c r="GQ106" s="251"/>
      <c r="GR106" s="243"/>
      <c r="GS106" s="269"/>
      <c r="GU106" s="252"/>
      <c r="GV106" s="269"/>
      <c r="GY106" s="251"/>
      <c r="GZ106" s="251"/>
      <c r="HA106" s="243"/>
      <c r="HB106" s="269"/>
      <c r="HD106" s="252"/>
      <c r="HE106" s="269"/>
      <c r="HH106" s="251"/>
      <c r="HI106" s="251"/>
      <c r="HJ106" s="243"/>
      <c r="HK106" s="269"/>
      <c r="HM106" s="252"/>
      <c r="HN106" s="269"/>
      <c r="HQ106" s="251"/>
      <c r="HR106" s="251"/>
      <c r="HS106" s="243"/>
      <c r="HT106" s="269"/>
      <c r="HV106" s="252"/>
      <c r="HW106" s="269"/>
      <c r="HZ106" s="251"/>
      <c r="IA106" s="251"/>
      <c r="IB106" s="243"/>
    </row>
    <row r="107" spans="2:236" s="247" customFormat="1" ht="12.75">
      <c r="B107" s="295"/>
      <c r="C107" s="251"/>
      <c r="D107" s="251"/>
      <c r="E107" s="289"/>
      <c r="F107" s="359"/>
      <c r="H107" s="246"/>
      <c r="I107" s="243"/>
      <c r="J107" s="251"/>
      <c r="K107" s="251"/>
      <c r="L107" s="243"/>
      <c r="N107" s="252"/>
      <c r="O107" s="269"/>
      <c r="R107" s="251"/>
      <c r="S107" s="251"/>
      <c r="T107" s="243"/>
      <c r="U107" s="269"/>
      <c r="W107" s="252"/>
      <c r="X107" s="269"/>
      <c r="AA107" s="251"/>
      <c r="AB107" s="251"/>
      <c r="AC107" s="243"/>
      <c r="AD107" s="269"/>
      <c r="AF107" s="252"/>
      <c r="AG107" s="269"/>
      <c r="AJ107" s="251"/>
      <c r="AK107" s="251"/>
      <c r="AL107" s="243"/>
      <c r="AM107" s="269"/>
      <c r="AO107" s="252"/>
      <c r="AP107" s="269"/>
      <c r="AS107" s="251"/>
      <c r="AT107" s="251"/>
      <c r="AU107" s="243"/>
      <c r="AV107" s="269"/>
      <c r="AX107" s="252"/>
      <c r="AY107" s="269"/>
      <c r="BB107" s="251"/>
      <c r="BC107" s="251"/>
      <c r="BD107" s="243"/>
      <c r="BE107" s="269"/>
      <c r="BG107" s="252"/>
      <c r="BH107" s="269"/>
      <c r="BK107" s="251"/>
      <c r="BL107" s="251"/>
      <c r="BM107" s="243"/>
      <c r="BN107" s="269"/>
      <c r="BP107" s="252"/>
      <c r="BQ107" s="269"/>
      <c r="BT107" s="251"/>
      <c r="BU107" s="251"/>
      <c r="BV107" s="243"/>
      <c r="BW107" s="269"/>
      <c r="BY107" s="252"/>
      <c r="BZ107" s="269"/>
      <c r="CC107" s="251"/>
      <c r="CD107" s="251"/>
      <c r="CE107" s="243"/>
      <c r="CF107" s="269"/>
      <c r="CH107" s="252"/>
      <c r="CI107" s="269"/>
      <c r="CL107" s="251"/>
      <c r="CM107" s="251"/>
      <c r="CN107" s="243"/>
      <c r="CO107" s="269"/>
      <c r="CQ107" s="252"/>
      <c r="CR107" s="269"/>
      <c r="CU107" s="251"/>
      <c r="CV107" s="251"/>
      <c r="CW107" s="243"/>
      <c r="CX107" s="269"/>
      <c r="CZ107" s="252"/>
      <c r="DA107" s="269"/>
      <c r="DD107" s="251"/>
      <c r="DE107" s="251"/>
      <c r="DF107" s="243"/>
      <c r="DG107" s="269"/>
      <c r="DI107" s="252"/>
      <c r="DJ107" s="269"/>
      <c r="DM107" s="251"/>
      <c r="DN107" s="251"/>
      <c r="DO107" s="243"/>
      <c r="DP107" s="269"/>
      <c r="DR107" s="252"/>
      <c r="DS107" s="269"/>
      <c r="DV107" s="251"/>
      <c r="DW107" s="251"/>
      <c r="DX107" s="243"/>
      <c r="DY107" s="269"/>
      <c r="EA107" s="252"/>
      <c r="EB107" s="269"/>
      <c r="EE107" s="251"/>
      <c r="EF107" s="251"/>
      <c r="EG107" s="243"/>
      <c r="EH107" s="269"/>
      <c r="EJ107" s="252"/>
      <c r="EK107" s="269"/>
      <c r="EN107" s="251"/>
      <c r="EO107" s="251"/>
      <c r="EP107" s="243"/>
      <c r="EQ107" s="269"/>
      <c r="ES107" s="252"/>
      <c r="ET107" s="269"/>
      <c r="EW107" s="251"/>
      <c r="EX107" s="251"/>
      <c r="EY107" s="243"/>
      <c r="EZ107" s="269"/>
      <c r="FB107" s="252"/>
      <c r="FC107" s="269"/>
      <c r="FF107" s="251"/>
      <c r="FG107" s="251"/>
      <c r="FH107" s="243"/>
      <c r="FI107" s="269"/>
      <c r="FK107" s="252"/>
      <c r="FL107" s="269"/>
      <c r="FO107" s="251"/>
      <c r="FP107" s="251"/>
      <c r="FQ107" s="243"/>
      <c r="FR107" s="269"/>
      <c r="FT107" s="252"/>
      <c r="FU107" s="269"/>
      <c r="FX107" s="251"/>
      <c r="FY107" s="251"/>
      <c r="FZ107" s="243"/>
      <c r="GA107" s="269"/>
      <c r="GC107" s="252"/>
      <c r="GD107" s="269"/>
      <c r="GG107" s="251"/>
      <c r="GH107" s="251"/>
      <c r="GI107" s="243"/>
      <c r="GJ107" s="269"/>
      <c r="GL107" s="252"/>
      <c r="GM107" s="269"/>
      <c r="GP107" s="251"/>
      <c r="GQ107" s="251"/>
      <c r="GR107" s="243"/>
      <c r="GS107" s="269"/>
      <c r="GU107" s="252"/>
      <c r="GV107" s="269"/>
      <c r="GY107" s="251"/>
      <c r="GZ107" s="251"/>
      <c r="HA107" s="243"/>
      <c r="HB107" s="269"/>
      <c r="HD107" s="252"/>
      <c r="HE107" s="269"/>
      <c r="HH107" s="251"/>
      <c r="HI107" s="251"/>
      <c r="HJ107" s="243"/>
      <c r="HK107" s="269"/>
      <c r="HM107" s="252"/>
      <c r="HN107" s="269"/>
      <c r="HQ107" s="251"/>
      <c r="HR107" s="251"/>
      <c r="HS107" s="243"/>
      <c r="HT107" s="269"/>
      <c r="HV107" s="252"/>
      <c r="HW107" s="269"/>
      <c r="HZ107" s="251"/>
      <c r="IA107" s="251"/>
      <c r="IB107" s="243"/>
    </row>
    <row r="108" spans="2:236" s="247" customFormat="1" ht="12.75">
      <c r="B108" s="295"/>
      <c r="C108" s="270" t="s">
        <v>199</v>
      </c>
      <c r="D108" s="251"/>
      <c r="E108" s="289"/>
      <c r="F108" s="360"/>
      <c r="H108" s="246"/>
      <c r="I108" s="243"/>
      <c r="J108" s="251"/>
      <c r="K108" s="251"/>
      <c r="L108" s="243"/>
      <c r="N108" s="252"/>
      <c r="O108" s="269"/>
      <c r="R108" s="251"/>
      <c r="S108" s="251"/>
      <c r="T108" s="243"/>
      <c r="U108" s="269"/>
      <c r="W108" s="252"/>
      <c r="X108" s="269"/>
      <c r="AA108" s="251"/>
      <c r="AB108" s="251"/>
      <c r="AC108" s="243"/>
      <c r="AD108" s="269"/>
      <c r="AF108" s="252"/>
      <c r="AG108" s="269"/>
      <c r="AJ108" s="251"/>
      <c r="AK108" s="251"/>
      <c r="AL108" s="243"/>
      <c r="AM108" s="269"/>
      <c r="AO108" s="252"/>
      <c r="AP108" s="269"/>
      <c r="AS108" s="251"/>
      <c r="AT108" s="251"/>
      <c r="AU108" s="243"/>
      <c r="AV108" s="269"/>
      <c r="AX108" s="252"/>
      <c r="AY108" s="269"/>
      <c r="BB108" s="251"/>
      <c r="BC108" s="251"/>
      <c r="BD108" s="243"/>
      <c r="BE108" s="269"/>
      <c r="BG108" s="252"/>
      <c r="BH108" s="269"/>
      <c r="BK108" s="251"/>
      <c r="BL108" s="251"/>
      <c r="BM108" s="243"/>
      <c r="BN108" s="269"/>
      <c r="BP108" s="252"/>
      <c r="BQ108" s="269"/>
      <c r="BT108" s="251"/>
      <c r="BU108" s="251"/>
      <c r="BV108" s="243"/>
      <c r="BW108" s="269"/>
      <c r="BY108" s="252"/>
      <c r="BZ108" s="269"/>
      <c r="CC108" s="251"/>
      <c r="CD108" s="251"/>
      <c r="CE108" s="243"/>
      <c r="CF108" s="269"/>
      <c r="CH108" s="252"/>
      <c r="CI108" s="269"/>
      <c r="CL108" s="251"/>
      <c r="CM108" s="251"/>
      <c r="CN108" s="243"/>
      <c r="CO108" s="269"/>
      <c r="CQ108" s="252"/>
      <c r="CR108" s="269"/>
      <c r="CU108" s="251"/>
      <c r="CV108" s="251"/>
      <c r="CW108" s="243"/>
      <c r="CX108" s="269"/>
      <c r="CZ108" s="252"/>
      <c r="DA108" s="269"/>
      <c r="DD108" s="251"/>
      <c r="DE108" s="251"/>
      <c r="DF108" s="243"/>
      <c r="DG108" s="269"/>
      <c r="DI108" s="252"/>
      <c r="DJ108" s="269"/>
      <c r="DM108" s="251"/>
      <c r="DN108" s="251"/>
      <c r="DO108" s="243"/>
      <c r="DP108" s="269"/>
      <c r="DR108" s="252"/>
      <c r="DS108" s="269"/>
      <c r="DV108" s="251"/>
      <c r="DW108" s="251"/>
      <c r="DX108" s="243"/>
      <c r="DY108" s="269"/>
      <c r="EA108" s="252"/>
      <c r="EB108" s="269"/>
      <c r="EE108" s="251"/>
      <c r="EF108" s="251"/>
      <c r="EG108" s="243"/>
      <c r="EH108" s="269"/>
      <c r="EJ108" s="252"/>
      <c r="EK108" s="269"/>
      <c r="EN108" s="251"/>
      <c r="EO108" s="251"/>
      <c r="EP108" s="243"/>
      <c r="EQ108" s="269"/>
      <c r="ES108" s="252"/>
      <c r="ET108" s="269"/>
      <c r="EW108" s="251"/>
      <c r="EX108" s="251"/>
      <c r="EY108" s="243"/>
      <c r="EZ108" s="269"/>
      <c r="FB108" s="252"/>
      <c r="FC108" s="269"/>
      <c r="FF108" s="251"/>
      <c r="FG108" s="251"/>
      <c r="FH108" s="243"/>
      <c r="FI108" s="269"/>
      <c r="FK108" s="252"/>
      <c r="FL108" s="269"/>
      <c r="FO108" s="251"/>
      <c r="FP108" s="251"/>
      <c r="FQ108" s="243"/>
      <c r="FR108" s="269"/>
      <c r="FT108" s="252"/>
      <c r="FU108" s="269"/>
      <c r="FX108" s="251"/>
      <c r="FY108" s="251"/>
      <c r="FZ108" s="243"/>
      <c r="GA108" s="269"/>
      <c r="GC108" s="252"/>
      <c r="GD108" s="269"/>
      <c r="GG108" s="251"/>
      <c r="GH108" s="251"/>
      <c r="GI108" s="243"/>
      <c r="GJ108" s="269"/>
      <c r="GL108" s="252"/>
      <c r="GM108" s="269"/>
      <c r="GP108" s="251"/>
      <c r="GQ108" s="251"/>
      <c r="GR108" s="243"/>
      <c r="GS108" s="269"/>
      <c r="GU108" s="252"/>
      <c r="GV108" s="269"/>
      <c r="GY108" s="251"/>
      <c r="GZ108" s="251"/>
      <c r="HA108" s="243"/>
      <c r="HB108" s="269"/>
      <c r="HD108" s="252"/>
      <c r="HE108" s="269"/>
      <c r="HH108" s="251"/>
      <c r="HI108" s="251"/>
      <c r="HJ108" s="243"/>
      <c r="HK108" s="269"/>
      <c r="HM108" s="252"/>
      <c r="HN108" s="269"/>
      <c r="HQ108" s="251"/>
      <c r="HR108" s="251"/>
      <c r="HS108" s="243"/>
      <c r="HT108" s="269"/>
      <c r="HV108" s="252"/>
      <c r="HW108" s="269"/>
      <c r="HZ108" s="251"/>
      <c r="IA108" s="251"/>
      <c r="IB108" s="243"/>
    </row>
    <row r="109" spans="2:236" s="247" customFormat="1" ht="12.75">
      <c r="B109" s="295"/>
      <c r="C109" s="366" t="s">
        <v>210</v>
      </c>
      <c r="D109" s="251"/>
      <c r="E109" s="289"/>
      <c r="F109" s="360">
        <v>1</v>
      </c>
      <c r="G109" s="247" t="s">
        <v>130</v>
      </c>
      <c r="H109" s="246"/>
      <c r="I109" s="243"/>
      <c r="J109" s="251"/>
      <c r="K109" s="251"/>
      <c r="L109" s="243"/>
      <c r="N109" s="252"/>
      <c r="O109" s="269"/>
      <c r="R109" s="251"/>
      <c r="S109" s="251"/>
      <c r="T109" s="243"/>
      <c r="U109" s="269"/>
      <c r="W109" s="252"/>
      <c r="X109" s="269"/>
      <c r="AA109" s="251"/>
      <c r="AB109" s="251"/>
      <c r="AC109" s="243"/>
      <c r="AD109" s="269"/>
      <c r="AF109" s="252"/>
      <c r="AG109" s="269"/>
      <c r="AJ109" s="251"/>
      <c r="AK109" s="251"/>
      <c r="AL109" s="243"/>
      <c r="AM109" s="269"/>
      <c r="AO109" s="252"/>
      <c r="AP109" s="269"/>
      <c r="AS109" s="251"/>
      <c r="AT109" s="251"/>
      <c r="AU109" s="243"/>
      <c r="AV109" s="269"/>
      <c r="AX109" s="252"/>
      <c r="AY109" s="269"/>
      <c r="BB109" s="251"/>
      <c r="BC109" s="251"/>
      <c r="BD109" s="243"/>
      <c r="BE109" s="269"/>
      <c r="BG109" s="252"/>
      <c r="BH109" s="269"/>
      <c r="BK109" s="251"/>
      <c r="BL109" s="251"/>
      <c r="BM109" s="243"/>
      <c r="BN109" s="269"/>
      <c r="BP109" s="252"/>
      <c r="BQ109" s="269"/>
      <c r="BT109" s="251"/>
      <c r="BU109" s="251"/>
      <c r="BV109" s="243"/>
      <c r="BW109" s="269"/>
      <c r="BY109" s="252"/>
      <c r="BZ109" s="269"/>
      <c r="CC109" s="251"/>
      <c r="CD109" s="251"/>
      <c r="CE109" s="243"/>
      <c r="CF109" s="269"/>
      <c r="CH109" s="252"/>
      <c r="CI109" s="269"/>
      <c r="CL109" s="251"/>
      <c r="CM109" s="251"/>
      <c r="CN109" s="243"/>
      <c r="CO109" s="269"/>
      <c r="CQ109" s="252"/>
      <c r="CR109" s="269"/>
      <c r="CU109" s="251"/>
      <c r="CV109" s="251"/>
      <c r="CW109" s="243"/>
      <c r="CX109" s="269"/>
      <c r="CZ109" s="252"/>
      <c r="DA109" s="269"/>
      <c r="DD109" s="251"/>
      <c r="DE109" s="251"/>
      <c r="DF109" s="243"/>
      <c r="DG109" s="269"/>
      <c r="DI109" s="252"/>
      <c r="DJ109" s="269"/>
      <c r="DM109" s="251"/>
      <c r="DN109" s="251"/>
      <c r="DO109" s="243"/>
      <c r="DP109" s="269"/>
      <c r="DR109" s="252"/>
      <c r="DS109" s="269"/>
      <c r="DV109" s="251"/>
      <c r="DW109" s="251"/>
      <c r="DX109" s="243"/>
      <c r="DY109" s="269"/>
      <c r="EA109" s="252"/>
      <c r="EB109" s="269"/>
      <c r="EE109" s="251"/>
      <c r="EF109" s="251"/>
      <c r="EG109" s="243"/>
      <c r="EH109" s="269"/>
      <c r="EJ109" s="252"/>
      <c r="EK109" s="269"/>
      <c r="EN109" s="251"/>
      <c r="EO109" s="251"/>
      <c r="EP109" s="243"/>
      <c r="EQ109" s="269"/>
      <c r="ES109" s="252"/>
      <c r="ET109" s="269"/>
      <c r="EW109" s="251"/>
      <c r="EX109" s="251"/>
      <c r="EY109" s="243"/>
      <c r="EZ109" s="269"/>
      <c r="FB109" s="252"/>
      <c r="FC109" s="269"/>
      <c r="FF109" s="251"/>
      <c r="FG109" s="251"/>
      <c r="FH109" s="243"/>
      <c r="FI109" s="269"/>
      <c r="FK109" s="252"/>
      <c r="FL109" s="269"/>
      <c r="FO109" s="251"/>
      <c r="FP109" s="251"/>
      <c r="FQ109" s="243"/>
      <c r="FR109" s="269"/>
      <c r="FT109" s="252"/>
      <c r="FU109" s="269"/>
      <c r="FX109" s="251"/>
      <c r="FY109" s="251"/>
      <c r="FZ109" s="243"/>
      <c r="GA109" s="269"/>
      <c r="GC109" s="252"/>
      <c r="GD109" s="269"/>
      <c r="GG109" s="251"/>
      <c r="GH109" s="251"/>
      <c r="GI109" s="243"/>
      <c r="GJ109" s="269"/>
      <c r="GL109" s="252"/>
      <c r="GM109" s="269"/>
      <c r="GP109" s="251"/>
      <c r="GQ109" s="251"/>
      <c r="GR109" s="243"/>
      <c r="GS109" s="269"/>
      <c r="GU109" s="252"/>
      <c r="GV109" s="269"/>
      <c r="GY109" s="251"/>
      <c r="GZ109" s="251"/>
      <c r="HA109" s="243"/>
      <c r="HB109" s="269"/>
      <c r="HD109" s="252"/>
      <c r="HE109" s="269"/>
      <c r="HH109" s="251"/>
      <c r="HI109" s="251"/>
      <c r="HJ109" s="243"/>
      <c r="HK109" s="269"/>
      <c r="HM109" s="252"/>
      <c r="HN109" s="269"/>
      <c r="HQ109" s="251"/>
      <c r="HR109" s="251"/>
      <c r="HS109" s="243"/>
      <c r="HT109" s="269"/>
      <c r="HV109" s="252"/>
      <c r="HW109" s="269"/>
      <c r="HZ109" s="251"/>
      <c r="IA109" s="251"/>
      <c r="IB109" s="243"/>
    </row>
    <row r="110" spans="2:236" s="247" customFormat="1" ht="12.75">
      <c r="B110" s="295"/>
      <c r="C110" s="366" t="s">
        <v>133</v>
      </c>
      <c r="D110" s="251"/>
      <c r="E110" s="289"/>
      <c r="F110" s="360">
        <v>1</v>
      </c>
      <c r="G110" s="247" t="s">
        <v>130</v>
      </c>
      <c r="H110" s="246"/>
      <c r="I110" s="243"/>
      <c r="J110" s="251"/>
      <c r="K110" s="251"/>
      <c r="L110" s="243"/>
      <c r="N110" s="252"/>
      <c r="O110" s="269"/>
      <c r="R110" s="251"/>
      <c r="S110" s="251"/>
      <c r="T110" s="243"/>
      <c r="U110" s="269"/>
      <c r="W110" s="252"/>
      <c r="X110" s="269"/>
      <c r="AA110" s="251"/>
      <c r="AB110" s="251"/>
      <c r="AC110" s="243"/>
      <c r="AD110" s="269"/>
      <c r="AF110" s="252"/>
      <c r="AG110" s="269"/>
      <c r="AJ110" s="251"/>
      <c r="AK110" s="251"/>
      <c r="AL110" s="243"/>
      <c r="AM110" s="269"/>
      <c r="AO110" s="252"/>
      <c r="AP110" s="269"/>
      <c r="AS110" s="251"/>
      <c r="AT110" s="251"/>
      <c r="AU110" s="243"/>
      <c r="AV110" s="269"/>
      <c r="AX110" s="252"/>
      <c r="AY110" s="269"/>
      <c r="BB110" s="251"/>
      <c r="BC110" s="251"/>
      <c r="BD110" s="243"/>
      <c r="BE110" s="269"/>
      <c r="BG110" s="252"/>
      <c r="BH110" s="269"/>
      <c r="BK110" s="251"/>
      <c r="BL110" s="251"/>
      <c r="BM110" s="243"/>
      <c r="BN110" s="269"/>
      <c r="BP110" s="252"/>
      <c r="BQ110" s="269"/>
      <c r="BT110" s="251"/>
      <c r="BU110" s="251"/>
      <c r="BV110" s="243"/>
      <c r="BW110" s="269"/>
      <c r="BY110" s="252"/>
      <c r="BZ110" s="269"/>
      <c r="CC110" s="251"/>
      <c r="CD110" s="251"/>
      <c r="CE110" s="243"/>
      <c r="CF110" s="269"/>
      <c r="CH110" s="252"/>
      <c r="CI110" s="269"/>
      <c r="CL110" s="251"/>
      <c r="CM110" s="251"/>
      <c r="CN110" s="243"/>
      <c r="CO110" s="269"/>
      <c r="CQ110" s="252"/>
      <c r="CR110" s="269"/>
      <c r="CU110" s="251"/>
      <c r="CV110" s="251"/>
      <c r="CW110" s="243"/>
      <c r="CX110" s="269"/>
      <c r="CZ110" s="252"/>
      <c r="DA110" s="269"/>
      <c r="DD110" s="251"/>
      <c r="DE110" s="251"/>
      <c r="DF110" s="243"/>
      <c r="DG110" s="269"/>
      <c r="DI110" s="252"/>
      <c r="DJ110" s="269"/>
      <c r="DM110" s="251"/>
      <c r="DN110" s="251"/>
      <c r="DO110" s="243"/>
      <c r="DP110" s="269"/>
      <c r="DR110" s="252"/>
      <c r="DS110" s="269"/>
      <c r="DV110" s="251"/>
      <c r="DW110" s="251"/>
      <c r="DX110" s="243"/>
      <c r="DY110" s="269"/>
      <c r="EA110" s="252"/>
      <c r="EB110" s="269"/>
      <c r="EE110" s="251"/>
      <c r="EF110" s="251"/>
      <c r="EG110" s="243"/>
      <c r="EH110" s="269"/>
      <c r="EJ110" s="252"/>
      <c r="EK110" s="269"/>
      <c r="EN110" s="251"/>
      <c r="EO110" s="251"/>
      <c r="EP110" s="243"/>
      <c r="EQ110" s="269"/>
      <c r="ES110" s="252"/>
      <c r="ET110" s="269"/>
      <c r="EW110" s="251"/>
      <c r="EX110" s="251"/>
      <c r="EY110" s="243"/>
      <c r="EZ110" s="269"/>
      <c r="FB110" s="252"/>
      <c r="FC110" s="269"/>
      <c r="FF110" s="251"/>
      <c r="FG110" s="251"/>
      <c r="FH110" s="243"/>
      <c r="FI110" s="269"/>
      <c r="FK110" s="252"/>
      <c r="FL110" s="269"/>
      <c r="FO110" s="251"/>
      <c r="FP110" s="251"/>
      <c r="FQ110" s="243"/>
      <c r="FR110" s="269"/>
      <c r="FT110" s="252"/>
      <c r="FU110" s="269"/>
      <c r="FX110" s="251"/>
      <c r="FY110" s="251"/>
      <c r="FZ110" s="243"/>
      <c r="GA110" s="269"/>
      <c r="GC110" s="252"/>
      <c r="GD110" s="269"/>
      <c r="GG110" s="251"/>
      <c r="GH110" s="251"/>
      <c r="GI110" s="243"/>
      <c r="GJ110" s="269"/>
      <c r="GL110" s="252"/>
      <c r="GM110" s="269"/>
      <c r="GP110" s="251"/>
      <c r="GQ110" s="251"/>
      <c r="GR110" s="243"/>
      <c r="GS110" s="269"/>
      <c r="GU110" s="252"/>
      <c r="GV110" s="269"/>
      <c r="GY110" s="251"/>
      <c r="GZ110" s="251"/>
      <c r="HA110" s="243"/>
      <c r="HB110" s="269"/>
      <c r="HD110" s="252"/>
      <c r="HE110" s="269"/>
      <c r="HH110" s="251"/>
      <c r="HI110" s="251"/>
      <c r="HJ110" s="243"/>
      <c r="HK110" s="269"/>
      <c r="HM110" s="252"/>
      <c r="HN110" s="269"/>
      <c r="HQ110" s="251"/>
      <c r="HR110" s="251"/>
      <c r="HS110" s="243"/>
      <c r="HT110" s="269"/>
      <c r="HV110" s="252"/>
      <c r="HW110" s="269"/>
      <c r="HZ110" s="251"/>
      <c r="IA110" s="251"/>
      <c r="IB110" s="243"/>
    </row>
    <row r="111" spans="2:236" s="247" customFormat="1" ht="12.75">
      <c r="B111" s="295"/>
      <c r="C111" s="366" t="s">
        <v>200</v>
      </c>
      <c r="D111" s="251"/>
      <c r="E111" s="289"/>
      <c r="F111" s="360">
        <v>1</v>
      </c>
      <c r="G111" s="247" t="s">
        <v>130</v>
      </c>
      <c r="H111" s="246"/>
      <c r="I111" s="243"/>
      <c r="J111" s="251"/>
      <c r="K111" s="251"/>
      <c r="L111" s="243"/>
      <c r="N111" s="252"/>
      <c r="O111" s="269"/>
      <c r="R111" s="251"/>
      <c r="S111" s="251"/>
      <c r="T111" s="243"/>
      <c r="U111" s="269"/>
      <c r="W111" s="252"/>
      <c r="X111" s="269"/>
      <c r="AA111" s="251"/>
      <c r="AB111" s="251"/>
      <c r="AC111" s="243"/>
      <c r="AD111" s="269"/>
      <c r="AF111" s="252"/>
      <c r="AG111" s="269"/>
      <c r="AJ111" s="251"/>
      <c r="AK111" s="251"/>
      <c r="AL111" s="243"/>
      <c r="AM111" s="269"/>
      <c r="AO111" s="252"/>
      <c r="AP111" s="269"/>
      <c r="AS111" s="251"/>
      <c r="AT111" s="251"/>
      <c r="AU111" s="243"/>
      <c r="AV111" s="269"/>
      <c r="AX111" s="252"/>
      <c r="AY111" s="269"/>
      <c r="BB111" s="251"/>
      <c r="BC111" s="251"/>
      <c r="BD111" s="243"/>
      <c r="BE111" s="269"/>
      <c r="BG111" s="252"/>
      <c r="BH111" s="269"/>
      <c r="BK111" s="251"/>
      <c r="BL111" s="251"/>
      <c r="BM111" s="243"/>
      <c r="BN111" s="269"/>
      <c r="BP111" s="252"/>
      <c r="BQ111" s="269"/>
      <c r="BT111" s="251"/>
      <c r="BU111" s="251"/>
      <c r="BV111" s="243"/>
      <c r="BW111" s="269"/>
      <c r="BY111" s="252"/>
      <c r="BZ111" s="269"/>
      <c r="CC111" s="251"/>
      <c r="CD111" s="251"/>
      <c r="CE111" s="243"/>
      <c r="CF111" s="269"/>
      <c r="CH111" s="252"/>
      <c r="CI111" s="269"/>
      <c r="CL111" s="251"/>
      <c r="CM111" s="251"/>
      <c r="CN111" s="243"/>
      <c r="CO111" s="269"/>
      <c r="CQ111" s="252"/>
      <c r="CR111" s="269"/>
      <c r="CU111" s="251"/>
      <c r="CV111" s="251"/>
      <c r="CW111" s="243"/>
      <c r="CX111" s="269"/>
      <c r="CZ111" s="252"/>
      <c r="DA111" s="269"/>
      <c r="DD111" s="251"/>
      <c r="DE111" s="251"/>
      <c r="DF111" s="243"/>
      <c r="DG111" s="269"/>
      <c r="DI111" s="252"/>
      <c r="DJ111" s="269"/>
      <c r="DM111" s="251"/>
      <c r="DN111" s="251"/>
      <c r="DO111" s="243"/>
      <c r="DP111" s="269"/>
      <c r="DR111" s="252"/>
      <c r="DS111" s="269"/>
      <c r="DV111" s="251"/>
      <c r="DW111" s="251"/>
      <c r="DX111" s="243"/>
      <c r="DY111" s="269"/>
      <c r="EA111" s="252"/>
      <c r="EB111" s="269"/>
      <c r="EE111" s="251"/>
      <c r="EF111" s="251"/>
      <c r="EG111" s="243"/>
      <c r="EH111" s="269"/>
      <c r="EJ111" s="252"/>
      <c r="EK111" s="269"/>
      <c r="EN111" s="251"/>
      <c r="EO111" s="251"/>
      <c r="EP111" s="243"/>
      <c r="EQ111" s="269"/>
      <c r="ES111" s="252"/>
      <c r="ET111" s="269"/>
      <c r="EW111" s="251"/>
      <c r="EX111" s="251"/>
      <c r="EY111" s="243"/>
      <c r="EZ111" s="269"/>
      <c r="FB111" s="252"/>
      <c r="FC111" s="269"/>
      <c r="FF111" s="251"/>
      <c r="FG111" s="251"/>
      <c r="FH111" s="243"/>
      <c r="FI111" s="269"/>
      <c r="FK111" s="252"/>
      <c r="FL111" s="269"/>
      <c r="FO111" s="251"/>
      <c r="FP111" s="251"/>
      <c r="FQ111" s="243"/>
      <c r="FR111" s="269"/>
      <c r="FT111" s="252"/>
      <c r="FU111" s="269"/>
      <c r="FX111" s="251"/>
      <c r="FY111" s="251"/>
      <c r="FZ111" s="243"/>
      <c r="GA111" s="269"/>
      <c r="GC111" s="252"/>
      <c r="GD111" s="269"/>
      <c r="GG111" s="251"/>
      <c r="GH111" s="251"/>
      <c r="GI111" s="243"/>
      <c r="GJ111" s="269"/>
      <c r="GL111" s="252"/>
      <c r="GM111" s="269"/>
      <c r="GP111" s="251"/>
      <c r="GQ111" s="251"/>
      <c r="GR111" s="243"/>
      <c r="GS111" s="269"/>
      <c r="GU111" s="252"/>
      <c r="GV111" s="269"/>
      <c r="GY111" s="251"/>
      <c r="GZ111" s="251"/>
      <c r="HA111" s="243"/>
      <c r="HB111" s="269"/>
      <c r="HD111" s="252"/>
      <c r="HE111" s="269"/>
      <c r="HH111" s="251"/>
      <c r="HI111" s="251"/>
      <c r="HJ111" s="243"/>
      <c r="HK111" s="269"/>
      <c r="HM111" s="252"/>
      <c r="HN111" s="269"/>
      <c r="HQ111" s="251"/>
      <c r="HR111" s="251"/>
      <c r="HS111" s="243"/>
      <c r="HT111" s="269"/>
      <c r="HV111" s="252"/>
      <c r="HW111" s="269"/>
      <c r="HZ111" s="251"/>
      <c r="IA111" s="251"/>
      <c r="IB111" s="243"/>
    </row>
    <row r="112" spans="2:236" s="247" customFormat="1" ht="12.75">
      <c r="B112" s="295"/>
      <c r="C112" s="366" t="s">
        <v>201</v>
      </c>
      <c r="D112" s="251"/>
      <c r="E112" s="289"/>
      <c r="F112" s="360">
        <v>1</v>
      </c>
      <c r="G112" s="247" t="s">
        <v>130</v>
      </c>
      <c r="H112" s="246"/>
      <c r="I112" s="243"/>
      <c r="J112" s="251"/>
      <c r="K112" s="251"/>
      <c r="L112" s="243"/>
      <c r="N112" s="252"/>
      <c r="O112" s="269"/>
      <c r="R112" s="251"/>
      <c r="S112" s="251"/>
      <c r="T112" s="243"/>
      <c r="U112" s="269"/>
      <c r="W112" s="252"/>
      <c r="X112" s="269"/>
      <c r="AA112" s="251"/>
      <c r="AB112" s="251"/>
      <c r="AC112" s="243"/>
      <c r="AD112" s="269"/>
      <c r="AF112" s="252"/>
      <c r="AG112" s="269"/>
      <c r="AJ112" s="251"/>
      <c r="AK112" s="251"/>
      <c r="AL112" s="243"/>
      <c r="AM112" s="269"/>
      <c r="AO112" s="252"/>
      <c r="AP112" s="269"/>
      <c r="AS112" s="251"/>
      <c r="AT112" s="251"/>
      <c r="AU112" s="243"/>
      <c r="AV112" s="269"/>
      <c r="AX112" s="252"/>
      <c r="AY112" s="269"/>
      <c r="BB112" s="251"/>
      <c r="BC112" s="251"/>
      <c r="BD112" s="243"/>
      <c r="BE112" s="269"/>
      <c r="BG112" s="252"/>
      <c r="BH112" s="269"/>
      <c r="BK112" s="251"/>
      <c r="BL112" s="251"/>
      <c r="BM112" s="243"/>
      <c r="BN112" s="269"/>
      <c r="BP112" s="252"/>
      <c r="BQ112" s="269"/>
      <c r="BT112" s="251"/>
      <c r="BU112" s="251"/>
      <c r="BV112" s="243"/>
      <c r="BW112" s="269"/>
      <c r="BY112" s="252"/>
      <c r="BZ112" s="269"/>
      <c r="CC112" s="251"/>
      <c r="CD112" s="251"/>
      <c r="CE112" s="243"/>
      <c r="CF112" s="269"/>
      <c r="CH112" s="252"/>
      <c r="CI112" s="269"/>
      <c r="CL112" s="251"/>
      <c r="CM112" s="251"/>
      <c r="CN112" s="243"/>
      <c r="CO112" s="269"/>
      <c r="CQ112" s="252"/>
      <c r="CR112" s="269"/>
      <c r="CU112" s="251"/>
      <c r="CV112" s="251"/>
      <c r="CW112" s="243"/>
      <c r="CX112" s="269"/>
      <c r="CZ112" s="252"/>
      <c r="DA112" s="269"/>
      <c r="DD112" s="251"/>
      <c r="DE112" s="251"/>
      <c r="DF112" s="243"/>
      <c r="DG112" s="269"/>
      <c r="DI112" s="252"/>
      <c r="DJ112" s="269"/>
      <c r="DM112" s="251"/>
      <c r="DN112" s="251"/>
      <c r="DO112" s="243"/>
      <c r="DP112" s="269"/>
      <c r="DR112" s="252"/>
      <c r="DS112" s="269"/>
      <c r="DV112" s="251"/>
      <c r="DW112" s="251"/>
      <c r="DX112" s="243"/>
      <c r="DY112" s="269"/>
      <c r="EA112" s="252"/>
      <c r="EB112" s="269"/>
      <c r="EE112" s="251"/>
      <c r="EF112" s="251"/>
      <c r="EG112" s="243"/>
      <c r="EH112" s="269"/>
      <c r="EJ112" s="252"/>
      <c r="EK112" s="269"/>
      <c r="EN112" s="251"/>
      <c r="EO112" s="251"/>
      <c r="EP112" s="243"/>
      <c r="EQ112" s="269"/>
      <c r="ES112" s="252"/>
      <c r="ET112" s="269"/>
      <c r="EW112" s="251"/>
      <c r="EX112" s="251"/>
      <c r="EY112" s="243"/>
      <c r="EZ112" s="269"/>
      <c r="FB112" s="252"/>
      <c r="FC112" s="269"/>
      <c r="FF112" s="251"/>
      <c r="FG112" s="251"/>
      <c r="FH112" s="243"/>
      <c r="FI112" s="269"/>
      <c r="FK112" s="252"/>
      <c r="FL112" s="269"/>
      <c r="FO112" s="251"/>
      <c r="FP112" s="251"/>
      <c r="FQ112" s="243"/>
      <c r="FR112" s="269"/>
      <c r="FT112" s="252"/>
      <c r="FU112" s="269"/>
      <c r="FX112" s="251"/>
      <c r="FY112" s="251"/>
      <c r="FZ112" s="243"/>
      <c r="GA112" s="269"/>
      <c r="GC112" s="252"/>
      <c r="GD112" s="269"/>
      <c r="GG112" s="251"/>
      <c r="GH112" s="251"/>
      <c r="GI112" s="243"/>
      <c r="GJ112" s="269"/>
      <c r="GL112" s="252"/>
      <c r="GM112" s="269"/>
      <c r="GP112" s="251"/>
      <c r="GQ112" s="251"/>
      <c r="GR112" s="243"/>
      <c r="GS112" s="269"/>
      <c r="GU112" s="252"/>
      <c r="GV112" s="269"/>
      <c r="GY112" s="251"/>
      <c r="GZ112" s="251"/>
      <c r="HA112" s="243"/>
      <c r="HB112" s="269"/>
      <c r="HD112" s="252"/>
      <c r="HE112" s="269"/>
      <c r="HH112" s="251"/>
      <c r="HI112" s="251"/>
      <c r="HJ112" s="243"/>
      <c r="HK112" s="269"/>
      <c r="HM112" s="252"/>
      <c r="HN112" s="269"/>
      <c r="HQ112" s="251"/>
      <c r="HR112" s="251"/>
      <c r="HS112" s="243"/>
      <c r="HT112" s="269"/>
      <c r="HV112" s="252"/>
      <c r="HW112" s="269"/>
      <c r="HZ112" s="251"/>
      <c r="IA112" s="251"/>
      <c r="IB112" s="243"/>
    </row>
    <row r="113" spans="2:236" s="247" customFormat="1" ht="13.5" customHeight="1">
      <c r="B113" s="295"/>
      <c r="C113" s="366" t="s">
        <v>135</v>
      </c>
      <c r="D113" s="251"/>
      <c r="E113" s="289"/>
      <c r="F113" s="360">
        <v>2</v>
      </c>
      <c r="G113" s="247" t="s">
        <v>130</v>
      </c>
      <c r="H113" s="246"/>
      <c r="I113" s="243"/>
      <c r="J113" s="251"/>
      <c r="K113" s="251"/>
      <c r="L113" s="243"/>
      <c r="N113" s="252"/>
      <c r="O113" s="269"/>
      <c r="R113" s="251"/>
      <c r="S113" s="251"/>
      <c r="T113" s="243"/>
      <c r="U113" s="269"/>
      <c r="W113" s="252"/>
      <c r="X113" s="269"/>
      <c r="AA113" s="251"/>
      <c r="AB113" s="251"/>
      <c r="AC113" s="243"/>
      <c r="AD113" s="269"/>
      <c r="AF113" s="252"/>
      <c r="AG113" s="269"/>
      <c r="AJ113" s="251"/>
      <c r="AK113" s="251"/>
      <c r="AL113" s="243"/>
      <c r="AM113" s="269"/>
      <c r="AO113" s="252"/>
      <c r="AP113" s="269"/>
      <c r="AS113" s="251"/>
      <c r="AT113" s="251"/>
      <c r="AU113" s="243"/>
      <c r="AV113" s="269"/>
      <c r="AX113" s="252"/>
      <c r="AY113" s="269"/>
      <c r="BB113" s="251"/>
      <c r="BC113" s="251"/>
      <c r="BD113" s="243"/>
      <c r="BE113" s="269"/>
      <c r="BG113" s="252"/>
      <c r="BH113" s="269"/>
      <c r="BK113" s="251"/>
      <c r="BL113" s="251"/>
      <c r="BM113" s="243"/>
      <c r="BN113" s="269"/>
      <c r="BP113" s="252"/>
      <c r="BQ113" s="269"/>
      <c r="BT113" s="251"/>
      <c r="BU113" s="251"/>
      <c r="BV113" s="243"/>
      <c r="BW113" s="269"/>
      <c r="BY113" s="252"/>
      <c r="BZ113" s="269"/>
      <c r="CC113" s="251"/>
      <c r="CD113" s="251"/>
      <c r="CE113" s="243"/>
      <c r="CF113" s="269"/>
      <c r="CH113" s="252"/>
      <c r="CI113" s="269"/>
      <c r="CL113" s="251"/>
      <c r="CM113" s="251"/>
      <c r="CN113" s="243"/>
      <c r="CO113" s="269"/>
      <c r="CQ113" s="252"/>
      <c r="CR113" s="269"/>
      <c r="CU113" s="251"/>
      <c r="CV113" s="251"/>
      <c r="CW113" s="243"/>
      <c r="CX113" s="269"/>
      <c r="CZ113" s="252"/>
      <c r="DA113" s="269"/>
      <c r="DD113" s="251"/>
      <c r="DE113" s="251"/>
      <c r="DF113" s="243"/>
      <c r="DG113" s="269"/>
      <c r="DI113" s="252"/>
      <c r="DJ113" s="269"/>
      <c r="DM113" s="251"/>
      <c r="DN113" s="251"/>
      <c r="DO113" s="243"/>
      <c r="DP113" s="269"/>
      <c r="DR113" s="252"/>
      <c r="DS113" s="269"/>
      <c r="DV113" s="251"/>
      <c r="DW113" s="251"/>
      <c r="DX113" s="243"/>
      <c r="DY113" s="269"/>
      <c r="EA113" s="252"/>
      <c r="EB113" s="269"/>
      <c r="EE113" s="251"/>
      <c r="EF113" s="251"/>
      <c r="EG113" s="243"/>
      <c r="EH113" s="269"/>
      <c r="EJ113" s="252"/>
      <c r="EK113" s="269"/>
      <c r="EN113" s="251"/>
      <c r="EO113" s="251"/>
      <c r="EP113" s="243"/>
      <c r="EQ113" s="269"/>
      <c r="ES113" s="252"/>
      <c r="ET113" s="269"/>
      <c r="EW113" s="251"/>
      <c r="EX113" s="251"/>
      <c r="EY113" s="243"/>
      <c r="EZ113" s="269"/>
      <c r="FB113" s="252"/>
      <c r="FC113" s="269"/>
      <c r="FF113" s="251"/>
      <c r="FG113" s="251"/>
      <c r="FH113" s="243"/>
      <c r="FI113" s="269"/>
      <c r="FK113" s="252"/>
      <c r="FL113" s="269"/>
      <c r="FO113" s="251"/>
      <c r="FP113" s="251"/>
      <c r="FQ113" s="243"/>
      <c r="FR113" s="269"/>
      <c r="FT113" s="252"/>
      <c r="FU113" s="269"/>
      <c r="FX113" s="251"/>
      <c r="FY113" s="251"/>
      <c r="FZ113" s="243"/>
      <c r="GA113" s="269"/>
      <c r="GC113" s="252"/>
      <c r="GD113" s="269"/>
      <c r="GG113" s="251"/>
      <c r="GH113" s="251"/>
      <c r="GI113" s="243"/>
      <c r="GJ113" s="269"/>
      <c r="GL113" s="252"/>
      <c r="GM113" s="269"/>
      <c r="GP113" s="251"/>
      <c r="GQ113" s="251"/>
      <c r="GR113" s="243"/>
      <c r="GS113" s="269"/>
      <c r="GU113" s="252"/>
      <c r="GV113" s="269"/>
      <c r="GY113" s="251"/>
      <c r="GZ113" s="251"/>
      <c r="HA113" s="243"/>
      <c r="HB113" s="269"/>
      <c r="HD113" s="252"/>
      <c r="HE113" s="269"/>
      <c r="HH113" s="251"/>
      <c r="HI113" s="251"/>
      <c r="HJ113" s="243"/>
      <c r="HK113" s="269"/>
      <c r="HM113" s="252"/>
      <c r="HN113" s="269"/>
      <c r="HQ113" s="251"/>
      <c r="HR113" s="251"/>
      <c r="HS113" s="243"/>
      <c r="HT113" s="269"/>
      <c r="HV113" s="252"/>
      <c r="HW113" s="269"/>
      <c r="HZ113" s="251"/>
      <c r="IA113" s="251"/>
      <c r="IB113" s="243"/>
    </row>
    <row r="114" spans="2:236" s="247" customFormat="1" ht="12.75">
      <c r="B114" s="295"/>
      <c r="C114" s="366" t="s">
        <v>136</v>
      </c>
      <c r="D114" s="251"/>
      <c r="E114" s="289"/>
      <c r="F114" s="360">
        <v>1</v>
      </c>
      <c r="G114" s="247" t="s">
        <v>130</v>
      </c>
      <c r="H114" s="246"/>
      <c r="I114" s="243"/>
      <c r="J114" s="251"/>
      <c r="K114" s="251"/>
      <c r="L114" s="243"/>
      <c r="N114" s="252"/>
      <c r="O114" s="269"/>
      <c r="R114" s="251"/>
      <c r="S114" s="251"/>
      <c r="T114" s="243"/>
      <c r="U114" s="269"/>
      <c r="W114" s="252"/>
      <c r="X114" s="269"/>
      <c r="AA114" s="251"/>
      <c r="AB114" s="251"/>
      <c r="AC114" s="243"/>
      <c r="AD114" s="269"/>
      <c r="AF114" s="252"/>
      <c r="AG114" s="269"/>
      <c r="AJ114" s="251"/>
      <c r="AK114" s="251"/>
      <c r="AL114" s="243"/>
      <c r="AM114" s="269"/>
      <c r="AO114" s="252"/>
      <c r="AP114" s="269"/>
      <c r="AS114" s="251"/>
      <c r="AT114" s="251"/>
      <c r="AU114" s="243"/>
      <c r="AV114" s="269"/>
      <c r="AX114" s="252"/>
      <c r="AY114" s="269"/>
      <c r="BB114" s="251"/>
      <c r="BC114" s="251"/>
      <c r="BD114" s="243"/>
      <c r="BE114" s="269"/>
      <c r="BG114" s="252"/>
      <c r="BH114" s="269"/>
      <c r="BK114" s="251"/>
      <c r="BL114" s="251"/>
      <c r="BM114" s="243"/>
      <c r="BN114" s="269"/>
      <c r="BP114" s="252"/>
      <c r="BQ114" s="269"/>
      <c r="BT114" s="251"/>
      <c r="BU114" s="251"/>
      <c r="BV114" s="243"/>
      <c r="BW114" s="269"/>
      <c r="BY114" s="252"/>
      <c r="BZ114" s="269"/>
      <c r="CC114" s="251"/>
      <c r="CD114" s="251"/>
      <c r="CE114" s="243"/>
      <c r="CF114" s="269"/>
      <c r="CH114" s="252"/>
      <c r="CI114" s="269"/>
      <c r="CL114" s="251"/>
      <c r="CM114" s="251"/>
      <c r="CN114" s="243"/>
      <c r="CO114" s="269"/>
      <c r="CQ114" s="252"/>
      <c r="CR114" s="269"/>
      <c r="CU114" s="251"/>
      <c r="CV114" s="251"/>
      <c r="CW114" s="243"/>
      <c r="CX114" s="269"/>
      <c r="CZ114" s="252"/>
      <c r="DA114" s="269"/>
      <c r="DD114" s="251"/>
      <c r="DE114" s="251"/>
      <c r="DF114" s="243"/>
      <c r="DG114" s="269"/>
      <c r="DI114" s="252"/>
      <c r="DJ114" s="269"/>
      <c r="DM114" s="251"/>
      <c r="DN114" s="251"/>
      <c r="DO114" s="243"/>
      <c r="DP114" s="269"/>
      <c r="DR114" s="252"/>
      <c r="DS114" s="269"/>
      <c r="DV114" s="251"/>
      <c r="DW114" s="251"/>
      <c r="DX114" s="243"/>
      <c r="DY114" s="269"/>
      <c r="EA114" s="252"/>
      <c r="EB114" s="269"/>
      <c r="EE114" s="251"/>
      <c r="EF114" s="251"/>
      <c r="EG114" s="243"/>
      <c r="EH114" s="269"/>
      <c r="EJ114" s="252"/>
      <c r="EK114" s="269"/>
      <c r="EN114" s="251"/>
      <c r="EO114" s="251"/>
      <c r="EP114" s="243"/>
      <c r="EQ114" s="269"/>
      <c r="ES114" s="252"/>
      <c r="ET114" s="269"/>
      <c r="EW114" s="251"/>
      <c r="EX114" s="251"/>
      <c r="EY114" s="243"/>
      <c r="EZ114" s="269"/>
      <c r="FB114" s="252"/>
      <c r="FC114" s="269"/>
      <c r="FF114" s="251"/>
      <c r="FG114" s="251"/>
      <c r="FH114" s="243"/>
      <c r="FI114" s="269"/>
      <c r="FK114" s="252"/>
      <c r="FL114" s="269"/>
      <c r="FO114" s="251"/>
      <c r="FP114" s="251"/>
      <c r="FQ114" s="243"/>
      <c r="FR114" s="269"/>
      <c r="FT114" s="252"/>
      <c r="FU114" s="269"/>
      <c r="FX114" s="251"/>
      <c r="FY114" s="251"/>
      <c r="FZ114" s="243"/>
      <c r="GA114" s="269"/>
      <c r="GC114" s="252"/>
      <c r="GD114" s="269"/>
      <c r="GG114" s="251"/>
      <c r="GH114" s="251"/>
      <c r="GI114" s="243"/>
      <c r="GJ114" s="269"/>
      <c r="GL114" s="252"/>
      <c r="GM114" s="269"/>
      <c r="GP114" s="251"/>
      <c r="GQ114" s="251"/>
      <c r="GR114" s="243"/>
      <c r="GS114" s="269"/>
      <c r="GU114" s="252"/>
      <c r="GV114" s="269"/>
      <c r="GY114" s="251"/>
      <c r="GZ114" s="251"/>
      <c r="HA114" s="243"/>
      <c r="HB114" s="269"/>
      <c r="HD114" s="252"/>
      <c r="HE114" s="269"/>
      <c r="HH114" s="251"/>
      <c r="HI114" s="251"/>
      <c r="HJ114" s="243"/>
      <c r="HK114" s="269"/>
      <c r="HM114" s="252"/>
      <c r="HN114" s="269"/>
      <c r="HQ114" s="251"/>
      <c r="HR114" s="251"/>
      <c r="HS114" s="243"/>
      <c r="HT114" s="269"/>
      <c r="HV114" s="252"/>
      <c r="HW114" s="269"/>
      <c r="HZ114" s="251"/>
      <c r="IA114" s="251"/>
      <c r="IB114" s="243"/>
    </row>
    <row r="115" spans="2:236" s="247" customFormat="1" ht="12.75">
      <c r="B115" s="295"/>
      <c r="C115" s="366" t="s">
        <v>202</v>
      </c>
      <c r="D115" s="251"/>
      <c r="E115" s="289"/>
      <c r="F115" s="360">
        <v>1</v>
      </c>
      <c r="G115" s="247" t="s">
        <v>130</v>
      </c>
      <c r="H115" s="246"/>
      <c r="I115" s="243"/>
      <c r="J115" s="251"/>
      <c r="K115" s="251"/>
      <c r="L115" s="243"/>
      <c r="N115" s="252"/>
      <c r="O115" s="269"/>
      <c r="R115" s="251"/>
      <c r="S115" s="251"/>
      <c r="T115" s="243"/>
      <c r="U115" s="269"/>
      <c r="W115" s="252"/>
      <c r="X115" s="269"/>
      <c r="AA115" s="251"/>
      <c r="AB115" s="251"/>
      <c r="AC115" s="243"/>
      <c r="AD115" s="269"/>
      <c r="AF115" s="252"/>
      <c r="AG115" s="269"/>
      <c r="AJ115" s="251"/>
      <c r="AK115" s="251"/>
      <c r="AL115" s="243"/>
      <c r="AM115" s="269"/>
      <c r="AO115" s="252"/>
      <c r="AP115" s="269"/>
      <c r="AS115" s="251"/>
      <c r="AT115" s="251"/>
      <c r="AU115" s="243"/>
      <c r="AV115" s="269"/>
      <c r="AX115" s="252"/>
      <c r="AY115" s="269"/>
      <c r="BB115" s="251"/>
      <c r="BC115" s="251"/>
      <c r="BD115" s="243"/>
      <c r="BE115" s="269"/>
      <c r="BG115" s="252"/>
      <c r="BH115" s="269"/>
      <c r="BK115" s="251"/>
      <c r="BL115" s="251"/>
      <c r="BM115" s="243"/>
      <c r="BN115" s="269"/>
      <c r="BP115" s="252"/>
      <c r="BQ115" s="269"/>
      <c r="BT115" s="251"/>
      <c r="BU115" s="251"/>
      <c r="BV115" s="243"/>
      <c r="BW115" s="269"/>
      <c r="BY115" s="252"/>
      <c r="BZ115" s="269"/>
      <c r="CC115" s="251"/>
      <c r="CD115" s="251"/>
      <c r="CE115" s="243"/>
      <c r="CF115" s="269"/>
      <c r="CH115" s="252"/>
      <c r="CI115" s="269"/>
      <c r="CL115" s="251"/>
      <c r="CM115" s="251"/>
      <c r="CN115" s="243"/>
      <c r="CO115" s="269"/>
      <c r="CQ115" s="252"/>
      <c r="CR115" s="269"/>
      <c r="CU115" s="251"/>
      <c r="CV115" s="251"/>
      <c r="CW115" s="243"/>
      <c r="CX115" s="269"/>
      <c r="CZ115" s="252"/>
      <c r="DA115" s="269"/>
      <c r="DD115" s="251"/>
      <c r="DE115" s="251"/>
      <c r="DF115" s="243"/>
      <c r="DG115" s="269"/>
      <c r="DI115" s="252"/>
      <c r="DJ115" s="269"/>
      <c r="DM115" s="251"/>
      <c r="DN115" s="251"/>
      <c r="DO115" s="243"/>
      <c r="DP115" s="269"/>
      <c r="DR115" s="252"/>
      <c r="DS115" s="269"/>
      <c r="DV115" s="251"/>
      <c r="DW115" s="251"/>
      <c r="DX115" s="243"/>
      <c r="DY115" s="269"/>
      <c r="EA115" s="252"/>
      <c r="EB115" s="269"/>
      <c r="EE115" s="251"/>
      <c r="EF115" s="251"/>
      <c r="EG115" s="243"/>
      <c r="EH115" s="269"/>
      <c r="EJ115" s="252"/>
      <c r="EK115" s="269"/>
      <c r="EN115" s="251"/>
      <c r="EO115" s="251"/>
      <c r="EP115" s="243"/>
      <c r="EQ115" s="269"/>
      <c r="ES115" s="252"/>
      <c r="ET115" s="269"/>
      <c r="EW115" s="251"/>
      <c r="EX115" s="251"/>
      <c r="EY115" s="243"/>
      <c r="EZ115" s="269"/>
      <c r="FB115" s="252"/>
      <c r="FC115" s="269"/>
      <c r="FF115" s="251"/>
      <c r="FG115" s="251"/>
      <c r="FH115" s="243"/>
      <c r="FI115" s="269"/>
      <c r="FK115" s="252"/>
      <c r="FL115" s="269"/>
      <c r="FO115" s="251"/>
      <c r="FP115" s="251"/>
      <c r="FQ115" s="243"/>
      <c r="FR115" s="269"/>
      <c r="FT115" s="252"/>
      <c r="FU115" s="269"/>
      <c r="FX115" s="251"/>
      <c r="FY115" s="251"/>
      <c r="FZ115" s="243"/>
      <c r="GA115" s="269"/>
      <c r="GC115" s="252"/>
      <c r="GD115" s="269"/>
      <c r="GG115" s="251"/>
      <c r="GH115" s="251"/>
      <c r="GI115" s="243"/>
      <c r="GJ115" s="269"/>
      <c r="GL115" s="252"/>
      <c r="GM115" s="269"/>
      <c r="GP115" s="251"/>
      <c r="GQ115" s="251"/>
      <c r="GR115" s="243"/>
      <c r="GS115" s="269"/>
      <c r="GU115" s="252"/>
      <c r="GV115" s="269"/>
      <c r="GY115" s="251"/>
      <c r="GZ115" s="251"/>
      <c r="HA115" s="243"/>
      <c r="HB115" s="269"/>
      <c r="HD115" s="252"/>
      <c r="HE115" s="269"/>
      <c r="HH115" s="251"/>
      <c r="HI115" s="251"/>
      <c r="HJ115" s="243"/>
      <c r="HK115" s="269"/>
      <c r="HM115" s="252"/>
      <c r="HN115" s="269"/>
      <c r="HQ115" s="251"/>
      <c r="HR115" s="251"/>
      <c r="HS115" s="243"/>
      <c r="HT115" s="269"/>
      <c r="HV115" s="252"/>
      <c r="HW115" s="269"/>
      <c r="HZ115" s="251"/>
      <c r="IA115" s="251"/>
      <c r="IB115" s="243"/>
    </row>
    <row r="116" spans="2:236" s="247" customFormat="1" ht="12.75">
      <c r="B116" s="295"/>
      <c r="C116" s="366" t="s">
        <v>203</v>
      </c>
      <c r="E116" s="289"/>
      <c r="F116" s="360">
        <v>1</v>
      </c>
      <c r="G116" s="247" t="s">
        <v>130</v>
      </c>
      <c r="H116" s="246"/>
      <c r="I116" s="243"/>
      <c r="J116" s="251"/>
      <c r="K116" s="251"/>
      <c r="L116" s="243"/>
      <c r="N116" s="252"/>
      <c r="O116" s="269"/>
      <c r="R116" s="251"/>
      <c r="S116" s="251"/>
      <c r="T116" s="243"/>
      <c r="U116" s="269"/>
      <c r="W116" s="252"/>
      <c r="X116" s="269"/>
      <c r="AA116" s="251"/>
      <c r="AB116" s="251"/>
      <c r="AC116" s="243"/>
      <c r="AD116" s="269"/>
      <c r="AF116" s="252"/>
      <c r="AG116" s="269"/>
      <c r="AJ116" s="251"/>
      <c r="AK116" s="251"/>
      <c r="AL116" s="243"/>
      <c r="AM116" s="269"/>
      <c r="AO116" s="252"/>
      <c r="AP116" s="269"/>
      <c r="AS116" s="251"/>
      <c r="AT116" s="251"/>
      <c r="AU116" s="243"/>
      <c r="AV116" s="269"/>
      <c r="AX116" s="252"/>
      <c r="AY116" s="269"/>
      <c r="BB116" s="251"/>
      <c r="BC116" s="251"/>
      <c r="BD116" s="243"/>
      <c r="BE116" s="269"/>
      <c r="BG116" s="252"/>
      <c r="BH116" s="269"/>
      <c r="BK116" s="251"/>
      <c r="BL116" s="251"/>
      <c r="BM116" s="243"/>
      <c r="BN116" s="269"/>
      <c r="BP116" s="252"/>
      <c r="BQ116" s="269"/>
      <c r="BT116" s="251"/>
      <c r="BU116" s="251"/>
      <c r="BV116" s="243"/>
      <c r="BW116" s="269"/>
      <c r="BY116" s="252"/>
      <c r="BZ116" s="269"/>
      <c r="CC116" s="251"/>
      <c r="CD116" s="251"/>
      <c r="CE116" s="243"/>
      <c r="CF116" s="269"/>
      <c r="CH116" s="252"/>
      <c r="CI116" s="269"/>
      <c r="CL116" s="251"/>
      <c r="CM116" s="251"/>
      <c r="CN116" s="243"/>
      <c r="CO116" s="269"/>
      <c r="CQ116" s="252"/>
      <c r="CR116" s="269"/>
      <c r="CU116" s="251"/>
      <c r="CV116" s="251"/>
      <c r="CW116" s="243"/>
      <c r="CX116" s="269"/>
      <c r="CZ116" s="252"/>
      <c r="DA116" s="269"/>
      <c r="DD116" s="251"/>
      <c r="DE116" s="251"/>
      <c r="DF116" s="243"/>
      <c r="DG116" s="269"/>
      <c r="DI116" s="252"/>
      <c r="DJ116" s="269"/>
      <c r="DM116" s="251"/>
      <c r="DN116" s="251"/>
      <c r="DO116" s="243"/>
      <c r="DP116" s="269"/>
      <c r="DR116" s="252"/>
      <c r="DS116" s="269"/>
      <c r="DV116" s="251"/>
      <c r="DW116" s="251"/>
      <c r="DX116" s="243"/>
      <c r="DY116" s="269"/>
      <c r="EA116" s="252"/>
      <c r="EB116" s="269"/>
      <c r="EE116" s="251"/>
      <c r="EF116" s="251"/>
      <c r="EG116" s="243"/>
      <c r="EH116" s="269"/>
      <c r="EJ116" s="252"/>
      <c r="EK116" s="269"/>
      <c r="EN116" s="251"/>
      <c r="EO116" s="251"/>
      <c r="EP116" s="243"/>
      <c r="EQ116" s="269"/>
      <c r="ES116" s="252"/>
      <c r="ET116" s="269"/>
      <c r="EW116" s="251"/>
      <c r="EX116" s="251"/>
      <c r="EY116" s="243"/>
      <c r="EZ116" s="269"/>
      <c r="FB116" s="252"/>
      <c r="FC116" s="269"/>
      <c r="FF116" s="251"/>
      <c r="FG116" s="251"/>
      <c r="FH116" s="243"/>
      <c r="FI116" s="269"/>
      <c r="FK116" s="252"/>
      <c r="FL116" s="269"/>
      <c r="FO116" s="251"/>
      <c r="FP116" s="251"/>
      <c r="FQ116" s="243"/>
      <c r="FR116" s="269"/>
      <c r="FT116" s="252"/>
      <c r="FU116" s="269"/>
      <c r="FX116" s="251"/>
      <c r="FY116" s="251"/>
      <c r="FZ116" s="243"/>
      <c r="GA116" s="269"/>
      <c r="GC116" s="252"/>
      <c r="GD116" s="269"/>
      <c r="GG116" s="251"/>
      <c r="GH116" s="251"/>
      <c r="GI116" s="243"/>
      <c r="GJ116" s="269"/>
      <c r="GL116" s="252"/>
      <c r="GM116" s="269"/>
      <c r="GP116" s="251"/>
      <c r="GQ116" s="251"/>
      <c r="GR116" s="243"/>
      <c r="GS116" s="269"/>
      <c r="GU116" s="252"/>
      <c r="GV116" s="269"/>
      <c r="GY116" s="251"/>
      <c r="GZ116" s="251"/>
      <c r="HA116" s="243"/>
      <c r="HB116" s="269"/>
      <c r="HD116" s="252"/>
      <c r="HE116" s="269"/>
      <c r="HH116" s="251"/>
      <c r="HI116" s="251"/>
      <c r="HJ116" s="243"/>
      <c r="HK116" s="269"/>
      <c r="HM116" s="252"/>
      <c r="HN116" s="269"/>
      <c r="HQ116" s="251"/>
      <c r="HR116" s="251"/>
      <c r="HS116" s="243"/>
      <c r="HT116" s="269"/>
      <c r="HV116" s="252"/>
      <c r="HW116" s="269"/>
      <c r="HZ116" s="251"/>
      <c r="IA116" s="251"/>
      <c r="IB116" s="243"/>
    </row>
    <row r="117" spans="2:236" s="247" customFormat="1" ht="12.75">
      <c r="B117" s="295"/>
      <c r="C117" s="366" t="s">
        <v>137</v>
      </c>
      <c r="D117" s="251"/>
      <c r="E117" s="289"/>
      <c r="F117" s="360">
        <v>1</v>
      </c>
      <c r="G117" s="247" t="s">
        <v>130</v>
      </c>
      <c r="H117" s="246"/>
      <c r="I117" s="243"/>
      <c r="J117" s="251"/>
      <c r="K117" s="251"/>
      <c r="L117" s="243"/>
      <c r="N117" s="252"/>
      <c r="O117" s="269"/>
      <c r="R117" s="251"/>
      <c r="S117" s="251"/>
      <c r="T117" s="243"/>
      <c r="U117" s="269"/>
      <c r="W117" s="252"/>
      <c r="X117" s="269"/>
      <c r="AA117" s="251"/>
      <c r="AB117" s="251"/>
      <c r="AC117" s="243"/>
      <c r="AD117" s="269"/>
      <c r="AF117" s="252"/>
      <c r="AG117" s="269"/>
      <c r="AJ117" s="251"/>
      <c r="AK117" s="251"/>
      <c r="AL117" s="243"/>
      <c r="AM117" s="269"/>
      <c r="AO117" s="252"/>
      <c r="AP117" s="269"/>
      <c r="AS117" s="251"/>
      <c r="AT117" s="251"/>
      <c r="AU117" s="243"/>
      <c r="AV117" s="269"/>
      <c r="AX117" s="252"/>
      <c r="AY117" s="269"/>
      <c r="BB117" s="251"/>
      <c r="BC117" s="251"/>
      <c r="BD117" s="243"/>
      <c r="BE117" s="269"/>
      <c r="BG117" s="252"/>
      <c r="BH117" s="269"/>
      <c r="BK117" s="251"/>
      <c r="BL117" s="251"/>
      <c r="BM117" s="243"/>
      <c r="BN117" s="269"/>
      <c r="BP117" s="252"/>
      <c r="BQ117" s="269"/>
      <c r="BT117" s="251"/>
      <c r="BU117" s="251"/>
      <c r="BV117" s="243"/>
      <c r="BW117" s="269"/>
      <c r="BY117" s="252"/>
      <c r="BZ117" s="269"/>
      <c r="CC117" s="251"/>
      <c r="CD117" s="251"/>
      <c r="CE117" s="243"/>
      <c r="CF117" s="269"/>
      <c r="CH117" s="252"/>
      <c r="CI117" s="269"/>
      <c r="CL117" s="251"/>
      <c r="CM117" s="251"/>
      <c r="CN117" s="243"/>
      <c r="CO117" s="269"/>
      <c r="CQ117" s="252"/>
      <c r="CR117" s="269"/>
      <c r="CU117" s="251"/>
      <c r="CV117" s="251"/>
      <c r="CW117" s="243"/>
      <c r="CX117" s="269"/>
      <c r="CZ117" s="252"/>
      <c r="DA117" s="269"/>
      <c r="DD117" s="251"/>
      <c r="DE117" s="251"/>
      <c r="DF117" s="243"/>
      <c r="DG117" s="269"/>
      <c r="DI117" s="252"/>
      <c r="DJ117" s="269"/>
      <c r="DM117" s="251"/>
      <c r="DN117" s="251"/>
      <c r="DO117" s="243"/>
      <c r="DP117" s="269"/>
      <c r="DR117" s="252"/>
      <c r="DS117" s="269"/>
      <c r="DV117" s="251"/>
      <c r="DW117" s="251"/>
      <c r="DX117" s="243"/>
      <c r="DY117" s="269"/>
      <c r="EA117" s="252"/>
      <c r="EB117" s="269"/>
      <c r="EE117" s="251"/>
      <c r="EF117" s="251"/>
      <c r="EG117" s="243"/>
      <c r="EH117" s="269"/>
      <c r="EJ117" s="252"/>
      <c r="EK117" s="269"/>
      <c r="EN117" s="251"/>
      <c r="EO117" s="251"/>
      <c r="EP117" s="243"/>
      <c r="EQ117" s="269"/>
      <c r="ES117" s="252"/>
      <c r="ET117" s="269"/>
      <c r="EW117" s="251"/>
      <c r="EX117" s="251"/>
      <c r="EY117" s="243"/>
      <c r="EZ117" s="269"/>
      <c r="FB117" s="252"/>
      <c r="FC117" s="269"/>
      <c r="FF117" s="251"/>
      <c r="FG117" s="251"/>
      <c r="FH117" s="243"/>
      <c r="FI117" s="269"/>
      <c r="FK117" s="252"/>
      <c r="FL117" s="269"/>
      <c r="FO117" s="251"/>
      <c r="FP117" s="251"/>
      <c r="FQ117" s="243"/>
      <c r="FR117" s="269"/>
      <c r="FT117" s="252"/>
      <c r="FU117" s="269"/>
      <c r="FX117" s="251"/>
      <c r="FY117" s="251"/>
      <c r="FZ117" s="243"/>
      <c r="GA117" s="269"/>
      <c r="GC117" s="252"/>
      <c r="GD117" s="269"/>
      <c r="GG117" s="251"/>
      <c r="GH117" s="251"/>
      <c r="GI117" s="243"/>
      <c r="GJ117" s="269"/>
      <c r="GL117" s="252"/>
      <c r="GM117" s="269"/>
      <c r="GP117" s="251"/>
      <c r="GQ117" s="251"/>
      <c r="GR117" s="243"/>
      <c r="GS117" s="269"/>
      <c r="GU117" s="252"/>
      <c r="GV117" s="269"/>
      <c r="GY117" s="251"/>
      <c r="GZ117" s="251"/>
      <c r="HA117" s="243"/>
      <c r="HB117" s="269"/>
      <c r="HD117" s="252"/>
      <c r="HE117" s="269"/>
      <c r="HH117" s="251"/>
      <c r="HI117" s="251"/>
      <c r="HJ117" s="243"/>
      <c r="HK117" s="269"/>
      <c r="HM117" s="252"/>
      <c r="HN117" s="269"/>
      <c r="HQ117" s="251"/>
      <c r="HR117" s="251"/>
      <c r="HS117" s="243"/>
      <c r="HT117" s="269"/>
      <c r="HV117" s="252"/>
      <c r="HW117" s="269"/>
      <c r="HZ117" s="251"/>
      <c r="IA117" s="251"/>
      <c r="IB117" s="243"/>
    </row>
    <row r="118" spans="2:236" s="247" customFormat="1" ht="12.75">
      <c r="B118" s="295"/>
      <c r="C118" s="366" t="s">
        <v>204</v>
      </c>
      <c r="D118" s="251"/>
      <c r="E118" s="289"/>
      <c r="F118" s="360">
        <v>1</v>
      </c>
      <c r="G118" s="247" t="s">
        <v>130</v>
      </c>
      <c r="H118" s="246"/>
      <c r="I118" s="243"/>
      <c r="J118" s="251"/>
      <c r="K118" s="251"/>
      <c r="L118" s="243"/>
      <c r="N118" s="252"/>
      <c r="O118" s="269"/>
      <c r="R118" s="251"/>
      <c r="S118" s="251"/>
      <c r="T118" s="243"/>
      <c r="U118" s="269"/>
      <c r="W118" s="252"/>
      <c r="X118" s="269"/>
      <c r="AA118" s="251"/>
      <c r="AB118" s="251"/>
      <c r="AC118" s="243"/>
      <c r="AD118" s="269"/>
      <c r="AF118" s="252"/>
      <c r="AG118" s="269"/>
      <c r="AJ118" s="251"/>
      <c r="AK118" s="251"/>
      <c r="AL118" s="243"/>
      <c r="AM118" s="269"/>
      <c r="AO118" s="252"/>
      <c r="AP118" s="269"/>
      <c r="AS118" s="251"/>
      <c r="AT118" s="251"/>
      <c r="AU118" s="243"/>
      <c r="AV118" s="269"/>
      <c r="AX118" s="252"/>
      <c r="AY118" s="269"/>
      <c r="BB118" s="251"/>
      <c r="BC118" s="251"/>
      <c r="BD118" s="243"/>
      <c r="BE118" s="269"/>
      <c r="BG118" s="252"/>
      <c r="BH118" s="269"/>
      <c r="BK118" s="251"/>
      <c r="BL118" s="251"/>
      <c r="BM118" s="243"/>
      <c r="BN118" s="269"/>
      <c r="BP118" s="252"/>
      <c r="BQ118" s="269"/>
      <c r="BT118" s="251"/>
      <c r="BU118" s="251"/>
      <c r="BV118" s="243"/>
      <c r="BW118" s="269"/>
      <c r="BY118" s="252"/>
      <c r="BZ118" s="269"/>
      <c r="CC118" s="251"/>
      <c r="CD118" s="251"/>
      <c r="CE118" s="243"/>
      <c r="CF118" s="269"/>
      <c r="CH118" s="252"/>
      <c r="CI118" s="269"/>
      <c r="CL118" s="251"/>
      <c r="CM118" s="251"/>
      <c r="CN118" s="243"/>
      <c r="CO118" s="269"/>
      <c r="CQ118" s="252"/>
      <c r="CR118" s="269"/>
      <c r="CU118" s="251"/>
      <c r="CV118" s="251"/>
      <c r="CW118" s="243"/>
      <c r="CX118" s="269"/>
      <c r="CZ118" s="252"/>
      <c r="DA118" s="269"/>
      <c r="DD118" s="251"/>
      <c r="DE118" s="251"/>
      <c r="DF118" s="243"/>
      <c r="DG118" s="269"/>
      <c r="DI118" s="252"/>
      <c r="DJ118" s="269"/>
      <c r="DM118" s="251"/>
      <c r="DN118" s="251"/>
      <c r="DO118" s="243"/>
      <c r="DP118" s="269"/>
      <c r="DR118" s="252"/>
      <c r="DS118" s="269"/>
      <c r="DV118" s="251"/>
      <c r="DW118" s="251"/>
      <c r="DX118" s="243"/>
      <c r="DY118" s="269"/>
      <c r="EA118" s="252"/>
      <c r="EB118" s="269"/>
      <c r="EE118" s="251"/>
      <c r="EF118" s="251"/>
      <c r="EG118" s="243"/>
      <c r="EH118" s="269"/>
      <c r="EJ118" s="252"/>
      <c r="EK118" s="269"/>
      <c r="EN118" s="251"/>
      <c r="EO118" s="251"/>
      <c r="EP118" s="243"/>
      <c r="EQ118" s="269"/>
      <c r="ES118" s="252"/>
      <c r="ET118" s="269"/>
      <c r="EW118" s="251"/>
      <c r="EX118" s="251"/>
      <c r="EY118" s="243"/>
      <c r="EZ118" s="269"/>
      <c r="FB118" s="252"/>
      <c r="FC118" s="269"/>
      <c r="FF118" s="251"/>
      <c r="FG118" s="251"/>
      <c r="FH118" s="243"/>
      <c r="FI118" s="269"/>
      <c r="FK118" s="252"/>
      <c r="FL118" s="269"/>
      <c r="FO118" s="251"/>
      <c r="FP118" s="251"/>
      <c r="FQ118" s="243"/>
      <c r="FR118" s="269"/>
      <c r="FT118" s="252"/>
      <c r="FU118" s="269"/>
      <c r="FX118" s="251"/>
      <c r="FY118" s="251"/>
      <c r="FZ118" s="243"/>
      <c r="GA118" s="269"/>
      <c r="GC118" s="252"/>
      <c r="GD118" s="269"/>
      <c r="GG118" s="251"/>
      <c r="GH118" s="251"/>
      <c r="GI118" s="243"/>
      <c r="GJ118" s="269"/>
      <c r="GL118" s="252"/>
      <c r="GM118" s="269"/>
      <c r="GP118" s="251"/>
      <c r="GQ118" s="251"/>
      <c r="GR118" s="243"/>
      <c r="GS118" s="269"/>
      <c r="GU118" s="252"/>
      <c r="GV118" s="269"/>
      <c r="GY118" s="251"/>
      <c r="GZ118" s="251"/>
      <c r="HA118" s="243"/>
      <c r="HB118" s="269"/>
      <c r="HD118" s="252"/>
      <c r="HE118" s="269"/>
      <c r="HH118" s="251"/>
      <c r="HI118" s="251"/>
      <c r="HJ118" s="243"/>
      <c r="HK118" s="269"/>
      <c r="HM118" s="252"/>
      <c r="HN118" s="269"/>
      <c r="HQ118" s="251"/>
      <c r="HR118" s="251"/>
      <c r="HS118" s="243"/>
      <c r="HT118" s="269"/>
      <c r="HV118" s="252"/>
      <c r="HW118" s="269"/>
      <c r="HZ118" s="251"/>
      <c r="IA118" s="251"/>
      <c r="IB118" s="243"/>
    </row>
    <row r="119" spans="2:236" s="247" customFormat="1" ht="12.75">
      <c r="B119" s="295"/>
      <c r="C119" s="366" t="s">
        <v>205</v>
      </c>
      <c r="D119" s="251"/>
      <c r="E119" s="289"/>
      <c r="F119" s="360">
        <v>1</v>
      </c>
      <c r="G119" s="247" t="s">
        <v>130</v>
      </c>
      <c r="H119" s="246"/>
      <c r="I119" s="243"/>
      <c r="J119" s="251"/>
      <c r="K119" s="251"/>
      <c r="L119" s="243"/>
      <c r="N119" s="252"/>
      <c r="O119" s="269"/>
      <c r="R119" s="251"/>
      <c r="S119" s="251"/>
      <c r="T119" s="243"/>
      <c r="U119" s="269"/>
      <c r="W119" s="252"/>
      <c r="X119" s="269"/>
      <c r="AA119" s="251"/>
      <c r="AB119" s="251"/>
      <c r="AC119" s="243"/>
      <c r="AD119" s="269"/>
      <c r="AF119" s="252"/>
      <c r="AG119" s="269"/>
      <c r="AJ119" s="251"/>
      <c r="AK119" s="251"/>
      <c r="AL119" s="243"/>
      <c r="AM119" s="269"/>
      <c r="AO119" s="252"/>
      <c r="AP119" s="269"/>
      <c r="AS119" s="251"/>
      <c r="AT119" s="251"/>
      <c r="AU119" s="243"/>
      <c r="AV119" s="269"/>
      <c r="AX119" s="252"/>
      <c r="AY119" s="269"/>
      <c r="BB119" s="251"/>
      <c r="BC119" s="251"/>
      <c r="BD119" s="243"/>
      <c r="BE119" s="269"/>
      <c r="BG119" s="252"/>
      <c r="BH119" s="269"/>
      <c r="BK119" s="251"/>
      <c r="BL119" s="251"/>
      <c r="BM119" s="243"/>
      <c r="BN119" s="269"/>
      <c r="BP119" s="252"/>
      <c r="BQ119" s="269"/>
      <c r="BT119" s="251"/>
      <c r="BU119" s="251"/>
      <c r="BV119" s="243"/>
      <c r="BW119" s="269"/>
      <c r="BY119" s="252"/>
      <c r="BZ119" s="269"/>
      <c r="CC119" s="251"/>
      <c r="CD119" s="251"/>
      <c r="CE119" s="243"/>
      <c r="CF119" s="269"/>
      <c r="CH119" s="252"/>
      <c r="CI119" s="269"/>
      <c r="CL119" s="251"/>
      <c r="CM119" s="251"/>
      <c r="CN119" s="243"/>
      <c r="CO119" s="269"/>
      <c r="CQ119" s="252"/>
      <c r="CR119" s="269"/>
      <c r="CU119" s="251"/>
      <c r="CV119" s="251"/>
      <c r="CW119" s="243"/>
      <c r="CX119" s="269"/>
      <c r="CZ119" s="252"/>
      <c r="DA119" s="269"/>
      <c r="DD119" s="251"/>
      <c r="DE119" s="251"/>
      <c r="DF119" s="243"/>
      <c r="DG119" s="269"/>
      <c r="DI119" s="252"/>
      <c r="DJ119" s="269"/>
      <c r="DM119" s="251"/>
      <c r="DN119" s="251"/>
      <c r="DO119" s="243"/>
      <c r="DP119" s="269"/>
      <c r="DR119" s="252"/>
      <c r="DS119" s="269"/>
      <c r="DV119" s="251"/>
      <c r="DW119" s="251"/>
      <c r="DX119" s="243"/>
      <c r="DY119" s="269"/>
      <c r="EA119" s="252"/>
      <c r="EB119" s="269"/>
      <c r="EE119" s="251"/>
      <c r="EF119" s="251"/>
      <c r="EG119" s="243"/>
      <c r="EH119" s="269"/>
      <c r="EJ119" s="252"/>
      <c r="EK119" s="269"/>
      <c r="EN119" s="251"/>
      <c r="EO119" s="251"/>
      <c r="EP119" s="243"/>
      <c r="EQ119" s="269"/>
      <c r="ES119" s="252"/>
      <c r="ET119" s="269"/>
      <c r="EW119" s="251"/>
      <c r="EX119" s="251"/>
      <c r="EY119" s="243"/>
      <c r="EZ119" s="269"/>
      <c r="FB119" s="252"/>
      <c r="FC119" s="269"/>
      <c r="FF119" s="251"/>
      <c r="FG119" s="251"/>
      <c r="FH119" s="243"/>
      <c r="FI119" s="269"/>
      <c r="FK119" s="252"/>
      <c r="FL119" s="269"/>
      <c r="FO119" s="251"/>
      <c r="FP119" s="251"/>
      <c r="FQ119" s="243"/>
      <c r="FR119" s="269"/>
      <c r="FT119" s="252"/>
      <c r="FU119" s="269"/>
      <c r="FX119" s="251"/>
      <c r="FY119" s="251"/>
      <c r="FZ119" s="243"/>
      <c r="GA119" s="269"/>
      <c r="GC119" s="252"/>
      <c r="GD119" s="269"/>
      <c r="GG119" s="251"/>
      <c r="GH119" s="251"/>
      <c r="GI119" s="243"/>
      <c r="GJ119" s="269"/>
      <c r="GL119" s="252"/>
      <c r="GM119" s="269"/>
      <c r="GP119" s="251"/>
      <c r="GQ119" s="251"/>
      <c r="GR119" s="243"/>
      <c r="GS119" s="269"/>
      <c r="GU119" s="252"/>
      <c r="GV119" s="269"/>
      <c r="GY119" s="251"/>
      <c r="GZ119" s="251"/>
      <c r="HA119" s="243"/>
      <c r="HB119" s="269"/>
      <c r="HD119" s="252"/>
      <c r="HE119" s="269"/>
      <c r="HH119" s="251"/>
      <c r="HI119" s="251"/>
      <c r="HJ119" s="243"/>
      <c r="HK119" s="269"/>
      <c r="HM119" s="252"/>
      <c r="HN119" s="269"/>
      <c r="HQ119" s="251"/>
      <c r="HR119" s="251"/>
      <c r="HS119" s="243"/>
      <c r="HT119" s="269"/>
      <c r="HV119" s="252"/>
      <c r="HW119" s="269"/>
      <c r="HZ119" s="251"/>
      <c r="IA119" s="251"/>
      <c r="IB119" s="243"/>
    </row>
    <row r="120" spans="2:236" s="247" customFormat="1" ht="12.75">
      <c r="B120" s="295"/>
      <c r="C120" s="366" t="s">
        <v>138</v>
      </c>
      <c r="D120" s="251"/>
      <c r="E120" s="289"/>
      <c r="F120" s="360">
        <v>1</v>
      </c>
      <c r="G120" s="247" t="s">
        <v>130</v>
      </c>
      <c r="H120" s="246"/>
      <c r="I120" s="243"/>
      <c r="J120" s="251"/>
      <c r="K120" s="251"/>
      <c r="L120" s="243"/>
      <c r="N120" s="252"/>
      <c r="O120" s="269"/>
      <c r="R120" s="251"/>
      <c r="S120" s="251"/>
      <c r="T120" s="243"/>
      <c r="U120" s="269"/>
      <c r="W120" s="252"/>
      <c r="X120" s="269"/>
      <c r="AA120" s="251"/>
      <c r="AB120" s="251"/>
      <c r="AC120" s="243"/>
      <c r="AD120" s="269"/>
      <c r="AF120" s="252"/>
      <c r="AG120" s="269"/>
      <c r="AJ120" s="251"/>
      <c r="AK120" s="251"/>
      <c r="AL120" s="243"/>
      <c r="AM120" s="269"/>
      <c r="AO120" s="252"/>
      <c r="AP120" s="269"/>
      <c r="AS120" s="251"/>
      <c r="AT120" s="251"/>
      <c r="AU120" s="243"/>
      <c r="AV120" s="269"/>
      <c r="AX120" s="252"/>
      <c r="AY120" s="269"/>
      <c r="BB120" s="251"/>
      <c r="BC120" s="251"/>
      <c r="BD120" s="243"/>
      <c r="BE120" s="269"/>
      <c r="BG120" s="252"/>
      <c r="BH120" s="269"/>
      <c r="BK120" s="251"/>
      <c r="BL120" s="251"/>
      <c r="BM120" s="243"/>
      <c r="BN120" s="269"/>
      <c r="BP120" s="252"/>
      <c r="BQ120" s="269"/>
      <c r="BT120" s="251"/>
      <c r="BU120" s="251"/>
      <c r="BV120" s="243"/>
      <c r="BW120" s="269"/>
      <c r="BY120" s="252"/>
      <c r="BZ120" s="269"/>
      <c r="CC120" s="251"/>
      <c r="CD120" s="251"/>
      <c r="CE120" s="243"/>
      <c r="CF120" s="269"/>
      <c r="CH120" s="252"/>
      <c r="CI120" s="269"/>
      <c r="CL120" s="251"/>
      <c r="CM120" s="251"/>
      <c r="CN120" s="243"/>
      <c r="CO120" s="269"/>
      <c r="CQ120" s="252"/>
      <c r="CR120" s="269"/>
      <c r="CU120" s="251"/>
      <c r="CV120" s="251"/>
      <c r="CW120" s="243"/>
      <c r="CX120" s="269"/>
      <c r="CZ120" s="252"/>
      <c r="DA120" s="269"/>
      <c r="DD120" s="251"/>
      <c r="DE120" s="251"/>
      <c r="DF120" s="243"/>
      <c r="DG120" s="269"/>
      <c r="DI120" s="252"/>
      <c r="DJ120" s="269"/>
      <c r="DM120" s="251"/>
      <c r="DN120" s="251"/>
      <c r="DO120" s="243"/>
      <c r="DP120" s="269"/>
      <c r="DR120" s="252"/>
      <c r="DS120" s="269"/>
      <c r="DV120" s="251"/>
      <c r="DW120" s="251"/>
      <c r="DX120" s="243"/>
      <c r="DY120" s="269"/>
      <c r="EA120" s="252"/>
      <c r="EB120" s="269"/>
      <c r="EE120" s="251"/>
      <c r="EF120" s="251"/>
      <c r="EG120" s="243"/>
      <c r="EH120" s="269"/>
      <c r="EJ120" s="252"/>
      <c r="EK120" s="269"/>
      <c r="EN120" s="251"/>
      <c r="EO120" s="251"/>
      <c r="EP120" s="243"/>
      <c r="EQ120" s="269"/>
      <c r="ES120" s="252"/>
      <c r="ET120" s="269"/>
      <c r="EW120" s="251"/>
      <c r="EX120" s="251"/>
      <c r="EY120" s="243"/>
      <c r="EZ120" s="269"/>
      <c r="FB120" s="252"/>
      <c r="FC120" s="269"/>
      <c r="FF120" s="251"/>
      <c r="FG120" s="251"/>
      <c r="FH120" s="243"/>
      <c r="FI120" s="269"/>
      <c r="FK120" s="252"/>
      <c r="FL120" s="269"/>
      <c r="FO120" s="251"/>
      <c r="FP120" s="251"/>
      <c r="FQ120" s="243"/>
      <c r="FR120" s="269"/>
      <c r="FT120" s="252"/>
      <c r="FU120" s="269"/>
      <c r="FX120" s="251"/>
      <c r="FY120" s="251"/>
      <c r="FZ120" s="243"/>
      <c r="GA120" s="269"/>
      <c r="GC120" s="252"/>
      <c r="GD120" s="269"/>
      <c r="GG120" s="251"/>
      <c r="GH120" s="251"/>
      <c r="GI120" s="243"/>
      <c r="GJ120" s="269"/>
      <c r="GL120" s="252"/>
      <c r="GM120" s="269"/>
      <c r="GP120" s="251"/>
      <c r="GQ120" s="251"/>
      <c r="GR120" s="243"/>
      <c r="GS120" s="269"/>
      <c r="GU120" s="252"/>
      <c r="GV120" s="269"/>
      <c r="GY120" s="251"/>
      <c r="GZ120" s="251"/>
      <c r="HA120" s="243"/>
      <c r="HB120" s="269"/>
      <c r="HD120" s="252"/>
      <c r="HE120" s="269"/>
      <c r="HH120" s="251"/>
      <c r="HI120" s="251"/>
      <c r="HJ120" s="243"/>
      <c r="HK120" s="269"/>
      <c r="HM120" s="252"/>
      <c r="HN120" s="269"/>
      <c r="HQ120" s="251"/>
      <c r="HR120" s="251"/>
      <c r="HS120" s="243"/>
      <c r="HT120" s="269"/>
      <c r="HV120" s="252"/>
      <c r="HW120" s="269"/>
      <c r="HZ120" s="251"/>
      <c r="IA120" s="251"/>
      <c r="IB120" s="243"/>
    </row>
    <row r="121" spans="2:236" s="247" customFormat="1" ht="12.75">
      <c r="B121" s="295"/>
      <c r="C121" s="366" t="s">
        <v>139</v>
      </c>
      <c r="D121" s="251"/>
      <c r="E121" s="289"/>
      <c r="F121" s="360">
        <v>1</v>
      </c>
      <c r="G121" s="247" t="s">
        <v>130</v>
      </c>
      <c r="H121" s="246"/>
      <c r="I121" s="243"/>
      <c r="J121" s="251"/>
      <c r="K121" s="251"/>
      <c r="L121" s="243"/>
      <c r="N121" s="252"/>
      <c r="O121" s="269"/>
      <c r="R121" s="251"/>
      <c r="S121" s="251"/>
      <c r="T121" s="243"/>
      <c r="U121" s="269"/>
      <c r="W121" s="252"/>
      <c r="X121" s="269"/>
      <c r="AA121" s="251"/>
      <c r="AB121" s="251"/>
      <c r="AC121" s="243"/>
      <c r="AD121" s="269"/>
      <c r="AF121" s="252"/>
      <c r="AG121" s="269"/>
      <c r="AJ121" s="251"/>
      <c r="AK121" s="251"/>
      <c r="AL121" s="243"/>
      <c r="AM121" s="269"/>
      <c r="AO121" s="252"/>
      <c r="AP121" s="269"/>
      <c r="AS121" s="251"/>
      <c r="AT121" s="251"/>
      <c r="AU121" s="243"/>
      <c r="AV121" s="269"/>
      <c r="AX121" s="252"/>
      <c r="AY121" s="269"/>
      <c r="BB121" s="251"/>
      <c r="BC121" s="251"/>
      <c r="BD121" s="243"/>
      <c r="BE121" s="269"/>
      <c r="BG121" s="252"/>
      <c r="BH121" s="269"/>
      <c r="BK121" s="251"/>
      <c r="BL121" s="251"/>
      <c r="BM121" s="243"/>
      <c r="BN121" s="269"/>
      <c r="BP121" s="252"/>
      <c r="BQ121" s="269"/>
      <c r="BT121" s="251"/>
      <c r="BU121" s="251"/>
      <c r="BV121" s="243"/>
      <c r="BW121" s="269"/>
      <c r="BY121" s="252"/>
      <c r="BZ121" s="269"/>
      <c r="CC121" s="251"/>
      <c r="CD121" s="251"/>
      <c r="CE121" s="243"/>
      <c r="CF121" s="269"/>
      <c r="CH121" s="252"/>
      <c r="CI121" s="269"/>
      <c r="CL121" s="251"/>
      <c r="CM121" s="251"/>
      <c r="CN121" s="243"/>
      <c r="CO121" s="269"/>
      <c r="CQ121" s="252"/>
      <c r="CR121" s="269"/>
      <c r="CU121" s="251"/>
      <c r="CV121" s="251"/>
      <c r="CW121" s="243"/>
      <c r="CX121" s="269"/>
      <c r="CZ121" s="252"/>
      <c r="DA121" s="269"/>
      <c r="DD121" s="251"/>
      <c r="DE121" s="251"/>
      <c r="DF121" s="243"/>
      <c r="DG121" s="269"/>
      <c r="DI121" s="252"/>
      <c r="DJ121" s="269"/>
      <c r="DM121" s="251"/>
      <c r="DN121" s="251"/>
      <c r="DO121" s="243"/>
      <c r="DP121" s="269"/>
      <c r="DR121" s="252"/>
      <c r="DS121" s="269"/>
      <c r="DV121" s="251"/>
      <c r="DW121" s="251"/>
      <c r="DX121" s="243"/>
      <c r="DY121" s="269"/>
      <c r="EA121" s="252"/>
      <c r="EB121" s="269"/>
      <c r="EE121" s="251"/>
      <c r="EF121" s="251"/>
      <c r="EG121" s="243"/>
      <c r="EH121" s="269"/>
      <c r="EJ121" s="252"/>
      <c r="EK121" s="269"/>
      <c r="EN121" s="251"/>
      <c r="EO121" s="251"/>
      <c r="EP121" s="243"/>
      <c r="EQ121" s="269"/>
      <c r="ES121" s="252"/>
      <c r="ET121" s="269"/>
      <c r="EW121" s="251"/>
      <c r="EX121" s="251"/>
      <c r="EY121" s="243"/>
      <c r="EZ121" s="269"/>
      <c r="FB121" s="252"/>
      <c r="FC121" s="269"/>
      <c r="FF121" s="251"/>
      <c r="FG121" s="251"/>
      <c r="FH121" s="243"/>
      <c r="FI121" s="269"/>
      <c r="FK121" s="252"/>
      <c r="FL121" s="269"/>
      <c r="FO121" s="251"/>
      <c r="FP121" s="251"/>
      <c r="FQ121" s="243"/>
      <c r="FR121" s="269"/>
      <c r="FT121" s="252"/>
      <c r="FU121" s="269"/>
      <c r="FX121" s="251"/>
      <c r="FY121" s="251"/>
      <c r="FZ121" s="243"/>
      <c r="GA121" s="269"/>
      <c r="GC121" s="252"/>
      <c r="GD121" s="269"/>
      <c r="GG121" s="251"/>
      <c r="GH121" s="251"/>
      <c r="GI121" s="243"/>
      <c r="GJ121" s="269"/>
      <c r="GL121" s="252"/>
      <c r="GM121" s="269"/>
      <c r="GP121" s="251"/>
      <c r="GQ121" s="251"/>
      <c r="GR121" s="243"/>
      <c r="GS121" s="269"/>
      <c r="GU121" s="252"/>
      <c r="GV121" s="269"/>
      <c r="GY121" s="251"/>
      <c r="GZ121" s="251"/>
      <c r="HA121" s="243"/>
      <c r="HB121" s="269"/>
      <c r="HD121" s="252"/>
      <c r="HE121" s="269"/>
      <c r="HH121" s="251"/>
      <c r="HI121" s="251"/>
      <c r="HJ121" s="243"/>
      <c r="HK121" s="269"/>
      <c r="HM121" s="252"/>
      <c r="HN121" s="269"/>
      <c r="HQ121" s="251"/>
      <c r="HR121" s="251"/>
      <c r="HS121" s="243"/>
      <c r="HT121" s="269"/>
      <c r="HV121" s="252"/>
      <c r="HW121" s="269"/>
      <c r="HZ121" s="251"/>
      <c r="IA121" s="251"/>
      <c r="IB121" s="243"/>
    </row>
    <row r="122" spans="2:236" s="247" customFormat="1" ht="12.75">
      <c r="B122" s="295"/>
      <c r="C122" s="366" t="s">
        <v>209</v>
      </c>
      <c r="D122" s="251"/>
      <c r="E122" s="289"/>
      <c r="F122" s="360">
        <v>1</v>
      </c>
      <c r="G122" s="247" t="s">
        <v>130</v>
      </c>
      <c r="H122" s="246"/>
      <c r="I122" s="243"/>
      <c r="J122" s="251"/>
      <c r="K122" s="251"/>
      <c r="L122" s="243"/>
      <c r="N122" s="252"/>
      <c r="O122" s="269"/>
      <c r="R122" s="251"/>
      <c r="S122" s="251"/>
      <c r="T122" s="243"/>
      <c r="U122" s="269"/>
      <c r="W122" s="252"/>
      <c r="X122" s="269"/>
      <c r="AA122" s="251"/>
      <c r="AB122" s="251"/>
      <c r="AC122" s="243"/>
      <c r="AD122" s="269"/>
      <c r="AF122" s="252"/>
      <c r="AG122" s="269"/>
      <c r="AJ122" s="251"/>
      <c r="AK122" s="251"/>
      <c r="AL122" s="243"/>
      <c r="AM122" s="269"/>
      <c r="AO122" s="252"/>
      <c r="AP122" s="269"/>
      <c r="AS122" s="251"/>
      <c r="AT122" s="251"/>
      <c r="AU122" s="243"/>
      <c r="AV122" s="269"/>
      <c r="AX122" s="252"/>
      <c r="AY122" s="269"/>
      <c r="BB122" s="251"/>
      <c r="BC122" s="251"/>
      <c r="BD122" s="243"/>
      <c r="BE122" s="269"/>
      <c r="BG122" s="252"/>
      <c r="BH122" s="269"/>
      <c r="BK122" s="251"/>
      <c r="BL122" s="251"/>
      <c r="BM122" s="243"/>
      <c r="BN122" s="269"/>
      <c r="BP122" s="252"/>
      <c r="BQ122" s="269"/>
      <c r="BT122" s="251"/>
      <c r="BU122" s="251"/>
      <c r="BV122" s="243"/>
      <c r="BW122" s="269"/>
      <c r="BY122" s="252"/>
      <c r="BZ122" s="269"/>
      <c r="CC122" s="251"/>
      <c r="CD122" s="251"/>
      <c r="CE122" s="243"/>
      <c r="CF122" s="269"/>
      <c r="CH122" s="252"/>
      <c r="CI122" s="269"/>
      <c r="CL122" s="251"/>
      <c r="CM122" s="251"/>
      <c r="CN122" s="243"/>
      <c r="CO122" s="269"/>
      <c r="CQ122" s="252"/>
      <c r="CR122" s="269"/>
      <c r="CU122" s="251"/>
      <c r="CV122" s="251"/>
      <c r="CW122" s="243"/>
      <c r="CX122" s="269"/>
      <c r="CZ122" s="252"/>
      <c r="DA122" s="269"/>
      <c r="DD122" s="251"/>
      <c r="DE122" s="251"/>
      <c r="DF122" s="243"/>
      <c r="DG122" s="269"/>
      <c r="DI122" s="252"/>
      <c r="DJ122" s="269"/>
      <c r="DM122" s="251"/>
      <c r="DN122" s="251"/>
      <c r="DO122" s="243"/>
      <c r="DP122" s="269"/>
      <c r="DR122" s="252"/>
      <c r="DS122" s="269"/>
      <c r="DV122" s="251"/>
      <c r="DW122" s="251"/>
      <c r="DX122" s="243"/>
      <c r="DY122" s="269"/>
      <c r="EA122" s="252"/>
      <c r="EB122" s="269"/>
      <c r="EE122" s="251"/>
      <c r="EF122" s="251"/>
      <c r="EG122" s="243"/>
      <c r="EH122" s="269"/>
      <c r="EJ122" s="252"/>
      <c r="EK122" s="269"/>
      <c r="EN122" s="251"/>
      <c r="EO122" s="251"/>
      <c r="EP122" s="243"/>
      <c r="EQ122" s="269"/>
      <c r="ES122" s="252"/>
      <c r="ET122" s="269"/>
      <c r="EW122" s="251"/>
      <c r="EX122" s="251"/>
      <c r="EY122" s="243"/>
      <c r="EZ122" s="269"/>
      <c r="FB122" s="252"/>
      <c r="FC122" s="269"/>
      <c r="FF122" s="251"/>
      <c r="FG122" s="251"/>
      <c r="FH122" s="243"/>
      <c r="FI122" s="269"/>
      <c r="FK122" s="252"/>
      <c r="FL122" s="269"/>
      <c r="FO122" s="251"/>
      <c r="FP122" s="251"/>
      <c r="FQ122" s="243"/>
      <c r="FR122" s="269"/>
      <c r="FT122" s="252"/>
      <c r="FU122" s="269"/>
      <c r="FX122" s="251"/>
      <c r="FY122" s="251"/>
      <c r="FZ122" s="243"/>
      <c r="GA122" s="269"/>
      <c r="GC122" s="252"/>
      <c r="GD122" s="269"/>
      <c r="GG122" s="251"/>
      <c r="GH122" s="251"/>
      <c r="GI122" s="243"/>
      <c r="GJ122" s="269"/>
      <c r="GL122" s="252"/>
      <c r="GM122" s="269"/>
      <c r="GP122" s="251"/>
      <c r="GQ122" s="251"/>
      <c r="GR122" s="243"/>
      <c r="GS122" s="269"/>
      <c r="GU122" s="252"/>
      <c r="GV122" s="269"/>
      <c r="GY122" s="251"/>
      <c r="GZ122" s="251"/>
      <c r="HA122" s="243"/>
      <c r="HB122" s="269"/>
      <c r="HD122" s="252"/>
      <c r="HE122" s="269"/>
      <c r="HH122" s="251"/>
      <c r="HI122" s="251"/>
      <c r="HJ122" s="243"/>
      <c r="HK122" s="269"/>
      <c r="HM122" s="252"/>
      <c r="HN122" s="269"/>
      <c r="HQ122" s="251"/>
      <c r="HR122" s="251"/>
      <c r="HS122" s="243"/>
      <c r="HT122" s="269"/>
      <c r="HV122" s="252"/>
      <c r="HW122" s="269"/>
      <c r="HZ122" s="251"/>
      <c r="IA122" s="251"/>
      <c r="IB122" s="243"/>
    </row>
    <row r="123" spans="2:236" s="247" customFormat="1" ht="12.75">
      <c r="B123" s="295"/>
      <c r="C123" s="251"/>
      <c r="D123" s="251"/>
      <c r="E123" s="289"/>
      <c r="F123" s="360"/>
      <c r="H123" s="246"/>
      <c r="I123" s="243"/>
      <c r="J123" s="251"/>
      <c r="K123" s="251"/>
      <c r="L123" s="243"/>
      <c r="N123" s="252"/>
      <c r="O123" s="269"/>
      <c r="R123" s="251"/>
      <c r="S123" s="251"/>
      <c r="T123" s="243"/>
      <c r="U123" s="269"/>
      <c r="W123" s="252"/>
      <c r="X123" s="269"/>
      <c r="AA123" s="251"/>
      <c r="AB123" s="251"/>
      <c r="AC123" s="243"/>
      <c r="AD123" s="269"/>
      <c r="AF123" s="252"/>
      <c r="AG123" s="269"/>
      <c r="AJ123" s="251"/>
      <c r="AK123" s="251"/>
      <c r="AL123" s="243"/>
      <c r="AM123" s="269"/>
      <c r="AO123" s="252"/>
      <c r="AP123" s="269"/>
      <c r="AS123" s="251"/>
      <c r="AT123" s="251"/>
      <c r="AU123" s="243"/>
      <c r="AV123" s="269"/>
      <c r="AX123" s="252"/>
      <c r="AY123" s="269"/>
      <c r="BB123" s="251"/>
      <c r="BC123" s="251"/>
      <c r="BD123" s="243"/>
      <c r="BE123" s="269"/>
      <c r="BG123" s="252"/>
      <c r="BH123" s="269"/>
      <c r="BK123" s="251"/>
      <c r="BL123" s="251"/>
      <c r="BM123" s="243"/>
      <c r="BN123" s="269"/>
      <c r="BP123" s="252"/>
      <c r="BQ123" s="269"/>
      <c r="BT123" s="251"/>
      <c r="BU123" s="251"/>
      <c r="BV123" s="243"/>
      <c r="BW123" s="269"/>
      <c r="BY123" s="252"/>
      <c r="BZ123" s="269"/>
      <c r="CC123" s="251"/>
      <c r="CD123" s="251"/>
      <c r="CE123" s="243"/>
      <c r="CF123" s="269"/>
      <c r="CH123" s="252"/>
      <c r="CI123" s="269"/>
      <c r="CL123" s="251"/>
      <c r="CM123" s="251"/>
      <c r="CN123" s="243"/>
      <c r="CO123" s="269"/>
      <c r="CQ123" s="252"/>
      <c r="CR123" s="269"/>
      <c r="CU123" s="251"/>
      <c r="CV123" s="251"/>
      <c r="CW123" s="243"/>
      <c r="CX123" s="269"/>
      <c r="CZ123" s="252"/>
      <c r="DA123" s="269"/>
      <c r="DD123" s="251"/>
      <c r="DE123" s="251"/>
      <c r="DF123" s="243"/>
      <c r="DG123" s="269"/>
      <c r="DI123" s="252"/>
      <c r="DJ123" s="269"/>
      <c r="DM123" s="251"/>
      <c r="DN123" s="251"/>
      <c r="DO123" s="243"/>
      <c r="DP123" s="269"/>
      <c r="DR123" s="252"/>
      <c r="DS123" s="269"/>
      <c r="DV123" s="251"/>
      <c r="DW123" s="251"/>
      <c r="DX123" s="243"/>
      <c r="DY123" s="269"/>
      <c r="EA123" s="252"/>
      <c r="EB123" s="269"/>
      <c r="EE123" s="251"/>
      <c r="EF123" s="251"/>
      <c r="EG123" s="243"/>
      <c r="EH123" s="269"/>
      <c r="EJ123" s="252"/>
      <c r="EK123" s="269"/>
      <c r="EN123" s="251"/>
      <c r="EO123" s="251"/>
      <c r="EP123" s="243"/>
      <c r="EQ123" s="269"/>
      <c r="ES123" s="252"/>
      <c r="ET123" s="269"/>
      <c r="EW123" s="251"/>
      <c r="EX123" s="251"/>
      <c r="EY123" s="243"/>
      <c r="EZ123" s="269"/>
      <c r="FB123" s="252"/>
      <c r="FC123" s="269"/>
      <c r="FF123" s="251"/>
      <c r="FG123" s="251"/>
      <c r="FH123" s="243"/>
      <c r="FI123" s="269"/>
      <c r="FK123" s="252"/>
      <c r="FL123" s="269"/>
      <c r="FO123" s="251"/>
      <c r="FP123" s="251"/>
      <c r="FQ123" s="243"/>
      <c r="FR123" s="269"/>
      <c r="FT123" s="252"/>
      <c r="FU123" s="269"/>
      <c r="FX123" s="251"/>
      <c r="FY123" s="251"/>
      <c r="FZ123" s="243"/>
      <c r="GA123" s="269"/>
      <c r="GC123" s="252"/>
      <c r="GD123" s="269"/>
      <c r="GG123" s="251"/>
      <c r="GH123" s="251"/>
      <c r="GI123" s="243"/>
      <c r="GJ123" s="269"/>
      <c r="GL123" s="252"/>
      <c r="GM123" s="269"/>
      <c r="GP123" s="251"/>
      <c r="GQ123" s="251"/>
      <c r="GR123" s="243"/>
      <c r="GS123" s="269"/>
      <c r="GU123" s="252"/>
      <c r="GV123" s="269"/>
      <c r="GY123" s="251"/>
      <c r="GZ123" s="251"/>
      <c r="HA123" s="243"/>
      <c r="HB123" s="269"/>
      <c r="HD123" s="252"/>
      <c r="HE123" s="269"/>
      <c r="HH123" s="251"/>
      <c r="HI123" s="251"/>
      <c r="HJ123" s="243"/>
      <c r="HK123" s="269"/>
      <c r="HM123" s="252"/>
      <c r="HN123" s="269"/>
      <c r="HQ123" s="251"/>
      <c r="HR123" s="251"/>
      <c r="HS123" s="243"/>
      <c r="HT123" s="269"/>
      <c r="HV123" s="252"/>
      <c r="HW123" s="269"/>
      <c r="HZ123" s="251"/>
      <c r="IA123" s="251"/>
      <c r="IB123" s="243"/>
    </row>
    <row r="124" spans="2:236" s="247" customFormat="1" ht="12.75">
      <c r="B124" s="295"/>
      <c r="C124" s="366" t="s">
        <v>134</v>
      </c>
      <c r="D124" s="251"/>
      <c r="E124" s="289"/>
      <c r="F124" s="360">
        <v>1</v>
      </c>
      <c r="G124" s="247" t="s">
        <v>130</v>
      </c>
      <c r="H124" s="246"/>
      <c r="I124" s="243"/>
      <c r="J124" s="251"/>
      <c r="K124" s="251"/>
      <c r="L124" s="243"/>
      <c r="N124" s="252"/>
      <c r="O124" s="269"/>
      <c r="R124" s="251"/>
      <c r="S124" s="251"/>
      <c r="T124" s="243"/>
      <c r="U124" s="269"/>
      <c r="W124" s="252"/>
      <c r="X124" s="269"/>
      <c r="AA124" s="251"/>
      <c r="AB124" s="251"/>
      <c r="AC124" s="243"/>
      <c r="AD124" s="269"/>
      <c r="AF124" s="252"/>
      <c r="AG124" s="269"/>
      <c r="AJ124" s="251"/>
      <c r="AK124" s="251"/>
      <c r="AL124" s="243"/>
      <c r="AM124" s="269"/>
      <c r="AO124" s="252"/>
      <c r="AP124" s="269"/>
      <c r="AS124" s="251"/>
      <c r="AT124" s="251"/>
      <c r="AU124" s="243"/>
      <c r="AV124" s="269"/>
      <c r="AX124" s="252"/>
      <c r="AY124" s="269"/>
      <c r="BB124" s="251"/>
      <c r="BC124" s="251"/>
      <c r="BD124" s="243"/>
      <c r="BE124" s="269"/>
      <c r="BG124" s="252"/>
      <c r="BH124" s="269"/>
      <c r="BK124" s="251"/>
      <c r="BL124" s="251"/>
      <c r="BM124" s="243"/>
      <c r="BN124" s="269"/>
      <c r="BP124" s="252"/>
      <c r="BQ124" s="269"/>
      <c r="BT124" s="251"/>
      <c r="BU124" s="251"/>
      <c r="BV124" s="243"/>
      <c r="BW124" s="269"/>
      <c r="BY124" s="252"/>
      <c r="BZ124" s="269"/>
      <c r="CC124" s="251"/>
      <c r="CD124" s="251"/>
      <c r="CE124" s="243"/>
      <c r="CF124" s="269"/>
      <c r="CH124" s="252"/>
      <c r="CI124" s="269"/>
      <c r="CL124" s="251"/>
      <c r="CM124" s="251"/>
      <c r="CN124" s="243"/>
      <c r="CO124" s="269"/>
      <c r="CQ124" s="252"/>
      <c r="CR124" s="269"/>
      <c r="CU124" s="251"/>
      <c r="CV124" s="251"/>
      <c r="CW124" s="243"/>
      <c r="CX124" s="269"/>
      <c r="CZ124" s="252"/>
      <c r="DA124" s="269"/>
      <c r="DD124" s="251"/>
      <c r="DE124" s="251"/>
      <c r="DF124" s="243"/>
      <c r="DG124" s="269"/>
      <c r="DI124" s="252"/>
      <c r="DJ124" s="269"/>
      <c r="DM124" s="251"/>
      <c r="DN124" s="251"/>
      <c r="DO124" s="243"/>
      <c r="DP124" s="269"/>
      <c r="DR124" s="252"/>
      <c r="DS124" s="269"/>
      <c r="DV124" s="251"/>
      <c r="DW124" s="251"/>
      <c r="DX124" s="243"/>
      <c r="DY124" s="269"/>
      <c r="EA124" s="252"/>
      <c r="EB124" s="269"/>
      <c r="EE124" s="251"/>
      <c r="EF124" s="251"/>
      <c r="EG124" s="243"/>
      <c r="EH124" s="269"/>
      <c r="EJ124" s="252"/>
      <c r="EK124" s="269"/>
      <c r="EN124" s="251"/>
      <c r="EO124" s="251"/>
      <c r="EP124" s="243"/>
      <c r="EQ124" s="269"/>
      <c r="ES124" s="252"/>
      <c r="ET124" s="269"/>
      <c r="EW124" s="251"/>
      <c r="EX124" s="251"/>
      <c r="EY124" s="243"/>
      <c r="EZ124" s="269"/>
      <c r="FB124" s="252"/>
      <c r="FC124" s="269"/>
      <c r="FF124" s="251"/>
      <c r="FG124" s="251"/>
      <c r="FH124" s="243"/>
      <c r="FI124" s="269"/>
      <c r="FK124" s="252"/>
      <c r="FL124" s="269"/>
      <c r="FO124" s="251"/>
      <c r="FP124" s="251"/>
      <c r="FQ124" s="243"/>
      <c r="FR124" s="269"/>
      <c r="FT124" s="252"/>
      <c r="FU124" s="269"/>
      <c r="FX124" s="251"/>
      <c r="FY124" s="251"/>
      <c r="FZ124" s="243"/>
      <c r="GA124" s="269"/>
      <c r="GC124" s="252"/>
      <c r="GD124" s="269"/>
      <c r="GG124" s="251"/>
      <c r="GH124" s="251"/>
      <c r="GI124" s="243"/>
      <c r="GJ124" s="269"/>
      <c r="GL124" s="252"/>
      <c r="GM124" s="269"/>
      <c r="GP124" s="251"/>
      <c r="GQ124" s="251"/>
      <c r="GR124" s="243"/>
      <c r="GS124" s="269"/>
      <c r="GU124" s="252"/>
      <c r="GV124" s="269"/>
      <c r="GY124" s="251"/>
      <c r="GZ124" s="251"/>
      <c r="HA124" s="243"/>
      <c r="HB124" s="269"/>
      <c r="HD124" s="252"/>
      <c r="HE124" s="269"/>
      <c r="HH124" s="251"/>
      <c r="HI124" s="251"/>
      <c r="HJ124" s="243"/>
      <c r="HK124" s="269"/>
      <c r="HM124" s="252"/>
      <c r="HN124" s="269"/>
      <c r="HQ124" s="251"/>
      <c r="HR124" s="251"/>
      <c r="HS124" s="243"/>
      <c r="HT124" s="269"/>
      <c r="HV124" s="252"/>
      <c r="HW124" s="269"/>
      <c r="HZ124" s="251"/>
      <c r="IA124" s="251"/>
      <c r="IB124" s="243"/>
    </row>
    <row r="125" spans="2:236" s="247" customFormat="1" ht="12.75">
      <c r="B125" s="295"/>
      <c r="C125" s="367" t="s">
        <v>44</v>
      </c>
      <c r="D125" s="251"/>
      <c r="E125" s="289"/>
      <c r="F125" s="360">
        <v>1</v>
      </c>
      <c r="G125" s="247" t="s">
        <v>130</v>
      </c>
      <c r="H125" s="246"/>
      <c r="I125" s="243"/>
      <c r="J125" s="251"/>
      <c r="K125" s="251"/>
      <c r="L125" s="243"/>
      <c r="N125" s="252"/>
      <c r="O125" s="269"/>
      <c r="R125" s="251"/>
      <c r="S125" s="251"/>
      <c r="T125" s="243"/>
      <c r="U125" s="269"/>
      <c r="W125" s="252"/>
      <c r="X125" s="269"/>
      <c r="AA125" s="251"/>
      <c r="AB125" s="251"/>
      <c r="AC125" s="243"/>
      <c r="AD125" s="269"/>
      <c r="AF125" s="252"/>
      <c r="AG125" s="269"/>
      <c r="AJ125" s="251"/>
      <c r="AK125" s="251"/>
      <c r="AL125" s="243"/>
      <c r="AM125" s="269"/>
      <c r="AO125" s="252"/>
      <c r="AP125" s="269"/>
      <c r="AS125" s="251"/>
      <c r="AT125" s="251"/>
      <c r="AU125" s="243"/>
      <c r="AV125" s="269"/>
      <c r="AX125" s="252"/>
      <c r="AY125" s="269"/>
      <c r="BB125" s="251"/>
      <c r="BC125" s="251"/>
      <c r="BD125" s="243"/>
      <c r="BE125" s="269"/>
      <c r="BG125" s="252"/>
      <c r="BH125" s="269"/>
      <c r="BK125" s="251"/>
      <c r="BL125" s="251"/>
      <c r="BM125" s="243"/>
      <c r="BN125" s="269"/>
      <c r="BP125" s="252"/>
      <c r="BQ125" s="269"/>
      <c r="BT125" s="251"/>
      <c r="BU125" s="251"/>
      <c r="BV125" s="243"/>
      <c r="BW125" s="269"/>
      <c r="BY125" s="252"/>
      <c r="BZ125" s="269"/>
      <c r="CC125" s="251"/>
      <c r="CD125" s="251"/>
      <c r="CE125" s="243"/>
      <c r="CF125" s="269"/>
      <c r="CH125" s="252"/>
      <c r="CI125" s="269"/>
      <c r="CL125" s="251"/>
      <c r="CM125" s="251"/>
      <c r="CN125" s="243"/>
      <c r="CO125" s="269"/>
      <c r="CQ125" s="252"/>
      <c r="CR125" s="269"/>
      <c r="CU125" s="251"/>
      <c r="CV125" s="251"/>
      <c r="CW125" s="243"/>
      <c r="CX125" s="269"/>
      <c r="CZ125" s="252"/>
      <c r="DA125" s="269"/>
      <c r="DD125" s="251"/>
      <c r="DE125" s="251"/>
      <c r="DF125" s="243"/>
      <c r="DG125" s="269"/>
      <c r="DI125" s="252"/>
      <c r="DJ125" s="269"/>
      <c r="DM125" s="251"/>
      <c r="DN125" s="251"/>
      <c r="DO125" s="243"/>
      <c r="DP125" s="269"/>
      <c r="DR125" s="252"/>
      <c r="DS125" s="269"/>
      <c r="DV125" s="251"/>
      <c r="DW125" s="251"/>
      <c r="DX125" s="243"/>
      <c r="DY125" s="269"/>
      <c r="EA125" s="252"/>
      <c r="EB125" s="269"/>
      <c r="EE125" s="251"/>
      <c r="EF125" s="251"/>
      <c r="EG125" s="243"/>
      <c r="EH125" s="269"/>
      <c r="EJ125" s="252"/>
      <c r="EK125" s="269"/>
      <c r="EN125" s="251"/>
      <c r="EO125" s="251"/>
      <c r="EP125" s="243"/>
      <c r="EQ125" s="269"/>
      <c r="ES125" s="252"/>
      <c r="ET125" s="269"/>
      <c r="EW125" s="251"/>
      <c r="EX125" s="251"/>
      <c r="EY125" s="243"/>
      <c r="EZ125" s="269"/>
      <c r="FB125" s="252"/>
      <c r="FC125" s="269"/>
      <c r="FF125" s="251"/>
      <c r="FG125" s="251"/>
      <c r="FH125" s="243"/>
      <c r="FI125" s="269"/>
      <c r="FK125" s="252"/>
      <c r="FL125" s="269"/>
      <c r="FO125" s="251"/>
      <c r="FP125" s="251"/>
      <c r="FQ125" s="243"/>
      <c r="FR125" s="269"/>
      <c r="FT125" s="252"/>
      <c r="FU125" s="269"/>
      <c r="FX125" s="251"/>
      <c r="FY125" s="251"/>
      <c r="FZ125" s="243"/>
      <c r="GA125" s="269"/>
      <c r="GC125" s="252"/>
      <c r="GD125" s="269"/>
      <c r="GG125" s="251"/>
      <c r="GH125" s="251"/>
      <c r="GI125" s="243"/>
      <c r="GJ125" s="269"/>
      <c r="GL125" s="252"/>
      <c r="GM125" s="269"/>
      <c r="GP125" s="251"/>
      <c r="GQ125" s="251"/>
      <c r="GR125" s="243"/>
      <c r="GS125" s="269"/>
      <c r="GU125" s="252"/>
      <c r="GV125" s="269"/>
      <c r="GY125" s="251"/>
      <c r="GZ125" s="251"/>
      <c r="HA125" s="243"/>
      <c r="HB125" s="269"/>
      <c r="HD125" s="252"/>
      <c r="HE125" s="269"/>
      <c r="HH125" s="251"/>
      <c r="HI125" s="251"/>
      <c r="HJ125" s="243"/>
      <c r="HK125" s="269"/>
      <c r="HM125" s="252"/>
      <c r="HN125" s="269"/>
      <c r="HQ125" s="251"/>
      <c r="HR125" s="251"/>
      <c r="HS125" s="243"/>
      <c r="HT125" s="269"/>
      <c r="HV125" s="252"/>
      <c r="HW125" s="269"/>
      <c r="HZ125" s="251"/>
      <c r="IA125" s="251"/>
      <c r="IB125" s="243"/>
    </row>
    <row r="126" spans="2:236" s="247" customFormat="1" ht="12.75">
      <c r="B126" s="295"/>
      <c r="C126" s="367" t="s">
        <v>211</v>
      </c>
      <c r="D126" s="251"/>
      <c r="E126" s="289"/>
      <c r="F126" s="360">
        <v>1</v>
      </c>
      <c r="G126" s="247" t="s">
        <v>130</v>
      </c>
      <c r="H126" s="246"/>
      <c r="I126" s="243"/>
      <c r="J126" s="251"/>
      <c r="K126" s="251"/>
      <c r="L126" s="243"/>
      <c r="N126" s="252"/>
      <c r="O126" s="269"/>
      <c r="R126" s="251"/>
      <c r="S126" s="251"/>
      <c r="T126" s="243"/>
      <c r="U126" s="269"/>
      <c r="W126" s="252"/>
      <c r="X126" s="269"/>
      <c r="AA126" s="251"/>
      <c r="AB126" s="251"/>
      <c r="AC126" s="243"/>
      <c r="AD126" s="269"/>
      <c r="AF126" s="252"/>
      <c r="AG126" s="269"/>
      <c r="AJ126" s="251"/>
      <c r="AK126" s="251"/>
      <c r="AL126" s="243"/>
      <c r="AM126" s="269"/>
      <c r="AO126" s="252"/>
      <c r="AP126" s="269"/>
      <c r="AS126" s="251"/>
      <c r="AT126" s="251"/>
      <c r="AU126" s="243"/>
      <c r="AV126" s="269"/>
      <c r="AX126" s="252"/>
      <c r="AY126" s="269"/>
      <c r="BB126" s="251"/>
      <c r="BC126" s="251"/>
      <c r="BD126" s="243"/>
      <c r="BE126" s="269"/>
      <c r="BG126" s="252"/>
      <c r="BH126" s="269"/>
      <c r="BK126" s="251"/>
      <c r="BL126" s="251"/>
      <c r="BM126" s="243"/>
      <c r="BN126" s="269"/>
      <c r="BP126" s="252"/>
      <c r="BQ126" s="269"/>
      <c r="BT126" s="251"/>
      <c r="BU126" s="251"/>
      <c r="BV126" s="243"/>
      <c r="BW126" s="269"/>
      <c r="BY126" s="252"/>
      <c r="BZ126" s="269"/>
      <c r="CC126" s="251"/>
      <c r="CD126" s="251"/>
      <c r="CE126" s="243"/>
      <c r="CF126" s="269"/>
      <c r="CH126" s="252"/>
      <c r="CI126" s="269"/>
      <c r="CL126" s="251"/>
      <c r="CM126" s="251"/>
      <c r="CN126" s="243"/>
      <c r="CO126" s="269"/>
      <c r="CQ126" s="252"/>
      <c r="CR126" s="269"/>
      <c r="CU126" s="251"/>
      <c r="CV126" s="251"/>
      <c r="CW126" s="243"/>
      <c r="CX126" s="269"/>
      <c r="CZ126" s="252"/>
      <c r="DA126" s="269"/>
      <c r="DD126" s="251"/>
      <c r="DE126" s="251"/>
      <c r="DF126" s="243"/>
      <c r="DG126" s="269"/>
      <c r="DI126" s="252"/>
      <c r="DJ126" s="269"/>
      <c r="DM126" s="251"/>
      <c r="DN126" s="251"/>
      <c r="DO126" s="243"/>
      <c r="DP126" s="269"/>
      <c r="DR126" s="252"/>
      <c r="DS126" s="269"/>
      <c r="DV126" s="251"/>
      <c r="DW126" s="251"/>
      <c r="DX126" s="243"/>
      <c r="DY126" s="269"/>
      <c r="EA126" s="252"/>
      <c r="EB126" s="269"/>
      <c r="EE126" s="251"/>
      <c r="EF126" s="251"/>
      <c r="EG126" s="243"/>
      <c r="EH126" s="269"/>
      <c r="EJ126" s="252"/>
      <c r="EK126" s="269"/>
      <c r="EN126" s="251"/>
      <c r="EO126" s="251"/>
      <c r="EP126" s="243"/>
      <c r="EQ126" s="269"/>
      <c r="ES126" s="252"/>
      <c r="ET126" s="269"/>
      <c r="EW126" s="251"/>
      <c r="EX126" s="251"/>
      <c r="EY126" s="243"/>
      <c r="EZ126" s="269"/>
      <c r="FB126" s="252"/>
      <c r="FC126" s="269"/>
      <c r="FF126" s="251"/>
      <c r="FG126" s="251"/>
      <c r="FH126" s="243"/>
      <c r="FI126" s="269"/>
      <c r="FK126" s="252"/>
      <c r="FL126" s="269"/>
      <c r="FO126" s="251"/>
      <c r="FP126" s="251"/>
      <c r="FQ126" s="243"/>
      <c r="FR126" s="269"/>
      <c r="FT126" s="252"/>
      <c r="FU126" s="269"/>
      <c r="FX126" s="251"/>
      <c r="FY126" s="251"/>
      <c r="FZ126" s="243"/>
      <c r="GA126" s="269"/>
      <c r="GC126" s="252"/>
      <c r="GD126" s="269"/>
      <c r="GG126" s="251"/>
      <c r="GH126" s="251"/>
      <c r="GI126" s="243"/>
      <c r="GJ126" s="269"/>
      <c r="GL126" s="252"/>
      <c r="GM126" s="269"/>
      <c r="GP126" s="251"/>
      <c r="GQ126" s="251"/>
      <c r="GR126" s="243"/>
      <c r="GS126" s="269"/>
      <c r="GU126" s="252"/>
      <c r="GV126" s="269"/>
      <c r="GY126" s="251"/>
      <c r="GZ126" s="251"/>
      <c r="HA126" s="243"/>
      <c r="HB126" s="269"/>
      <c r="HD126" s="252"/>
      <c r="HE126" s="269"/>
      <c r="HH126" s="251"/>
      <c r="HI126" s="251"/>
      <c r="HJ126" s="243"/>
      <c r="HK126" s="269"/>
      <c r="HM126" s="252"/>
      <c r="HN126" s="269"/>
      <c r="HQ126" s="251"/>
      <c r="HR126" s="251"/>
      <c r="HS126" s="243"/>
      <c r="HT126" s="269"/>
      <c r="HV126" s="252"/>
      <c r="HW126" s="269"/>
      <c r="HZ126" s="251"/>
      <c r="IA126" s="251"/>
      <c r="IB126" s="243"/>
    </row>
    <row r="127" spans="2:236" s="247" customFormat="1" ht="12.75">
      <c r="B127" s="295"/>
      <c r="C127" s="367" t="s">
        <v>212</v>
      </c>
      <c r="D127" s="251"/>
      <c r="E127" s="289"/>
      <c r="F127" s="360">
        <v>1</v>
      </c>
      <c r="G127" s="247" t="s">
        <v>130</v>
      </c>
      <c r="H127" s="246"/>
      <c r="I127" s="243"/>
      <c r="J127" s="251"/>
      <c r="K127" s="251"/>
      <c r="L127" s="243"/>
      <c r="N127" s="252"/>
      <c r="O127" s="269"/>
      <c r="R127" s="251"/>
      <c r="S127" s="251"/>
      <c r="T127" s="243"/>
      <c r="U127" s="269"/>
      <c r="W127" s="252"/>
      <c r="X127" s="269"/>
      <c r="AA127" s="251"/>
      <c r="AB127" s="251"/>
      <c r="AC127" s="243"/>
      <c r="AD127" s="269"/>
      <c r="AF127" s="252"/>
      <c r="AG127" s="269"/>
      <c r="AJ127" s="251"/>
      <c r="AK127" s="251"/>
      <c r="AL127" s="243"/>
      <c r="AM127" s="269"/>
      <c r="AO127" s="252"/>
      <c r="AP127" s="269"/>
      <c r="AS127" s="251"/>
      <c r="AT127" s="251"/>
      <c r="AU127" s="243"/>
      <c r="AV127" s="269"/>
      <c r="AX127" s="252"/>
      <c r="AY127" s="269"/>
      <c r="BB127" s="251"/>
      <c r="BC127" s="251"/>
      <c r="BD127" s="243"/>
      <c r="BE127" s="269"/>
      <c r="BG127" s="252"/>
      <c r="BH127" s="269"/>
      <c r="BK127" s="251"/>
      <c r="BL127" s="251"/>
      <c r="BM127" s="243"/>
      <c r="BN127" s="269"/>
      <c r="BP127" s="252"/>
      <c r="BQ127" s="269"/>
      <c r="BT127" s="251"/>
      <c r="BU127" s="251"/>
      <c r="BV127" s="243"/>
      <c r="BW127" s="269"/>
      <c r="BY127" s="252"/>
      <c r="BZ127" s="269"/>
      <c r="CC127" s="251"/>
      <c r="CD127" s="251"/>
      <c r="CE127" s="243"/>
      <c r="CF127" s="269"/>
      <c r="CH127" s="252"/>
      <c r="CI127" s="269"/>
      <c r="CL127" s="251"/>
      <c r="CM127" s="251"/>
      <c r="CN127" s="243"/>
      <c r="CO127" s="269"/>
      <c r="CQ127" s="252"/>
      <c r="CR127" s="269"/>
      <c r="CU127" s="251"/>
      <c r="CV127" s="251"/>
      <c r="CW127" s="243"/>
      <c r="CX127" s="269"/>
      <c r="CZ127" s="252"/>
      <c r="DA127" s="269"/>
      <c r="DD127" s="251"/>
      <c r="DE127" s="251"/>
      <c r="DF127" s="243"/>
      <c r="DG127" s="269"/>
      <c r="DI127" s="252"/>
      <c r="DJ127" s="269"/>
      <c r="DM127" s="251"/>
      <c r="DN127" s="251"/>
      <c r="DO127" s="243"/>
      <c r="DP127" s="269"/>
      <c r="DR127" s="252"/>
      <c r="DS127" s="269"/>
      <c r="DV127" s="251"/>
      <c r="DW127" s="251"/>
      <c r="DX127" s="243"/>
      <c r="DY127" s="269"/>
      <c r="EA127" s="252"/>
      <c r="EB127" s="269"/>
      <c r="EE127" s="251"/>
      <c r="EF127" s="251"/>
      <c r="EG127" s="243"/>
      <c r="EH127" s="269"/>
      <c r="EJ127" s="252"/>
      <c r="EK127" s="269"/>
      <c r="EN127" s="251"/>
      <c r="EO127" s="251"/>
      <c r="EP127" s="243"/>
      <c r="EQ127" s="269"/>
      <c r="ES127" s="252"/>
      <c r="ET127" s="269"/>
      <c r="EW127" s="251"/>
      <c r="EX127" s="251"/>
      <c r="EY127" s="243"/>
      <c r="EZ127" s="269"/>
      <c r="FB127" s="252"/>
      <c r="FC127" s="269"/>
      <c r="FF127" s="251"/>
      <c r="FG127" s="251"/>
      <c r="FH127" s="243"/>
      <c r="FI127" s="269"/>
      <c r="FK127" s="252"/>
      <c r="FL127" s="269"/>
      <c r="FO127" s="251"/>
      <c r="FP127" s="251"/>
      <c r="FQ127" s="243"/>
      <c r="FR127" s="269"/>
      <c r="FT127" s="252"/>
      <c r="FU127" s="269"/>
      <c r="FX127" s="251"/>
      <c r="FY127" s="251"/>
      <c r="FZ127" s="243"/>
      <c r="GA127" s="269"/>
      <c r="GC127" s="252"/>
      <c r="GD127" s="269"/>
      <c r="GG127" s="251"/>
      <c r="GH127" s="251"/>
      <c r="GI127" s="243"/>
      <c r="GJ127" s="269"/>
      <c r="GL127" s="252"/>
      <c r="GM127" s="269"/>
      <c r="GP127" s="251"/>
      <c r="GQ127" s="251"/>
      <c r="GR127" s="243"/>
      <c r="GS127" s="269"/>
      <c r="GU127" s="252"/>
      <c r="GV127" s="269"/>
      <c r="GY127" s="251"/>
      <c r="GZ127" s="251"/>
      <c r="HA127" s="243"/>
      <c r="HB127" s="269"/>
      <c r="HD127" s="252"/>
      <c r="HE127" s="269"/>
      <c r="HH127" s="251"/>
      <c r="HI127" s="251"/>
      <c r="HJ127" s="243"/>
      <c r="HK127" s="269"/>
      <c r="HM127" s="252"/>
      <c r="HN127" s="269"/>
      <c r="HQ127" s="251"/>
      <c r="HR127" s="251"/>
      <c r="HS127" s="243"/>
      <c r="HT127" s="269"/>
      <c r="HV127" s="252"/>
      <c r="HW127" s="269"/>
      <c r="HZ127" s="251"/>
      <c r="IA127" s="251"/>
      <c r="IB127" s="243"/>
    </row>
    <row r="128" spans="2:236" s="247" customFormat="1" ht="12.75">
      <c r="B128" s="295"/>
      <c r="C128" s="366" t="s">
        <v>213</v>
      </c>
      <c r="D128" s="251"/>
      <c r="E128" s="289"/>
      <c r="F128" s="360">
        <v>1</v>
      </c>
      <c r="G128" s="247" t="s">
        <v>130</v>
      </c>
      <c r="H128" s="246"/>
      <c r="I128" s="243"/>
      <c r="J128" s="251"/>
      <c r="K128" s="251"/>
      <c r="L128" s="243"/>
      <c r="N128" s="252"/>
      <c r="O128" s="269"/>
      <c r="R128" s="251"/>
      <c r="S128" s="251"/>
      <c r="T128" s="243"/>
      <c r="U128" s="269"/>
      <c r="W128" s="252"/>
      <c r="X128" s="269"/>
      <c r="AA128" s="251"/>
      <c r="AB128" s="251"/>
      <c r="AC128" s="243"/>
      <c r="AD128" s="269"/>
      <c r="AF128" s="252"/>
      <c r="AG128" s="269"/>
      <c r="AJ128" s="251"/>
      <c r="AK128" s="251"/>
      <c r="AL128" s="243"/>
      <c r="AM128" s="269"/>
      <c r="AO128" s="252"/>
      <c r="AP128" s="269"/>
      <c r="AS128" s="251"/>
      <c r="AT128" s="251"/>
      <c r="AU128" s="243"/>
      <c r="AV128" s="269"/>
      <c r="AX128" s="252"/>
      <c r="AY128" s="269"/>
      <c r="BB128" s="251"/>
      <c r="BC128" s="251"/>
      <c r="BD128" s="243"/>
      <c r="BE128" s="269"/>
      <c r="BG128" s="252"/>
      <c r="BH128" s="269"/>
      <c r="BK128" s="251"/>
      <c r="BL128" s="251"/>
      <c r="BM128" s="243"/>
      <c r="BN128" s="269"/>
      <c r="BP128" s="252"/>
      <c r="BQ128" s="269"/>
      <c r="BT128" s="251"/>
      <c r="BU128" s="251"/>
      <c r="BV128" s="243"/>
      <c r="BW128" s="269"/>
      <c r="BY128" s="252"/>
      <c r="BZ128" s="269"/>
      <c r="CC128" s="251"/>
      <c r="CD128" s="251"/>
      <c r="CE128" s="243"/>
      <c r="CF128" s="269"/>
      <c r="CH128" s="252"/>
      <c r="CI128" s="269"/>
      <c r="CL128" s="251"/>
      <c r="CM128" s="251"/>
      <c r="CN128" s="243"/>
      <c r="CO128" s="269"/>
      <c r="CQ128" s="252"/>
      <c r="CR128" s="269"/>
      <c r="CU128" s="251"/>
      <c r="CV128" s="251"/>
      <c r="CW128" s="243"/>
      <c r="CX128" s="269"/>
      <c r="CZ128" s="252"/>
      <c r="DA128" s="269"/>
      <c r="DD128" s="251"/>
      <c r="DE128" s="251"/>
      <c r="DF128" s="243"/>
      <c r="DG128" s="269"/>
      <c r="DI128" s="252"/>
      <c r="DJ128" s="269"/>
      <c r="DM128" s="251"/>
      <c r="DN128" s="251"/>
      <c r="DO128" s="243"/>
      <c r="DP128" s="269"/>
      <c r="DR128" s="252"/>
      <c r="DS128" s="269"/>
      <c r="DV128" s="251"/>
      <c r="DW128" s="251"/>
      <c r="DX128" s="243"/>
      <c r="DY128" s="269"/>
      <c r="EA128" s="252"/>
      <c r="EB128" s="269"/>
      <c r="EE128" s="251"/>
      <c r="EF128" s="251"/>
      <c r="EG128" s="243"/>
      <c r="EH128" s="269"/>
      <c r="EJ128" s="252"/>
      <c r="EK128" s="269"/>
      <c r="EN128" s="251"/>
      <c r="EO128" s="251"/>
      <c r="EP128" s="243"/>
      <c r="EQ128" s="269"/>
      <c r="ES128" s="252"/>
      <c r="ET128" s="269"/>
      <c r="EW128" s="251"/>
      <c r="EX128" s="251"/>
      <c r="EY128" s="243"/>
      <c r="EZ128" s="269"/>
      <c r="FB128" s="252"/>
      <c r="FC128" s="269"/>
      <c r="FF128" s="251"/>
      <c r="FG128" s="251"/>
      <c r="FH128" s="243"/>
      <c r="FI128" s="269"/>
      <c r="FK128" s="252"/>
      <c r="FL128" s="269"/>
      <c r="FO128" s="251"/>
      <c r="FP128" s="251"/>
      <c r="FQ128" s="243"/>
      <c r="FR128" s="269"/>
      <c r="FT128" s="252"/>
      <c r="FU128" s="269"/>
      <c r="FX128" s="251"/>
      <c r="FY128" s="251"/>
      <c r="FZ128" s="243"/>
      <c r="GA128" s="269"/>
      <c r="GC128" s="252"/>
      <c r="GD128" s="269"/>
      <c r="GG128" s="251"/>
      <c r="GH128" s="251"/>
      <c r="GI128" s="243"/>
      <c r="GJ128" s="269"/>
      <c r="GL128" s="252"/>
      <c r="GM128" s="269"/>
      <c r="GP128" s="251"/>
      <c r="GQ128" s="251"/>
      <c r="GR128" s="243"/>
      <c r="GS128" s="269"/>
      <c r="GU128" s="252"/>
      <c r="GV128" s="269"/>
      <c r="GY128" s="251"/>
      <c r="GZ128" s="251"/>
      <c r="HA128" s="243"/>
      <c r="HB128" s="269"/>
      <c r="HD128" s="252"/>
      <c r="HE128" s="269"/>
      <c r="HH128" s="251"/>
      <c r="HI128" s="251"/>
      <c r="HJ128" s="243"/>
      <c r="HK128" s="269"/>
      <c r="HM128" s="252"/>
      <c r="HN128" s="269"/>
      <c r="HQ128" s="251"/>
      <c r="HR128" s="251"/>
      <c r="HS128" s="243"/>
      <c r="HT128" s="269"/>
      <c r="HV128" s="252"/>
      <c r="HW128" s="269"/>
      <c r="HZ128" s="251"/>
      <c r="IA128" s="251"/>
      <c r="IB128" s="243"/>
    </row>
    <row r="129" spans="2:236" s="247" customFormat="1" ht="12.75">
      <c r="B129" s="295"/>
      <c r="C129" s="261"/>
      <c r="D129" s="251"/>
      <c r="E129" s="289"/>
      <c r="F129" s="357">
        <f>SUM(F109:F128)</f>
        <v>20</v>
      </c>
      <c r="H129" s="246"/>
      <c r="I129" s="243"/>
      <c r="K129" s="251"/>
      <c r="L129" s="243"/>
      <c r="N129" s="252"/>
      <c r="O129" s="269"/>
      <c r="R129" s="251"/>
      <c r="S129" s="251"/>
      <c r="T129" s="243"/>
      <c r="U129" s="269"/>
      <c r="W129" s="252"/>
      <c r="X129" s="269"/>
      <c r="AA129" s="251"/>
      <c r="AB129" s="251"/>
      <c r="AC129" s="243"/>
      <c r="AD129" s="269"/>
      <c r="AF129" s="252"/>
      <c r="AG129" s="269"/>
      <c r="AJ129" s="251"/>
      <c r="AK129" s="251"/>
      <c r="AL129" s="243"/>
      <c r="AM129" s="269"/>
      <c r="AO129" s="252"/>
      <c r="AP129" s="269"/>
      <c r="AS129" s="251"/>
      <c r="AT129" s="251"/>
      <c r="AU129" s="243"/>
      <c r="AV129" s="269"/>
      <c r="AX129" s="252"/>
      <c r="AY129" s="269"/>
      <c r="BB129" s="251"/>
      <c r="BC129" s="251"/>
      <c r="BD129" s="243"/>
      <c r="BE129" s="269"/>
      <c r="BG129" s="252"/>
      <c r="BH129" s="269"/>
      <c r="BK129" s="251"/>
      <c r="BL129" s="251"/>
      <c r="BM129" s="243"/>
      <c r="BN129" s="269"/>
      <c r="BP129" s="252"/>
      <c r="BQ129" s="269"/>
      <c r="BT129" s="251"/>
      <c r="BU129" s="251"/>
      <c r="BV129" s="243"/>
      <c r="BW129" s="269"/>
      <c r="BY129" s="252"/>
      <c r="BZ129" s="269"/>
      <c r="CC129" s="251"/>
      <c r="CD129" s="251"/>
      <c r="CE129" s="243"/>
      <c r="CF129" s="269"/>
      <c r="CH129" s="252"/>
      <c r="CI129" s="269"/>
      <c r="CL129" s="251"/>
      <c r="CM129" s="251"/>
      <c r="CN129" s="243"/>
      <c r="CO129" s="269"/>
      <c r="CQ129" s="252"/>
      <c r="CR129" s="269"/>
      <c r="CU129" s="251"/>
      <c r="CV129" s="251"/>
      <c r="CW129" s="243"/>
      <c r="CX129" s="269"/>
      <c r="CZ129" s="252"/>
      <c r="DA129" s="269"/>
      <c r="DD129" s="251"/>
      <c r="DE129" s="251"/>
      <c r="DF129" s="243"/>
      <c r="DG129" s="269"/>
      <c r="DI129" s="252"/>
      <c r="DJ129" s="269"/>
      <c r="DM129" s="251"/>
      <c r="DN129" s="251"/>
      <c r="DO129" s="243"/>
      <c r="DP129" s="269"/>
      <c r="DR129" s="252"/>
      <c r="DS129" s="269"/>
      <c r="DV129" s="251"/>
      <c r="DW129" s="251"/>
      <c r="DX129" s="243"/>
      <c r="DY129" s="269"/>
      <c r="EA129" s="252"/>
      <c r="EB129" s="269"/>
      <c r="EE129" s="251"/>
      <c r="EF129" s="251"/>
      <c r="EG129" s="243"/>
      <c r="EH129" s="269"/>
      <c r="EJ129" s="252"/>
      <c r="EK129" s="269"/>
      <c r="EN129" s="251"/>
      <c r="EO129" s="251"/>
      <c r="EP129" s="243"/>
      <c r="EQ129" s="269"/>
      <c r="ES129" s="252"/>
      <c r="ET129" s="269"/>
      <c r="EW129" s="251"/>
      <c r="EX129" s="251"/>
      <c r="EY129" s="243"/>
      <c r="EZ129" s="269"/>
      <c r="FB129" s="252"/>
      <c r="FC129" s="269"/>
      <c r="FF129" s="251"/>
      <c r="FG129" s="251"/>
      <c r="FH129" s="243"/>
      <c r="FI129" s="269"/>
      <c r="FK129" s="252"/>
      <c r="FL129" s="269"/>
      <c r="FO129" s="251"/>
      <c r="FP129" s="251"/>
      <c r="FQ129" s="243"/>
      <c r="FR129" s="269"/>
      <c r="FT129" s="252"/>
      <c r="FU129" s="269"/>
      <c r="FX129" s="251"/>
      <c r="FY129" s="251"/>
      <c r="FZ129" s="243"/>
      <c r="GA129" s="269"/>
      <c r="GC129" s="252"/>
      <c r="GD129" s="269"/>
      <c r="GG129" s="251"/>
      <c r="GH129" s="251"/>
      <c r="GI129" s="243"/>
      <c r="GJ129" s="269"/>
      <c r="GL129" s="252"/>
      <c r="GM129" s="269"/>
      <c r="GP129" s="251"/>
      <c r="GQ129" s="251"/>
      <c r="GR129" s="243"/>
      <c r="GS129" s="269"/>
      <c r="GU129" s="252"/>
      <c r="GV129" s="269"/>
      <c r="GY129" s="251"/>
      <c r="GZ129" s="251"/>
      <c r="HA129" s="243"/>
      <c r="HB129" s="269"/>
      <c r="HD129" s="252"/>
      <c r="HE129" s="269"/>
      <c r="HH129" s="251"/>
      <c r="HI129" s="251"/>
      <c r="HJ129" s="243"/>
      <c r="HK129" s="269"/>
      <c r="HM129" s="252"/>
      <c r="HN129" s="269"/>
      <c r="HQ129" s="251"/>
      <c r="HR129" s="251"/>
      <c r="HS129" s="243"/>
      <c r="HT129" s="269"/>
      <c r="HV129" s="252"/>
      <c r="HW129" s="269"/>
      <c r="HZ129" s="251"/>
      <c r="IA129" s="251"/>
      <c r="IB129" s="243"/>
    </row>
    <row r="130" spans="2:236" s="247" customFormat="1" ht="12.75">
      <c r="B130" s="295"/>
      <c r="C130" s="367" t="s">
        <v>214</v>
      </c>
      <c r="D130" s="251" t="s">
        <v>208</v>
      </c>
      <c r="E130" s="284">
        <v>2</v>
      </c>
      <c r="F130" s="345" t="s">
        <v>130</v>
      </c>
      <c r="H130" s="246"/>
      <c r="I130" s="243"/>
      <c r="K130" s="251"/>
      <c r="L130" s="243"/>
      <c r="N130" s="252"/>
      <c r="O130" s="269"/>
      <c r="R130" s="251"/>
      <c r="S130" s="251"/>
      <c r="T130" s="243"/>
      <c r="U130" s="269"/>
      <c r="W130" s="252"/>
      <c r="X130" s="269"/>
      <c r="AA130" s="251"/>
      <c r="AB130" s="251"/>
      <c r="AC130" s="243"/>
      <c r="AD130" s="269"/>
      <c r="AF130" s="252"/>
      <c r="AG130" s="269"/>
      <c r="AJ130" s="251"/>
      <c r="AK130" s="251"/>
      <c r="AL130" s="243"/>
      <c r="AM130" s="269"/>
      <c r="AO130" s="252"/>
      <c r="AP130" s="269"/>
      <c r="AS130" s="251"/>
      <c r="AT130" s="251"/>
      <c r="AU130" s="243"/>
      <c r="AV130" s="269"/>
      <c r="AX130" s="252"/>
      <c r="AY130" s="269"/>
      <c r="BB130" s="251"/>
      <c r="BC130" s="251"/>
      <c r="BD130" s="243"/>
      <c r="BE130" s="269"/>
      <c r="BG130" s="252"/>
      <c r="BH130" s="269"/>
      <c r="BK130" s="251"/>
      <c r="BL130" s="251"/>
      <c r="BM130" s="243"/>
      <c r="BN130" s="269"/>
      <c r="BP130" s="252"/>
      <c r="BQ130" s="269"/>
      <c r="BT130" s="251"/>
      <c r="BU130" s="251"/>
      <c r="BV130" s="243"/>
      <c r="BW130" s="269"/>
      <c r="BY130" s="252"/>
      <c r="BZ130" s="269"/>
      <c r="CC130" s="251"/>
      <c r="CD130" s="251"/>
      <c r="CE130" s="243"/>
      <c r="CF130" s="269"/>
      <c r="CH130" s="252"/>
      <c r="CI130" s="269"/>
      <c r="CL130" s="251"/>
      <c r="CM130" s="251"/>
      <c r="CN130" s="243"/>
      <c r="CO130" s="269"/>
      <c r="CQ130" s="252"/>
      <c r="CR130" s="269"/>
      <c r="CU130" s="251"/>
      <c r="CV130" s="251"/>
      <c r="CW130" s="243"/>
      <c r="CX130" s="269"/>
      <c r="CZ130" s="252"/>
      <c r="DA130" s="269"/>
      <c r="DD130" s="251"/>
      <c r="DE130" s="251"/>
      <c r="DF130" s="243"/>
      <c r="DG130" s="269"/>
      <c r="DI130" s="252"/>
      <c r="DJ130" s="269"/>
      <c r="DM130" s="251"/>
      <c r="DN130" s="251"/>
      <c r="DO130" s="243"/>
      <c r="DP130" s="269"/>
      <c r="DR130" s="252"/>
      <c r="DS130" s="269"/>
      <c r="DV130" s="251"/>
      <c r="DW130" s="251"/>
      <c r="DX130" s="243"/>
      <c r="DY130" s="269"/>
      <c r="EA130" s="252"/>
      <c r="EB130" s="269"/>
      <c r="EE130" s="251"/>
      <c r="EF130" s="251"/>
      <c r="EG130" s="243"/>
      <c r="EH130" s="269"/>
      <c r="EJ130" s="252"/>
      <c r="EK130" s="269"/>
      <c r="EN130" s="251"/>
      <c r="EO130" s="251"/>
      <c r="EP130" s="243"/>
      <c r="EQ130" s="269"/>
      <c r="ES130" s="252"/>
      <c r="ET130" s="269"/>
      <c r="EW130" s="251"/>
      <c r="EX130" s="251"/>
      <c r="EY130" s="243"/>
      <c r="EZ130" s="269"/>
      <c r="FB130" s="252"/>
      <c r="FC130" s="269"/>
      <c r="FF130" s="251"/>
      <c r="FG130" s="251"/>
      <c r="FH130" s="243"/>
      <c r="FI130" s="269"/>
      <c r="FK130" s="252"/>
      <c r="FL130" s="269"/>
      <c r="FO130" s="251"/>
      <c r="FP130" s="251"/>
      <c r="FQ130" s="243"/>
      <c r="FR130" s="269"/>
      <c r="FT130" s="252"/>
      <c r="FU130" s="269"/>
      <c r="FX130" s="251"/>
      <c r="FY130" s="251"/>
      <c r="FZ130" s="243"/>
      <c r="GA130" s="269"/>
      <c r="GC130" s="252"/>
      <c r="GD130" s="269"/>
      <c r="GG130" s="251"/>
      <c r="GH130" s="251"/>
      <c r="GI130" s="243"/>
      <c r="GJ130" s="269"/>
      <c r="GL130" s="252"/>
      <c r="GM130" s="269"/>
      <c r="GP130" s="251"/>
      <c r="GQ130" s="251"/>
      <c r="GR130" s="243"/>
      <c r="GS130" s="269"/>
      <c r="GU130" s="252"/>
      <c r="GV130" s="269"/>
      <c r="GY130" s="251"/>
      <c r="GZ130" s="251"/>
      <c r="HA130" s="243"/>
      <c r="HB130" s="269"/>
      <c r="HD130" s="252"/>
      <c r="HE130" s="269"/>
      <c r="HH130" s="251"/>
      <c r="HI130" s="251"/>
      <c r="HJ130" s="243"/>
      <c r="HK130" s="269"/>
      <c r="HM130" s="252"/>
      <c r="HN130" s="269"/>
      <c r="HQ130" s="251"/>
      <c r="HR130" s="251"/>
      <c r="HS130" s="243"/>
      <c r="HT130" s="269"/>
      <c r="HV130" s="252"/>
      <c r="HW130" s="269"/>
      <c r="HZ130" s="251"/>
      <c r="IA130" s="251"/>
      <c r="IB130" s="243"/>
    </row>
    <row r="131" spans="2:236" s="247" customFormat="1" ht="12.75">
      <c r="B131" s="295"/>
      <c r="C131" s="247" t="s">
        <v>206</v>
      </c>
      <c r="D131" s="251" t="s">
        <v>207</v>
      </c>
      <c r="E131" s="284">
        <v>1</v>
      </c>
      <c r="F131" s="345" t="s">
        <v>130</v>
      </c>
      <c r="H131" s="246"/>
      <c r="I131" s="243"/>
      <c r="J131" s="251"/>
      <c r="K131" s="251"/>
      <c r="L131" s="243"/>
      <c r="N131" s="252"/>
      <c r="O131" s="269"/>
      <c r="R131" s="251"/>
      <c r="S131" s="251"/>
      <c r="T131" s="243"/>
      <c r="U131" s="269"/>
      <c r="W131" s="252"/>
      <c r="X131" s="269"/>
      <c r="AA131" s="251"/>
      <c r="AB131" s="251"/>
      <c r="AC131" s="243"/>
      <c r="AD131" s="269"/>
      <c r="AF131" s="252"/>
      <c r="AG131" s="269"/>
      <c r="AJ131" s="251"/>
      <c r="AK131" s="251"/>
      <c r="AL131" s="243"/>
      <c r="AM131" s="269"/>
      <c r="AO131" s="252"/>
      <c r="AP131" s="269"/>
      <c r="AS131" s="251"/>
      <c r="AT131" s="251"/>
      <c r="AU131" s="243"/>
      <c r="AV131" s="269"/>
      <c r="AX131" s="252"/>
      <c r="AY131" s="269"/>
      <c r="BB131" s="251"/>
      <c r="BC131" s="251"/>
      <c r="BD131" s="243"/>
      <c r="BE131" s="269"/>
      <c r="BG131" s="252"/>
      <c r="BH131" s="269"/>
      <c r="BK131" s="251"/>
      <c r="BL131" s="251"/>
      <c r="BM131" s="243"/>
      <c r="BN131" s="269"/>
      <c r="BP131" s="252"/>
      <c r="BQ131" s="269"/>
      <c r="BT131" s="251"/>
      <c r="BU131" s="251"/>
      <c r="BV131" s="243"/>
      <c r="BW131" s="269"/>
      <c r="BY131" s="252"/>
      <c r="BZ131" s="269"/>
      <c r="CC131" s="251"/>
      <c r="CD131" s="251"/>
      <c r="CE131" s="243"/>
      <c r="CF131" s="269"/>
      <c r="CH131" s="252"/>
      <c r="CI131" s="269"/>
      <c r="CL131" s="251"/>
      <c r="CM131" s="251"/>
      <c r="CN131" s="243"/>
      <c r="CO131" s="269"/>
      <c r="CQ131" s="252"/>
      <c r="CR131" s="269"/>
      <c r="CU131" s="251"/>
      <c r="CV131" s="251"/>
      <c r="CW131" s="243"/>
      <c r="CX131" s="269"/>
      <c r="CZ131" s="252"/>
      <c r="DA131" s="269"/>
      <c r="DD131" s="251"/>
      <c r="DE131" s="251"/>
      <c r="DF131" s="243"/>
      <c r="DG131" s="269"/>
      <c r="DI131" s="252"/>
      <c r="DJ131" s="269"/>
      <c r="DM131" s="251"/>
      <c r="DN131" s="251"/>
      <c r="DO131" s="243"/>
      <c r="DP131" s="269"/>
      <c r="DR131" s="252"/>
      <c r="DS131" s="269"/>
      <c r="DV131" s="251"/>
      <c r="DW131" s="251"/>
      <c r="DX131" s="243"/>
      <c r="DY131" s="269"/>
      <c r="EA131" s="252"/>
      <c r="EB131" s="269"/>
      <c r="EE131" s="251"/>
      <c r="EF131" s="251"/>
      <c r="EG131" s="243"/>
      <c r="EH131" s="269"/>
      <c r="EJ131" s="252"/>
      <c r="EK131" s="269"/>
      <c r="EN131" s="251"/>
      <c r="EO131" s="251"/>
      <c r="EP131" s="243"/>
      <c r="EQ131" s="269"/>
      <c r="ES131" s="252"/>
      <c r="ET131" s="269"/>
      <c r="EW131" s="251"/>
      <c r="EX131" s="251"/>
      <c r="EY131" s="243"/>
      <c r="EZ131" s="269"/>
      <c r="FB131" s="252"/>
      <c r="FC131" s="269"/>
      <c r="FF131" s="251"/>
      <c r="FG131" s="251"/>
      <c r="FH131" s="243"/>
      <c r="FI131" s="269"/>
      <c r="FK131" s="252"/>
      <c r="FL131" s="269"/>
      <c r="FO131" s="251"/>
      <c r="FP131" s="251"/>
      <c r="FQ131" s="243"/>
      <c r="FR131" s="269"/>
      <c r="FT131" s="252"/>
      <c r="FU131" s="269"/>
      <c r="FX131" s="251"/>
      <c r="FY131" s="251"/>
      <c r="FZ131" s="243"/>
      <c r="GA131" s="269"/>
      <c r="GC131" s="252"/>
      <c r="GD131" s="269"/>
      <c r="GG131" s="251"/>
      <c r="GH131" s="251"/>
      <c r="GI131" s="243"/>
      <c r="GJ131" s="269"/>
      <c r="GL131" s="252"/>
      <c r="GM131" s="269"/>
      <c r="GP131" s="251"/>
      <c r="GQ131" s="251"/>
      <c r="GR131" s="243"/>
      <c r="GS131" s="269"/>
      <c r="GU131" s="252"/>
      <c r="GV131" s="269"/>
      <c r="GY131" s="251"/>
      <c r="GZ131" s="251"/>
      <c r="HA131" s="243"/>
      <c r="HB131" s="269"/>
      <c r="HD131" s="252"/>
      <c r="HE131" s="269"/>
      <c r="HH131" s="251"/>
      <c r="HI131" s="251"/>
      <c r="HJ131" s="243"/>
      <c r="HK131" s="269"/>
      <c r="HM131" s="252"/>
      <c r="HN131" s="269"/>
      <c r="HQ131" s="251"/>
      <c r="HR131" s="251"/>
      <c r="HS131" s="243"/>
      <c r="HT131" s="269"/>
      <c r="HV131" s="252"/>
      <c r="HW131" s="269"/>
      <c r="HZ131" s="251"/>
      <c r="IA131" s="251"/>
      <c r="IB131" s="243"/>
    </row>
    <row r="132" spans="2:236" s="247" customFormat="1" ht="12.75">
      <c r="B132" s="295"/>
      <c r="D132" s="251"/>
      <c r="E132" s="284"/>
      <c r="F132" s="345"/>
      <c r="H132" s="246"/>
      <c r="I132" s="243"/>
      <c r="J132" s="251"/>
      <c r="K132" s="251"/>
      <c r="L132" s="243"/>
      <c r="N132" s="252"/>
      <c r="O132" s="269"/>
      <c r="R132" s="251"/>
      <c r="S132" s="251"/>
      <c r="T132" s="243"/>
      <c r="U132" s="269"/>
      <c r="W132" s="252"/>
      <c r="X132" s="269"/>
      <c r="AA132" s="251"/>
      <c r="AB132" s="251"/>
      <c r="AC132" s="243"/>
      <c r="AD132" s="269"/>
      <c r="AF132" s="252"/>
      <c r="AG132" s="269"/>
      <c r="AJ132" s="251"/>
      <c r="AK132" s="251"/>
      <c r="AL132" s="243"/>
      <c r="AM132" s="269"/>
      <c r="AO132" s="252"/>
      <c r="AP132" s="269"/>
      <c r="AS132" s="251"/>
      <c r="AT132" s="251"/>
      <c r="AU132" s="243"/>
      <c r="AV132" s="269"/>
      <c r="AX132" s="252"/>
      <c r="AY132" s="269"/>
      <c r="BB132" s="251"/>
      <c r="BC132" s="251"/>
      <c r="BD132" s="243"/>
      <c r="BE132" s="269"/>
      <c r="BG132" s="252"/>
      <c r="BH132" s="269"/>
      <c r="BK132" s="251"/>
      <c r="BL132" s="251"/>
      <c r="BM132" s="243"/>
      <c r="BN132" s="269"/>
      <c r="BP132" s="252"/>
      <c r="BQ132" s="269"/>
      <c r="BT132" s="251"/>
      <c r="BU132" s="251"/>
      <c r="BV132" s="243"/>
      <c r="BW132" s="269"/>
      <c r="BY132" s="252"/>
      <c r="BZ132" s="269"/>
      <c r="CC132" s="251"/>
      <c r="CD132" s="251"/>
      <c r="CE132" s="243"/>
      <c r="CF132" s="269"/>
      <c r="CH132" s="252"/>
      <c r="CI132" s="269"/>
      <c r="CL132" s="251"/>
      <c r="CM132" s="251"/>
      <c r="CN132" s="243"/>
      <c r="CO132" s="269"/>
      <c r="CQ132" s="252"/>
      <c r="CR132" s="269"/>
      <c r="CU132" s="251"/>
      <c r="CV132" s="251"/>
      <c r="CW132" s="243"/>
      <c r="CX132" s="269"/>
      <c r="CZ132" s="252"/>
      <c r="DA132" s="269"/>
      <c r="DD132" s="251"/>
      <c r="DE132" s="251"/>
      <c r="DF132" s="243"/>
      <c r="DG132" s="269"/>
      <c r="DI132" s="252"/>
      <c r="DJ132" s="269"/>
      <c r="DM132" s="251"/>
      <c r="DN132" s="251"/>
      <c r="DO132" s="243"/>
      <c r="DP132" s="269"/>
      <c r="DR132" s="252"/>
      <c r="DS132" s="269"/>
      <c r="DV132" s="251"/>
      <c r="DW132" s="251"/>
      <c r="DX132" s="243"/>
      <c r="DY132" s="269"/>
      <c r="EA132" s="252"/>
      <c r="EB132" s="269"/>
      <c r="EE132" s="251"/>
      <c r="EF132" s="251"/>
      <c r="EG132" s="243"/>
      <c r="EH132" s="269"/>
      <c r="EJ132" s="252"/>
      <c r="EK132" s="269"/>
      <c r="EN132" s="251"/>
      <c r="EO132" s="251"/>
      <c r="EP132" s="243"/>
      <c r="EQ132" s="269"/>
      <c r="ES132" s="252"/>
      <c r="ET132" s="269"/>
      <c r="EW132" s="251"/>
      <c r="EX132" s="251"/>
      <c r="EY132" s="243"/>
      <c r="EZ132" s="269"/>
      <c r="FB132" s="252"/>
      <c r="FC132" s="269"/>
      <c r="FF132" s="251"/>
      <c r="FG132" s="251"/>
      <c r="FH132" s="243"/>
      <c r="FI132" s="269"/>
      <c r="FK132" s="252"/>
      <c r="FL132" s="269"/>
      <c r="FO132" s="251"/>
      <c r="FP132" s="251"/>
      <c r="FQ132" s="243"/>
      <c r="FR132" s="269"/>
      <c r="FT132" s="252"/>
      <c r="FU132" s="269"/>
      <c r="FX132" s="251"/>
      <c r="FY132" s="251"/>
      <c r="FZ132" s="243"/>
      <c r="GA132" s="269"/>
      <c r="GC132" s="252"/>
      <c r="GD132" s="269"/>
      <c r="GG132" s="251"/>
      <c r="GH132" s="251"/>
      <c r="GI132" s="243"/>
      <c r="GJ132" s="269"/>
      <c r="GL132" s="252"/>
      <c r="GM132" s="269"/>
      <c r="GP132" s="251"/>
      <c r="GQ132" s="251"/>
      <c r="GR132" s="243"/>
      <c r="GS132" s="269"/>
      <c r="GU132" s="252"/>
      <c r="GV132" s="269"/>
      <c r="GY132" s="251"/>
      <c r="GZ132" s="251"/>
      <c r="HA132" s="243"/>
      <c r="HB132" s="269"/>
      <c r="HD132" s="252"/>
      <c r="HE132" s="269"/>
      <c r="HH132" s="251"/>
      <c r="HI132" s="251"/>
      <c r="HJ132" s="243"/>
      <c r="HK132" s="269"/>
      <c r="HM132" s="252"/>
      <c r="HN132" s="269"/>
      <c r="HQ132" s="251"/>
      <c r="HR132" s="251"/>
      <c r="HS132" s="243"/>
      <c r="HT132" s="269"/>
      <c r="HV132" s="252"/>
      <c r="HW132" s="269"/>
      <c r="HZ132" s="251"/>
      <c r="IA132" s="251"/>
      <c r="IB132" s="243"/>
    </row>
    <row r="133" spans="2:236" s="247" customFormat="1" ht="12.75">
      <c r="B133" s="295"/>
      <c r="C133" s="246" t="s">
        <v>216</v>
      </c>
      <c r="D133" s="243"/>
      <c r="E133" s="289"/>
      <c r="F133" s="360">
        <v>12</v>
      </c>
      <c r="G133" s="245" t="s">
        <v>130</v>
      </c>
      <c r="H133" s="246"/>
      <c r="I133" s="243"/>
      <c r="J133" s="251"/>
      <c r="K133" s="251"/>
      <c r="L133" s="243"/>
      <c r="N133" s="252"/>
      <c r="O133" s="269"/>
      <c r="R133" s="251"/>
      <c r="S133" s="251"/>
      <c r="T133" s="243"/>
      <c r="U133" s="269"/>
      <c r="W133" s="252"/>
      <c r="X133" s="269"/>
      <c r="AA133" s="251"/>
      <c r="AB133" s="251"/>
      <c r="AC133" s="243"/>
      <c r="AD133" s="269"/>
      <c r="AF133" s="252"/>
      <c r="AG133" s="269"/>
      <c r="AJ133" s="251"/>
      <c r="AK133" s="251"/>
      <c r="AL133" s="243"/>
      <c r="AM133" s="269"/>
      <c r="AO133" s="252"/>
      <c r="AP133" s="269"/>
      <c r="AS133" s="251"/>
      <c r="AT133" s="251"/>
      <c r="AU133" s="243"/>
      <c r="AV133" s="269"/>
      <c r="AX133" s="252"/>
      <c r="AY133" s="269"/>
      <c r="BB133" s="251"/>
      <c r="BC133" s="251"/>
      <c r="BD133" s="243"/>
      <c r="BE133" s="269"/>
      <c r="BG133" s="252"/>
      <c r="BH133" s="269"/>
      <c r="BK133" s="251"/>
      <c r="BL133" s="251"/>
      <c r="BM133" s="243"/>
      <c r="BN133" s="269"/>
      <c r="BP133" s="252"/>
      <c r="BQ133" s="269"/>
      <c r="BT133" s="251"/>
      <c r="BU133" s="251"/>
      <c r="BV133" s="243"/>
      <c r="BW133" s="269"/>
      <c r="BY133" s="252"/>
      <c r="BZ133" s="269"/>
      <c r="CC133" s="251"/>
      <c r="CD133" s="251"/>
      <c r="CE133" s="243"/>
      <c r="CF133" s="269"/>
      <c r="CH133" s="252"/>
      <c r="CI133" s="269"/>
      <c r="CL133" s="251"/>
      <c r="CM133" s="251"/>
      <c r="CN133" s="243"/>
      <c r="CO133" s="269"/>
      <c r="CQ133" s="252"/>
      <c r="CR133" s="269"/>
      <c r="CU133" s="251"/>
      <c r="CV133" s="251"/>
      <c r="CW133" s="243"/>
      <c r="CX133" s="269"/>
      <c r="CZ133" s="252"/>
      <c r="DA133" s="269"/>
      <c r="DD133" s="251"/>
      <c r="DE133" s="251"/>
      <c r="DF133" s="243"/>
      <c r="DG133" s="269"/>
      <c r="DI133" s="252"/>
      <c r="DJ133" s="269"/>
      <c r="DM133" s="251"/>
      <c r="DN133" s="251"/>
      <c r="DO133" s="243"/>
      <c r="DP133" s="269"/>
      <c r="DR133" s="252"/>
      <c r="DS133" s="269"/>
      <c r="DV133" s="251"/>
      <c r="DW133" s="251"/>
      <c r="DX133" s="243"/>
      <c r="DY133" s="269"/>
      <c r="EA133" s="252"/>
      <c r="EB133" s="269"/>
      <c r="EE133" s="251"/>
      <c r="EF133" s="251"/>
      <c r="EG133" s="243"/>
      <c r="EH133" s="269"/>
      <c r="EJ133" s="252"/>
      <c r="EK133" s="269"/>
      <c r="EN133" s="251"/>
      <c r="EO133" s="251"/>
      <c r="EP133" s="243"/>
      <c r="EQ133" s="269"/>
      <c r="ES133" s="252"/>
      <c r="ET133" s="269"/>
      <c r="EW133" s="251"/>
      <c r="EX133" s="251"/>
      <c r="EY133" s="243"/>
      <c r="EZ133" s="269"/>
      <c r="FB133" s="252"/>
      <c r="FC133" s="269"/>
      <c r="FF133" s="251"/>
      <c r="FG133" s="251"/>
      <c r="FH133" s="243"/>
      <c r="FI133" s="269"/>
      <c r="FK133" s="252"/>
      <c r="FL133" s="269"/>
      <c r="FO133" s="251"/>
      <c r="FP133" s="251"/>
      <c r="FQ133" s="243"/>
      <c r="FR133" s="269"/>
      <c r="FT133" s="252"/>
      <c r="FU133" s="269"/>
      <c r="FX133" s="251"/>
      <c r="FY133" s="251"/>
      <c r="FZ133" s="243"/>
      <c r="GA133" s="269"/>
      <c r="GC133" s="252"/>
      <c r="GD133" s="269"/>
      <c r="GG133" s="251"/>
      <c r="GH133" s="251"/>
      <c r="GI133" s="243"/>
      <c r="GJ133" s="269"/>
      <c r="GL133" s="252"/>
      <c r="GM133" s="269"/>
      <c r="GP133" s="251"/>
      <c r="GQ133" s="251"/>
      <c r="GR133" s="243"/>
      <c r="GS133" s="269"/>
      <c r="GU133" s="252"/>
      <c r="GV133" s="269"/>
      <c r="GY133" s="251"/>
      <c r="GZ133" s="251"/>
      <c r="HA133" s="243"/>
      <c r="HB133" s="269"/>
      <c r="HD133" s="252"/>
      <c r="HE133" s="269"/>
      <c r="HH133" s="251"/>
      <c r="HI133" s="251"/>
      <c r="HJ133" s="243"/>
      <c r="HK133" s="269"/>
      <c r="HM133" s="252"/>
      <c r="HN133" s="269"/>
      <c r="HQ133" s="251"/>
      <c r="HR133" s="251"/>
      <c r="HS133" s="243"/>
      <c r="HT133" s="269"/>
      <c r="HV133" s="252"/>
      <c r="HW133" s="269"/>
      <c r="HZ133" s="251"/>
      <c r="IA133" s="251"/>
      <c r="IB133" s="243"/>
    </row>
    <row r="134" spans="2:12" s="243" customFormat="1" ht="12.75">
      <c r="B134" s="295"/>
      <c r="C134" s="246"/>
      <c r="E134" s="289"/>
      <c r="F134" s="360"/>
      <c r="G134" s="245"/>
      <c r="H134" s="246"/>
      <c r="J134" s="251"/>
      <c r="K134" s="251"/>
      <c r="L134" s="244"/>
    </row>
    <row r="135" spans="2:12" s="243" customFormat="1" ht="12.75">
      <c r="B135" s="307" t="s">
        <v>140</v>
      </c>
      <c r="C135" s="254"/>
      <c r="D135" s="254"/>
      <c r="E135" s="286"/>
      <c r="F135" s="353"/>
      <c r="G135" s="256"/>
      <c r="H135" s="255"/>
      <c r="K135" s="241"/>
      <c r="L135" s="244"/>
    </row>
    <row r="136" spans="2:12" s="243" customFormat="1" ht="12.75">
      <c r="B136" s="303" t="s">
        <v>141</v>
      </c>
      <c r="D136" s="251" t="s">
        <v>229</v>
      </c>
      <c r="E136" s="285"/>
      <c r="F136" s="360">
        <v>105</v>
      </c>
      <c r="G136" s="245" t="s">
        <v>130</v>
      </c>
      <c r="H136" s="252"/>
      <c r="J136" s="246"/>
      <c r="K136" s="251"/>
      <c r="L136" s="244"/>
    </row>
    <row r="137" spans="2:12" s="243" customFormat="1" ht="12.75">
      <c r="B137" s="303" t="s">
        <v>215</v>
      </c>
      <c r="D137" s="251"/>
      <c r="E137" s="285"/>
      <c r="F137" s="360">
        <v>105</v>
      </c>
      <c r="G137" s="245" t="s">
        <v>130</v>
      </c>
      <c r="H137" s="252"/>
      <c r="J137" s="246"/>
      <c r="K137" s="251"/>
      <c r="L137" s="244"/>
    </row>
    <row r="138" spans="2:12" s="243" customFormat="1" ht="12.75" customHeight="1">
      <c r="B138" s="303" t="s">
        <v>142</v>
      </c>
      <c r="D138" s="251" t="s">
        <v>230</v>
      </c>
      <c r="E138" s="285"/>
      <c r="F138" s="360">
        <f>4*2</f>
        <v>8</v>
      </c>
      <c r="G138" s="245" t="s">
        <v>130</v>
      </c>
      <c r="H138" s="252"/>
      <c r="J138" s="246"/>
      <c r="K138" s="251"/>
      <c r="L138" s="244"/>
    </row>
    <row r="139" spans="2:12" s="243" customFormat="1" ht="12.75" customHeight="1">
      <c r="B139" s="303" t="s">
        <v>141</v>
      </c>
      <c r="D139" s="251" t="s">
        <v>230</v>
      </c>
      <c r="E139" s="285"/>
      <c r="F139" s="360">
        <v>105</v>
      </c>
      <c r="G139" s="245" t="s">
        <v>130</v>
      </c>
      <c r="H139" s="252"/>
      <c r="J139" s="246"/>
      <c r="K139" s="251"/>
      <c r="L139" s="244"/>
    </row>
    <row r="140" spans="2:12" s="243" customFormat="1" ht="12.75" customHeight="1">
      <c r="B140" s="295"/>
      <c r="E140" s="285"/>
      <c r="F140" s="361"/>
      <c r="J140" s="246"/>
      <c r="K140" s="251"/>
      <c r="L140" s="244"/>
    </row>
    <row r="141" spans="2:12" s="243" customFormat="1" ht="12.75" customHeight="1">
      <c r="B141" s="295"/>
      <c r="C141" s="246"/>
      <c r="D141" s="246"/>
      <c r="E141" s="285"/>
      <c r="F141" s="361"/>
      <c r="G141" s="246"/>
      <c r="H141" s="246"/>
      <c r="I141" s="246"/>
      <c r="J141" s="246"/>
      <c r="K141" s="251"/>
      <c r="L141" s="244"/>
    </row>
    <row r="142" spans="2:12" s="243" customFormat="1" ht="12.75" customHeight="1">
      <c r="B142" s="295"/>
      <c r="E142" s="285"/>
      <c r="F142" s="361"/>
      <c r="J142" s="246"/>
      <c r="K142" s="251"/>
      <c r="L142" s="244"/>
    </row>
    <row r="143" spans="2:9" ht="15">
      <c r="B143" s="295"/>
      <c r="C143" s="243"/>
      <c r="D143" s="243"/>
      <c r="E143" s="285"/>
      <c r="F143" s="361"/>
      <c r="G143" s="243"/>
      <c r="H143" s="243"/>
      <c r="I143" s="243"/>
    </row>
    <row r="144" spans="2:10" ht="15">
      <c r="B144" s="593" t="s">
        <v>703</v>
      </c>
      <c r="C144" s="581"/>
      <c r="D144" s="581"/>
      <c r="E144" s="582"/>
      <c r="F144" s="582"/>
      <c r="G144" s="582"/>
      <c r="H144" s="582"/>
      <c r="I144" s="582"/>
      <c r="J144" s="582"/>
    </row>
    <row r="145" spans="2:10" s="592" customFormat="1" ht="15">
      <c r="B145" s="591" t="s">
        <v>729</v>
      </c>
      <c r="C145" s="591"/>
      <c r="D145" s="591"/>
      <c r="E145" s="582"/>
      <c r="F145" s="582"/>
      <c r="G145" s="582"/>
      <c r="H145" s="582"/>
      <c r="I145" s="582"/>
      <c r="J145" s="582"/>
    </row>
    <row r="146" spans="2:10" ht="15">
      <c r="B146" s="582"/>
      <c r="C146" s="582"/>
      <c r="D146" s="582"/>
      <c r="E146" s="582"/>
      <c r="F146" s="582"/>
      <c r="G146" s="582"/>
      <c r="H146" s="582"/>
      <c r="I146" s="582"/>
      <c r="J146" s="582"/>
    </row>
    <row r="147" spans="2:10" ht="15">
      <c r="B147" s="583" t="s">
        <v>704</v>
      </c>
      <c r="C147" s="584"/>
      <c r="D147" s="584"/>
      <c r="E147" s="584"/>
      <c r="F147" s="584"/>
      <c r="G147" s="584"/>
      <c r="H147" s="584"/>
      <c r="I147" s="584"/>
      <c r="J147" s="584"/>
    </row>
    <row r="148" spans="2:10" ht="15">
      <c r="B148" s="582" t="s">
        <v>705</v>
      </c>
      <c r="C148" s="582"/>
      <c r="D148" s="582"/>
      <c r="E148" s="585">
        <f>17*10+2*19</f>
        <v>208</v>
      </c>
      <c r="F148" s="585" t="s">
        <v>130</v>
      </c>
      <c r="G148" s="582"/>
      <c r="H148" s="582"/>
      <c r="I148" s="582"/>
      <c r="J148" s="582" t="s">
        <v>706</v>
      </c>
    </row>
    <row r="149" spans="2:10" ht="15">
      <c r="B149" s="582" t="s">
        <v>707</v>
      </c>
      <c r="C149" s="582"/>
      <c r="D149" s="586" t="s">
        <v>99</v>
      </c>
      <c r="E149" s="587">
        <f>5.7*2.2*0.3+2*2.2*0.3*0.3</f>
        <v>4.158</v>
      </c>
      <c r="F149" s="585" t="s">
        <v>693</v>
      </c>
      <c r="G149" s="582"/>
      <c r="H149" s="582"/>
      <c r="I149" s="582"/>
      <c r="J149" s="582" t="s">
        <v>708</v>
      </c>
    </row>
    <row r="150" spans="2:10" ht="15">
      <c r="B150" s="582" t="s">
        <v>709</v>
      </c>
      <c r="C150" s="582"/>
      <c r="D150" s="586" t="s">
        <v>99</v>
      </c>
      <c r="E150" s="587">
        <f>5.1*2.2*0.1</f>
        <v>1.122</v>
      </c>
      <c r="F150" s="585" t="s">
        <v>693</v>
      </c>
      <c r="G150" s="582"/>
      <c r="H150" s="585">
        <f>5.1*2.2</f>
        <v>11.22</v>
      </c>
      <c r="I150" s="585" t="s">
        <v>694</v>
      </c>
      <c r="J150" s="582" t="s">
        <v>710</v>
      </c>
    </row>
    <row r="151" spans="2:10" ht="15">
      <c r="B151" s="582"/>
      <c r="C151" s="582"/>
      <c r="D151" s="582"/>
      <c r="E151" s="588"/>
      <c r="F151" s="582"/>
      <c r="G151" s="582"/>
      <c r="H151" s="582"/>
      <c r="I151" s="582"/>
      <c r="J151" s="582"/>
    </row>
    <row r="152" spans="2:10" ht="15">
      <c r="B152" s="583" t="s">
        <v>711</v>
      </c>
      <c r="C152" s="584"/>
      <c r="D152" s="584"/>
      <c r="E152" s="589"/>
      <c r="F152" s="584"/>
      <c r="G152" s="584"/>
      <c r="H152" s="584"/>
      <c r="I152" s="584"/>
      <c r="J152" s="584"/>
    </row>
    <row r="153" spans="2:10" ht="15">
      <c r="B153" s="582" t="s">
        <v>712</v>
      </c>
      <c r="C153" s="582"/>
      <c r="D153" s="586" t="s">
        <v>713</v>
      </c>
      <c r="E153" s="587">
        <f>5.8*1.6-17*1.6*0.16</f>
        <v>4.927999999999999</v>
      </c>
      <c r="F153" s="585" t="s">
        <v>694</v>
      </c>
      <c r="G153" s="582"/>
      <c r="H153" s="582"/>
      <c r="I153" s="582"/>
      <c r="J153" s="582" t="s">
        <v>714</v>
      </c>
    </row>
    <row r="154" spans="2:10" ht="15">
      <c r="B154" s="582" t="s">
        <v>715</v>
      </c>
      <c r="C154" s="582"/>
      <c r="D154" s="586"/>
      <c r="E154" s="587">
        <f>2*1.6+2*0.2</f>
        <v>3.6</v>
      </c>
      <c r="F154" s="585" t="s">
        <v>9</v>
      </c>
      <c r="G154" s="582"/>
      <c r="H154" s="582"/>
      <c r="I154" s="582"/>
      <c r="J154" s="582" t="s">
        <v>716</v>
      </c>
    </row>
    <row r="155" spans="2:10" ht="15">
      <c r="B155" s="582"/>
      <c r="C155" s="582"/>
      <c r="D155" s="582"/>
      <c r="E155" s="582"/>
      <c r="F155" s="582"/>
      <c r="G155" s="582"/>
      <c r="H155" s="582"/>
      <c r="I155" s="582"/>
      <c r="J155" s="582"/>
    </row>
    <row r="156" spans="2:10" ht="15">
      <c r="B156" s="583" t="s">
        <v>717</v>
      </c>
      <c r="C156" s="584"/>
      <c r="D156" s="584"/>
      <c r="E156" s="589"/>
      <c r="F156" s="584"/>
      <c r="G156" s="584"/>
      <c r="H156" s="584"/>
      <c r="I156" s="584"/>
      <c r="J156" s="584"/>
    </row>
    <row r="157" spans="2:10" ht="15">
      <c r="B157" s="582" t="s">
        <v>718</v>
      </c>
      <c r="C157" s="582"/>
      <c r="D157" s="586" t="s">
        <v>719</v>
      </c>
      <c r="E157" s="582"/>
      <c r="F157" s="582"/>
      <c r="G157" s="582"/>
      <c r="H157" s="582"/>
      <c r="I157" s="582"/>
      <c r="J157" s="582"/>
    </row>
    <row r="158" spans="2:10" ht="15">
      <c r="B158" s="582"/>
      <c r="C158" s="582" t="s">
        <v>720</v>
      </c>
      <c r="D158" s="582"/>
      <c r="E158" s="587">
        <f>2*(2*5.9+4*0.15+2*0.63)</f>
        <v>27.32</v>
      </c>
      <c r="F158" s="585" t="s">
        <v>9</v>
      </c>
      <c r="G158" s="582"/>
      <c r="H158" s="585">
        <f>E158*4.48</f>
        <v>122.3936</v>
      </c>
      <c r="I158" s="585" t="s">
        <v>415</v>
      </c>
      <c r="J158" s="582" t="s">
        <v>721</v>
      </c>
    </row>
    <row r="159" spans="2:10" ht="15">
      <c r="B159" s="582"/>
      <c r="C159" s="582" t="s">
        <v>722</v>
      </c>
      <c r="D159" s="582"/>
      <c r="E159" s="587">
        <f>2*4*1.3</f>
        <v>10.4</v>
      </c>
      <c r="F159" s="585" t="s">
        <v>9</v>
      </c>
      <c r="G159" s="582"/>
      <c r="H159" s="585">
        <f>E159*4.48</f>
        <v>46.592000000000006</v>
      </c>
      <c r="I159" s="585" t="s">
        <v>415</v>
      </c>
      <c r="J159" s="582" t="s">
        <v>723</v>
      </c>
    </row>
    <row r="160" spans="2:10" ht="15">
      <c r="B160" s="582" t="s">
        <v>724</v>
      </c>
      <c r="C160" s="582"/>
      <c r="D160" s="582"/>
      <c r="E160" s="587">
        <f>8*0.4*0.4*0.8</f>
        <v>1.0240000000000002</v>
      </c>
      <c r="F160" s="585" t="s">
        <v>693</v>
      </c>
      <c r="G160" s="582"/>
      <c r="H160" s="582"/>
      <c r="I160" s="582"/>
      <c r="J160" s="582" t="s">
        <v>725</v>
      </c>
    </row>
    <row r="161" spans="2:10" ht="15">
      <c r="B161" s="582"/>
      <c r="C161" s="582"/>
      <c r="D161" s="582"/>
      <c r="E161" s="582"/>
      <c r="F161" s="582"/>
      <c r="G161" s="582"/>
      <c r="H161" s="582"/>
      <c r="I161" s="582"/>
      <c r="J161" s="582"/>
    </row>
    <row r="162" spans="2:10" ht="15">
      <c r="B162" s="583" t="s">
        <v>726</v>
      </c>
      <c r="C162" s="584"/>
      <c r="D162" s="584"/>
      <c r="E162" s="589"/>
      <c r="F162" s="584"/>
      <c r="G162" s="584"/>
      <c r="H162" s="584"/>
      <c r="I162" s="584"/>
      <c r="J162" s="584"/>
    </row>
    <row r="163" spans="2:10" ht="15">
      <c r="B163" s="582" t="s">
        <v>1</v>
      </c>
      <c r="C163" s="582"/>
      <c r="D163" s="582"/>
      <c r="E163" s="590">
        <f>5.7*2*0.8+2*2.2*0.3*0.3</f>
        <v>9.516000000000002</v>
      </c>
      <c r="F163" s="585" t="s">
        <v>693</v>
      </c>
      <c r="G163" s="582"/>
      <c r="H163" s="582"/>
      <c r="I163" s="582"/>
      <c r="J163" s="582" t="s">
        <v>727</v>
      </c>
    </row>
    <row r="164" spans="2:10" ht="15">
      <c r="B164" s="582" t="s">
        <v>84</v>
      </c>
      <c r="C164" s="582"/>
      <c r="D164" s="582"/>
      <c r="E164" s="590">
        <f>2*5.7*0.1*0.4</f>
        <v>0.45600000000000007</v>
      </c>
      <c r="F164" s="585" t="s">
        <v>693</v>
      </c>
      <c r="G164" s="582"/>
      <c r="H164" s="582"/>
      <c r="I164" s="582"/>
      <c r="J164" s="582" t="s">
        <v>728</v>
      </c>
    </row>
    <row r="165" spans="2:10" ht="15">
      <c r="B165" s="582"/>
      <c r="C165" s="582"/>
      <c r="D165" s="582"/>
      <c r="E165" s="582"/>
      <c r="F165" s="582"/>
      <c r="G165" s="582"/>
      <c r="H165" s="582"/>
      <c r="I165" s="582"/>
      <c r="J165" s="582"/>
    </row>
    <row r="166" spans="2:10" ht="15">
      <c r="B166" s="582"/>
      <c r="C166" s="582"/>
      <c r="D166" s="582"/>
      <c r="E166" s="582"/>
      <c r="F166" s="582"/>
      <c r="G166" s="582"/>
      <c r="H166" s="582"/>
      <c r="I166" s="582"/>
      <c r="J166" s="582"/>
    </row>
    <row r="167" spans="2:10" ht="15">
      <c r="B167" s="582"/>
      <c r="C167" s="582"/>
      <c r="D167" s="582"/>
      <c r="E167" s="582"/>
      <c r="F167" s="582"/>
      <c r="G167" s="582"/>
      <c r="H167" s="582"/>
      <c r="I167" s="582"/>
      <c r="J167" s="582"/>
    </row>
    <row r="168" spans="2:10" ht="15">
      <c r="B168" s="582"/>
      <c r="C168" s="582"/>
      <c r="D168" s="582"/>
      <c r="E168" s="582"/>
      <c r="F168" s="582"/>
      <c r="G168" s="582"/>
      <c r="H168" s="582"/>
      <c r="I168" s="582"/>
      <c r="J168" s="582"/>
    </row>
    <row r="169" spans="2:10" ht="15">
      <c r="B169" s="582"/>
      <c r="C169" s="582"/>
      <c r="D169" s="582"/>
      <c r="E169" s="582"/>
      <c r="F169" s="582"/>
      <c r="G169" s="582"/>
      <c r="H169" s="582"/>
      <c r="I169" s="582"/>
      <c r="J169" s="582"/>
    </row>
    <row r="170" spans="2:10" ht="15">
      <c r="B170" s="582"/>
      <c r="C170" s="582"/>
      <c r="D170" s="582"/>
      <c r="E170" s="582"/>
      <c r="F170" s="582"/>
      <c r="G170" s="582"/>
      <c r="H170" s="582"/>
      <c r="I170" s="582"/>
      <c r="J170" s="582"/>
    </row>
  </sheetData>
  <sheetProtection/>
  <mergeCells count="4">
    <mergeCell ref="F43:G46"/>
    <mergeCell ref="F84:F85"/>
    <mergeCell ref="G84:G85"/>
    <mergeCell ref="D17:F2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3">
      <selection activeCell="K31" sqref="K31"/>
    </sheetView>
  </sheetViews>
  <sheetFormatPr defaultColWidth="9.00390625" defaultRowHeight="12.75"/>
  <cols>
    <col min="1" max="1" width="12.75390625" style="392" customWidth="1"/>
    <col min="2" max="2" width="30.875" style="392" customWidth="1"/>
    <col min="3" max="3" width="9.875" style="392" customWidth="1"/>
    <col min="4" max="13" width="7.75390625" style="392" customWidth="1"/>
    <col min="14" max="14" width="8.75390625" style="392" customWidth="1"/>
    <col min="15" max="15" width="3.125" style="392" customWidth="1"/>
    <col min="16" max="16" width="37.00390625" style="598" customWidth="1"/>
    <col min="17" max="17" width="35.75390625" style="392" bestFit="1" customWidth="1"/>
    <col min="18" max="16384" width="9.125" style="392" customWidth="1"/>
  </cols>
  <sheetData>
    <row r="1" ht="12.75">
      <c r="A1" s="275" t="s">
        <v>687</v>
      </c>
    </row>
    <row r="2" spans="1:13" ht="12.75">
      <c r="A2" s="394" t="s">
        <v>400</v>
      </c>
      <c r="B2" s="394" t="s">
        <v>401</v>
      </c>
      <c r="M2" s="597" t="s">
        <v>739</v>
      </c>
    </row>
    <row r="3" ht="12.75" thickBot="1"/>
    <row r="4" spans="1:17" ht="12.75" customHeight="1">
      <c r="A4" s="706" t="s">
        <v>688</v>
      </c>
      <c r="B4" s="707"/>
      <c r="C4" s="708"/>
      <c r="D4" s="709" t="s">
        <v>689</v>
      </c>
      <c r="E4" s="710"/>
      <c r="F4" s="710"/>
      <c r="G4" s="710"/>
      <c r="H4" s="710"/>
      <c r="I4" s="710"/>
      <c r="J4" s="710"/>
      <c r="K4" s="710"/>
      <c r="L4" s="710"/>
      <c r="M4" s="711"/>
      <c r="N4" s="452" t="s">
        <v>11</v>
      </c>
      <c r="P4" s="712" t="s">
        <v>688</v>
      </c>
      <c r="Q4" s="713"/>
    </row>
    <row r="5" spans="1:17" ht="12.75" thickBot="1">
      <c r="A5" s="453"/>
      <c r="B5" s="454"/>
      <c r="C5" s="455"/>
      <c r="D5" s="456">
        <v>4.336</v>
      </c>
      <c r="E5" s="457">
        <v>4.82975</v>
      </c>
      <c r="F5" s="457">
        <v>5.22432</v>
      </c>
      <c r="G5" s="457">
        <v>5.5243</v>
      </c>
      <c r="H5" s="457">
        <v>5.6695</v>
      </c>
      <c r="I5" s="457">
        <v>5.7942</v>
      </c>
      <c r="J5" s="457">
        <v>5.9039</v>
      </c>
      <c r="K5" s="457">
        <v>6.0008</v>
      </c>
      <c r="L5" s="457">
        <v>6.1808</v>
      </c>
      <c r="M5" s="458">
        <v>6.4187</v>
      </c>
      <c r="N5" s="459"/>
      <c r="P5" s="599"/>
      <c r="Q5" s="460"/>
    </row>
    <row r="6" spans="1:21" ht="12.75" thickTop="1">
      <c r="A6" s="461" t="s">
        <v>690</v>
      </c>
      <c r="B6" s="462" t="s">
        <v>691</v>
      </c>
      <c r="C6" s="463" t="s">
        <v>124</v>
      </c>
      <c r="D6" s="464">
        <f>'[1]Propustky'!F6</f>
        <v>11.55</v>
      </c>
      <c r="E6" s="465">
        <f>'[1]Propustky'!F58</f>
        <v>13.3</v>
      </c>
      <c r="F6" s="465">
        <f>'[1]Propustky'!F103</f>
        <v>13</v>
      </c>
      <c r="G6" s="465">
        <f>'[1]Propustky'!F157</f>
        <v>9.4</v>
      </c>
      <c r="H6" s="465">
        <f>'[1]Propustky'!F195</f>
        <v>9.7</v>
      </c>
      <c r="I6" s="465">
        <f>'[1]Propustky'!F233</f>
        <v>8.5</v>
      </c>
      <c r="J6" s="465">
        <f>'[1]Propustky'!F271</f>
        <v>9.5</v>
      </c>
      <c r="K6" s="465">
        <f>'[1]Propustky'!F309</f>
        <v>10.1</v>
      </c>
      <c r="L6" s="465">
        <f>'[1]Propustky'!F354</f>
        <v>9.3</v>
      </c>
      <c r="M6" s="466">
        <f>'[1]Propustky'!F399</f>
        <v>11.6</v>
      </c>
      <c r="N6" s="467">
        <f>SUM(D6:M6)</f>
        <v>105.94999999999999</v>
      </c>
      <c r="O6" s="408" t="s">
        <v>9</v>
      </c>
      <c r="P6" s="468" t="s">
        <v>124</v>
      </c>
      <c r="Q6" s="469" t="s">
        <v>691</v>
      </c>
      <c r="R6" s="438"/>
      <c r="S6" s="414"/>
      <c r="T6" s="415"/>
      <c r="U6" s="433"/>
    </row>
    <row r="7" spans="1:21" ht="12">
      <c r="A7" s="470" t="s">
        <v>692</v>
      </c>
      <c r="B7" s="471"/>
      <c r="C7" s="472" t="s">
        <v>151</v>
      </c>
      <c r="D7" s="473">
        <f>'[1]Propustky'!H6</f>
        <v>5</v>
      </c>
      <c r="E7" s="474">
        <f>'[1]Propustky'!H58</f>
        <v>6</v>
      </c>
      <c r="F7" s="474">
        <f>'[1]Propustky'!H103</f>
        <v>6</v>
      </c>
      <c r="G7" s="474">
        <f>'[1]Propustky'!H157</f>
        <v>4</v>
      </c>
      <c r="H7" s="474">
        <f>'[1]Propustky'!H195</f>
        <v>4</v>
      </c>
      <c r="I7" s="474">
        <f>'[1]Propustky'!H233</f>
        <v>4</v>
      </c>
      <c r="J7" s="474">
        <f>'[1]Propustky'!H271</f>
        <v>4</v>
      </c>
      <c r="K7" s="474">
        <f>'[1]Propustky'!H309</f>
        <v>5</v>
      </c>
      <c r="L7" s="474">
        <f>'[1]Propustky'!H354</f>
        <v>4</v>
      </c>
      <c r="M7" s="475">
        <f>'[1]Propustky'!H399</f>
        <v>5</v>
      </c>
      <c r="N7" s="476">
        <f aca="true" t="shared" si="0" ref="N7:N87">SUM(D7:M7)</f>
        <v>47</v>
      </c>
      <c r="O7" s="408" t="s">
        <v>130</v>
      </c>
      <c r="P7" s="477" t="s">
        <v>151</v>
      </c>
      <c r="Q7" s="478"/>
      <c r="R7" s="438"/>
      <c r="S7" s="414"/>
      <c r="T7" s="415"/>
      <c r="U7" s="433"/>
    </row>
    <row r="8" spans="1:21" ht="12">
      <c r="A8" s="470"/>
      <c r="B8" s="479" t="s">
        <v>406</v>
      </c>
      <c r="C8" s="480"/>
      <c r="D8" s="481">
        <f>'[1]Propustky'!F7</f>
        <v>10</v>
      </c>
      <c r="E8" s="482">
        <f>'[1]Propustky'!F59</f>
        <v>12</v>
      </c>
      <c r="F8" s="482">
        <f>'[1]Propustky'!F104</f>
        <v>12</v>
      </c>
      <c r="G8" s="482">
        <f>'[1]Propustky'!F158</f>
        <v>8</v>
      </c>
      <c r="H8" s="482">
        <f>'[1]Propustky'!F196</f>
        <v>8</v>
      </c>
      <c r="I8" s="482">
        <f>'[1]Propustky'!F234</f>
        <v>8</v>
      </c>
      <c r="J8" s="482">
        <f>'[1]Propustky'!F272</f>
        <v>8</v>
      </c>
      <c r="K8" s="482">
        <f>'[1]Propustky'!F310</f>
        <v>10</v>
      </c>
      <c r="L8" s="482">
        <f>'[1]Propustky'!F355</f>
        <v>8</v>
      </c>
      <c r="M8" s="483">
        <f>'[1]Propustky'!F400</f>
        <v>10</v>
      </c>
      <c r="N8" s="484">
        <f t="shared" si="0"/>
        <v>94</v>
      </c>
      <c r="O8" s="485" t="s">
        <v>130</v>
      </c>
      <c r="P8" s="486"/>
      <c r="Q8" s="487" t="s">
        <v>406</v>
      </c>
      <c r="R8" s="488"/>
      <c r="S8" s="425"/>
      <c r="T8" s="415"/>
      <c r="U8" s="414"/>
    </row>
    <row r="9" spans="1:21" ht="13.5">
      <c r="A9" s="470"/>
      <c r="B9" s="489" t="s">
        <v>408</v>
      </c>
      <c r="C9" s="480" t="s">
        <v>409</v>
      </c>
      <c r="D9" s="490">
        <f>'[1]Propustky'!F8</f>
        <v>7.324799999999999</v>
      </c>
      <c r="E9" s="491">
        <f>'[1]Propustky'!F60</f>
        <v>8.545599999999999</v>
      </c>
      <c r="F9" s="491">
        <f>'[1]Propustky'!F105</f>
        <v>8.336319999999999</v>
      </c>
      <c r="G9" s="491">
        <f>'[1]Propustky'!F159</f>
        <v>4.987839999999999</v>
      </c>
      <c r="H9" s="491">
        <f>'[1]Propustky'!F197</f>
        <v>4.185599999999999</v>
      </c>
      <c r="I9" s="491">
        <f>'[1]Propustky'!F235</f>
        <v>4.29024</v>
      </c>
      <c r="J9" s="491">
        <f>'[1]Propustky'!F273</f>
        <v>4.220479999999999</v>
      </c>
      <c r="K9" s="491">
        <f>'[1]Propustky'!F311</f>
        <v>6.31328</v>
      </c>
      <c r="L9" s="491">
        <f>'[1]Propustky'!F356</f>
        <v>5.755199999999999</v>
      </c>
      <c r="M9" s="492">
        <f>'[1]Propustky'!F401</f>
        <v>7.359679999999999</v>
      </c>
      <c r="N9" s="493">
        <f t="shared" si="0"/>
        <v>61.319039999999994</v>
      </c>
      <c r="O9" s="408" t="s">
        <v>693</v>
      </c>
      <c r="P9" s="486" t="s">
        <v>409</v>
      </c>
      <c r="Q9" s="494" t="s">
        <v>408</v>
      </c>
      <c r="R9" s="495"/>
      <c r="S9" s="433"/>
      <c r="T9" s="415"/>
      <c r="U9" s="414"/>
    </row>
    <row r="10" spans="1:21" ht="13.5">
      <c r="A10" s="470"/>
      <c r="B10" s="496" t="s">
        <v>412</v>
      </c>
      <c r="C10" s="497" t="s">
        <v>413</v>
      </c>
      <c r="D10" s="498">
        <f>'[1]Propustky'!F9</f>
        <v>31.349999999999998</v>
      </c>
      <c r="E10" s="499">
        <f>'[1]Propustky'!F61</f>
        <v>36.599999999999994</v>
      </c>
      <c r="F10" s="499">
        <f>'[1]Propustky'!F106</f>
        <v>35.7</v>
      </c>
      <c r="G10" s="499">
        <f>'[1]Propustky'!F160</f>
        <v>21.450000000000003</v>
      </c>
      <c r="H10" s="499">
        <f>'[1]Propustky'!F198</f>
        <v>18</v>
      </c>
      <c r="I10" s="499">
        <f>'[1]Propustky'!F236</f>
        <v>18.450000000000003</v>
      </c>
      <c r="J10" s="499">
        <f>'[1]Propustky'!F274</f>
        <v>18.15</v>
      </c>
      <c r="K10" s="499">
        <f>'[1]Propustky'!F312</f>
        <v>27</v>
      </c>
      <c r="L10" s="499">
        <f>'[1]Propustky'!F357</f>
        <v>24.450000000000003</v>
      </c>
      <c r="M10" s="500">
        <f>'[1]Propustky'!F402</f>
        <v>31.349999999999998</v>
      </c>
      <c r="N10" s="501">
        <f t="shared" si="0"/>
        <v>262.50000000000006</v>
      </c>
      <c r="O10" s="408" t="s">
        <v>694</v>
      </c>
      <c r="P10" s="502" t="s">
        <v>413</v>
      </c>
      <c r="Q10" s="503" t="s">
        <v>412</v>
      </c>
      <c r="R10" s="438"/>
      <c r="S10" s="414"/>
      <c r="T10" s="433"/>
      <c r="U10" s="414"/>
    </row>
    <row r="11" spans="1:21" ht="12">
      <c r="A11" s="470"/>
      <c r="B11" s="504"/>
      <c r="C11" s="472"/>
      <c r="D11" s="505">
        <f>'[1]Propustky'!H9</f>
        <v>247.665</v>
      </c>
      <c r="E11" s="506">
        <f>'[1]Propustky'!H61</f>
        <v>289.14</v>
      </c>
      <c r="F11" s="506">
        <f>'[1]Propustky'!H106</f>
        <v>282.03000000000003</v>
      </c>
      <c r="G11" s="506">
        <f>'[1]Propustky'!H160</f>
        <v>169.45500000000004</v>
      </c>
      <c r="H11" s="506">
        <f>'[1]Propustky'!H198</f>
        <v>142.20000000000002</v>
      </c>
      <c r="I11" s="506">
        <f>'[1]Propustky'!H236</f>
        <v>145.75500000000002</v>
      </c>
      <c r="J11" s="506">
        <f>'[1]Propustky'!H274</f>
        <v>143.385</v>
      </c>
      <c r="K11" s="506">
        <f>'[1]Propustky'!H312</f>
        <v>213.3</v>
      </c>
      <c r="L11" s="506">
        <f>'[1]Propustky'!H357</f>
        <v>193.15500000000003</v>
      </c>
      <c r="M11" s="507">
        <f>'[1]Propustky'!H402</f>
        <v>247.665</v>
      </c>
      <c r="N11" s="508">
        <f t="shared" si="0"/>
        <v>2073.75</v>
      </c>
      <c r="O11" s="408" t="s">
        <v>415</v>
      </c>
      <c r="P11" s="477"/>
      <c r="Q11" s="478"/>
      <c r="R11" s="438"/>
      <c r="S11" s="414"/>
      <c r="T11" s="433"/>
      <c r="U11" s="414"/>
    </row>
    <row r="12" spans="1:21" ht="13.5">
      <c r="A12" s="470"/>
      <c r="B12" s="504"/>
      <c r="C12" s="497" t="s">
        <v>417</v>
      </c>
      <c r="D12" s="498">
        <f>'[1]Propustky'!F10</f>
        <v>22</v>
      </c>
      <c r="E12" s="499">
        <f>'[1]Propustky'!F62</f>
        <v>26.84</v>
      </c>
      <c r="F12" s="499">
        <f>'[1]Propustky'!F107</f>
        <v>22.990000000000002</v>
      </c>
      <c r="G12" s="499">
        <f>'[1]Propustky'!F161</f>
        <v>15.730000000000002</v>
      </c>
      <c r="H12" s="499">
        <f>'[1]Propustky'!F199</f>
        <v>13.200000000000001</v>
      </c>
      <c r="I12" s="499">
        <f>'[1]Propustky'!F237</f>
        <v>13.530000000000001</v>
      </c>
      <c r="J12" s="499">
        <f>'[1]Propustky'!F275</f>
        <v>13.31</v>
      </c>
      <c r="K12" s="499">
        <f>'[1]Propustky'!F313</f>
        <v>19.8</v>
      </c>
      <c r="L12" s="499">
        <f>'[1]Propustky'!F358</f>
        <v>17.930000000000003</v>
      </c>
      <c r="M12" s="500">
        <f>'[1]Propustky'!F403</f>
        <v>22.990000000000002</v>
      </c>
      <c r="N12" s="501">
        <f t="shared" si="0"/>
        <v>188.32000000000005</v>
      </c>
      <c r="O12" s="408" t="s">
        <v>694</v>
      </c>
      <c r="P12" s="502" t="s">
        <v>417</v>
      </c>
      <c r="Q12" s="509"/>
      <c r="R12" s="438"/>
      <c r="S12" s="414"/>
      <c r="T12" s="433"/>
      <c r="U12" s="414"/>
    </row>
    <row r="13" spans="1:21" ht="12">
      <c r="A13" s="470"/>
      <c r="B13" s="510"/>
      <c r="C13" s="472"/>
      <c r="D13" s="505">
        <f>'[1]Propustky'!H10</f>
        <v>173.8</v>
      </c>
      <c r="E13" s="506">
        <f>'[1]Propustky'!H62</f>
        <v>212.036</v>
      </c>
      <c r="F13" s="506">
        <f>'[1]Propustky'!H107</f>
        <v>181.62100000000004</v>
      </c>
      <c r="G13" s="506">
        <f>'[1]Propustky'!H161</f>
        <v>124.26700000000002</v>
      </c>
      <c r="H13" s="506">
        <f>'[1]Propustky'!H199</f>
        <v>104.28000000000002</v>
      </c>
      <c r="I13" s="506">
        <f>'[1]Propustky'!H237</f>
        <v>106.88700000000001</v>
      </c>
      <c r="J13" s="506">
        <f>'[1]Propustky'!H275</f>
        <v>105.14900000000002</v>
      </c>
      <c r="K13" s="506">
        <f>'[1]Propustky'!H313</f>
        <v>156.42000000000002</v>
      </c>
      <c r="L13" s="506">
        <f>'[1]Propustky'!H358</f>
        <v>141.64700000000002</v>
      </c>
      <c r="M13" s="507">
        <f>'[1]Propustky'!H403</f>
        <v>181.62100000000004</v>
      </c>
      <c r="N13" s="508">
        <f t="shared" si="0"/>
        <v>1487.7280000000003</v>
      </c>
      <c r="O13" s="408" t="s">
        <v>415</v>
      </c>
      <c r="P13" s="477"/>
      <c r="Q13" s="478"/>
      <c r="R13" s="438"/>
      <c r="S13" s="414"/>
      <c r="T13" s="433"/>
      <c r="U13" s="414"/>
    </row>
    <row r="14" spans="1:21" ht="13.5">
      <c r="A14" s="470"/>
      <c r="B14" s="489" t="s">
        <v>419</v>
      </c>
      <c r="C14" s="480" t="s">
        <v>420</v>
      </c>
      <c r="D14" s="490">
        <f>'[1]Propustky'!F11</f>
        <v>3.5999999999999996</v>
      </c>
      <c r="E14" s="491">
        <f>'[1]Propustky'!F63</f>
        <v>4.409999999999999</v>
      </c>
      <c r="F14" s="491">
        <f>'[1]Propustky'!F108</f>
        <v>3.7619999999999996</v>
      </c>
      <c r="G14" s="491">
        <f>'[1]Propustky'!F162</f>
        <v>2.574</v>
      </c>
      <c r="H14" s="491">
        <f>'[1]Propustky'!F200</f>
        <v>2.1599999999999997</v>
      </c>
      <c r="I14" s="491">
        <f>'[1]Propustky'!F238</f>
        <v>2.214</v>
      </c>
      <c r="J14" s="491">
        <f>'[1]Propustky'!F276</f>
        <v>2.178</v>
      </c>
      <c r="K14" s="491">
        <f>'[1]Propustky'!F314</f>
        <v>3.2219999999999995</v>
      </c>
      <c r="L14" s="491">
        <f>'[1]Propustky'!F359</f>
        <v>2.97</v>
      </c>
      <c r="M14" s="492">
        <f>'[1]Propustky'!F404</f>
        <v>3.798</v>
      </c>
      <c r="N14" s="493">
        <f t="shared" si="0"/>
        <v>30.887999999999998</v>
      </c>
      <c r="O14" s="408" t="s">
        <v>693</v>
      </c>
      <c r="P14" s="486" t="s">
        <v>420</v>
      </c>
      <c r="Q14" s="494" t="s">
        <v>419</v>
      </c>
      <c r="R14" s="495"/>
      <c r="S14" s="433"/>
      <c r="T14" s="415"/>
      <c r="U14" s="414"/>
    </row>
    <row r="15" spans="1:21" ht="13.5">
      <c r="A15" s="470"/>
      <c r="B15" s="489" t="s">
        <v>422</v>
      </c>
      <c r="C15" s="480" t="s">
        <v>99</v>
      </c>
      <c r="D15" s="490">
        <f>'[1]Propustky'!F12</f>
        <v>1.4500000000000002</v>
      </c>
      <c r="E15" s="491">
        <f>'[1]Propustky'!F64</f>
        <v>1.77625</v>
      </c>
      <c r="F15" s="491">
        <f>'[1]Propustky'!F109</f>
        <v>1.51525</v>
      </c>
      <c r="G15" s="491">
        <f>'[1]Propustky'!F163</f>
        <v>1.03675</v>
      </c>
      <c r="H15" s="491">
        <f>'[1]Propustky'!F201</f>
        <v>0.87</v>
      </c>
      <c r="I15" s="491">
        <f>'[1]Propustky'!F239</f>
        <v>0.89175</v>
      </c>
      <c r="J15" s="491">
        <f>'[1]Propustky'!F277</f>
        <v>0.87725</v>
      </c>
      <c r="K15" s="491">
        <f>'[1]Propustky'!F315</f>
        <v>1.3122500000000001</v>
      </c>
      <c r="L15" s="491">
        <f>'[1]Propustky'!F360</f>
        <v>1.19625</v>
      </c>
      <c r="M15" s="492">
        <f>'[1]Propustky'!F405</f>
        <v>1.5297500000000002</v>
      </c>
      <c r="N15" s="493">
        <f t="shared" si="0"/>
        <v>12.4555</v>
      </c>
      <c r="O15" s="408" t="s">
        <v>693</v>
      </c>
      <c r="P15" s="486" t="s">
        <v>99</v>
      </c>
      <c r="Q15" s="494" t="s">
        <v>422</v>
      </c>
      <c r="R15" s="495"/>
      <c r="S15" s="433"/>
      <c r="T15" s="415"/>
      <c r="U15" s="414"/>
    </row>
    <row r="16" spans="1:21" ht="13.5">
      <c r="A16" s="470"/>
      <c r="B16" s="511" t="s">
        <v>424</v>
      </c>
      <c r="C16" s="497" t="s">
        <v>99</v>
      </c>
      <c r="D16" s="498">
        <f>'[1]Propustky'!F13</f>
        <v>1.6500000000000001</v>
      </c>
      <c r="E16" s="499">
        <f>'[1]Propustky'!F65</f>
        <v>2.0212499999999998</v>
      </c>
      <c r="F16" s="499">
        <f>'[1]Propustky'!F110</f>
        <v>1.7242499999999996</v>
      </c>
      <c r="G16" s="499">
        <f>'[1]Propustky'!F164</f>
        <v>1.17975</v>
      </c>
      <c r="H16" s="499">
        <f>'[1]Propustky'!F202</f>
        <v>0.9899999999999999</v>
      </c>
      <c r="I16" s="499">
        <f>'[1]Propustky'!F240</f>
        <v>1.01475</v>
      </c>
      <c r="J16" s="499">
        <f>'[1]Propustky'!F278</f>
        <v>0.9982500000000001</v>
      </c>
      <c r="K16" s="499">
        <f>'[1]Propustky'!F316</f>
        <v>1.4932500000000002</v>
      </c>
      <c r="L16" s="499">
        <f>'[1]Propustky'!F361</f>
        <v>1.36125</v>
      </c>
      <c r="M16" s="500">
        <f>'[1]Propustky'!F406</f>
        <v>1.74075</v>
      </c>
      <c r="N16" s="501">
        <f t="shared" si="0"/>
        <v>14.1735</v>
      </c>
      <c r="O16" s="408" t="s">
        <v>693</v>
      </c>
      <c r="P16" s="502" t="s">
        <v>99</v>
      </c>
      <c r="Q16" s="503" t="s">
        <v>424</v>
      </c>
      <c r="R16" s="408"/>
      <c r="S16" s="433"/>
      <c r="T16" s="415"/>
      <c r="U16" s="414"/>
    </row>
    <row r="17" spans="1:21" ht="13.5">
      <c r="A17" s="470"/>
      <c r="B17" s="471"/>
      <c r="C17" s="472"/>
      <c r="D17" s="505">
        <f>'[1]Propustky'!H13</f>
        <v>16.5</v>
      </c>
      <c r="E17" s="506">
        <f>'[1]Propustky'!H65</f>
        <v>20.2125</v>
      </c>
      <c r="F17" s="506">
        <f>'[1]Propustky'!H110</f>
        <v>17.242499999999996</v>
      </c>
      <c r="G17" s="506">
        <f>'[1]Propustky'!H164</f>
        <v>11.7975</v>
      </c>
      <c r="H17" s="506">
        <f>'[1]Propustky'!H202</f>
        <v>9.899999999999999</v>
      </c>
      <c r="I17" s="506">
        <f>'[1]Propustky'!H240</f>
        <v>10.1475</v>
      </c>
      <c r="J17" s="506">
        <f>'[1]Propustky'!H278</f>
        <v>9.9825</v>
      </c>
      <c r="K17" s="506">
        <f>'[1]Propustky'!H316</f>
        <v>14.932500000000001</v>
      </c>
      <c r="L17" s="506">
        <f>'[1]Propustky'!H361</f>
        <v>13.612499999999999</v>
      </c>
      <c r="M17" s="507">
        <f>'[1]Propustky'!H406</f>
        <v>16.417499999999997</v>
      </c>
      <c r="N17" s="508">
        <f t="shared" si="0"/>
        <v>140.745</v>
      </c>
      <c r="O17" s="408" t="s">
        <v>694</v>
      </c>
      <c r="P17" s="477"/>
      <c r="Q17" s="478"/>
      <c r="R17" s="408"/>
      <c r="S17" s="433"/>
      <c r="T17" s="415"/>
      <c r="U17" s="414"/>
    </row>
    <row r="18" spans="1:21" ht="13.5">
      <c r="A18" s="512"/>
      <c r="B18" s="489" t="s">
        <v>426</v>
      </c>
      <c r="C18" s="480"/>
      <c r="D18" s="490">
        <f>'[1]Propustky'!F14</f>
        <v>28.86</v>
      </c>
      <c r="E18" s="491">
        <f>'[1]Propustky'!F66</f>
        <v>33.410000000000004</v>
      </c>
      <c r="F18" s="491">
        <f>'[1]Propustky'!F111</f>
        <v>28.729999999999997</v>
      </c>
      <c r="G18" s="491">
        <f>'[1]Propustky'!F165</f>
        <v>20.15</v>
      </c>
      <c r="H18" s="491">
        <f>'[1]Propustky'!F203</f>
        <v>17.16</v>
      </c>
      <c r="I18" s="491">
        <f>'[1]Propustky'!F241</f>
        <v>17.55</v>
      </c>
      <c r="J18" s="491">
        <f>'[1]Propustky'!F279</f>
        <v>17.29</v>
      </c>
      <c r="K18" s="491">
        <f>'[1]Propustky'!F317</f>
        <v>25.09</v>
      </c>
      <c r="L18" s="491">
        <f>'[1]Propustky'!F362</f>
        <v>23.009999999999998</v>
      </c>
      <c r="M18" s="492">
        <f>'[1]Propustky'!F407</f>
        <v>28.990000000000002</v>
      </c>
      <c r="N18" s="493">
        <f t="shared" si="0"/>
        <v>240.24</v>
      </c>
      <c r="O18" s="408" t="s">
        <v>694</v>
      </c>
      <c r="P18" s="486"/>
      <c r="Q18" s="494" t="s">
        <v>426</v>
      </c>
      <c r="R18" s="408"/>
      <c r="S18" s="433"/>
      <c r="T18" s="415"/>
      <c r="U18" s="414"/>
    </row>
    <row r="19" spans="1:21" ht="6" customHeight="1">
      <c r="A19" s="513"/>
      <c r="B19" s="514"/>
      <c r="C19" s="515"/>
      <c r="D19" s="516"/>
      <c r="E19" s="517"/>
      <c r="F19" s="517"/>
      <c r="G19" s="517"/>
      <c r="H19" s="517"/>
      <c r="I19" s="517"/>
      <c r="J19" s="517"/>
      <c r="K19" s="517"/>
      <c r="L19" s="517"/>
      <c r="M19" s="518"/>
      <c r="N19" s="519"/>
      <c r="O19" s="408"/>
      <c r="P19" s="520"/>
      <c r="Q19" s="521"/>
      <c r="R19" s="495"/>
      <c r="S19" s="433"/>
      <c r="T19" s="415"/>
      <c r="U19" s="414"/>
    </row>
    <row r="20" spans="1:21" ht="13.5">
      <c r="A20" s="522" t="s">
        <v>428</v>
      </c>
      <c r="B20" s="489" t="s">
        <v>429</v>
      </c>
      <c r="C20" s="480"/>
      <c r="D20" s="490">
        <f>'[1]Propustky'!F16</f>
        <v>1.1</v>
      </c>
      <c r="E20" s="491" t="s">
        <v>695</v>
      </c>
      <c r="F20" s="491" t="s">
        <v>695</v>
      </c>
      <c r="G20" s="491" t="s">
        <v>695</v>
      </c>
      <c r="H20" s="491" t="s">
        <v>695</v>
      </c>
      <c r="I20" s="491" t="s">
        <v>695</v>
      </c>
      <c r="J20" s="491" t="s">
        <v>695</v>
      </c>
      <c r="K20" s="491" t="s">
        <v>695</v>
      </c>
      <c r="L20" s="491" t="s">
        <v>695</v>
      </c>
      <c r="M20" s="491" t="s">
        <v>695</v>
      </c>
      <c r="N20" s="493">
        <f t="shared" si="0"/>
        <v>1.1</v>
      </c>
      <c r="O20" s="408" t="s">
        <v>693</v>
      </c>
      <c r="P20" s="486"/>
      <c r="Q20" s="494" t="s">
        <v>429</v>
      </c>
      <c r="R20" s="495"/>
      <c r="S20" s="433"/>
      <c r="T20" s="415"/>
      <c r="U20" s="414"/>
    </row>
    <row r="21" spans="1:21" ht="13.5">
      <c r="A21" s="470"/>
      <c r="B21" s="511" t="s">
        <v>424</v>
      </c>
      <c r="C21" s="497" t="s">
        <v>99</v>
      </c>
      <c r="D21" s="498">
        <f>'[1]Propustky'!F17</f>
        <v>0.13999999999999999</v>
      </c>
      <c r="E21" s="499" t="s">
        <v>695</v>
      </c>
      <c r="F21" s="499" t="s">
        <v>695</v>
      </c>
      <c r="G21" s="499" t="s">
        <v>695</v>
      </c>
      <c r="H21" s="499" t="s">
        <v>695</v>
      </c>
      <c r="I21" s="499" t="s">
        <v>695</v>
      </c>
      <c r="J21" s="499" t="s">
        <v>695</v>
      </c>
      <c r="K21" s="499" t="s">
        <v>695</v>
      </c>
      <c r="L21" s="499" t="s">
        <v>695</v>
      </c>
      <c r="M21" s="499" t="s">
        <v>695</v>
      </c>
      <c r="N21" s="501">
        <f t="shared" si="0"/>
        <v>0.13999999999999999</v>
      </c>
      <c r="O21" s="408" t="s">
        <v>693</v>
      </c>
      <c r="P21" s="502" t="s">
        <v>99</v>
      </c>
      <c r="Q21" s="503" t="s">
        <v>424</v>
      </c>
      <c r="R21" s="408"/>
      <c r="S21" s="433"/>
      <c r="T21" s="415"/>
      <c r="U21" s="414"/>
    </row>
    <row r="22" spans="1:21" ht="13.5">
      <c r="A22" s="470"/>
      <c r="B22" s="471"/>
      <c r="C22" s="472"/>
      <c r="D22" s="505">
        <f>'[1]Propustky'!H17</f>
        <v>1.4</v>
      </c>
      <c r="E22" s="506" t="s">
        <v>695</v>
      </c>
      <c r="F22" s="506" t="s">
        <v>695</v>
      </c>
      <c r="G22" s="506" t="s">
        <v>695</v>
      </c>
      <c r="H22" s="506" t="s">
        <v>695</v>
      </c>
      <c r="I22" s="506" t="s">
        <v>695</v>
      </c>
      <c r="J22" s="506" t="s">
        <v>695</v>
      </c>
      <c r="K22" s="506" t="s">
        <v>695</v>
      </c>
      <c r="L22" s="506" t="s">
        <v>695</v>
      </c>
      <c r="M22" s="506" t="s">
        <v>695</v>
      </c>
      <c r="N22" s="508">
        <f t="shared" si="0"/>
        <v>1.4</v>
      </c>
      <c r="O22" s="408" t="s">
        <v>694</v>
      </c>
      <c r="P22" s="477"/>
      <c r="Q22" s="478"/>
      <c r="R22" s="408"/>
      <c r="S22" s="433"/>
      <c r="T22" s="415"/>
      <c r="U22" s="414"/>
    </row>
    <row r="23" spans="1:21" ht="13.5">
      <c r="A23" s="512"/>
      <c r="B23" s="489" t="s">
        <v>426</v>
      </c>
      <c r="C23" s="480"/>
      <c r="D23" s="490">
        <f>'[1]Propustky'!F18</f>
        <v>4</v>
      </c>
      <c r="E23" s="491" t="s">
        <v>695</v>
      </c>
      <c r="F23" s="491" t="s">
        <v>695</v>
      </c>
      <c r="G23" s="491" t="s">
        <v>695</v>
      </c>
      <c r="H23" s="491" t="s">
        <v>695</v>
      </c>
      <c r="I23" s="491" t="s">
        <v>695</v>
      </c>
      <c r="J23" s="491" t="s">
        <v>695</v>
      </c>
      <c r="K23" s="491" t="s">
        <v>695</v>
      </c>
      <c r="L23" s="491" t="s">
        <v>695</v>
      </c>
      <c r="M23" s="491" t="s">
        <v>695</v>
      </c>
      <c r="N23" s="493">
        <f t="shared" si="0"/>
        <v>4</v>
      </c>
      <c r="O23" s="408" t="s">
        <v>694</v>
      </c>
      <c r="P23" s="486"/>
      <c r="Q23" s="494" t="s">
        <v>426</v>
      </c>
      <c r="R23" s="408"/>
      <c r="S23" s="433"/>
      <c r="T23" s="415"/>
      <c r="U23" s="414"/>
    </row>
    <row r="24" spans="1:21" ht="6" customHeight="1">
      <c r="A24" s="513"/>
      <c r="B24" s="514"/>
      <c r="C24" s="515"/>
      <c r="D24" s="516"/>
      <c r="E24" s="517"/>
      <c r="F24" s="517"/>
      <c r="G24" s="517"/>
      <c r="H24" s="517"/>
      <c r="I24" s="517"/>
      <c r="J24" s="517"/>
      <c r="K24" s="517"/>
      <c r="L24" s="517"/>
      <c r="M24" s="518"/>
      <c r="N24" s="519"/>
      <c r="O24" s="408"/>
      <c r="P24" s="520"/>
      <c r="Q24" s="521"/>
      <c r="R24" s="408"/>
      <c r="S24" s="433"/>
      <c r="T24" s="415"/>
      <c r="U24" s="414"/>
    </row>
    <row r="25" spans="1:21" ht="14.25">
      <c r="A25" s="522" t="s">
        <v>532</v>
      </c>
      <c r="B25" s="489" t="s">
        <v>533</v>
      </c>
      <c r="C25" s="497"/>
      <c r="D25" s="490" t="s">
        <v>695</v>
      </c>
      <c r="E25" s="491" t="s">
        <v>695</v>
      </c>
      <c r="F25" s="491">
        <f>'[1]Propustky'!F124</f>
        <v>2.4000000000000004</v>
      </c>
      <c r="G25" s="491" t="s">
        <v>695</v>
      </c>
      <c r="H25" s="491" t="s">
        <v>695</v>
      </c>
      <c r="I25" s="491" t="s">
        <v>695</v>
      </c>
      <c r="J25" s="491" t="s">
        <v>695</v>
      </c>
      <c r="K25" s="491" t="s">
        <v>695</v>
      </c>
      <c r="L25" s="491" t="s">
        <v>695</v>
      </c>
      <c r="M25" s="492">
        <f>'[1]Propustky'!F420</f>
        <v>2.4000000000000004</v>
      </c>
      <c r="N25" s="493">
        <f t="shared" si="0"/>
        <v>4.800000000000001</v>
      </c>
      <c r="O25" s="408" t="s">
        <v>410</v>
      </c>
      <c r="P25" s="502"/>
      <c r="Q25" s="494" t="s">
        <v>533</v>
      </c>
      <c r="R25" s="408"/>
      <c r="S25" s="433"/>
      <c r="T25" s="415"/>
      <c r="U25" s="414"/>
    </row>
    <row r="26" spans="1:21" ht="14.25">
      <c r="A26" s="470"/>
      <c r="B26" s="489" t="s">
        <v>422</v>
      </c>
      <c r="C26" s="497" t="s">
        <v>91</v>
      </c>
      <c r="D26" s="490" t="s">
        <v>695</v>
      </c>
      <c r="E26" s="491" t="s">
        <v>695</v>
      </c>
      <c r="F26" s="491">
        <f>'[1]Propustky'!F125</f>
        <v>0.8190000000000001</v>
      </c>
      <c r="G26" s="491" t="s">
        <v>695</v>
      </c>
      <c r="H26" s="491" t="s">
        <v>695</v>
      </c>
      <c r="I26" s="491" t="s">
        <v>695</v>
      </c>
      <c r="J26" s="491" t="s">
        <v>695</v>
      </c>
      <c r="K26" s="491" t="s">
        <v>695</v>
      </c>
      <c r="L26" s="491" t="s">
        <v>695</v>
      </c>
      <c r="M26" s="492">
        <f>'[1]Propustky'!F421</f>
        <v>0.8190000000000001</v>
      </c>
      <c r="N26" s="493">
        <f t="shared" si="0"/>
        <v>1.6380000000000001</v>
      </c>
      <c r="O26" s="408" t="s">
        <v>410</v>
      </c>
      <c r="P26" s="502" t="s">
        <v>91</v>
      </c>
      <c r="Q26" s="494" t="s">
        <v>422</v>
      </c>
      <c r="R26" s="408"/>
      <c r="S26" s="433"/>
      <c r="T26" s="415"/>
      <c r="U26" s="414"/>
    </row>
    <row r="27" spans="1:21" ht="14.25">
      <c r="A27" s="470"/>
      <c r="B27" s="511" t="s">
        <v>424</v>
      </c>
      <c r="C27" s="497" t="s">
        <v>99</v>
      </c>
      <c r="D27" s="498" t="s">
        <v>695</v>
      </c>
      <c r="E27" s="499" t="s">
        <v>695</v>
      </c>
      <c r="F27" s="499">
        <f>'[1]Propustky'!F126</f>
        <v>0.5</v>
      </c>
      <c r="G27" s="499" t="s">
        <v>695</v>
      </c>
      <c r="H27" s="499" t="s">
        <v>695</v>
      </c>
      <c r="I27" s="499" t="s">
        <v>695</v>
      </c>
      <c r="J27" s="499" t="s">
        <v>695</v>
      </c>
      <c r="K27" s="499" t="s">
        <v>695</v>
      </c>
      <c r="L27" s="499" t="s">
        <v>695</v>
      </c>
      <c r="M27" s="500">
        <f>'[1]Propustky'!F422</f>
        <v>0.5</v>
      </c>
      <c r="N27" s="501">
        <f t="shared" si="0"/>
        <v>1</v>
      </c>
      <c r="O27" s="408" t="s">
        <v>410</v>
      </c>
      <c r="P27" s="502" t="s">
        <v>99</v>
      </c>
      <c r="Q27" s="503" t="s">
        <v>424</v>
      </c>
      <c r="R27" s="408"/>
      <c r="S27" s="433"/>
      <c r="T27" s="415"/>
      <c r="U27" s="414"/>
    </row>
    <row r="28" spans="1:21" ht="13.5">
      <c r="A28" s="470"/>
      <c r="B28" s="471"/>
      <c r="C28" s="472"/>
      <c r="D28" s="505" t="s">
        <v>695</v>
      </c>
      <c r="E28" s="506" t="s">
        <v>695</v>
      </c>
      <c r="F28" s="506">
        <f>'[1]Propustky'!H126</f>
        <v>5</v>
      </c>
      <c r="G28" s="506" t="s">
        <v>695</v>
      </c>
      <c r="H28" s="506" t="s">
        <v>695</v>
      </c>
      <c r="I28" s="506" t="s">
        <v>695</v>
      </c>
      <c r="J28" s="506" t="s">
        <v>695</v>
      </c>
      <c r="K28" s="506" t="s">
        <v>695</v>
      </c>
      <c r="L28" s="506" t="s">
        <v>695</v>
      </c>
      <c r="M28" s="507">
        <f>'[1]Propustky'!H422</f>
        <v>5</v>
      </c>
      <c r="N28" s="508">
        <f t="shared" si="0"/>
        <v>10</v>
      </c>
      <c r="O28" s="408" t="s">
        <v>694</v>
      </c>
      <c r="P28" s="477"/>
      <c r="Q28" s="478"/>
      <c r="R28" s="408"/>
      <c r="S28" s="433"/>
      <c r="T28" s="415"/>
      <c r="U28" s="414"/>
    </row>
    <row r="29" spans="1:21" ht="14.25">
      <c r="A29" s="470"/>
      <c r="B29" s="489" t="s">
        <v>501</v>
      </c>
      <c r="C29" s="497" t="s">
        <v>409</v>
      </c>
      <c r="D29" s="490" t="s">
        <v>695</v>
      </c>
      <c r="E29" s="491" t="s">
        <v>695</v>
      </c>
      <c r="F29" s="491">
        <f>'[1]Propustky'!F127</f>
        <v>6.4</v>
      </c>
      <c r="G29" s="491" t="s">
        <v>695</v>
      </c>
      <c r="H29" s="491" t="s">
        <v>695</v>
      </c>
      <c r="I29" s="491" t="s">
        <v>695</v>
      </c>
      <c r="J29" s="491" t="s">
        <v>695</v>
      </c>
      <c r="K29" s="491" t="s">
        <v>695</v>
      </c>
      <c r="L29" s="491" t="s">
        <v>695</v>
      </c>
      <c r="M29" s="492">
        <f>'[1]Propustky'!F423</f>
        <v>6</v>
      </c>
      <c r="N29" s="493">
        <f t="shared" si="0"/>
        <v>12.4</v>
      </c>
      <c r="O29" s="408" t="s">
        <v>414</v>
      </c>
      <c r="P29" s="502" t="s">
        <v>409</v>
      </c>
      <c r="Q29" s="494" t="s">
        <v>501</v>
      </c>
      <c r="R29" s="408"/>
      <c r="S29" s="433"/>
      <c r="T29" s="415"/>
      <c r="U29" s="414"/>
    </row>
    <row r="30" spans="1:21" ht="14.25">
      <c r="A30" s="470"/>
      <c r="B30" s="489" t="s">
        <v>451</v>
      </c>
      <c r="C30" s="497" t="s">
        <v>99</v>
      </c>
      <c r="D30" s="490" t="s">
        <v>695</v>
      </c>
      <c r="E30" s="491" t="s">
        <v>695</v>
      </c>
      <c r="F30" s="491">
        <f>'[1]Propustky'!F128</f>
        <v>0.6400000000000001</v>
      </c>
      <c r="G30" s="491" t="s">
        <v>695</v>
      </c>
      <c r="H30" s="491" t="s">
        <v>695</v>
      </c>
      <c r="I30" s="491" t="s">
        <v>695</v>
      </c>
      <c r="J30" s="491" t="s">
        <v>695</v>
      </c>
      <c r="K30" s="491" t="s">
        <v>695</v>
      </c>
      <c r="L30" s="491" t="s">
        <v>695</v>
      </c>
      <c r="M30" s="492">
        <f>'[1]Propustky'!F424</f>
        <v>0.6000000000000001</v>
      </c>
      <c r="N30" s="493">
        <f t="shared" si="0"/>
        <v>1.2400000000000002</v>
      </c>
      <c r="O30" s="408" t="s">
        <v>410</v>
      </c>
      <c r="P30" s="502" t="s">
        <v>99</v>
      </c>
      <c r="Q30" s="494" t="s">
        <v>451</v>
      </c>
      <c r="R30" s="408"/>
      <c r="S30" s="433"/>
      <c r="T30" s="415"/>
      <c r="U30" s="414"/>
    </row>
    <row r="31" spans="1:21" ht="14.25">
      <c r="A31" s="470"/>
      <c r="B31" s="489" t="s">
        <v>426</v>
      </c>
      <c r="C31" s="497"/>
      <c r="D31" s="490" t="s">
        <v>695</v>
      </c>
      <c r="E31" s="491" t="s">
        <v>695</v>
      </c>
      <c r="F31" s="491">
        <f>'[1]Propustky'!F129</f>
        <v>5.6000000000000005</v>
      </c>
      <c r="G31" s="491" t="s">
        <v>695</v>
      </c>
      <c r="H31" s="491" t="s">
        <v>695</v>
      </c>
      <c r="I31" s="491" t="s">
        <v>695</v>
      </c>
      <c r="J31" s="491" t="s">
        <v>695</v>
      </c>
      <c r="K31" s="491" t="s">
        <v>695</v>
      </c>
      <c r="L31" s="491" t="s">
        <v>695</v>
      </c>
      <c r="M31" s="492">
        <f>'[1]Propustky'!F425</f>
        <v>5.6000000000000005</v>
      </c>
      <c r="N31" s="493">
        <f t="shared" si="0"/>
        <v>11.200000000000001</v>
      </c>
      <c r="O31" s="408" t="s">
        <v>414</v>
      </c>
      <c r="P31" s="502"/>
      <c r="Q31" s="494" t="s">
        <v>426</v>
      </c>
      <c r="R31" s="408"/>
      <c r="S31" s="433"/>
      <c r="T31" s="415"/>
      <c r="U31" s="414"/>
    </row>
    <row r="32" spans="1:21" ht="6" customHeight="1">
      <c r="A32" s="523"/>
      <c r="B32" s="514"/>
      <c r="C32" s="515"/>
      <c r="D32" s="516"/>
      <c r="E32" s="517"/>
      <c r="F32" s="517"/>
      <c r="G32" s="517"/>
      <c r="H32" s="517"/>
      <c r="I32" s="517"/>
      <c r="J32" s="517"/>
      <c r="K32" s="517"/>
      <c r="L32" s="517"/>
      <c r="M32" s="518"/>
      <c r="N32" s="519"/>
      <c r="O32" s="408"/>
      <c r="P32" s="520"/>
      <c r="Q32" s="521"/>
      <c r="R32" s="408"/>
      <c r="S32" s="433"/>
      <c r="T32" s="415"/>
      <c r="U32" s="414"/>
    </row>
    <row r="33" spans="1:21" ht="13.5">
      <c r="A33" s="522" t="s">
        <v>433</v>
      </c>
      <c r="B33" s="489" t="s">
        <v>434</v>
      </c>
      <c r="C33" s="480"/>
      <c r="D33" s="490">
        <f>'[1]Propustky'!F20</f>
        <v>5.407979999999999</v>
      </c>
      <c r="E33" s="491">
        <f>'[1]Propustky'!F68</f>
        <v>9.313979999999999</v>
      </c>
      <c r="F33" s="491">
        <f>'[1]Propustky'!F113</f>
        <v>6.802979999999998</v>
      </c>
      <c r="G33" s="491">
        <f>'[1]Propustky'!F167</f>
        <v>6.24498</v>
      </c>
      <c r="H33" s="491">
        <f>'[1]Propustky'!F205</f>
        <v>5.965979999999999</v>
      </c>
      <c r="I33" s="491">
        <f>'[1]Propustky'!F243</f>
        <v>9.871979999999999</v>
      </c>
      <c r="J33" s="491">
        <f>'[1]Propustky'!F281</f>
        <v>7.91898</v>
      </c>
      <c r="K33" s="491">
        <f>'[1]Propustky'!F319</f>
        <v>8.197979999999998</v>
      </c>
      <c r="L33" s="491">
        <f>'[1]Propustky'!F364</f>
        <v>7.779479999999999</v>
      </c>
      <c r="M33" s="492">
        <f>'[1]Propustky'!F409</f>
        <v>4.768979999999999</v>
      </c>
      <c r="N33" s="493">
        <f t="shared" si="0"/>
        <v>72.27329999999999</v>
      </c>
      <c r="O33" s="408" t="s">
        <v>693</v>
      </c>
      <c r="P33" s="486"/>
      <c r="Q33" s="494" t="s">
        <v>434</v>
      </c>
      <c r="R33" s="495"/>
      <c r="S33" s="433"/>
      <c r="T33" s="415"/>
      <c r="U33" s="414"/>
    </row>
    <row r="34" spans="1:21" ht="13.5">
      <c r="A34" s="470"/>
      <c r="B34" s="511" t="s">
        <v>412</v>
      </c>
      <c r="C34" s="497" t="s">
        <v>436</v>
      </c>
      <c r="D34" s="498">
        <f>'[1]Propustky'!F21</f>
        <v>26.98</v>
      </c>
      <c r="E34" s="499">
        <f>'[1]Propustky'!F69</f>
        <v>43.64</v>
      </c>
      <c r="F34" s="499">
        <f>'[1]Propustky'!F114</f>
        <v>32.93</v>
      </c>
      <c r="G34" s="499">
        <f>'[1]Propustky'!F168</f>
        <v>30.55</v>
      </c>
      <c r="H34" s="499">
        <f>'[1]Propustky'!F206</f>
        <v>29.36</v>
      </c>
      <c r="I34" s="499">
        <f>'[1]Propustky'!F244</f>
        <v>46.019999999999996</v>
      </c>
      <c r="J34" s="499">
        <f>'[1]Propustky'!F282</f>
        <v>37.69</v>
      </c>
      <c r="K34" s="499">
        <f>'[1]Propustky'!F320</f>
        <v>38.88</v>
      </c>
      <c r="L34" s="499">
        <f>'[1]Propustky'!F365</f>
        <v>37.095</v>
      </c>
      <c r="M34" s="500">
        <f>'[1]Propustky'!F410</f>
        <v>31.740000000000002</v>
      </c>
      <c r="N34" s="501">
        <f t="shared" si="0"/>
        <v>354.885</v>
      </c>
      <c r="O34" s="408" t="s">
        <v>694</v>
      </c>
      <c r="P34" s="502" t="s">
        <v>436</v>
      </c>
      <c r="Q34" s="503" t="s">
        <v>412</v>
      </c>
      <c r="R34" s="438"/>
      <c r="S34" s="414"/>
      <c r="T34" s="415"/>
      <c r="U34" s="414"/>
    </row>
    <row r="35" spans="1:21" ht="12">
      <c r="A35" s="470"/>
      <c r="B35" s="471"/>
      <c r="C35" s="472"/>
      <c r="D35" s="505">
        <f>'[1]Propustky'!H21</f>
        <v>213.14200000000002</v>
      </c>
      <c r="E35" s="506">
        <f>'[1]Propustky'!H69</f>
        <v>344.75600000000003</v>
      </c>
      <c r="F35" s="506">
        <f>'[1]Propustky'!H114</f>
        <v>260.147</v>
      </c>
      <c r="G35" s="506">
        <f>'[1]Propustky'!H168</f>
        <v>241.34500000000003</v>
      </c>
      <c r="H35" s="506">
        <f>'[1]Propustky'!H206</f>
        <v>231.94400000000002</v>
      </c>
      <c r="I35" s="506">
        <f>'[1]Propustky'!H244</f>
        <v>363.558</v>
      </c>
      <c r="J35" s="506">
        <f>'[1]Propustky'!H282</f>
        <v>297.751</v>
      </c>
      <c r="K35" s="506">
        <f>'[1]Propustky'!H320</f>
        <v>307.15200000000004</v>
      </c>
      <c r="L35" s="506">
        <f>'[1]Propustky'!H365</f>
        <v>293.0505</v>
      </c>
      <c r="M35" s="507">
        <f>'[1]Propustky'!H410</f>
        <v>250.74600000000004</v>
      </c>
      <c r="N35" s="508">
        <f t="shared" si="0"/>
        <v>2803.5915</v>
      </c>
      <c r="O35" s="438" t="s">
        <v>415</v>
      </c>
      <c r="P35" s="477"/>
      <c r="Q35" s="478"/>
      <c r="R35" s="438"/>
      <c r="S35" s="414"/>
      <c r="T35" s="415"/>
      <c r="U35" s="414"/>
    </row>
    <row r="36" spans="1:21" ht="13.5">
      <c r="A36" s="470"/>
      <c r="B36" s="496" t="s">
        <v>696</v>
      </c>
      <c r="C36" s="480" t="s">
        <v>438</v>
      </c>
      <c r="D36" s="490">
        <f>'[1]Propustky'!F23</f>
        <v>0.9359999999999999</v>
      </c>
      <c r="E36" s="491">
        <f>'[1]Propustky'!F71</f>
        <v>0.9359999999999999</v>
      </c>
      <c r="F36" s="491">
        <f>'[1]Propustky'!F116</f>
        <v>0.9359999999999999</v>
      </c>
      <c r="G36" s="491">
        <f>'[1]Propustky'!F170</f>
        <v>0.9359999999999999</v>
      </c>
      <c r="H36" s="491">
        <f>'[1]Propustky'!F208</f>
        <v>0.9359999999999999</v>
      </c>
      <c r="I36" s="491">
        <f>'[1]Propustky'!F246</f>
        <v>0.9359999999999999</v>
      </c>
      <c r="J36" s="491">
        <f>'[1]Propustky'!F284</f>
        <v>0.9359999999999999</v>
      </c>
      <c r="K36" s="491">
        <f>'[1]Propustky'!F322</f>
        <v>0.9359999999999999</v>
      </c>
      <c r="L36" s="491">
        <f>'[1]Propustky'!F367</f>
        <v>0.9359999999999999</v>
      </c>
      <c r="M36" s="492">
        <f>'[1]Propustky'!F412</f>
        <v>0.9359999999999999</v>
      </c>
      <c r="N36" s="493">
        <f>SUM(D36:M36)</f>
        <v>9.36</v>
      </c>
      <c r="O36" s="408" t="s">
        <v>693</v>
      </c>
      <c r="P36" s="486" t="s">
        <v>438</v>
      </c>
      <c r="Q36" s="503" t="s">
        <v>696</v>
      </c>
      <c r="R36" s="495"/>
      <c r="S36" s="433"/>
      <c r="T36" s="415"/>
      <c r="U36" s="414"/>
    </row>
    <row r="37" spans="1:21" ht="13.5">
      <c r="A37" s="470"/>
      <c r="B37" s="510"/>
      <c r="C37" s="480" t="s">
        <v>440</v>
      </c>
      <c r="D37" s="490">
        <f>'[1]Propustky'!F24</f>
        <v>0.108</v>
      </c>
      <c r="E37" s="491">
        <f>'[1]Propustky'!F72</f>
        <v>0.108</v>
      </c>
      <c r="F37" s="491">
        <f>'[1]Propustky'!F117</f>
        <v>0.108</v>
      </c>
      <c r="G37" s="491">
        <f>'[1]Propustky'!F171</f>
        <v>0.108</v>
      </c>
      <c r="H37" s="491">
        <f>'[1]Propustky'!F209</f>
        <v>0.108</v>
      </c>
      <c r="I37" s="491">
        <f>'[1]Propustky'!F247</f>
        <v>0.108</v>
      </c>
      <c r="J37" s="491">
        <f>'[1]Propustky'!F285</f>
        <v>0.108</v>
      </c>
      <c r="K37" s="491">
        <f>'[1]Propustky'!F323</f>
        <v>0.108</v>
      </c>
      <c r="L37" s="491">
        <f>'[1]Propustky'!F368</f>
        <v>0.108</v>
      </c>
      <c r="M37" s="492">
        <f>'[1]Propustky'!F413</f>
        <v>0.108</v>
      </c>
      <c r="N37" s="493">
        <f>SUM(D37:M37)</f>
        <v>1.08</v>
      </c>
      <c r="O37" s="408" t="s">
        <v>693</v>
      </c>
      <c r="P37" s="486" t="s">
        <v>440</v>
      </c>
      <c r="Q37" s="478"/>
      <c r="R37" s="495"/>
      <c r="S37" s="433"/>
      <c r="T37" s="415"/>
      <c r="U37" s="414"/>
    </row>
    <row r="38" spans="1:21" ht="13.5">
      <c r="A38" s="470"/>
      <c r="B38" s="489" t="s">
        <v>442</v>
      </c>
      <c r="C38" s="480" t="s">
        <v>91</v>
      </c>
      <c r="D38" s="490">
        <f>'[1]Propustky'!F25</f>
        <v>0.72</v>
      </c>
      <c r="E38" s="491">
        <f>'[1]Propustky'!F73</f>
        <v>0.72</v>
      </c>
      <c r="F38" s="491">
        <f>'[1]Propustky'!F118</f>
        <v>0.72</v>
      </c>
      <c r="G38" s="491">
        <f>'[1]Propustky'!F172</f>
        <v>0.72</v>
      </c>
      <c r="H38" s="491">
        <f>'[1]Propustky'!F210</f>
        <v>0.72</v>
      </c>
      <c r="I38" s="491">
        <f>'[1]Propustky'!F248</f>
        <v>0.72</v>
      </c>
      <c r="J38" s="491">
        <f>'[1]Propustky'!F286</f>
        <v>0.72</v>
      </c>
      <c r="K38" s="491">
        <f>'[1]Propustky'!F324</f>
        <v>0.72</v>
      </c>
      <c r="L38" s="491">
        <f>'[1]Propustky'!F369</f>
        <v>0.72</v>
      </c>
      <c r="M38" s="492">
        <f>'[1]Propustky'!F414</f>
        <v>0.72</v>
      </c>
      <c r="N38" s="493">
        <f t="shared" si="0"/>
        <v>7.199999999999998</v>
      </c>
      <c r="O38" s="408" t="s">
        <v>694</v>
      </c>
      <c r="P38" s="486" t="s">
        <v>91</v>
      </c>
      <c r="Q38" s="494" t="s">
        <v>442</v>
      </c>
      <c r="R38" s="408"/>
      <c r="S38" s="433"/>
      <c r="T38" s="415"/>
      <c r="U38" s="414"/>
    </row>
    <row r="39" spans="1:21" ht="13.5">
      <c r="A39" s="470"/>
      <c r="B39" s="511" t="s">
        <v>424</v>
      </c>
      <c r="C39" s="497" t="s">
        <v>99</v>
      </c>
      <c r="D39" s="498">
        <f>'[1]Propustky'!F26</f>
        <v>0.5289999999999999</v>
      </c>
      <c r="E39" s="499">
        <f>'[1]Propustky'!F74</f>
        <v>0.5289999999999999</v>
      </c>
      <c r="F39" s="499">
        <f>'[1]Propustky'!F119</f>
        <v>0.5289999999999999</v>
      </c>
      <c r="G39" s="499">
        <f>'[1]Propustky'!F173</f>
        <v>0.5289999999999999</v>
      </c>
      <c r="H39" s="499">
        <f>'[1]Propustky'!F211</f>
        <v>0.5289999999999999</v>
      </c>
      <c r="I39" s="499">
        <f>'[1]Propustky'!F249</f>
        <v>0.5289999999999999</v>
      </c>
      <c r="J39" s="499">
        <f>'[1]Propustky'!F287</f>
        <v>0.5289999999999999</v>
      </c>
      <c r="K39" s="499">
        <f>'[1]Propustky'!F325</f>
        <v>0.5289999999999999</v>
      </c>
      <c r="L39" s="499">
        <f>'[1]Propustky'!F370</f>
        <v>0.5289999999999999</v>
      </c>
      <c r="M39" s="500">
        <f>'[1]Propustky'!F415</f>
        <v>0.5289999999999999</v>
      </c>
      <c r="N39" s="501">
        <f t="shared" si="0"/>
        <v>5.289999999999999</v>
      </c>
      <c r="O39" s="408" t="s">
        <v>693</v>
      </c>
      <c r="P39" s="502" t="s">
        <v>99</v>
      </c>
      <c r="Q39" s="503" t="s">
        <v>424</v>
      </c>
      <c r="R39" s="408"/>
      <c r="S39" s="433"/>
      <c r="T39" s="415"/>
      <c r="U39" s="414"/>
    </row>
    <row r="40" spans="1:21" ht="13.5">
      <c r="A40" s="470"/>
      <c r="B40" s="471"/>
      <c r="C40" s="472"/>
      <c r="D40" s="505">
        <f>'[1]Propustky'!H26</f>
        <v>5.289999999999999</v>
      </c>
      <c r="E40" s="506">
        <f>'[1]Propustky'!H74</f>
        <v>5.289999999999999</v>
      </c>
      <c r="F40" s="506">
        <f>'[1]Propustky'!H119</f>
        <v>5.289999999999999</v>
      </c>
      <c r="G40" s="506">
        <f>'[1]Propustky'!H173</f>
        <v>5.289999999999999</v>
      </c>
      <c r="H40" s="506">
        <f>'[1]Propustky'!H211</f>
        <v>5.289999999999999</v>
      </c>
      <c r="I40" s="506">
        <f>'[1]Propustky'!H249</f>
        <v>5.289999999999999</v>
      </c>
      <c r="J40" s="506">
        <f>'[1]Propustky'!H287</f>
        <v>5.289999999999999</v>
      </c>
      <c r="K40" s="506">
        <f>'[1]Propustky'!H325</f>
        <v>5.289999999999999</v>
      </c>
      <c r="L40" s="506">
        <f>'[1]Propustky'!H370</f>
        <v>5.289999999999999</v>
      </c>
      <c r="M40" s="507">
        <f>'[1]Propustky'!H415</f>
        <v>5.289999999999999</v>
      </c>
      <c r="N40" s="508">
        <f t="shared" si="0"/>
        <v>52.89999999999999</v>
      </c>
      <c r="O40" s="408" t="s">
        <v>694</v>
      </c>
      <c r="P40" s="477"/>
      <c r="Q40" s="478"/>
      <c r="R40" s="408"/>
      <c r="S40" s="433"/>
      <c r="T40" s="415"/>
      <c r="U40" s="414"/>
    </row>
    <row r="41" spans="1:21" ht="13.5">
      <c r="A41" s="470"/>
      <c r="B41" s="489" t="s">
        <v>426</v>
      </c>
      <c r="C41" s="480"/>
      <c r="D41" s="490">
        <f>'[1]Propustky'!F27</f>
        <v>21.674999999999997</v>
      </c>
      <c r="E41" s="491">
        <f>'[1]Propustky'!F75</f>
        <v>37.214999999999996</v>
      </c>
      <c r="F41" s="491">
        <f>'[1]Propustky'!F120</f>
        <v>27.225</v>
      </c>
      <c r="G41" s="491">
        <f>'[1]Propustky'!F174</f>
        <v>25.005</v>
      </c>
      <c r="H41" s="491">
        <f>'[1]Propustky'!F212</f>
        <v>23.895</v>
      </c>
      <c r="I41" s="491">
        <f>'[1]Propustky'!F250</f>
        <v>39.435</v>
      </c>
      <c r="J41" s="491">
        <f>'[1]Propustky'!F288</f>
        <v>31.665</v>
      </c>
      <c r="K41" s="491">
        <f>'[1]Propustky'!F326</f>
        <v>32.775</v>
      </c>
      <c r="L41" s="491">
        <f>'[1]Propustky'!F371</f>
        <v>31.11</v>
      </c>
      <c r="M41" s="492">
        <f>'[1]Propustky'!F416</f>
        <v>26.115</v>
      </c>
      <c r="N41" s="493">
        <f t="shared" si="0"/>
        <v>296.115</v>
      </c>
      <c r="O41" s="408" t="s">
        <v>694</v>
      </c>
      <c r="P41" s="486"/>
      <c r="Q41" s="494" t="s">
        <v>426</v>
      </c>
      <c r="R41" s="408"/>
      <c r="S41" s="433"/>
      <c r="T41" s="415"/>
      <c r="U41" s="414"/>
    </row>
    <row r="42" spans="1:21" ht="12">
      <c r="A42" s="470"/>
      <c r="B42" s="524" t="s">
        <v>446</v>
      </c>
      <c r="C42" s="480"/>
      <c r="D42" s="525">
        <f>'[1]Propustky'!F28</f>
        <v>1</v>
      </c>
      <c r="E42" s="526">
        <f>'[1]Propustky'!F76</f>
        <v>1</v>
      </c>
      <c r="F42" s="526">
        <f>'[1]Propustky'!F121</f>
        <v>1</v>
      </c>
      <c r="G42" s="526">
        <f>'[1]Propustky'!F175</f>
        <v>1</v>
      </c>
      <c r="H42" s="526">
        <f>'[1]Propustky'!F213</f>
        <v>1</v>
      </c>
      <c r="I42" s="526">
        <f>'[1]Propustky'!F251</f>
        <v>1</v>
      </c>
      <c r="J42" s="526">
        <f>'[1]Propustky'!F289</f>
        <v>1</v>
      </c>
      <c r="K42" s="526">
        <f>'[1]Propustky'!F327</f>
        <v>1</v>
      </c>
      <c r="L42" s="526">
        <f>'[1]Propustky'!F372</f>
        <v>1</v>
      </c>
      <c r="M42" s="527">
        <f>'[1]Propustky'!F417</f>
        <v>1</v>
      </c>
      <c r="N42" s="528">
        <f t="shared" si="0"/>
        <v>10</v>
      </c>
      <c r="O42" s="408" t="s">
        <v>130</v>
      </c>
      <c r="P42" s="486"/>
      <c r="Q42" s="529" t="s">
        <v>446</v>
      </c>
      <c r="R42" s="408"/>
      <c r="S42" s="433"/>
      <c r="T42" s="415"/>
      <c r="U42" s="414"/>
    </row>
    <row r="43" spans="1:21" ht="12">
      <c r="A43" s="512"/>
      <c r="B43" s="524" t="s">
        <v>447</v>
      </c>
      <c r="C43" s="480"/>
      <c r="D43" s="525">
        <f>'[1]Propustky'!F29</f>
        <v>4</v>
      </c>
      <c r="E43" s="526">
        <f>'[1]Propustky'!F77</f>
        <v>9</v>
      </c>
      <c r="F43" s="526">
        <f>'[1]Propustky'!F122</f>
        <v>6</v>
      </c>
      <c r="G43" s="526">
        <f>'[1]Propustky'!F176</f>
        <v>5</v>
      </c>
      <c r="H43" s="526">
        <f>'[1]Propustky'!F214</f>
        <v>5</v>
      </c>
      <c r="I43" s="526">
        <f>'[1]Propustky'!F252</f>
        <v>9</v>
      </c>
      <c r="J43" s="526">
        <f>'[1]Propustky'!F290</f>
        <v>7</v>
      </c>
      <c r="K43" s="526">
        <f>'[1]Propustky'!F328</f>
        <v>7</v>
      </c>
      <c r="L43" s="526">
        <f>'[1]Propustky'!F373</f>
        <v>7</v>
      </c>
      <c r="M43" s="527">
        <f>'[1]Propustky'!F418</f>
        <v>5</v>
      </c>
      <c r="N43" s="528">
        <f t="shared" si="0"/>
        <v>64</v>
      </c>
      <c r="O43" s="408" t="s">
        <v>130</v>
      </c>
      <c r="P43" s="486"/>
      <c r="Q43" s="529" t="s">
        <v>447</v>
      </c>
      <c r="R43" s="408"/>
      <c r="S43" s="433"/>
      <c r="T43" s="415"/>
      <c r="U43" s="414"/>
    </row>
    <row r="44" spans="1:21" ht="6" customHeight="1">
      <c r="A44" s="513"/>
      <c r="B44" s="514"/>
      <c r="C44" s="515"/>
      <c r="D44" s="516"/>
      <c r="E44" s="517"/>
      <c r="F44" s="517"/>
      <c r="G44" s="517"/>
      <c r="H44" s="517"/>
      <c r="I44" s="517"/>
      <c r="J44" s="517"/>
      <c r="K44" s="517"/>
      <c r="L44" s="517"/>
      <c r="M44" s="518"/>
      <c r="N44" s="519"/>
      <c r="O44" s="408"/>
      <c r="P44" s="520"/>
      <c r="Q44" s="521"/>
      <c r="R44" s="495"/>
      <c r="S44" s="438"/>
      <c r="T44" s="415"/>
      <c r="U44" s="433"/>
    </row>
    <row r="45" spans="1:21" ht="13.5">
      <c r="A45" s="530" t="s">
        <v>448</v>
      </c>
      <c r="B45" s="531" t="s">
        <v>449</v>
      </c>
      <c r="C45" s="532"/>
      <c r="D45" s="533">
        <f>'[1]Propustky'!F31</f>
        <v>28.6</v>
      </c>
      <c r="E45" s="534" t="s">
        <v>695</v>
      </c>
      <c r="F45" s="534" t="s">
        <v>695</v>
      </c>
      <c r="G45" s="534" t="s">
        <v>695</v>
      </c>
      <c r="H45" s="534" t="s">
        <v>695</v>
      </c>
      <c r="I45" s="534" t="s">
        <v>695</v>
      </c>
      <c r="J45" s="534" t="s">
        <v>695</v>
      </c>
      <c r="K45" s="534" t="s">
        <v>695</v>
      </c>
      <c r="L45" s="534" t="s">
        <v>695</v>
      </c>
      <c r="M45" s="534" t="s">
        <v>695</v>
      </c>
      <c r="N45" s="493">
        <f t="shared" si="0"/>
        <v>28.6</v>
      </c>
      <c r="O45" s="408" t="s">
        <v>694</v>
      </c>
      <c r="P45" s="600"/>
      <c r="Q45" s="532" t="s">
        <v>449</v>
      </c>
      <c r="R45" s="406"/>
      <c r="S45" s="406"/>
      <c r="T45" s="406"/>
      <c r="U45" s="406"/>
    </row>
    <row r="46" spans="1:21" ht="13.5">
      <c r="A46" s="535"/>
      <c r="B46" s="531" t="s">
        <v>451</v>
      </c>
      <c r="C46" s="480" t="s">
        <v>452</v>
      </c>
      <c r="D46" s="533">
        <f>'[1]Propustky'!F32</f>
        <v>10.01</v>
      </c>
      <c r="E46" s="534" t="s">
        <v>695</v>
      </c>
      <c r="F46" s="534" t="s">
        <v>695</v>
      </c>
      <c r="G46" s="534" t="s">
        <v>695</v>
      </c>
      <c r="H46" s="534" t="s">
        <v>695</v>
      </c>
      <c r="I46" s="534" t="s">
        <v>695</v>
      </c>
      <c r="J46" s="534" t="s">
        <v>695</v>
      </c>
      <c r="K46" s="534" t="s">
        <v>695</v>
      </c>
      <c r="L46" s="534" t="s">
        <v>695</v>
      </c>
      <c r="M46" s="534" t="s">
        <v>695</v>
      </c>
      <c r="N46" s="493">
        <f t="shared" si="0"/>
        <v>10.01</v>
      </c>
      <c r="O46" s="408" t="s">
        <v>693</v>
      </c>
      <c r="P46" s="486" t="s">
        <v>452</v>
      </c>
      <c r="Q46" s="532" t="s">
        <v>451</v>
      </c>
      <c r="R46" s="406"/>
      <c r="S46" s="406"/>
      <c r="T46" s="406"/>
      <c r="U46" s="406"/>
    </row>
    <row r="47" spans="1:21" ht="13.5">
      <c r="A47" s="535"/>
      <c r="B47" s="536" t="s">
        <v>697</v>
      </c>
      <c r="C47" s="497" t="s">
        <v>455</v>
      </c>
      <c r="D47" s="537">
        <f>'[1]Propustky'!F34</f>
        <v>2.8600000000000003</v>
      </c>
      <c r="E47" s="538" t="s">
        <v>695</v>
      </c>
      <c r="F47" s="538" t="s">
        <v>695</v>
      </c>
      <c r="G47" s="538" t="s">
        <v>695</v>
      </c>
      <c r="H47" s="538" t="s">
        <v>695</v>
      </c>
      <c r="I47" s="538" t="s">
        <v>695</v>
      </c>
      <c r="J47" s="538" t="s">
        <v>695</v>
      </c>
      <c r="K47" s="538" t="s">
        <v>695</v>
      </c>
      <c r="L47" s="538" t="s">
        <v>695</v>
      </c>
      <c r="M47" s="538" t="s">
        <v>695</v>
      </c>
      <c r="N47" s="501">
        <f>SUM(D47:M47)</f>
        <v>2.8600000000000003</v>
      </c>
      <c r="O47" s="408" t="s">
        <v>693</v>
      </c>
      <c r="P47" s="502" t="s">
        <v>455</v>
      </c>
      <c r="Q47" s="539" t="s">
        <v>697</v>
      </c>
      <c r="R47" s="408"/>
      <c r="S47" s="406"/>
      <c r="T47" s="406"/>
      <c r="U47" s="406"/>
    </row>
    <row r="48" spans="1:21" ht="13.5">
      <c r="A48" s="535"/>
      <c r="B48" s="540"/>
      <c r="C48" s="472"/>
      <c r="D48" s="541">
        <f>'[1]Propustky'!H34</f>
        <v>28.6</v>
      </c>
      <c r="E48" s="542" t="s">
        <v>695</v>
      </c>
      <c r="F48" s="542" t="s">
        <v>695</v>
      </c>
      <c r="G48" s="542" t="s">
        <v>695</v>
      </c>
      <c r="H48" s="542" t="s">
        <v>695</v>
      </c>
      <c r="I48" s="542" t="s">
        <v>695</v>
      </c>
      <c r="J48" s="542" t="s">
        <v>695</v>
      </c>
      <c r="K48" s="542" t="s">
        <v>695</v>
      </c>
      <c r="L48" s="542" t="s">
        <v>695</v>
      </c>
      <c r="M48" s="542" t="s">
        <v>695</v>
      </c>
      <c r="N48" s="508">
        <f>SUM(D48:M48)</f>
        <v>28.6</v>
      </c>
      <c r="O48" s="408" t="s">
        <v>694</v>
      </c>
      <c r="P48" s="477"/>
      <c r="Q48" s="543"/>
      <c r="R48" s="408"/>
      <c r="S48" s="406"/>
      <c r="T48" s="406"/>
      <c r="U48" s="406"/>
    </row>
    <row r="49" spans="1:21" ht="13.5">
      <c r="A49" s="535"/>
      <c r="B49" s="540"/>
      <c r="C49" s="497" t="s">
        <v>457</v>
      </c>
      <c r="D49" s="537">
        <f>'[1]Propustky'!F35</f>
        <v>0.20999999999999996</v>
      </c>
      <c r="E49" s="538" t="s">
        <v>695</v>
      </c>
      <c r="F49" s="538" t="s">
        <v>695</v>
      </c>
      <c r="G49" s="538" t="s">
        <v>695</v>
      </c>
      <c r="H49" s="538" t="s">
        <v>695</v>
      </c>
      <c r="I49" s="538" t="s">
        <v>695</v>
      </c>
      <c r="J49" s="538" t="s">
        <v>695</v>
      </c>
      <c r="K49" s="538" t="s">
        <v>695</v>
      </c>
      <c r="L49" s="538" t="s">
        <v>695</v>
      </c>
      <c r="M49" s="538" t="s">
        <v>695</v>
      </c>
      <c r="N49" s="501">
        <f>SUM(D49:M49)</f>
        <v>0.20999999999999996</v>
      </c>
      <c r="O49" s="408" t="s">
        <v>693</v>
      </c>
      <c r="P49" s="502" t="s">
        <v>457</v>
      </c>
      <c r="Q49" s="543"/>
      <c r="R49" s="408"/>
      <c r="S49" s="406"/>
      <c r="T49" s="406"/>
      <c r="U49" s="406"/>
    </row>
    <row r="50" spans="1:21" ht="13.5">
      <c r="A50" s="535"/>
      <c r="B50" s="544"/>
      <c r="C50" s="472"/>
      <c r="D50" s="541">
        <f>'[1]Propustky'!H35</f>
        <v>2.0999999999999996</v>
      </c>
      <c r="E50" s="542" t="s">
        <v>695</v>
      </c>
      <c r="F50" s="542" t="s">
        <v>695</v>
      </c>
      <c r="G50" s="542" t="s">
        <v>695</v>
      </c>
      <c r="H50" s="542" t="s">
        <v>695</v>
      </c>
      <c r="I50" s="542" t="s">
        <v>695</v>
      </c>
      <c r="J50" s="542" t="s">
        <v>695</v>
      </c>
      <c r="K50" s="542" t="s">
        <v>695</v>
      </c>
      <c r="L50" s="542" t="s">
        <v>695</v>
      </c>
      <c r="M50" s="542" t="s">
        <v>695</v>
      </c>
      <c r="N50" s="508">
        <f>SUM(D50:M50)</f>
        <v>2.0999999999999996</v>
      </c>
      <c r="O50" s="408" t="s">
        <v>694</v>
      </c>
      <c r="P50" s="477"/>
      <c r="Q50" s="545"/>
      <c r="R50" s="408"/>
      <c r="S50" s="406"/>
      <c r="T50" s="406"/>
      <c r="U50" s="406"/>
    </row>
    <row r="51" spans="1:21" ht="13.5">
      <c r="A51" s="535"/>
      <c r="B51" s="489" t="s">
        <v>429</v>
      </c>
      <c r="C51" s="480"/>
      <c r="D51" s="490">
        <f>'[1]Propustky'!F36</f>
        <v>3.0449999999999995</v>
      </c>
      <c r="E51" s="491" t="s">
        <v>695</v>
      </c>
      <c r="F51" s="491" t="s">
        <v>695</v>
      </c>
      <c r="G51" s="491" t="s">
        <v>695</v>
      </c>
      <c r="H51" s="491" t="s">
        <v>695</v>
      </c>
      <c r="I51" s="491" t="s">
        <v>695</v>
      </c>
      <c r="J51" s="491" t="s">
        <v>695</v>
      </c>
      <c r="K51" s="491" t="s">
        <v>695</v>
      </c>
      <c r="L51" s="491" t="s">
        <v>695</v>
      </c>
      <c r="M51" s="491" t="s">
        <v>695</v>
      </c>
      <c r="N51" s="493">
        <f t="shared" si="0"/>
        <v>3.0449999999999995</v>
      </c>
      <c r="O51" s="408" t="s">
        <v>693</v>
      </c>
      <c r="P51" s="486"/>
      <c r="Q51" s="494" t="s">
        <v>429</v>
      </c>
      <c r="R51" s="495"/>
      <c r="S51" s="433"/>
      <c r="T51" s="406"/>
      <c r="U51" s="406"/>
    </row>
    <row r="52" spans="1:21" ht="13.5">
      <c r="A52" s="535"/>
      <c r="B52" s="531" t="s">
        <v>460</v>
      </c>
      <c r="C52" s="532"/>
      <c r="D52" s="533">
        <f>'[1]Propustky'!F37</f>
        <v>9</v>
      </c>
      <c r="E52" s="534" t="s">
        <v>695</v>
      </c>
      <c r="F52" s="534" t="s">
        <v>695</v>
      </c>
      <c r="G52" s="534" t="s">
        <v>695</v>
      </c>
      <c r="H52" s="534" t="s">
        <v>695</v>
      </c>
      <c r="I52" s="534" t="s">
        <v>695</v>
      </c>
      <c r="J52" s="534" t="s">
        <v>695</v>
      </c>
      <c r="K52" s="534" t="s">
        <v>695</v>
      </c>
      <c r="L52" s="534" t="s">
        <v>695</v>
      </c>
      <c r="M52" s="534" t="s">
        <v>695</v>
      </c>
      <c r="N52" s="493">
        <f t="shared" si="0"/>
        <v>9</v>
      </c>
      <c r="O52" s="408" t="s">
        <v>694</v>
      </c>
      <c r="P52" s="600"/>
      <c r="Q52" s="532" t="s">
        <v>460</v>
      </c>
      <c r="R52" s="406"/>
      <c r="S52" s="406"/>
      <c r="T52" s="406"/>
      <c r="U52" s="406"/>
    </row>
    <row r="53" spans="1:21" ht="13.5">
      <c r="A53" s="535"/>
      <c r="B53" s="531" t="s">
        <v>698</v>
      </c>
      <c r="C53" s="532"/>
      <c r="D53" s="533">
        <f>'[1]Propustky'!F38</f>
        <v>12</v>
      </c>
      <c r="E53" s="534" t="s">
        <v>695</v>
      </c>
      <c r="F53" s="534" t="s">
        <v>695</v>
      </c>
      <c r="G53" s="534" t="s">
        <v>695</v>
      </c>
      <c r="H53" s="534" t="s">
        <v>695</v>
      </c>
      <c r="I53" s="534" t="s">
        <v>695</v>
      </c>
      <c r="J53" s="534" t="s">
        <v>695</v>
      </c>
      <c r="K53" s="534" t="s">
        <v>695</v>
      </c>
      <c r="L53" s="534" t="s">
        <v>695</v>
      </c>
      <c r="M53" s="534" t="s">
        <v>695</v>
      </c>
      <c r="N53" s="493">
        <f t="shared" si="0"/>
        <v>12</v>
      </c>
      <c r="O53" s="408" t="s">
        <v>694</v>
      </c>
      <c r="P53" s="600"/>
      <c r="Q53" s="532" t="s">
        <v>698</v>
      </c>
      <c r="R53" s="406"/>
      <c r="S53" s="406"/>
      <c r="T53" s="406"/>
      <c r="U53" s="406"/>
    </row>
    <row r="54" spans="1:21" ht="13.5">
      <c r="A54" s="546"/>
      <c r="B54" s="489" t="s">
        <v>426</v>
      </c>
      <c r="C54" s="480"/>
      <c r="D54" s="490">
        <f>'[1]Propustky'!F39</f>
        <v>10.149999999999999</v>
      </c>
      <c r="E54" s="491" t="s">
        <v>695</v>
      </c>
      <c r="F54" s="491" t="s">
        <v>695</v>
      </c>
      <c r="G54" s="491" t="s">
        <v>695</v>
      </c>
      <c r="H54" s="491" t="s">
        <v>695</v>
      </c>
      <c r="I54" s="491" t="s">
        <v>695</v>
      </c>
      <c r="J54" s="491" t="s">
        <v>695</v>
      </c>
      <c r="K54" s="491" t="s">
        <v>695</v>
      </c>
      <c r="L54" s="491" t="s">
        <v>695</v>
      </c>
      <c r="M54" s="491" t="s">
        <v>695</v>
      </c>
      <c r="N54" s="493">
        <f t="shared" si="0"/>
        <v>10.149999999999999</v>
      </c>
      <c r="O54" s="408" t="s">
        <v>694</v>
      </c>
      <c r="P54" s="486"/>
      <c r="Q54" s="494" t="s">
        <v>426</v>
      </c>
      <c r="R54" s="408"/>
      <c r="S54" s="433"/>
      <c r="T54" s="415"/>
      <c r="U54" s="414"/>
    </row>
    <row r="55" spans="1:21" ht="6" customHeight="1">
      <c r="A55" s="547"/>
      <c r="B55" s="514"/>
      <c r="C55" s="515"/>
      <c r="D55" s="516"/>
      <c r="E55" s="548"/>
      <c r="F55" s="517"/>
      <c r="G55" s="517"/>
      <c r="H55" s="517"/>
      <c r="I55" s="517"/>
      <c r="J55" s="517"/>
      <c r="K55" s="517"/>
      <c r="L55" s="517"/>
      <c r="M55" s="518"/>
      <c r="N55" s="519"/>
      <c r="O55" s="408"/>
      <c r="P55" s="520"/>
      <c r="Q55" s="521"/>
      <c r="R55" s="408"/>
      <c r="S55" s="433"/>
      <c r="T55" s="415"/>
      <c r="U55" s="414"/>
    </row>
    <row r="56" spans="1:21" ht="14.25">
      <c r="A56" s="530" t="s">
        <v>540</v>
      </c>
      <c r="B56" s="549" t="s">
        <v>501</v>
      </c>
      <c r="C56" s="480" t="s">
        <v>409</v>
      </c>
      <c r="D56" s="533">
        <f>'[1]Propustky'!F79</f>
        <v>6.8</v>
      </c>
      <c r="E56" s="534">
        <f>'[1]Propustky'!F79</f>
        <v>6.8</v>
      </c>
      <c r="F56" s="534">
        <f>'[1]Propustky'!F131</f>
        <v>26</v>
      </c>
      <c r="G56" s="534" t="s">
        <v>695</v>
      </c>
      <c r="H56" s="534" t="s">
        <v>695</v>
      </c>
      <c r="I56" s="534" t="s">
        <v>695</v>
      </c>
      <c r="J56" s="534" t="s">
        <v>695</v>
      </c>
      <c r="K56" s="534">
        <f>'[1]Propustky'!F330</f>
        <v>6</v>
      </c>
      <c r="L56" s="534">
        <f>'[1]Propustky'!F375</f>
        <v>5</v>
      </c>
      <c r="M56" s="534" t="s">
        <v>695</v>
      </c>
      <c r="N56" s="493">
        <f t="shared" si="0"/>
        <v>50.6</v>
      </c>
      <c r="O56" s="413" t="s">
        <v>414</v>
      </c>
      <c r="P56" s="486" t="s">
        <v>409</v>
      </c>
      <c r="Q56" s="550" t="s">
        <v>501</v>
      </c>
      <c r="R56" s="406"/>
      <c r="S56" s="406"/>
      <c r="T56" s="406"/>
      <c r="U56" s="406"/>
    </row>
    <row r="57" spans="1:21" ht="14.25">
      <c r="A57" s="535"/>
      <c r="B57" s="551" t="s">
        <v>451</v>
      </c>
      <c r="C57" s="497" t="s">
        <v>99</v>
      </c>
      <c r="D57" s="537">
        <f>'[1]Propustky'!F80</f>
        <v>0.68</v>
      </c>
      <c r="E57" s="538">
        <f>'[1]Propustky'!F80</f>
        <v>0.68</v>
      </c>
      <c r="F57" s="538">
        <f>'[1]Propustky'!F132</f>
        <v>2.6</v>
      </c>
      <c r="G57" s="538" t="s">
        <v>695</v>
      </c>
      <c r="H57" s="538" t="s">
        <v>695</v>
      </c>
      <c r="I57" s="538" t="s">
        <v>695</v>
      </c>
      <c r="J57" s="538" t="s">
        <v>695</v>
      </c>
      <c r="K57" s="538">
        <f>'[1]Propustky'!F331</f>
        <v>0.6000000000000001</v>
      </c>
      <c r="L57" s="538">
        <f>'[1]Propustky'!F376</f>
        <v>0.5</v>
      </c>
      <c r="M57" s="538" t="s">
        <v>695</v>
      </c>
      <c r="N57" s="493">
        <f t="shared" si="0"/>
        <v>5.0600000000000005</v>
      </c>
      <c r="O57" s="413" t="s">
        <v>410</v>
      </c>
      <c r="P57" s="502" t="s">
        <v>99</v>
      </c>
      <c r="Q57" s="552" t="s">
        <v>451</v>
      </c>
      <c r="R57" s="406"/>
      <c r="S57" s="406"/>
      <c r="T57" s="406"/>
      <c r="U57" s="406"/>
    </row>
    <row r="58" spans="1:21" ht="14.25">
      <c r="A58" s="535"/>
      <c r="B58" s="551" t="s">
        <v>699</v>
      </c>
      <c r="C58" s="497" t="s">
        <v>504</v>
      </c>
      <c r="D58" s="537">
        <f>'[1]Propustky'!F82</f>
        <v>0.68</v>
      </c>
      <c r="E58" s="538">
        <f>'[1]Propustky'!F82</f>
        <v>0.68</v>
      </c>
      <c r="F58" s="538">
        <f>'[1]Propustky'!F134</f>
        <v>2.68</v>
      </c>
      <c r="G58" s="538" t="s">
        <v>695</v>
      </c>
      <c r="H58" s="538" t="s">
        <v>695</v>
      </c>
      <c r="I58" s="538" t="s">
        <v>695</v>
      </c>
      <c r="J58" s="538" t="s">
        <v>695</v>
      </c>
      <c r="K58" s="538">
        <f>'[1]Propustky'!F333</f>
        <v>0.6000000000000001</v>
      </c>
      <c r="L58" s="538">
        <f>'[1]Propustky'!F378</f>
        <v>0.5</v>
      </c>
      <c r="M58" s="538" t="s">
        <v>695</v>
      </c>
      <c r="N58" s="501">
        <f t="shared" si="0"/>
        <v>5.140000000000001</v>
      </c>
      <c r="O58" s="413" t="s">
        <v>410</v>
      </c>
      <c r="P58" s="502" t="s">
        <v>504</v>
      </c>
      <c r="Q58" s="552" t="s">
        <v>699</v>
      </c>
      <c r="R58" s="406"/>
      <c r="S58" s="406"/>
      <c r="T58" s="406"/>
      <c r="U58" s="406"/>
    </row>
    <row r="59" spans="1:21" ht="14.25">
      <c r="A59" s="535"/>
      <c r="B59" s="553"/>
      <c r="C59" s="472"/>
      <c r="D59" s="541">
        <f>'[1]Propustky'!H82</f>
        <v>6.8</v>
      </c>
      <c r="E59" s="542">
        <f>'[1]Propustky'!F83</f>
        <v>0.08000000000000002</v>
      </c>
      <c r="F59" s="542">
        <f>'[1]Propustky'!H134</f>
        <v>26.8</v>
      </c>
      <c r="G59" s="542" t="s">
        <v>695</v>
      </c>
      <c r="H59" s="542" t="s">
        <v>695</v>
      </c>
      <c r="I59" s="542" t="s">
        <v>695</v>
      </c>
      <c r="J59" s="542" t="s">
        <v>695</v>
      </c>
      <c r="K59" s="542">
        <f>'[1]Propustky'!H333</f>
        <v>6</v>
      </c>
      <c r="L59" s="542">
        <f>'[1]Propustky'!H378</f>
        <v>5</v>
      </c>
      <c r="M59" s="542" t="s">
        <v>695</v>
      </c>
      <c r="N59" s="508">
        <f t="shared" si="0"/>
        <v>44.68</v>
      </c>
      <c r="O59" s="413" t="s">
        <v>414</v>
      </c>
      <c r="P59" s="477"/>
      <c r="Q59" s="554"/>
      <c r="R59" s="406"/>
      <c r="S59" s="406"/>
      <c r="T59" s="406"/>
      <c r="U59" s="406"/>
    </row>
    <row r="60" spans="1:21" ht="14.25">
      <c r="A60" s="535"/>
      <c r="B60" s="553"/>
      <c r="C60" s="497" t="s">
        <v>505</v>
      </c>
      <c r="D60" s="537">
        <f>'[1]Propustky'!F83</f>
        <v>0.08000000000000002</v>
      </c>
      <c r="E60" s="538">
        <f>2*0.4*0.1</f>
        <v>0.08000000000000002</v>
      </c>
      <c r="F60" s="538">
        <f>'[1]Propustky'!F135</f>
        <v>0.026000000000000002</v>
      </c>
      <c r="G60" s="538" t="s">
        <v>695</v>
      </c>
      <c r="H60" s="538" t="s">
        <v>695</v>
      </c>
      <c r="I60" s="538" t="s">
        <v>695</v>
      </c>
      <c r="J60" s="538" t="s">
        <v>695</v>
      </c>
      <c r="K60" s="538">
        <f>'[1]Propustky'!F334</f>
        <v>0.08000000000000002</v>
      </c>
      <c r="L60" s="538">
        <f>'[1]Propustky'!F379</f>
        <v>0.08000000000000002</v>
      </c>
      <c r="M60" s="538" t="s">
        <v>695</v>
      </c>
      <c r="N60" s="501">
        <f t="shared" si="0"/>
        <v>0.34600000000000003</v>
      </c>
      <c r="O60" s="413" t="s">
        <v>410</v>
      </c>
      <c r="P60" s="502" t="s">
        <v>505</v>
      </c>
      <c r="Q60" s="554"/>
      <c r="R60" s="406"/>
      <c r="S60" s="406"/>
      <c r="T60" s="406"/>
      <c r="U60" s="406"/>
    </row>
    <row r="61" spans="1:21" ht="14.25">
      <c r="A61" s="535"/>
      <c r="B61" s="555"/>
      <c r="C61" s="472"/>
      <c r="D61" s="541">
        <f>'[1]Propustky'!H83</f>
        <v>0.8</v>
      </c>
      <c r="E61" s="542">
        <f>'[1]Propustky'!H83</f>
        <v>0.8</v>
      </c>
      <c r="F61" s="542">
        <f>'[1]Propustky'!H135</f>
        <v>0.26</v>
      </c>
      <c r="G61" s="542" t="s">
        <v>695</v>
      </c>
      <c r="H61" s="542" t="s">
        <v>695</v>
      </c>
      <c r="I61" s="542" t="s">
        <v>695</v>
      </c>
      <c r="J61" s="542" t="s">
        <v>695</v>
      </c>
      <c r="K61" s="542">
        <f>'[1]Propustky'!H334</f>
        <v>0.8</v>
      </c>
      <c r="L61" s="542">
        <f>'[1]Propustky'!H379</f>
        <v>0.8</v>
      </c>
      <c r="M61" s="542" t="s">
        <v>695</v>
      </c>
      <c r="N61" s="508">
        <f t="shared" si="0"/>
        <v>3.46</v>
      </c>
      <c r="O61" s="413" t="s">
        <v>414</v>
      </c>
      <c r="P61" s="477"/>
      <c r="Q61" s="556"/>
      <c r="R61" s="406"/>
      <c r="S61" s="406"/>
      <c r="T61" s="406"/>
      <c r="U61" s="406"/>
    </row>
    <row r="62" spans="1:21" ht="14.25">
      <c r="A62" s="546"/>
      <c r="B62" s="496" t="s">
        <v>507</v>
      </c>
      <c r="C62" s="539"/>
      <c r="D62" s="533">
        <f>'[1]Propustky'!F84</f>
        <v>0.48</v>
      </c>
      <c r="E62" s="534">
        <f>'[1]Propustky'!F84</f>
        <v>0.48</v>
      </c>
      <c r="F62" s="538">
        <f>'[1]Propustky'!F136</f>
        <v>0.156</v>
      </c>
      <c r="G62" s="538" t="s">
        <v>695</v>
      </c>
      <c r="H62" s="538" t="s">
        <v>695</v>
      </c>
      <c r="I62" s="538" t="s">
        <v>695</v>
      </c>
      <c r="J62" s="538" t="s">
        <v>695</v>
      </c>
      <c r="K62" s="538">
        <f>'[1]Propustky'!F335</f>
        <v>0.48</v>
      </c>
      <c r="L62" s="538">
        <f>'[1]Propustky'!F380</f>
        <v>0.48</v>
      </c>
      <c r="M62" s="538" t="s">
        <v>695</v>
      </c>
      <c r="N62" s="493">
        <f t="shared" si="0"/>
        <v>2.0759999999999996</v>
      </c>
      <c r="O62" s="413" t="s">
        <v>410</v>
      </c>
      <c r="P62" s="601"/>
      <c r="Q62" s="503" t="s">
        <v>507</v>
      </c>
      <c r="R62" s="406"/>
      <c r="S62" s="406"/>
      <c r="T62" s="406"/>
      <c r="U62" s="406"/>
    </row>
    <row r="63" spans="1:21" ht="6" customHeight="1">
      <c r="A63" s="547"/>
      <c r="B63" s="557"/>
      <c r="C63" s="558"/>
      <c r="D63" s="559"/>
      <c r="E63" s="560"/>
      <c r="F63" s="561"/>
      <c r="G63" s="561"/>
      <c r="H63" s="561"/>
      <c r="I63" s="561"/>
      <c r="J63" s="561"/>
      <c r="K63" s="561"/>
      <c r="L63" s="561"/>
      <c r="M63" s="562"/>
      <c r="N63" s="519"/>
      <c r="O63" s="413"/>
      <c r="P63" s="602"/>
      <c r="Q63" s="521"/>
      <c r="R63" s="406"/>
      <c r="S63" s="406"/>
      <c r="T63" s="406"/>
      <c r="U63" s="406"/>
    </row>
    <row r="64" spans="1:21" ht="14.25">
      <c r="A64" s="530" t="s">
        <v>465</v>
      </c>
      <c r="B64" s="563" t="s">
        <v>509</v>
      </c>
      <c r="C64" s="564"/>
      <c r="D64" s="490" t="s">
        <v>695</v>
      </c>
      <c r="E64" s="491">
        <f>'[1]Propustky'!F86</f>
        <v>7.3149999999999995</v>
      </c>
      <c r="F64" s="491">
        <f>'[1]Propustky'!F138</f>
        <v>6.334999999999999</v>
      </c>
      <c r="G64" s="491" t="s">
        <v>695</v>
      </c>
      <c r="H64" s="491" t="s">
        <v>695</v>
      </c>
      <c r="I64" s="491" t="s">
        <v>695</v>
      </c>
      <c r="J64" s="491">
        <f>'[1]Propustky'!F292</f>
        <v>3.3319999999999994</v>
      </c>
      <c r="K64" s="491">
        <f>'[1]Propustky'!F337</f>
        <v>5.32</v>
      </c>
      <c r="L64" s="491">
        <f>'[1]Propustky'!F382</f>
        <v>8.323</v>
      </c>
      <c r="M64" s="492">
        <f>'[1]Propustky'!F427</f>
        <v>2.646</v>
      </c>
      <c r="N64" s="493">
        <f t="shared" si="0"/>
        <v>33.271</v>
      </c>
      <c r="O64" s="413" t="s">
        <v>410</v>
      </c>
      <c r="P64" s="603"/>
      <c r="Q64" s="494" t="s">
        <v>509</v>
      </c>
      <c r="R64" s="495"/>
      <c r="T64" s="415"/>
      <c r="U64" s="433"/>
    </row>
    <row r="65" spans="1:21" ht="14.25">
      <c r="A65" s="535"/>
      <c r="B65" s="563" t="s">
        <v>570</v>
      </c>
      <c r="C65" s="564"/>
      <c r="D65" s="490" t="s">
        <v>695</v>
      </c>
      <c r="E65" s="491" t="s">
        <v>695</v>
      </c>
      <c r="F65" s="491" t="s">
        <v>695</v>
      </c>
      <c r="G65" s="491">
        <f>'[1]Propustky'!F178</f>
        <v>3.6000000000000005</v>
      </c>
      <c r="H65" s="491" t="s">
        <v>695</v>
      </c>
      <c r="I65" s="491">
        <f>'[1]Propustky'!F254</f>
        <v>3.0600000000000005</v>
      </c>
      <c r="J65" s="491" t="s">
        <v>695</v>
      </c>
      <c r="K65" s="491" t="s">
        <v>695</v>
      </c>
      <c r="L65" s="491" t="s">
        <v>695</v>
      </c>
      <c r="M65" s="492">
        <f>'[1]Propustky'!F428</f>
        <v>3.7440000000000007</v>
      </c>
      <c r="N65" s="493">
        <f t="shared" si="0"/>
        <v>10.404000000000002</v>
      </c>
      <c r="O65" s="413" t="s">
        <v>410</v>
      </c>
      <c r="P65" s="603"/>
      <c r="Q65" s="494" t="s">
        <v>570</v>
      </c>
      <c r="R65" s="495"/>
      <c r="T65" s="415"/>
      <c r="U65" s="433"/>
    </row>
    <row r="66" spans="1:21" ht="12.75">
      <c r="A66" s="535"/>
      <c r="B66" s="496" t="s">
        <v>700</v>
      </c>
      <c r="C66" s="564" t="s">
        <v>701</v>
      </c>
      <c r="D66" s="490" t="s">
        <v>695</v>
      </c>
      <c r="E66" s="491">
        <f>'[1]Propustky'!F87</f>
        <v>10.5</v>
      </c>
      <c r="F66" s="491">
        <f>'[1]Propustky'!F139</f>
        <v>10.5</v>
      </c>
      <c r="G66" s="491">
        <f>'[1]Propustky'!F179</f>
        <v>8.5</v>
      </c>
      <c r="H66" s="491" t="s">
        <v>695</v>
      </c>
      <c r="I66" s="491">
        <f>'[1]Propustky'!F255</f>
        <v>7.8</v>
      </c>
      <c r="J66" s="491">
        <f>'[1]Propustky'!F293</f>
        <v>9.5</v>
      </c>
      <c r="K66" s="491">
        <f>'[1]Propustky'!F338</f>
        <v>8.6</v>
      </c>
      <c r="L66" s="491">
        <f>'[1]Propustky'!F383</f>
        <v>8.3</v>
      </c>
      <c r="M66" s="492" t="s">
        <v>695</v>
      </c>
      <c r="N66" s="493">
        <f t="shared" si="0"/>
        <v>63.7</v>
      </c>
      <c r="O66" s="408" t="s">
        <v>9</v>
      </c>
      <c r="P66" s="603" t="s">
        <v>701</v>
      </c>
      <c r="Q66" s="503" t="s">
        <v>700</v>
      </c>
      <c r="R66" s="495"/>
      <c r="T66" s="415"/>
      <c r="U66" s="433"/>
    </row>
    <row r="67" spans="1:21" ht="12.75">
      <c r="A67" s="535"/>
      <c r="B67" s="510"/>
      <c r="C67" s="564" t="s">
        <v>702</v>
      </c>
      <c r="D67" s="490" t="s">
        <v>695</v>
      </c>
      <c r="E67" s="491" t="s">
        <v>695</v>
      </c>
      <c r="F67" s="491" t="s">
        <v>695</v>
      </c>
      <c r="G67" s="491" t="s">
        <v>695</v>
      </c>
      <c r="H67" s="491" t="s">
        <v>695</v>
      </c>
      <c r="I67" s="491" t="s">
        <v>695</v>
      </c>
      <c r="J67" s="491" t="s">
        <v>695</v>
      </c>
      <c r="K67" s="491" t="s">
        <v>695</v>
      </c>
      <c r="L67" s="491" t="s">
        <v>695</v>
      </c>
      <c r="M67" s="492">
        <f>'[1]Propustky'!F429</f>
        <v>9.1</v>
      </c>
      <c r="N67" s="493">
        <f>SUM(D67:M67)</f>
        <v>9.1</v>
      </c>
      <c r="O67" s="408" t="s">
        <v>9</v>
      </c>
      <c r="P67" s="603" t="s">
        <v>702</v>
      </c>
      <c r="Q67" s="478"/>
      <c r="R67" s="495"/>
      <c r="T67" s="415"/>
      <c r="U67" s="433"/>
    </row>
    <row r="68" spans="1:21" ht="14.25">
      <c r="A68" s="535"/>
      <c r="B68" s="563" t="s">
        <v>590</v>
      </c>
      <c r="C68" s="564"/>
      <c r="D68" s="490" t="s">
        <v>695</v>
      </c>
      <c r="E68" s="491" t="s">
        <v>695</v>
      </c>
      <c r="F68" s="491" t="s">
        <v>695</v>
      </c>
      <c r="G68" s="491"/>
      <c r="H68" s="491">
        <f>'[1]Propustky'!F216</f>
        <v>11.747999999999998</v>
      </c>
      <c r="I68" s="491" t="s">
        <v>695</v>
      </c>
      <c r="J68" s="491" t="s">
        <v>695</v>
      </c>
      <c r="K68" s="491" t="s">
        <v>695</v>
      </c>
      <c r="L68" s="491" t="s">
        <v>695</v>
      </c>
      <c r="M68" s="492" t="s">
        <v>695</v>
      </c>
      <c r="N68" s="493">
        <f t="shared" si="0"/>
        <v>11.747999999999998</v>
      </c>
      <c r="O68" s="413" t="s">
        <v>410</v>
      </c>
      <c r="P68" s="603"/>
      <c r="Q68" s="494" t="s">
        <v>590</v>
      </c>
      <c r="R68" s="495"/>
      <c r="T68" s="415"/>
      <c r="U68" s="433"/>
    </row>
    <row r="69" spans="1:21" ht="14.25">
      <c r="A69" s="535"/>
      <c r="B69" s="563" t="s">
        <v>592</v>
      </c>
      <c r="C69" s="564"/>
      <c r="D69" s="490" t="s">
        <v>695</v>
      </c>
      <c r="E69" s="491" t="s">
        <v>695</v>
      </c>
      <c r="F69" s="491" t="s">
        <v>695</v>
      </c>
      <c r="G69" s="491"/>
      <c r="H69" s="491">
        <f>'[1]Propustky'!F217</f>
        <v>12.459999999999999</v>
      </c>
      <c r="I69" s="491" t="s">
        <v>695</v>
      </c>
      <c r="J69" s="491" t="s">
        <v>695</v>
      </c>
      <c r="K69" s="491" t="s">
        <v>695</v>
      </c>
      <c r="L69" s="491" t="s">
        <v>695</v>
      </c>
      <c r="M69" s="492" t="s">
        <v>695</v>
      </c>
      <c r="N69" s="493">
        <f t="shared" si="0"/>
        <v>12.459999999999999</v>
      </c>
      <c r="O69" s="413" t="s">
        <v>414</v>
      </c>
      <c r="P69" s="603"/>
      <c r="Q69" s="494" t="s">
        <v>592</v>
      </c>
      <c r="R69" s="495"/>
      <c r="T69" s="415"/>
      <c r="U69" s="433"/>
    </row>
    <row r="70" spans="1:21" ht="14.25">
      <c r="A70" s="535"/>
      <c r="B70" s="429" t="s">
        <v>572</v>
      </c>
      <c r="C70" s="564"/>
      <c r="D70" s="490" t="s">
        <v>695</v>
      </c>
      <c r="E70" s="491" t="s">
        <v>695</v>
      </c>
      <c r="F70" s="491" t="s">
        <v>695</v>
      </c>
      <c r="G70" s="491">
        <f>'[1]Propustky'!F180</f>
        <v>0.81</v>
      </c>
      <c r="H70" s="491">
        <f>'[1]Propustky'!F218</f>
        <v>0.81</v>
      </c>
      <c r="I70" s="491">
        <f>'[1]Propustky'!F256</f>
        <v>0.81</v>
      </c>
      <c r="J70" s="491">
        <f>'[1]Propustky'!F294</f>
        <v>0.81</v>
      </c>
      <c r="K70" s="491" t="s">
        <v>695</v>
      </c>
      <c r="L70" s="491" t="s">
        <v>695</v>
      </c>
      <c r="M70" s="492" t="s">
        <v>695</v>
      </c>
      <c r="N70" s="493">
        <f t="shared" si="0"/>
        <v>3.24</v>
      </c>
      <c r="O70" s="413" t="s">
        <v>410</v>
      </c>
      <c r="P70" s="603"/>
      <c r="Q70" s="509" t="s">
        <v>572</v>
      </c>
      <c r="R70" s="495"/>
      <c r="T70" s="415"/>
      <c r="U70" s="433"/>
    </row>
    <row r="71" spans="1:21" ht="6" customHeight="1">
      <c r="A71" s="535"/>
      <c r="B71" s="563"/>
      <c r="C71" s="480"/>
      <c r="D71" s="490"/>
      <c r="E71" s="491"/>
      <c r="F71" s="491"/>
      <c r="G71" s="491"/>
      <c r="H71" s="491"/>
      <c r="I71" s="491"/>
      <c r="J71" s="491"/>
      <c r="K71" s="491"/>
      <c r="L71" s="491"/>
      <c r="M71" s="492"/>
      <c r="N71" s="493"/>
      <c r="O71" s="408"/>
      <c r="P71" s="486"/>
      <c r="Q71" s="494"/>
      <c r="R71" s="495"/>
      <c r="T71" s="415"/>
      <c r="U71" s="433"/>
    </row>
    <row r="72" spans="1:21" ht="13.5">
      <c r="A72" s="535"/>
      <c r="B72" s="563" t="s">
        <v>466</v>
      </c>
      <c r="C72" s="480"/>
      <c r="D72" s="490">
        <f>'[1]Propustky'!F41</f>
        <v>34.40800000000001</v>
      </c>
      <c r="E72" s="491">
        <f>'[1]Propustky'!F89</f>
        <v>74.71750000000002</v>
      </c>
      <c r="F72" s="491">
        <f>'[1]Propustky'!F141</f>
        <v>46.1035</v>
      </c>
      <c r="G72" s="491">
        <f>'[1]Propustky'!F182</f>
        <v>23.546250000000004</v>
      </c>
      <c r="H72" s="491">
        <f>'[1]Propustky'!F220</f>
        <v>18.026249999999997</v>
      </c>
      <c r="I72" s="491">
        <f>'[1]Propustky'!F258</f>
        <v>34.587</v>
      </c>
      <c r="J72" s="491">
        <f>'[1]Propustky'!F296</f>
        <v>24.299999999999997</v>
      </c>
      <c r="K72" s="491">
        <f>'[1]Propustky'!F340</f>
        <v>43.768750000000004</v>
      </c>
      <c r="L72" s="491">
        <f>'[1]Propustky'!F385</f>
        <v>33.455999999999996</v>
      </c>
      <c r="M72" s="492">
        <f>'[1]Propustky'!F431</f>
        <v>37.231249999999996</v>
      </c>
      <c r="N72" s="493">
        <f t="shared" si="0"/>
        <v>370.14450000000005</v>
      </c>
      <c r="O72" s="408" t="s">
        <v>693</v>
      </c>
      <c r="P72" s="486"/>
      <c r="Q72" s="494" t="s">
        <v>466</v>
      </c>
      <c r="R72" s="495"/>
      <c r="S72" s="433"/>
      <c r="T72" s="415"/>
      <c r="U72" s="433"/>
    </row>
    <row r="73" spans="1:21" ht="13.5">
      <c r="A73" s="535"/>
      <c r="B73" s="489" t="s">
        <v>468</v>
      </c>
      <c r="C73" s="480"/>
      <c r="D73" s="490">
        <f>'[1]Propustky'!F42</f>
        <v>34.125</v>
      </c>
      <c r="E73" s="491">
        <f>'[1]Propustky'!F90</f>
        <v>47.63249999999999</v>
      </c>
      <c r="F73" s="491">
        <f>'[1]Propustky'!F142</f>
        <v>29.645</v>
      </c>
      <c r="G73" s="491">
        <f>'[1]Propustky'!F183</f>
        <v>27.488999999999997</v>
      </c>
      <c r="H73" s="491">
        <f>'[1]Propustky'!F221</f>
        <v>25.725</v>
      </c>
      <c r="I73" s="491">
        <f>'[1]Propustky'!F259</f>
        <v>51.975</v>
      </c>
      <c r="J73" s="491">
        <f>'[1]Propustky'!F297</f>
        <v>38.910374999999995</v>
      </c>
      <c r="K73" s="491">
        <f>'[1]Propustky'!F341</f>
        <v>38.6425</v>
      </c>
      <c r="L73" s="491">
        <f>'[1]Propustky'!F386</f>
        <v>32.214</v>
      </c>
      <c r="M73" s="492">
        <f>'[1]Propustky'!F432</f>
        <v>27.825</v>
      </c>
      <c r="N73" s="493">
        <f t="shared" si="0"/>
        <v>354.18337499999996</v>
      </c>
      <c r="O73" s="408" t="s">
        <v>693</v>
      </c>
      <c r="P73" s="486"/>
      <c r="Q73" s="494" t="s">
        <v>468</v>
      </c>
      <c r="R73" s="495"/>
      <c r="T73" s="415"/>
      <c r="U73" s="433"/>
    </row>
    <row r="74" spans="1:21" ht="13.5">
      <c r="A74" s="535"/>
      <c r="B74" s="489" t="s">
        <v>470</v>
      </c>
      <c r="C74" s="480"/>
      <c r="D74" s="490">
        <f>'[1]Propustky'!F43</f>
        <v>2.9040000000000004</v>
      </c>
      <c r="E74" s="491" t="s">
        <v>695</v>
      </c>
      <c r="F74" s="491" t="s">
        <v>695</v>
      </c>
      <c r="G74" s="491" t="s">
        <v>695</v>
      </c>
      <c r="H74" s="491" t="s">
        <v>695</v>
      </c>
      <c r="I74" s="491" t="s">
        <v>695</v>
      </c>
      <c r="J74" s="491" t="s">
        <v>695</v>
      </c>
      <c r="K74" s="491" t="s">
        <v>695</v>
      </c>
      <c r="L74" s="491" t="s">
        <v>695</v>
      </c>
      <c r="M74" s="492" t="s">
        <v>695</v>
      </c>
      <c r="N74" s="493">
        <f t="shared" si="0"/>
        <v>2.9040000000000004</v>
      </c>
      <c r="O74" s="408" t="s">
        <v>693</v>
      </c>
      <c r="P74" s="486"/>
      <c r="Q74" s="494" t="s">
        <v>470</v>
      </c>
      <c r="R74" s="495"/>
      <c r="S74" s="433"/>
      <c r="T74" s="415"/>
      <c r="U74" s="433"/>
    </row>
    <row r="75" spans="1:21" ht="13.5">
      <c r="A75" s="535"/>
      <c r="B75" s="429" t="s">
        <v>549</v>
      </c>
      <c r="C75" s="480"/>
      <c r="D75" s="490" t="s">
        <v>695</v>
      </c>
      <c r="E75" s="491" t="s">
        <v>695</v>
      </c>
      <c r="F75" s="491">
        <f>'[1]Propustky'!F143</f>
        <v>5.5680000000000005</v>
      </c>
      <c r="G75" s="491" t="s">
        <v>695</v>
      </c>
      <c r="H75" s="491" t="s">
        <v>695</v>
      </c>
      <c r="I75" s="491" t="s">
        <v>695</v>
      </c>
      <c r="J75" s="491" t="s">
        <v>695</v>
      </c>
      <c r="K75" s="491" t="s">
        <v>695</v>
      </c>
      <c r="L75" s="491" t="s">
        <v>695</v>
      </c>
      <c r="M75" s="492">
        <f>'[1]Propustky'!F433</f>
        <v>5.5680000000000005</v>
      </c>
      <c r="N75" s="493">
        <f t="shared" si="0"/>
        <v>11.136000000000001</v>
      </c>
      <c r="O75" s="408" t="s">
        <v>693</v>
      </c>
      <c r="P75" s="486"/>
      <c r="Q75" s="509" t="s">
        <v>549</v>
      </c>
      <c r="R75" s="495"/>
      <c r="S75" s="433"/>
      <c r="T75" s="415"/>
      <c r="U75" s="433"/>
    </row>
    <row r="76" spans="1:21" ht="13.5">
      <c r="A76" s="535"/>
      <c r="B76" s="489" t="s">
        <v>472</v>
      </c>
      <c r="C76" s="532"/>
      <c r="D76" s="533">
        <f>'[1]Propustky'!F44</f>
        <v>27.105000000000004</v>
      </c>
      <c r="E76" s="534" t="s">
        <v>695</v>
      </c>
      <c r="F76" s="534" t="s">
        <v>695</v>
      </c>
      <c r="G76" s="534" t="s">
        <v>695</v>
      </c>
      <c r="H76" s="534" t="s">
        <v>695</v>
      </c>
      <c r="I76" s="534" t="s">
        <v>695</v>
      </c>
      <c r="J76" s="534" t="s">
        <v>695</v>
      </c>
      <c r="K76" s="534" t="s">
        <v>695</v>
      </c>
      <c r="L76" s="534" t="s">
        <v>695</v>
      </c>
      <c r="M76" s="565" t="s">
        <v>695</v>
      </c>
      <c r="N76" s="493">
        <f t="shared" si="0"/>
        <v>27.105000000000004</v>
      </c>
      <c r="O76" s="408" t="s">
        <v>693</v>
      </c>
      <c r="P76" s="600"/>
      <c r="Q76" s="494" t="s">
        <v>472</v>
      </c>
      <c r="R76" s="406"/>
      <c r="S76" s="406"/>
      <c r="T76" s="406"/>
      <c r="U76" s="406"/>
    </row>
    <row r="77" spans="1:21" ht="13.5">
      <c r="A77" s="535"/>
      <c r="B77" s="489" t="s">
        <v>515</v>
      </c>
      <c r="C77" s="532"/>
      <c r="D77" s="533" t="s">
        <v>695</v>
      </c>
      <c r="E77" s="534">
        <f>'[1]Propustky'!F91</f>
        <v>3.2800000000000002</v>
      </c>
      <c r="F77" s="534">
        <f>'[1]Propustky'!F144</f>
        <v>10.582</v>
      </c>
      <c r="G77" s="534" t="s">
        <v>695</v>
      </c>
      <c r="H77" s="534" t="s">
        <v>695</v>
      </c>
      <c r="I77" s="534" t="s">
        <v>695</v>
      </c>
      <c r="J77" s="534" t="s">
        <v>695</v>
      </c>
      <c r="K77" s="534">
        <f>'[1]Propustky'!F342</f>
        <v>2.9600000000000004</v>
      </c>
      <c r="L77" s="534">
        <f>'[1]Propustky'!F387</f>
        <v>2.56</v>
      </c>
      <c r="M77" s="565" t="s">
        <v>695</v>
      </c>
      <c r="N77" s="493">
        <f t="shared" si="0"/>
        <v>19.382</v>
      </c>
      <c r="O77" s="408" t="s">
        <v>693</v>
      </c>
      <c r="P77" s="600"/>
      <c r="Q77" s="494" t="s">
        <v>515</v>
      </c>
      <c r="R77" s="406"/>
      <c r="S77" s="406"/>
      <c r="T77" s="406"/>
      <c r="U77" s="406"/>
    </row>
    <row r="78" spans="1:21" ht="6" customHeight="1">
      <c r="A78" s="535"/>
      <c r="B78" s="489"/>
      <c r="C78" s="532"/>
      <c r="D78" s="533"/>
      <c r="E78" s="534"/>
      <c r="F78" s="534"/>
      <c r="G78" s="534"/>
      <c r="H78" s="534"/>
      <c r="I78" s="534"/>
      <c r="J78" s="534"/>
      <c r="K78" s="534"/>
      <c r="L78" s="534"/>
      <c r="M78" s="565"/>
      <c r="N78" s="493"/>
      <c r="O78" s="408"/>
      <c r="P78" s="600"/>
      <c r="Q78" s="494"/>
      <c r="R78" s="406"/>
      <c r="S78" s="406"/>
      <c r="T78" s="406"/>
      <c r="U78" s="406"/>
    </row>
    <row r="79" spans="1:21" ht="13.5">
      <c r="A79" s="566"/>
      <c r="B79" s="567" t="s">
        <v>474</v>
      </c>
      <c r="C79" s="532"/>
      <c r="D79" s="533">
        <f>'[1]Propustky'!F46</f>
        <v>25.944000000000013</v>
      </c>
      <c r="E79" s="534">
        <f>'[1]Propustky'!F93</f>
        <v>49.11500000000001</v>
      </c>
      <c r="F79" s="534">
        <f>'[1]Propustky'!F146</f>
        <v>20.022</v>
      </c>
      <c r="G79" s="534">
        <f>'[1]Propustky'!F185</f>
        <v>8.307000000000002</v>
      </c>
      <c r="H79" s="534">
        <f>'[1]Propustky'!F223</f>
        <v>5.6525</v>
      </c>
      <c r="I79" s="534">
        <f>'[1]Propustky'!F261</f>
        <v>23.058000000000007</v>
      </c>
      <c r="J79" s="534">
        <f>'[1]Propustky'!F299</f>
        <v>13.5</v>
      </c>
      <c r="K79" s="534">
        <f>'[1]Propustky'!F344</f>
        <v>25.7025</v>
      </c>
      <c r="L79" s="534">
        <f>'[1]Propustky'!F389</f>
        <v>17.136000000000006</v>
      </c>
      <c r="M79" s="565">
        <f>'[1]Propustky'!F435</f>
        <v>15.2625</v>
      </c>
      <c r="N79" s="493">
        <f t="shared" si="0"/>
        <v>203.69950000000003</v>
      </c>
      <c r="O79" s="408" t="s">
        <v>693</v>
      </c>
      <c r="P79" s="600"/>
      <c r="Q79" s="568" t="s">
        <v>474</v>
      </c>
      <c r="R79" s="406"/>
      <c r="S79" s="433"/>
      <c r="T79" s="406"/>
      <c r="U79" s="406"/>
    </row>
    <row r="80" spans="1:21" ht="13.5">
      <c r="A80" s="566"/>
      <c r="B80" s="489" t="s">
        <v>476</v>
      </c>
      <c r="C80" s="532"/>
      <c r="D80" s="533">
        <f>'[1]Propustky'!F47</f>
        <v>20.90298</v>
      </c>
      <c r="E80" s="534">
        <f>'[1]Propustky'!F94</f>
        <v>32.10647999999999</v>
      </c>
      <c r="F80" s="534">
        <f>'[1]Propustky'!F147</f>
        <v>17.99798</v>
      </c>
      <c r="G80" s="534">
        <f>'[1]Propustky'!F186</f>
        <v>16.723979999999997</v>
      </c>
      <c r="H80" s="534">
        <f>'[1]Propustky'!F224</f>
        <v>15.310980000000004</v>
      </c>
      <c r="I80" s="534">
        <f>'[1]Propustky'!F262</f>
        <v>35.476980000000005</v>
      </c>
      <c r="J80" s="534">
        <f>'[1]Propustky'!F300</f>
        <v>25.589354999999998</v>
      </c>
      <c r="K80" s="534">
        <f>'[1]Propustky'!F345</f>
        <v>24.88048</v>
      </c>
      <c r="L80" s="534">
        <f>'[1]Propustky'!F390</f>
        <v>19.774980000000003</v>
      </c>
      <c r="M80" s="565">
        <f>'[1]Propustky'!F436</f>
        <v>16.70898</v>
      </c>
      <c r="N80" s="493">
        <f t="shared" si="0"/>
        <v>225.47317499999997</v>
      </c>
      <c r="O80" s="408" t="s">
        <v>693</v>
      </c>
      <c r="P80" s="600"/>
      <c r="Q80" s="494" t="s">
        <v>476</v>
      </c>
      <c r="R80" s="406"/>
      <c r="S80" s="414"/>
      <c r="T80" s="406"/>
      <c r="U80" s="406"/>
    </row>
    <row r="81" spans="1:21" ht="13.5">
      <c r="A81" s="566"/>
      <c r="B81" s="489" t="s">
        <v>478</v>
      </c>
      <c r="C81" s="532"/>
      <c r="D81" s="533">
        <f>'[1]Propustky'!F48</f>
        <v>1.8040000000000003</v>
      </c>
      <c r="E81" s="534" t="s">
        <v>695</v>
      </c>
      <c r="F81" s="534" t="s">
        <v>695</v>
      </c>
      <c r="G81" s="534" t="s">
        <v>695</v>
      </c>
      <c r="H81" s="534" t="s">
        <v>695</v>
      </c>
      <c r="I81" s="534" t="s">
        <v>695</v>
      </c>
      <c r="J81" s="534" t="s">
        <v>695</v>
      </c>
      <c r="K81" s="534" t="s">
        <v>695</v>
      </c>
      <c r="L81" s="534" t="s">
        <v>695</v>
      </c>
      <c r="M81" s="565" t="s">
        <v>695</v>
      </c>
      <c r="N81" s="493">
        <f t="shared" si="0"/>
        <v>1.8040000000000003</v>
      </c>
      <c r="O81" s="408" t="s">
        <v>693</v>
      </c>
      <c r="P81" s="600"/>
      <c r="Q81" s="494" t="s">
        <v>478</v>
      </c>
      <c r="R81" s="406"/>
      <c r="S81" s="433"/>
      <c r="T81" s="406"/>
      <c r="U81" s="406"/>
    </row>
    <row r="82" spans="1:21" ht="13.5">
      <c r="A82" s="566"/>
      <c r="B82" s="429" t="s">
        <v>554</v>
      </c>
      <c r="C82" s="532"/>
      <c r="D82" s="533" t="s">
        <v>695</v>
      </c>
      <c r="E82" s="534" t="s">
        <v>695</v>
      </c>
      <c r="F82" s="534">
        <f>'[1]Propustky'!F148</f>
        <v>3.168</v>
      </c>
      <c r="G82" s="534" t="s">
        <v>695</v>
      </c>
      <c r="H82" s="534" t="s">
        <v>695</v>
      </c>
      <c r="I82" s="534" t="s">
        <v>695</v>
      </c>
      <c r="J82" s="534" t="s">
        <v>695</v>
      </c>
      <c r="K82" s="534" t="s">
        <v>695</v>
      </c>
      <c r="L82" s="534" t="s">
        <v>695</v>
      </c>
      <c r="M82" s="565">
        <f>'[1]Propustky'!F437</f>
        <v>3.168</v>
      </c>
      <c r="N82" s="493">
        <f t="shared" si="0"/>
        <v>6.336</v>
      </c>
      <c r="O82" s="408" t="s">
        <v>693</v>
      </c>
      <c r="P82" s="600"/>
      <c r="Q82" s="509" t="s">
        <v>554</v>
      </c>
      <c r="R82" s="406"/>
      <c r="S82" s="433"/>
      <c r="T82" s="406"/>
      <c r="U82" s="406"/>
    </row>
    <row r="83" spans="1:21" ht="13.5">
      <c r="A83" s="569"/>
      <c r="B83" s="489" t="s">
        <v>480</v>
      </c>
      <c r="C83" s="532"/>
      <c r="D83" s="533">
        <f>'[1]Propustky'!F49</f>
        <v>2.6100000000000008</v>
      </c>
      <c r="E83" s="534" t="s">
        <v>695</v>
      </c>
      <c r="F83" s="534" t="s">
        <v>695</v>
      </c>
      <c r="G83" s="534" t="s">
        <v>695</v>
      </c>
      <c r="H83" s="534" t="s">
        <v>695</v>
      </c>
      <c r="I83" s="534" t="s">
        <v>695</v>
      </c>
      <c r="J83" s="534" t="s">
        <v>695</v>
      </c>
      <c r="K83" s="534" t="s">
        <v>695</v>
      </c>
      <c r="L83" s="534" t="s">
        <v>695</v>
      </c>
      <c r="M83" s="565" t="s">
        <v>695</v>
      </c>
      <c r="N83" s="493">
        <f t="shared" si="0"/>
        <v>2.6100000000000008</v>
      </c>
      <c r="O83" s="408" t="s">
        <v>693</v>
      </c>
      <c r="P83" s="600"/>
      <c r="Q83" s="494" t="s">
        <v>480</v>
      </c>
      <c r="R83" s="406"/>
      <c r="S83" s="406"/>
      <c r="T83" s="406"/>
      <c r="U83" s="406"/>
    </row>
    <row r="84" spans="1:21" ht="6" customHeight="1">
      <c r="A84" s="570"/>
      <c r="B84" s="514"/>
      <c r="C84" s="558"/>
      <c r="D84" s="559"/>
      <c r="E84" s="561"/>
      <c r="F84" s="561"/>
      <c r="G84" s="561"/>
      <c r="H84" s="561"/>
      <c r="I84" s="561"/>
      <c r="J84" s="561"/>
      <c r="K84" s="561"/>
      <c r="L84" s="561"/>
      <c r="M84" s="562"/>
      <c r="N84" s="519"/>
      <c r="O84" s="408"/>
      <c r="P84" s="602"/>
      <c r="Q84" s="521"/>
      <c r="R84" s="406"/>
      <c r="S84" s="406"/>
      <c r="T84" s="406"/>
      <c r="U84" s="406"/>
    </row>
    <row r="85" spans="1:21" ht="24">
      <c r="A85" s="571" t="s">
        <v>482</v>
      </c>
      <c r="B85" s="489"/>
      <c r="C85" s="480" t="s">
        <v>483</v>
      </c>
      <c r="D85" s="490">
        <f>'[1]Propustky'!F51</f>
        <v>20.4</v>
      </c>
      <c r="E85" s="491">
        <f>'[1]Propustky'!F96</f>
        <v>23.1</v>
      </c>
      <c r="F85" s="491">
        <f>'[1]Propustky'!F150</f>
        <v>22.799999999999997</v>
      </c>
      <c r="G85" s="491">
        <f>'[1]Propustky'!F188</f>
        <v>23.4</v>
      </c>
      <c r="H85" s="491">
        <f>'[1]Propustky'!F226</f>
        <v>20.4</v>
      </c>
      <c r="I85" s="491">
        <f>'[1]Propustky'!F264</f>
        <v>20.4</v>
      </c>
      <c r="J85" s="491">
        <f>'[1]Propustky'!F302</f>
        <v>20.4</v>
      </c>
      <c r="K85" s="491">
        <f>'[1]Propustky'!F347</f>
        <v>21.9</v>
      </c>
      <c r="L85" s="491">
        <f>'[1]Propustky'!F392</f>
        <v>19.5</v>
      </c>
      <c r="M85" s="492">
        <f>'[1]Propustky'!F439</f>
        <v>19.5</v>
      </c>
      <c r="N85" s="493">
        <f t="shared" si="0"/>
        <v>211.8</v>
      </c>
      <c r="O85" s="408" t="s">
        <v>694</v>
      </c>
      <c r="P85" s="486" t="s">
        <v>483</v>
      </c>
      <c r="Q85" s="494"/>
      <c r="R85" s="495"/>
      <c r="S85" s="433"/>
      <c r="T85" s="406"/>
      <c r="U85" s="406"/>
    </row>
    <row r="86" spans="1:21" ht="6" customHeight="1">
      <c r="A86" s="547"/>
      <c r="B86" s="514"/>
      <c r="C86" s="515"/>
      <c r="D86" s="516"/>
      <c r="E86" s="517"/>
      <c r="F86" s="517"/>
      <c r="G86" s="517"/>
      <c r="H86" s="517"/>
      <c r="I86" s="517"/>
      <c r="J86" s="517"/>
      <c r="K86" s="517"/>
      <c r="L86" s="517"/>
      <c r="M86" s="518"/>
      <c r="N86" s="519"/>
      <c r="O86" s="408"/>
      <c r="P86" s="520"/>
      <c r="Q86" s="521"/>
      <c r="R86" s="495"/>
      <c r="S86" s="433"/>
      <c r="T86" s="406"/>
      <c r="U86" s="406"/>
    </row>
    <row r="87" spans="1:21" ht="24.75" thickBot="1">
      <c r="A87" s="572" t="s">
        <v>485</v>
      </c>
      <c r="B87" s="573"/>
      <c r="C87" s="574"/>
      <c r="D87" s="575">
        <v>40</v>
      </c>
      <c r="E87" s="576">
        <v>60</v>
      </c>
      <c r="F87" s="576">
        <v>40</v>
      </c>
      <c r="G87" s="576">
        <v>35.2</v>
      </c>
      <c r="H87" s="576">
        <v>40</v>
      </c>
      <c r="I87" s="576">
        <v>72</v>
      </c>
      <c r="J87" s="576">
        <v>56</v>
      </c>
      <c r="K87" s="576">
        <f>Propustky!F349</f>
        <v>56</v>
      </c>
      <c r="L87" s="576">
        <v>50</v>
      </c>
      <c r="M87" s="577">
        <v>40</v>
      </c>
      <c r="N87" s="578">
        <f t="shared" si="0"/>
        <v>489.2</v>
      </c>
      <c r="O87" s="408" t="s">
        <v>694</v>
      </c>
      <c r="P87" s="579"/>
      <c r="Q87" s="580"/>
      <c r="R87" s="495"/>
      <c r="S87" s="433"/>
      <c r="T87" s="406"/>
      <c r="U87" s="406"/>
    </row>
  </sheetData>
  <sheetProtection/>
  <mergeCells count="3">
    <mergeCell ref="A4:C4"/>
    <mergeCell ref="D4:M4"/>
    <mergeCell ref="P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AB257"/>
  <sheetViews>
    <sheetView zoomScale="85" zoomScaleNormal="85" zoomScalePageLayoutView="0" workbookViewId="0" topLeftCell="A1">
      <selection activeCell="E122" sqref="E122"/>
    </sheetView>
  </sheetViews>
  <sheetFormatPr defaultColWidth="9.00390625" defaultRowHeight="12.75"/>
  <cols>
    <col min="3" max="3" width="10.125" style="1" customWidth="1"/>
    <col min="4" max="4" width="9.00390625" style="2" customWidth="1"/>
    <col min="5" max="5" width="8.75390625" style="28" customWidth="1"/>
    <col min="6" max="6" width="29.00390625" style="28" customWidth="1"/>
    <col min="9" max="9" width="10.125" style="1" customWidth="1"/>
    <col min="10" max="10" width="6.125" style="2" customWidth="1"/>
    <col min="11" max="11" width="8.75390625" style="28" customWidth="1"/>
    <col min="12" max="12" width="8.125" style="28" customWidth="1"/>
    <col min="17" max="17" width="10.125" style="1" customWidth="1"/>
    <col min="18" max="18" width="7.375" style="2" customWidth="1"/>
    <col min="19" max="19" width="8.75390625" style="28" customWidth="1"/>
    <col min="20" max="20" width="8.125" style="28" customWidth="1"/>
    <col min="25" max="25" width="10.125" style="1" customWidth="1"/>
    <col min="26" max="26" width="6.25390625" style="2" customWidth="1"/>
    <col min="27" max="27" width="8.75390625" style="28" customWidth="1"/>
    <col min="28" max="28" width="8.125" style="28" customWidth="1"/>
  </cols>
  <sheetData>
    <row r="1" spans="3:25" ht="12.75">
      <c r="C1" s="155" t="s">
        <v>47</v>
      </c>
      <c r="I1" s="155" t="s">
        <v>47</v>
      </c>
      <c r="Q1" s="155" t="s">
        <v>47</v>
      </c>
      <c r="Y1" s="155" t="s">
        <v>47</v>
      </c>
    </row>
    <row r="2" spans="3:25" ht="12.75">
      <c r="C2" s="158" t="s">
        <v>146</v>
      </c>
      <c r="I2" s="158" t="s">
        <v>146</v>
      </c>
      <c r="Q2" s="158" t="s">
        <v>146</v>
      </c>
      <c r="Y2" s="158" t="s">
        <v>146</v>
      </c>
    </row>
    <row r="3" ht="15.75">
      <c r="R3" s="274" t="s">
        <v>147</v>
      </c>
    </row>
    <row r="4" spans="3:28" ht="13.5" thickBot="1">
      <c r="C4" s="8"/>
      <c r="D4" s="7"/>
      <c r="E4" s="24"/>
      <c r="F4" s="36"/>
      <c r="I4" s="8"/>
      <c r="J4" s="9"/>
      <c r="K4" s="24"/>
      <c r="L4" s="36"/>
      <c r="Q4" s="8"/>
      <c r="R4" s="7"/>
      <c r="S4" s="24"/>
      <c r="T4" s="36"/>
      <c r="Y4" s="8"/>
      <c r="Z4" s="9"/>
      <c r="AA4" s="24"/>
      <c r="AB4" s="36"/>
    </row>
    <row r="5" spans="3:28" ht="12.75">
      <c r="C5" s="59" t="s">
        <v>0</v>
      </c>
      <c r="D5" s="55" t="s">
        <v>14</v>
      </c>
      <c r="E5" s="86" t="s">
        <v>4</v>
      </c>
      <c r="F5" s="55" t="s">
        <v>14</v>
      </c>
      <c r="I5" s="59" t="s">
        <v>0</v>
      </c>
      <c r="J5" s="60" t="s">
        <v>1</v>
      </c>
      <c r="K5" s="86" t="s">
        <v>4</v>
      </c>
      <c r="L5" s="132" t="s">
        <v>1</v>
      </c>
      <c r="Q5" s="59" t="s">
        <v>0</v>
      </c>
      <c r="R5" s="108" t="s">
        <v>22</v>
      </c>
      <c r="S5" s="86" t="s">
        <v>4</v>
      </c>
      <c r="T5" s="132" t="s">
        <v>1</v>
      </c>
      <c r="Y5" s="59" t="s">
        <v>0</v>
      </c>
      <c r="Z5" s="60" t="s">
        <v>23</v>
      </c>
      <c r="AA5" s="86" t="s">
        <v>4</v>
      </c>
      <c r="AB5" s="60" t="s">
        <v>23</v>
      </c>
    </row>
    <row r="6" spans="3:28" ht="12.75">
      <c r="C6" s="57"/>
      <c r="D6" s="15" t="s">
        <v>15</v>
      </c>
      <c r="E6" s="87" t="s">
        <v>6</v>
      </c>
      <c r="F6" s="15" t="s">
        <v>15</v>
      </c>
      <c r="I6" s="57"/>
      <c r="J6" s="14"/>
      <c r="K6" s="87" t="s">
        <v>6</v>
      </c>
      <c r="L6" s="133"/>
      <c r="Q6" s="57"/>
      <c r="R6" s="109" t="s">
        <v>19</v>
      </c>
      <c r="S6" s="87" t="s">
        <v>6</v>
      </c>
      <c r="T6" s="133"/>
      <c r="Y6" s="57"/>
      <c r="Z6" s="103" t="s">
        <v>732</v>
      </c>
      <c r="AA6" s="87" t="s">
        <v>6</v>
      </c>
      <c r="AB6" s="103" t="s">
        <v>732</v>
      </c>
    </row>
    <row r="7" spans="3:28" ht="13.5" thickBot="1">
      <c r="C7" s="62" t="s">
        <v>7</v>
      </c>
      <c r="D7" s="64" t="s">
        <v>8</v>
      </c>
      <c r="E7" s="88" t="s">
        <v>9</v>
      </c>
      <c r="F7" s="64" t="s">
        <v>10</v>
      </c>
      <c r="I7" s="62" t="s">
        <v>7</v>
      </c>
      <c r="J7" s="63" t="s">
        <v>8</v>
      </c>
      <c r="K7" s="88" t="s">
        <v>9</v>
      </c>
      <c r="L7" s="135" t="s">
        <v>10</v>
      </c>
      <c r="Q7" s="62" t="s">
        <v>7</v>
      </c>
      <c r="R7" s="126" t="s">
        <v>9</v>
      </c>
      <c r="S7" s="88" t="s">
        <v>9</v>
      </c>
      <c r="T7" s="135" t="s">
        <v>10</v>
      </c>
      <c r="Y7" s="62" t="s">
        <v>7</v>
      </c>
      <c r="Z7" s="63" t="s">
        <v>8</v>
      </c>
      <c r="AA7" s="88" t="s">
        <v>9</v>
      </c>
      <c r="AB7" s="135" t="s">
        <v>10</v>
      </c>
    </row>
    <row r="8" spans="3:28" ht="12.75">
      <c r="C8" s="72"/>
      <c r="D8" s="74"/>
      <c r="E8" s="89"/>
      <c r="F8" s="81"/>
      <c r="I8" s="72"/>
      <c r="J8" s="77"/>
      <c r="K8" s="89"/>
      <c r="L8" s="80"/>
      <c r="Q8" s="72"/>
      <c r="R8" s="93"/>
      <c r="S8" s="89"/>
      <c r="T8" s="80"/>
      <c r="Y8" s="72"/>
      <c r="Z8" s="75"/>
      <c r="AA8" s="89"/>
      <c r="AB8" s="80"/>
    </row>
    <row r="9" spans="3:28" ht="12.75">
      <c r="C9" s="111">
        <v>4.145</v>
      </c>
      <c r="D9" s="117">
        <v>0.33</v>
      </c>
      <c r="E9" s="112"/>
      <c r="F9" s="81"/>
      <c r="I9" s="111">
        <v>4.145</v>
      </c>
      <c r="J9" s="115"/>
      <c r="K9" s="112"/>
      <c r="L9" s="31"/>
      <c r="Q9" s="111">
        <v>4.145</v>
      </c>
      <c r="R9" s="96"/>
      <c r="S9" s="112"/>
      <c r="T9" s="31"/>
      <c r="Y9" s="111">
        <v>4.145</v>
      </c>
      <c r="Z9" s="97">
        <v>1.6</v>
      </c>
      <c r="AA9" s="112"/>
      <c r="AB9" s="31"/>
    </row>
    <row r="10" spans="3:28" ht="12.75">
      <c r="C10" s="72"/>
      <c r="D10" s="74"/>
      <c r="E10" s="89">
        <f>1000*(C11-C9)</f>
        <v>55.000000000000604</v>
      </c>
      <c r="F10" s="81">
        <f>0.5*E10*(D9+D11)</f>
        <v>18.1500000000002</v>
      </c>
      <c r="I10" s="72"/>
      <c r="J10" s="77"/>
      <c r="K10" s="89">
        <f>1000*(I11-I9)</f>
        <v>55.000000000000604</v>
      </c>
      <c r="L10" s="80">
        <f>0.5*K10*(J9+J11)</f>
        <v>0</v>
      </c>
      <c r="Q10" s="72"/>
      <c r="R10" s="93"/>
      <c r="S10" s="89">
        <f>1000*(Q11-Q9)</f>
        <v>55.000000000000604</v>
      </c>
      <c r="T10" s="80">
        <f>0.5*S10*(R9+R11)</f>
        <v>0</v>
      </c>
      <c r="Y10" s="72"/>
      <c r="Z10" s="75"/>
      <c r="AA10" s="89">
        <f>1000*(Y11-Y9)</f>
        <v>55.000000000000604</v>
      </c>
      <c r="AB10" s="80">
        <f>0.5*AA10*(Z9+Z11)</f>
        <v>88.00000000000097</v>
      </c>
    </row>
    <row r="11" spans="3:28" ht="12.75">
      <c r="C11" s="111">
        <v>4.2</v>
      </c>
      <c r="D11" s="117">
        <v>0.33</v>
      </c>
      <c r="E11" s="112"/>
      <c r="F11" s="81">
        <f aca="true" t="shared" si="0" ref="F11:F74">0.5*E11*(D10+D12)</f>
        <v>0</v>
      </c>
      <c r="I11" s="111">
        <v>4.2</v>
      </c>
      <c r="J11" s="115"/>
      <c r="K11" s="112"/>
      <c r="L11" s="31"/>
      <c r="Q11" s="111">
        <v>4.2</v>
      </c>
      <c r="R11" s="96"/>
      <c r="S11" s="112"/>
      <c r="T11" s="31"/>
      <c r="Y11" s="111">
        <v>4.2</v>
      </c>
      <c r="Z11" s="97">
        <v>1.6</v>
      </c>
      <c r="AA11" s="112"/>
      <c r="AB11" s="31"/>
    </row>
    <row r="12" spans="3:28" ht="12.75">
      <c r="C12" s="72"/>
      <c r="D12" s="74"/>
      <c r="E12" s="89">
        <f>1000*(C13-C11)</f>
        <v>59.99999999999961</v>
      </c>
      <c r="F12" s="81">
        <f t="shared" si="0"/>
        <v>19.799999999999873</v>
      </c>
      <c r="I12" s="72"/>
      <c r="J12" s="77"/>
      <c r="K12" s="89">
        <f>1000*(I13-I11)</f>
        <v>59.99999999999961</v>
      </c>
      <c r="L12" s="80">
        <f aca="true" t="shared" si="1" ref="L12:L43">0.5*K12*(J11+J13)</f>
        <v>0</v>
      </c>
      <c r="Q12" s="72"/>
      <c r="R12" s="93"/>
      <c r="S12" s="89">
        <f>1000*(Q13-Q11)</f>
        <v>59.99999999999961</v>
      </c>
      <c r="T12" s="80">
        <f aca="true" t="shared" si="2" ref="T12:T43">0.5*S12*(R11+R13)</f>
        <v>0</v>
      </c>
      <c r="Y12" s="72"/>
      <c r="Z12" s="75"/>
      <c r="AA12" s="89">
        <f>1000*(Y13-Y11)</f>
        <v>59.99999999999961</v>
      </c>
      <c r="AB12" s="80">
        <f>0.5*AA12*(Z11+Z13)</f>
        <v>95.99999999999937</v>
      </c>
    </row>
    <row r="13" spans="3:28" ht="12.75">
      <c r="C13" s="111">
        <v>4.26</v>
      </c>
      <c r="D13" s="117">
        <v>0.33</v>
      </c>
      <c r="E13" s="112"/>
      <c r="F13" s="81">
        <f t="shared" si="0"/>
        <v>0</v>
      </c>
      <c r="I13" s="111">
        <v>4.26</v>
      </c>
      <c r="J13" s="115"/>
      <c r="K13" s="112"/>
      <c r="L13" s="80">
        <f t="shared" si="1"/>
        <v>0</v>
      </c>
      <c r="Q13" s="111">
        <v>4.26</v>
      </c>
      <c r="R13" s="96"/>
      <c r="S13" s="112"/>
      <c r="T13" s="80">
        <f t="shared" si="2"/>
        <v>0</v>
      </c>
      <c r="Y13" s="111">
        <v>4.26</v>
      </c>
      <c r="Z13" s="97">
        <v>1.6</v>
      </c>
      <c r="AA13" s="112"/>
      <c r="AB13" s="80"/>
    </row>
    <row r="14" spans="3:28" ht="12.75">
      <c r="C14" s="72"/>
      <c r="D14" s="74"/>
      <c r="E14" s="89">
        <f>1000*(C15-C13)</f>
        <v>40.000000000000036</v>
      </c>
      <c r="F14" s="81">
        <f t="shared" si="0"/>
        <v>13.200000000000012</v>
      </c>
      <c r="I14" s="72"/>
      <c r="J14" s="77"/>
      <c r="K14" s="89">
        <f>1000*(I15-I13)</f>
        <v>40.000000000000036</v>
      </c>
      <c r="L14" s="80">
        <f t="shared" si="1"/>
        <v>0</v>
      </c>
      <c r="Q14" s="72"/>
      <c r="R14" s="93"/>
      <c r="S14" s="89">
        <f>1000*(Q15-Q13)</f>
        <v>40.000000000000036</v>
      </c>
      <c r="T14" s="80">
        <f t="shared" si="2"/>
        <v>0</v>
      </c>
      <c r="Y14" s="72"/>
      <c r="Z14" s="75"/>
      <c r="AA14" s="89">
        <f>1000*(Y15-Y13)</f>
        <v>40.000000000000036</v>
      </c>
      <c r="AB14" s="80">
        <f>0.5*AA14*(Z13+Z15)</f>
        <v>64.00000000000006</v>
      </c>
    </row>
    <row r="15" spans="3:28" ht="12.75">
      <c r="C15" s="114">
        <v>4.3</v>
      </c>
      <c r="D15" s="117">
        <v>0.33</v>
      </c>
      <c r="E15" s="118"/>
      <c r="F15" s="81">
        <f t="shared" si="0"/>
        <v>0</v>
      </c>
      <c r="I15" s="114">
        <v>4.3</v>
      </c>
      <c r="J15" s="115"/>
      <c r="K15" s="118"/>
      <c r="L15" s="80">
        <f t="shared" si="1"/>
        <v>0</v>
      </c>
      <c r="Q15" s="114">
        <v>4.3</v>
      </c>
      <c r="R15" s="96"/>
      <c r="S15" s="118"/>
      <c r="T15" s="80">
        <f t="shared" si="2"/>
        <v>0</v>
      </c>
      <c r="Y15" s="114">
        <v>4.3</v>
      </c>
      <c r="Z15" s="97">
        <v>1.6</v>
      </c>
      <c r="AA15" s="118"/>
      <c r="AB15" s="80"/>
    </row>
    <row r="16" spans="3:28" ht="12.75">
      <c r="C16" s="72"/>
      <c r="D16" s="74"/>
      <c r="E16" s="89">
        <f>1000*(C17-C15)</f>
        <v>40.000000000000036</v>
      </c>
      <c r="F16" s="81">
        <f t="shared" si="0"/>
        <v>13.200000000000012</v>
      </c>
      <c r="I16" s="72"/>
      <c r="J16" s="77"/>
      <c r="K16" s="89">
        <f>1000*(I17-I15)</f>
        <v>40.000000000000036</v>
      </c>
      <c r="L16" s="80">
        <f t="shared" si="1"/>
        <v>0</v>
      </c>
      <c r="Q16" s="72"/>
      <c r="R16" s="93"/>
      <c r="S16" s="89">
        <f>1000*(Q17-Q15)</f>
        <v>40.000000000000036</v>
      </c>
      <c r="T16" s="80">
        <f t="shared" si="2"/>
        <v>0</v>
      </c>
      <c r="Y16" s="72"/>
      <c r="Z16" s="75"/>
      <c r="AA16" s="89">
        <f>1000*(Y17-Y15)</f>
        <v>40.000000000000036</v>
      </c>
      <c r="AB16" s="80">
        <f>0.5*AA16*(Z15+Z17)</f>
        <v>64.00000000000006</v>
      </c>
    </row>
    <row r="17" spans="3:28" ht="12.75">
      <c r="C17" s="72">
        <v>4.34</v>
      </c>
      <c r="D17" s="74">
        <v>0.33</v>
      </c>
      <c r="E17" s="89"/>
      <c r="F17" s="81">
        <f t="shared" si="0"/>
        <v>0</v>
      </c>
      <c r="I17" s="72">
        <v>4.34</v>
      </c>
      <c r="J17" s="77"/>
      <c r="K17" s="89"/>
      <c r="L17" s="80">
        <f t="shared" si="1"/>
        <v>0</v>
      </c>
      <c r="Q17" s="72">
        <v>4.34</v>
      </c>
      <c r="R17" s="93"/>
      <c r="S17" s="89"/>
      <c r="T17" s="80">
        <f t="shared" si="2"/>
        <v>0</v>
      </c>
      <c r="Y17" s="72">
        <v>4.34</v>
      </c>
      <c r="Z17" s="75">
        <v>1.6</v>
      </c>
      <c r="AA17" s="89"/>
      <c r="AB17" s="80"/>
    </row>
    <row r="18" spans="3:28" ht="12.75">
      <c r="C18" s="72"/>
      <c r="D18" s="74"/>
      <c r="E18" s="89">
        <f>1000*(C19-C17)</f>
        <v>60.0000000000005</v>
      </c>
      <c r="F18" s="81">
        <f t="shared" si="0"/>
        <v>19.800000000000164</v>
      </c>
      <c r="I18" s="72"/>
      <c r="J18" s="77"/>
      <c r="K18" s="89">
        <f>1000*(I19-I17)</f>
        <v>60.0000000000005</v>
      </c>
      <c r="L18" s="80">
        <f t="shared" si="1"/>
        <v>0</v>
      </c>
      <c r="Q18" s="72"/>
      <c r="R18" s="93"/>
      <c r="S18" s="89">
        <f>1000*(Q19-Q17)</f>
        <v>60.0000000000005</v>
      </c>
      <c r="T18" s="80">
        <f t="shared" si="2"/>
        <v>0</v>
      </c>
      <c r="Y18" s="72"/>
      <c r="Z18" s="75"/>
      <c r="AA18" s="89">
        <f>1000*(Y19-Y17)</f>
        <v>60.0000000000005</v>
      </c>
      <c r="AB18" s="80">
        <f>0.5*AA18*(Z17+Z19)</f>
        <v>96.0000000000008</v>
      </c>
    </row>
    <row r="19" spans="3:28" ht="12.75">
      <c r="C19" s="72">
        <v>4.4</v>
      </c>
      <c r="D19" s="74">
        <v>0.33</v>
      </c>
      <c r="E19" s="89"/>
      <c r="F19" s="81">
        <f t="shared" si="0"/>
        <v>0</v>
      </c>
      <c r="I19" s="72">
        <v>4.4</v>
      </c>
      <c r="J19" s="77"/>
      <c r="K19" s="89"/>
      <c r="L19" s="80">
        <f t="shared" si="1"/>
        <v>0</v>
      </c>
      <c r="Q19" s="72">
        <v>4.4</v>
      </c>
      <c r="R19" s="93"/>
      <c r="S19" s="89"/>
      <c r="T19" s="80">
        <f t="shared" si="2"/>
        <v>0</v>
      </c>
      <c r="Y19" s="72">
        <v>4.4</v>
      </c>
      <c r="Z19" s="75">
        <v>1.6</v>
      </c>
      <c r="AA19" s="89"/>
      <c r="AB19" s="80"/>
    </row>
    <row r="20" spans="3:28" ht="12.75">
      <c r="C20" s="144">
        <v>4.43</v>
      </c>
      <c r="D20" s="74"/>
      <c r="E20" s="89">
        <f>1000*(C21-C19)</f>
        <v>40.000000000000036</v>
      </c>
      <c r="F20" s="81">
        <f t="shared" si="0"/>
        <v>13.200000000000012</v>
      </c>
      <c r="I20" s="144">
        <v>4.43</v>
      </c>
      <c r="J20" s="77"/>
      <c r="K20" s="89">
        <f>1000*(I21-I19)</f>
        <v>40.000000000000036</v>
      </c>
      <c r="L20" s="80">
        <f t="shared" si="1"/>
        <v>0</v>
      </c>
      <c r="Q20" s="144">
        <v>4.43</v>
      </c>
      <c r="R20" s="93"/>
      <c r="S20" s="89">
        <f>1000*(Q21-Q19)</f>
        <v>40.000000000000036</v>
      </c>
      <c r="T20" s="80">
        <f t="shared" si="2"/>
        <v>0</v>
      </c>
      <c r="Y20" s="144">
        <v>4.43</v>
      </c>
      <c r="Z20" s="146" t="s">
        <v>27</v>
      </c>
      <c r="AA20" s="89">
        <f>1000*(Y21-Y19)</f>
        <v>40.000000000000036</v>
      </c>
      <c r="AB20" s="80">
        <f>0.5*AA20*(Z19+Z21)</f>
        <v>32.00000000000003</v>
      </c>
    </row>
    <row r="21" spans="3:28" ht="12.75">
      <c r="C21" s="72">
        <v>4.44</v>
      </c>
      <c r="D21" s="74">
        <v>0.33</v>
      </c>
      <c r="E21" s="89"/>
      <c r="F21" s="81">
        <f t="shared" si="0"/>
        <v>0</v>
      </c>
      <c r="I21" s="72">
        <v>4.44</v>
      </c>
      <c r="J21" s="77"/>
      <c r="K21" s="89"/>
      <c r="L21" s="80">
        <f t="shared" si="1"/>
        <v>0</v>
      </c>
      <c r="Q21" s="72">
        <v>4.44</v>
      </c>
      <c r="R21" s="93"/>
      <c r="S21" s="89"/>
      <c r="T21" s="80">
        <f t="shared" si="2"/>
        <v>0</v>
      </c>
      <c r="Y21" s="72">
        <v>4.44</v>
      </c>
      <c r="Z21" s="152">
        <v>0</v>
      </c>
      <c r="AA21" s="89"/>
      <c r="AB21" s="80"/>
    </row>
    <row r="22" spans="3:28" ht="12.75">
      <c r="C22" s="72"/>
      <c r="D22" s="74"/>
      <c r="E22" s="89">
        <f>1000*(C23-C21)</f>
        <v>59.99999999999961</v>
      </c>
      <c r="F22" s="81">
        <f t="shared" si="0"/>
        <v>18.899999999999878</v>
      </c>
      <c r="I22" s="72"/>
      <c r="J22" s="77"/>
      <c r="K22" s="89">
        <f>1000*(I23-I21)</f>
        <v>59.99999999999961</v>
      </c>
      <c r="L22" s="80">
        <f t="shared" si="1"/>
        <v>0</v>
      </c>
      <c r="Q22" s="72"/>
      <c r="R22" s="93"/>
      <c r="S22" s="89">
        <f>1000*(Q23-Q21)</f>
        <v>59.99999999999961</v>
      </c>
      <c r="T22" s="80">
        <f t="shared" si="2"/>
        <v>0</v>
      </c>
      <c r="Y22" s="72"/>
      <c r="AA22" s="89">
        <f>1000*(Y23-Y21)</f>
        <v>59.99999999999961</v>
      </c>
      <c r="AB22" s="80">
        <f>0.5*AA22*(Z21+Z23)</f>
        <v>0</v>
      </c>
    </row>
    <row r="23" spans="3:28" ht="12.75">
      <c r="C23" s="72">
        <v>4.5</v>
      </c>
      <c r="D23" s="74">
        <v>0.3</v>
      </c>
      <c r="E23" s="89"/>
      <c r="F23" s="81">
        <f t="shared" si="0"/>
        <v>0</v>
      </c>
      <c r="I23" s="72">
        <v>4.5</v>
      </c>
      <c r="J23" s="77"/>
      <c r="K23" s="89"/>
      <c r="L23" s="80">
        <f t="shared" si="1"/>
        <v>0</v>
      </c>
      <c r="Q23" s="72">
        <v>4.5</v>
      </c>
      <c r="R23" s="93"/>
      <c r="S23" s="89"/>
      <c r="T23" s="80">
        <f t="shared" si="2"/>
        <v>0</v>
      </c>
      <c r="Y23" s="72">
        <v>4.5</v>
      </c>
      <c r="Z23" s="152">
        <v>0</v>
      </c>
      <c r="AA23" s="89"/>
      <c r="AB23" s="80"/>
    </row>
    <row r="24" spans="3:28" ht="12.75">
      <c r="C24" s="144">
        <v>4.51</v>
      </c>
      <c r="D24" s="74"/>
      <c r="E24" s="89">
        <f>1000*(C25-C23)</f>
        <v>40.000000000000036</v>
      </c>
      <c r="F24" s="81">
        <f t="shared" si="0"/>
        <v>12.600000000000012</v>
      </c>
      <c r="I24" s="144">
        <v>4.51</v>
      </c>
      <c r="K24" s="89">
        <f>1000*(I25-I23)</f>
        <v>40.000000000000036</v>
      </c>
      <c r="L24" s="80">
        <f t="shared" si="1"/>
        <v>0</v>
      </c>
      <c r="Q24" s="144">
        <v>4.51</v>
      </c>
      <c r="R24" s="93"/>
      <c r="S24" s="89">
        <f>1000*(Q25-Q23)</f>
        <v>40.000000000000036</v>
      </c>
      <c r="T24" s="80">
        <f t="shared" si="2"/>
        <v>0</v>
      </c>
      <c r="Y24" s="144">
        <v>4.51</v>
      </c>
      <c r="Z24" s="146" t="s">
        <v>27</v>
      </c>
      <c r="AA24" s="89">
        <f>1000*(Y25-Y23)</f>
        <v>40.000000000000036</v>
      </c>
      <c r="AB24" s="80">
        <f>0.5*AA24*(Z23+Z25)</f>
        <v>32.00000000000003</v>
      </c>
    </row>
    <row r="25" spans="3:28" ht="12.75">
      <c r="C25" s="72">
        <v>4.54</v>
      </c>
      <c r="D25" s="74">
        <v>0.33</v>
      </c>
      <c r="E25" s="89"/>
      <c r="F25" s="81">
        <f t="shared" si="0"/>
        <v>0</v>
      </c>
      <c r="I25" s="72">
        <v>4.54</v>
      </c>
      <c r="J25" s="77"/>
      <c r="K25" s="89"/>
      <c r="L25" s="80">
        <f t="shared" si="1"/>
        <v>0</v>
      </c>
      <c r="Q25" s="72">
        <v>4.54</v>
      </c>
      <c r="R25" s="93"/>
      <c r="S25" s="89"/>
      <c r="T25" s="80">
        <f t="shared" si="2"/>
        <v>0</v>
      </c>
      <c r="Y25" s="72">
        <v>4.54</v>
      </c>
      <c r="Z25" s="75">
        <v>1.6</v>
      </c>
      <c r="AA25" s="89"/>
      <c r="AB25" s="80"/>
    </row>
    <row r="26" spans="3:28" ht="12.75">
      <c r="C26" s="72"/>
      <c r="D26" s="74"/>
      <c r="E26" s="89">
        <f>1000*(C27-C25)</f>
        <v>59.99999999999961</v>
      </c>
      <c r="F26" s="81">
        <f t="shared" si="0"/>
        <v>18.899999999999878</v>
      </c>
      <c r="I26" s="72"/>
      <c r="J26" s="77"/>
      <c r="K26" s="89">
        <f>1000*(I27-I25)</f>
        <v>59.99999999999961</v>
      </c>
      <c r="L26" s="80">
        <f t="shared" si="1"/>
        <v>0</v>
      </c>
      <c r="Q26" s="72"/>
      <c r="R26" s="93"/>
      <c r="S26" s="89">
        <f>1000*(Q27-Q25)</f>
        <v>59.99999999999961</v>
      </c>
      <c r="T26" s="80">
        <f t="shared" si="2"/>
        <v>0</v>
      </c>
      <c r="Y26" s="72"/>
      <c r="Z26" s="75"/>
      <c r="AA26" s="89">
        <f>1000*(Y27-Y25)</f>
        <v>59.99999999999961</v>
      </c>
      <c r="AB26" s="80">
        <f>0.5*AA26*(Z25+Z27)</f>
        <v>95.99999999999937</v>
      </c>
    </row>
    <row r="27" spans="3:28" ht="12.75">
      <c r="C27" s="72">
        <v>4.6</v>
      </c>
      <c r="D27" s="74">
        <v>0.3</v>
      </c>
      <c r="E27" s="89"/>
      <c r="F27" s="81">
        <f t="shared" si="0"/>
        <v>0</v>
      </c>
      <c r="I27" s="72">
        <v>4.6</v>
      </c>
      <c r="J27" s="77"/>
      <c r="K27" s="89"/>
      <c r="L27" s="80">
        <f t="shared" si="1"/>
        <v>0</v>
      </c>
      <c r="Q27" s="72">
        <v>4.6</v>
      </c>
      <c r="R27" s="93"/>
      <c r="S27" s="89"/>
      <c r="T27" s="80">
        <f t="shared" si="2"/>
        <v>0</v>
      </c>
      <c r="Y27" s="72">
        <v>4.6</v>
      </c>
      <c r="Z27" s="75">
        <v>1.6</v>
      </c>
      <c r="AA27" s="89"/>
      <c r="AB27" s="80"/>
    </row>
    <row r="28" spans="3:28" ht="12.75">
      <c r="C28" s="72"/>
      <c r="D28" s="74"/>
      <c r="E28" s="89">
        <f>1000*(C29-C27)</f>
        <v>40.000000000000036</v>
      </c>
      <c r="F28" s="81">
        <f t="shared" si="0"/>
        <v>12.00000000000001</v>
      </c>
      <c r="I28" s="72"/>
      <c r="J28" s="77"/>
      <c r="K28" s="89">
        <f>1000*(I29-I27)</f>
        <v>40.000000000000036</v>
      </c>
      <c r="L28" s="80">
        <f t="shared" si="1"/>
        <v>0</v>
      </c>
      <c r="Q28" s="72"/>
      <c r="R28" s="93"/>
      <c r="S28" s="89">
        <f>1000*(Q29-Q27)</f>
        <v>40.000000000000036</v>
      </c>
      <c r="T28" s="80">
        <f t="shared" si="2"/>
        <v>0</v>
      </c>
      <c r="Y28" s="72"/>
      <c r="Z28" s="75"/>
      <c r="AA28" s="89">
        <f>1000*(Y29-Y27)</f>
        <v>40.000000000000036</v>
      </c>
      <c r="AB28" s="80">
        <f>0.5*AA28*(Z27+Z29)</f>
        <v>64.00000000000006</v>
      </c>
    </row>
    <row r="29" spans="3:28" ht="12.75">
      <c r="C29" s="72">
        <v>4.64</v>
      </c>
      <c r="D29" s="74">
        <v>0.3</v>
      </c>
      <c r="E29" s="89"/>
      <c r="F29" s="81">
        <f t="shared" si="0"/>
        <v>0</v>
      </c>
      <c r="I29" s="72">
        <v>4.64</v>
      </c>
      <c r="J29" s="77"/>
      <c r="K29" s="89"/>
      <c r="L29" s="80">
        <f t="shared" si="1"/>
        <v>0</v>
      </c>
      <c r="Q29" s="72">
        <v>4.64</v>
      </c>
      <c r="R29" s="93"/>
      <c r="S29" s="89"/>
      <c r="T29" s="80">
        <f t="shared" si="2"/>
        <v>0</v>
      </c>
      <c r="Y29" s="72">
        <v>4.64</v>
      </c>
      <c r="Z29" s="75">
        <v>1.6</v>
      </c>
      <c r="AA29" s="89"/>
      <c r="AB29" s="80"/>
    </row>
    <row r="30" spans="3:28" ht="12.75">
      <c r="C30" s="144">
        <v>4.67</v>
      </c>
      <c r="D30" s="74"/>
      <c r="E30" s="89">
        <f>1000*(C31-C29)</f>
        <v>60.0000000000005</v>
      </c>
      <c r="F30" s="81">
        <f t="shared" si="0"/>
        <v>18.00000000000015</v>
      </c>
      <c r="I30" s="144">
        <v>4.67</v>
      </c>
      <c r="J30" s="77"/>
      <c r="K30" s="89">
        <f>1000*(I31-I29)</f>
        <v>60.0000000000005</v>
      </c>
      <c r="L30" s="80">
        <f t="shared" si="1"/>
        <v>0</v>
      </c>
      <c r="Q30" s="144">
        <v>4.67</v>
      </c>
      <c r="R30" s="75"/>
      <c r="S30" s="89">
        <f>1000*(Q31-Q29)</f>
        <v>60.0000000000005</v>
      </c>
      <c r="T30" s="80">
        <f t="shared" si="2"/>
        <v>0</v>
      </c>
      <c r="Y30" s="144">
        <v>4.67</v>
      </c>
      <c r="Z30" s="146" t="s">
        <v>27</v>
      </c>
      <c r="AA30" s="89">
        <f>1000*(Y31-Y29)</f>
        <v>60.0000000000005</v>
      </c>
      <c r="AB30" s="80">
        <f>0.5*AA30*(Z29+Z31)</f>
        <v>48.0000000000004</v>
      </c>
    </row>
    <row r="31" spans="3:28" ht="12.75">
      <c r="C31" s="72">
        <v>4.7</v>
      </c>
      <c r="D31" s="74">
        <v>0.3</v>
      </c>
      <c r="E31" s="89"/>
      <c r="F31" s="81">
        <f t="shared" si="0"/>
        <v>0</v>
      </c>
      <c r="I31" s="72">
        <v>4.7</v>
      </c>
      <c r="J31" s="77"/>
      <c r="K31" s="89"/>
      <c r="L31" s="80">
        <f t="shared" si="1"/>
        <v>0</v>
      </c>
      <c r="Q31" s="72">
        <v>4.7</v>
      </c>
      <c r="R31" s="75"/>
      <c r="S31" s="89"/>
      <c r="T31" s="80">
        <f t="shared" si="2"/>
        <v>0</v>
      </c>
      <c r="Y31" s="72">
        <v>4.7</v>
      </c>
      <c r="Z31" s="152">
        <v>0</v>
      </c>
      <c r="AA31" s="89"/>
      <c r="AB31" s="80"/>
    </row>
    <row r="32" spans="3:28" ht="12.75">
      <c r="C32" s="72"/>
      <c r="D32" s="74"/>
      <c r="E32" s="89">
        <f>1000*(C33-C31)</f>
        <v>40.000000000000036</v>
      </c>
      <c r="F32" s="81">
        <f t="shared" si="0"/>
        <v>12.00000000000001</v>
      </c>
      <c r="I32" s="72"/>
      <c r="J32" s="77"/>
      <c r="K32" s="89">
        <f>1000*(I33-I31)</f>
        <v>40.000000000000036</v>
      </c>
      <c r="L32" s="80">
        <f t="shared" si="1"/>
        <v>0</v>
      </c>
      <c r="Q32" s="72"/>
      <c r="R32" s="75"/>
      <c r="S32" s="89">
        <f>1000*(Q33-Q31)</f>
        <v>40.000000000000036</v>
      </c>
      <c r="T32" s="80">
        <f t="shared" si="2"/>
        <v>0</v>
      </c>
      <c r="Y32" s="72"/>
      <c r="Z32" s="81"/>
      <c r="AA32" s="89">
        <f>1000*(Y33-Y31)</f>
        <v>40.000000000000036</v>
      </c>
      <c r="AB32" s="80">
        <f>0.5*AA32*(Z31+Z33)</f>
        <v>0</v>
      </c>
    </row>
    <row r="33" spans="3:28" ht="12.75">
      <c r="C33" s="72">
        <v>4.74</v>
      </c>
      <c r="D33" s="74">
        <v>0.3</v>
      </c>
      <c r="E33" s="89"/>
      <c r="F33" s="81">
        <f t="shared" si="0"/>
        <v>0</v>
      </c>
      <c r="I33" s="72">
        <v>4.74</v>
      </c>
      <c r="J33" s="77"/>
      <c r="K33" s="89"/>
      <c r="L33" s="80">
        <f t="shared" si="1"/>
        <v>0</v>
      </c>
      <c r="Q33" s="72">
        <v>4.74</v>
      </c>
      <c r="R33" s="75"/>
      <c r="S33" s="89"/>
      <c r="T33" s="80">
        <f t="shared" si="2"/>
        <v>0</v>
      </c>
      <c r="Y33" s="72">
        <v>4.74</v>
      </c>
      <c r="Z33" s="152">
        <v>0</v>
      </c>
      <c r="AA33" s="89"/>
      <c r="AB33" s="80"/>
    </row>
    <row r="34" spans="3:28" ht="12.75">
      <c r="C34" s="72"/>
      <c r="D34" s="74"/>
      <c r="E34" s="89">
        <f>1000*(C35-C33)</f>
        <v>59.99999999999961</v>
      </c>
      <c r="F34" s="81">
        <f t="shared" si="0"/>
        <v>17.999999999999883</v>
      </c>
      <c r="I34" s="72"/>
      <c r="J34" s="77"/>
      <c r="K34" s="89">
        <f>1000*(I35-I33)</f>
        <v>59.99999999999961</v>
      </c>
      <c r="L34" s="80">
        <f t="shared" si="1"/>
        <v>0</v>
      </c>
      <c r="Q34" s="72"/>
      <c r="R34" s="75"/>
      <c r="S34" s="89">
        <f>1000*(Q35-Q33)</f>
        <v>59.99999999999961</v>
      </c>
      <c r="T34" s="80">
        <f t="shared" si="2"/>
        <v>0</v>
      </c>
      <c r="Y34" s="72"/>
      <c r="Z34" s="81"/>
      <c r="AA34" s="89">
        <f>1000*(Y35-Y33)</f>
        <v>59.99999999999961</v>
      </c>
      <c r="AB34" s="80">
        <f>0.5*AA34*(Z33+Z35)</f>
        <v>0</v>
      </c>
    </row>
    <row r="35" spans="3:28" ht="12.75">
      <c r="C35" s="72">
        <v>4.8</v>
      </c>
      <c r="D35" s="74">
        <v>0.3</v>
      </c>
      <c r="E35" s="89"/>
      <c r="F35" s="81">
        <f t="shared" si="0"/>
        <v>0</v>
      </c>
      <c r="I35" s="72">
        <v>4.8</v>
      </c>
      <c r="J35" s="77"/>
      <c r="K35" s="89"/>
      <c r="L35" s="80">
        <f t="shared" si="1"/>
        <v>0</v>
      </c>
      <c r="Q35" s="72">
        <v>4.8</v>
      </c>
      <c r="R35" s="75"/>
      <c r="S35" s="89"/>
      <c r="T35" s="80">
        <f t="shared" si="2"/>
        <v>0</v>
      </c>
      <c r="Y35" s="72">
        <v>4.8</v>
      </c>
      <c r="Z35" s="152">
        <v>0</v>
      </c>
      <c r="AA35" s="89"/>
      <c r="AB35" s="80"/>
    </row>
    <row r="36" spans="3:28" ht="12.75">
      <c r="C36" s="72"/>
      <c r="D36" s="74"/>
      <c r="E36" s="89">
        <f>1000*(C37-C35)</f>
        <v>40.000000000000036</v>
      </c>
      <c r="F36" s="81">
        <f t="shared" si="0"/>
        <v>14.00000000000001</v>
      </c>
      <c r="I36" s="72"/>
      <c r="J36" s="77"/>
      <c r="K36" s="89">
        <f>1000*(I37-I35)</f>
        <v>40.000000000000036</v>
      </c>
      <c r="L36" s="80">
        <f t="shared" si="1"/>
        <v>0</v>
      </c>
      <c r="Q36" s="72"/>
      <c r="R36" s="75"/>
      <c r="S36" s="89">
        <f>1000*(Q37-Q35)</f>
        <v>40.000000000000036</v>
      </c>
      <c r="T36" s="80">
        <f t="shared" si="2"/>
        <v>0</v>
      </c>
      <c r="Y36" s="72"/>
      <c r="Z36" s="146"/>
      <c r="AA36" s="89">
        <f>1000*(Y37-Y35)</f>
        <v>40.000000000000036</v>
      </c>
      <c r="AB36" s="80">
        <f>0.5*AA36*(Z35+Z37)</f>
        <v>0</v>
      </c>
    </row>
    <row r="37" spans="3:28" ht="12.75">
      <c r="C37" s="72">
        <v>4.84</v>
      </c>
      <c r="D37" s="151">
        <v>0.4</v>
      </c>
      <c r="E37" s="89"/>
      <c r="F37" s="81">
        <f t="shared" si="0"/>
        <v>0</v>
      </c>
      <c r="I37" s="72">
        <v>4.84</v>
      </c>
      <c r="J37" s="77"/>
      <c r="K37" s="89"/>
      <c r="L37" s="80">
        <f t="shared" si="1"/>
        <v>0</v>
      </c>
      <c r="Q37" s="72">
        <v>4.84</v>
      </c>
      <c r="R37" s="75"/>
      <c r="S37" s="89"/>
      <c r="T37" s="80">
        <f t="shared" si="2"/>
        <v>0</v>
      </c>
      <c r="Y37" s="72">
        <v>4.84</v>
      </c>
      <c r="Z37" s="152">
        <v>0</v>
      </c>
      <c r="AA37" s="89"/>
      <c r="AB37" s="80"/>
    </row>
    <row r="38" spans="3:28" ht="12.75">
      <c r="C38" s="144">
        <v>4.845</v>
      </c>
      <c r="D38" s="74"/>
      <c r="E38" s="89">
        <f>1000*(C39-C37)</f>
        <v>60.0000000000005</v>
      </c>
      <c r="F38" s="81">
        <f t="shared" si="0"/>
        <v>30.00000000000025</v>
      </c>
      <c r="I38" s="144">
        <v>4.845</v>
      </c>
      <c r="J38" s="77"/>
      <c r="K38" s="89">
        <f>1000*(I39-I37)</f>
        <v>60.0000000000005</v>
      </c>
      <c r="L38" s="80">
        <f t="shared" si="1"/>
        <v>0</v>
      </c>
      <c r="Q38" s="144">
        <v>4.845</v>
      </c>
      <c r="R38" s="75"/>
      <c r="S38" s="89">
        <f>1000*(Q39-Q37)</f>
        <v>60.0000000000005</v>
      </c>
      <c r="T38" s="80">
        <f t="shared" si="2"/>
        <v>0</v>
      </c>
      <c r="Y38" s="144">
        <v>4.845</v>
      </c>
      <c r="Z38" s="146" t="s">
        <v>27</v>
      </c>
      <c r="AA38" s="89">
        <f>1000*(Y39-Y37)</f>
        <v>60.0000000000005</v>
      </c>
      <c r="AB38" s="80">
        <f>0.5*AA38*(Z37+Z39)</f>
        <v>0</v>
      </c>
    </row>
    <row r="39" spans="3:28" ht="12.75">
      <c r="C39" s="72">
        <v>4.9</v>
      </c>
      <c r="D39" s="74">
        <v>0.6</v>
      </c>
      <c r="E39" s="89"/>
      <c r="F39" s="81">
        <f t="shared" si="0"/>
        <v>0</v>
      </c>
      <c r="I39" s="72">
        <v>4.9</v>
      </c>
      <c r="J39" s="77"/>
      <c r="K39" s="89"/>
      <c r="L39" s="80">
        <f t="shared" si="1"/>
        <v>0</v>
      </c>
      <c r="Q39" s="72">
        <v>4.9</v>
      </c>
      <c r="R39" s="75"/>
      <c r="S39" s="89"/>
      <c r="T39" s="80">
        <f t="shared" si="2"/>
        <v>0</v>
      </c>
      <c r="Y39" s="72">
        <v>4.9</v>
      </c>
      <c r="Z39" s="148"/>
      <c r="AA39" s="89"/>
      <c r="AB39" s="80"/>
    </row>
    <row r="40" spans="3:28" ht="12.75">
      <c r="C40" s="72"/>
      <c r="D40" s="74"/>
      <c r="E40" s="89">
        <f>1000*(C41-C39)</f>
        <v>40.000000000000036</v>
      </c>
      <c r="F40" s="81">
        <f t="shared" si="0"/>
        <v>12.00000000000001</v>
      </c>
      <c r="I40" s="72"/>
      <c r="J40" s="77"/>
      <c r="K40" s="89">
        <f>1000*(I41-I39)</f>
        <v>40.000000000000036</v>
      </c>
      <c r="L40" s="80">
        <f t="shared" si="1"/>
        <v>0</v>
      </c>
      <c r="Q40" s="72"/>
      <c r="R40" s="75"/>
      <c r="S40" s="89">
        <f>1000*(Q41-Q39)</f>
        <v>40.000000000000036</v>
      </c>
      <c r="T40" s="80">
        <f t="shared" si="2"/>
        <v>0</v>
      </c>
      <c r="Y40" s="72"/>
      <c r="Z40" s="75"/>
      <c r="AA40" s="89">
        <f>1000*(Y41-Y39)</f>
        <v>40.000000000000036</v>
      </c>
      <c r="AB40" s="80">
        <f>0.5*AA40*(Z39+Z41)</f>
        <v>0</v>
      </c>
    </row>
    <row r="41" spans="3:28" ht="12.75">
      <c r="C41" s="72">
        <v>4.94</v>
      </c>
      <c r="D41" s="74">
        <v>0</v>
      </c>
      <c r="E41" s="89"/>
      <c r="F41" s="81">
        <f t="shared" si="0"/>
        <v>0</v>
      </c>
      <c r="I41" s="72">
        <v>4.94</v>
      </c>
      <c r="J41" s="77"/>
      <c r="K41" s="89"/>
      <c r="L41" s="80">
        <f t="shared" si="1"/>
        <v>0</v>
      </c>
      <c r="Q41" s="72">
        <v>4.94</v>
      </c>
      <c r="R41" s="75"/>
      <c r="S41" s="89"/>
      <c r="T41" s="80">
        <f t="shared" si="2"/>
        <v>0</v>
      </c>
      <c r="Y41" s="72">
        <v>4.94</v>
      </c>
      <c r="Z41" s="148"/>
      <c r="AA41" s="89"/>
      <c r="AB41" s="80"/>
    </row>
    <row r="42" spans="3:28" ht="12.75">
      <c r="C42" s="72"/>
      <c r="D42" s="74"/>
      <c r="E42" s="89">
        <f>1000*(C43-C41)</f>
        <v>59.99999999999961</v>
      </c>
      <c r="F42" s="81">
        <f t="shared" si="0"/>
        <v>0</v>
      </c>
      <c r="I42" s="72"/>
      <c r="J42" s="77"/>
      <c r="K42" s="89">
        <f>1000*(I43-I41)</f>
        <v>59.99999999999961</v>
      </c>
      <c r="L42" s="80">
        <f t="shared" si="1"/>
        <v>0</v>
      </c>
      <c r="Q42" s="72"/>
      <c r="R42" s="75"/>
      <c r="S42" s="89">
        <f>1000*(Q43-Q41)</f>
        <v>59.99999999999961</v>
      </c>
      <c r="T42" s="80">
        <f t="shared" si="2"/>
        <v>0</v>
      </c>
      <c r="Y42" s="72"/>
      <c r="Z42" s="75"/>
      <c r="AA42" s="89">
        <f>1000*(Y43-Y41)</f>
        <v>59.99999999999961</v>
      </c>
      <c r="AB42" s="80">
        <f>0.5*AA42*(Z41+Z43)</f>
        <v>0</v>
      </c>
    </row>
    <row r="43" spans="3:28" ht="12.75">
      <c r="C43" s="72">
        <v>5</v>
      </c>
      <c r="D43" s="74">
        <v>0</v>
      </c>
      <c r="E43" s="89"/>
      <c r="F43" s="81">
        <f t="shared" si="0"/>
        <v>0</v>
      </c>
      <c r="I43" s="72">
        <v>5</v>
      </c>
      <c r="J43" s="77"/>
      <c r="K43" s="89"/>
      <c r="L43" s="80">
        <f t="shared" si="1"/>
        <v>0</v>
      </c>
      <c r="Q43" s="72">
        <v>5</v>
      </c>
      <c r="R43" s="153"/>
      <c r="S43" s="89"/>
      <c r="T43" s="80">
        <f t="shared" si="2"/>
        <v>0</v>
      </c>
      <c r="Y43" s="72">
        <v>5</v>
      </c>
      <c r="Z43" s="148"/>
      <c r="AA43" s="89"/>
      <c r="AB43" s="80"/>
    </row>
    <row r="44" spans="3:28" ht="12.75">
      <c r="C44" s="72"/>
      <c r="D44" s="74"/>
      <c r="E44" s="89">
        <f>1000*(C45-C43)</f>
        <v>40.000000000000036</v>
      </c>
      <c r="F44" s="81">
        <f t="shared" si="0"/>
        <v>0</v>
      </c>
      <c r="I44" s="72"/>
      <c r="J44" s="77"/>
      <c r="K44" s="89">
        <f>1000*(I45-I43)</f>
        <v>40.000000000000036</v>
      </c>
      <c r="L44" s="80">
        <f aca="true" t="shared" si="3" ref="L44:L75">0.5*K44*(J43+J45)</f>
        <v>0</v>
      </c>
      <c r="Q44" s="72"/>
      <c r="R44" s="75"/>
      <c r="S44" s="89">
        <f>1000*(Q45-Q43)</f>
        <v>40.000000000000036</v>
      </c>
      <c r="T44" s="80">
        <f aca="true" t="shared" si="4" ref="T44:T75">0.5*S44*(R43+R45)</f>
        <v>0</v>
      </c>
      <c r="Y44" s="72"/>
      <c r="Z44" s="75"/>
      <c r="AA44" s="89">
        <f>1000*(Y45-Y43)</f>
        <v>40.000000000000036</v>
      </c>
      <c r="AB44" s="80">
        <f>0.5*AA44*(Z43+Z45)</f>
        <v>0</v>
      </c>
    </row>
    <row r="45" spans="3:28" ht="12.75">
      <c r="C45" s="72">
        <v>5.04</v>
      </c>
      <c r="D45" s="74">
        <v>0</v>
      </c>
      <c r="E45" s="89"/>
      <c r="F45" s="81">
        <f t="shared" si="0"/>
        <v>0</v>
      </c>
      <c r="I45" s="72">
        <v>5.04</v>
      </c>
      <c r="J45" s="77"/>
      <c r="K45" s="89"/>
      <c r="L45" s="80">
        <f t="shared" si="3"/>
        <v>0</v>
      </c>
      <c r="Q45" s="72">
        <v>5.04</v>
      </c>
      <c r="R45" s="153"/>
      <c r="S45" s="89"/>
      <c r="T45" s="80">
        <f t="shared" si="4"/>
        <v>0</v>
      </c>
      <c r="Y45" s="72">
        <v>5.04</v>
      </c>
      <c r="Z45" s="148"/>
      <c r="AA45" s="89"/>
      <c r="AB45" s="80"/>
    </row>
    <row r="46" spans="3:28" ht="12.75">
      <c r="C46" s="72"/>
      <c r="D46" s="74"/>
      <c r="E46" s="89">
        <f>1000*(C47-C45)</f>
        <v>59.99999999999961</v>
      </c>
      <c r="F46" s="81">
        <f t="shared" si="0"/>
        <v>0</v>
      </c>
      <c r="I46" s="72"/>
      <c r="J46" s="77"/>
      <c r="K46" s="89">
        <f>1000*(I47-I45)</f>
        <v>59.99999999999961</v>
      </c>
      <c r="L46" s="80">
        <f t="shared" si="3"/>
        <v>0</v>
      </c>
      <c r="Q46" s="72"/>
      <c r="R46" s="75"/>
      <c r="S46" s="89">
        <f>1000*(Q47-Q45)</f>
        <v>59.99999999999961</v>
      </c>
      <c r="T46" s="80">
        <f t="shared" si="4"/>
        <v>0</v>
      </c>
      <c r="Y46" s="72"/>
      <c r="Z46" s="75"/>
      <c r="AA46" s="89">
        <f>1000*(Y47-Y45)</f>
        <v>59.99999999999961</v>
      </c>
      <c r="AB46" s="80">
        <f>0.5*AA46*(Z45+Z47)</f>
        <v>0</v>
      </c>
    </row>
    <row r="47" spans="3:28" ht="12.75">
      <c r="C47" s="72">
        <v>5.1</v>
      </c>
      <c r="D47" s="74">
        <v>0</v>
      </c>
      <c r="E47" s="89"/>
      <c r="F47" s="81">
        <f t="shared" si="0"/>
        <v>0</v>
      </c>
      <c r="I47" s="72">
        <v>5.1</v>
      </c>
      <c r="J47" s="77"/>
      <c r="K47" s="89"/>
      <c r="L47" s="80">
        <f t="shared" si="3"/>
        <v>0</v>
      </c>
      <c r="Q47" s="72">
        <v>5.1</v>
      </c>
      <c r="R47" s="146"/>
      <c r="S47" s="89"/>
      <c r="T47" s="80">
        <f t="shared" si="4"/>
        <v>0</v>
      </c>
      <c r="Y47" s="72">
        <v>5.1</v>
      </c>
      <c r="Z47" s="148"/>
      <c r="AA47" s="89"/>
      <c r="AB47" s="80"/>
    </row>
    <row r="48" spans="3:28" ht="12.75">
      <c r="C48" s="72"/>
      <c r="D48" s="74"/>
      <c r="E48" s="89">
        <f>1000*(C49-C47)</f>
        <v>40.000000000000036</v>
      </c>
      <c r="F48" s="81">
        <f t="shared" si="0"/>
        <v>5.000000000000004</v>
      </c>
      <c r="I48" s="72"/>
      <c r="J48" s="77"/>
      <c r="K48" s="89">
        <f>1000*(I49-I47)</f>
        <v>40.000000000000036</v>
      </c>
      <c r="L48" s="80">
        <f t="shared" si="3"/>
        <v>0</v>
      </c>
      <c r="Q48" s="72"/>
      <c r="R48" s="75"/>
      <c r="S48" s="89">
        <f>1000*(Q49-Q47)</f>
        <v>40.000000000000036</v>
      </c>
      <c r="T48" s="80">
        <f t="shared" si="4"/>
        <v>0</v>
      </c>
      <c r="Y48" s="72"/>
      <c r="Z48" s="75"/>
      <c r="AA48" s="89">
        <f>1000*(Y49-Y47)</f>
        <v>40.000000000000036</v>
      </c>
      <c r="AB48" s="80">
        <f>0.5*AA48*(Z47+Z49)</f>
        <v>0</v>
      </c>
    </row>
    <row r="49" spans="3:28" ht="12.75">
      <c r="C49" s="72">
        <v>5.14</v>
      </c>
      <c r="D49" s="74">
        <v>0.25</v>
      </c>
      <c r="E49" s="89"/>
      <c r="F49" s="81">
        <f t="shared" si="0"/>
        <v>0</v>
      </c>
      <c r="I49" s="72">
        <v>5.14</v>
      </c>
      <c r="J49" s="77"/>
      <c r="K49" s="89"/>
      <c r="L49" s="80">
        <f t="shared" si="3"/>
        <v>0</v>
      </c>
      <c r="Q49" s="72">
        <v>5.14</v>
      </c>
      <c r="R49" s="75"/>
      <c r="S49" s="89"/>
      <c r="T49" s="80">
        <f t="shared" si="4"/>
        <v>0</v>
      </c>
      <c r="Y49" s="72">
        <v>5.14</v>
      </c>
      <c r="Z49" s="148"/>
      <c r="AA49" s="89"/>
      <c r="AB49" s="80"/>
    </row>
    <row r="50" spans="3:28" ht="12.75">
      <c r="C50" s="72"/>
      <c r="D50" s="74"/>
      <c r="E50" s="89">
        <f>1000*(C51-C49)</f>
        <v>60.0000000000005</v>
      </c>
      <c r="F50" s="81">
        <f t="shared" si="0"/>
        <v>19.500000000000163</v>
      </c>
      <c r="I50" s="72"/>
      <c r="J50" s="77"/>
      <c r="K50" s="89">
        <f>1000*(I51-I49)</f>
        <v>60.0000000000005</v>
      </c>
      <c r="L50" s="80">
        <f t="shared" si="3"/>
        <v>0</v>
      </c>
      <c r="Q50" s="72"/>
      <c r="R50" s="75"/>
      <c r="S50" s="89">
        <f>1000*(Q51-Q49)</f>
        <v>60.0000000000005</v>
      </c>
      <c r="T50" s="80">
        <f t="shared" si="4"/>
        <v>0</v>
      </c>
      <c r="Y50" s="72"/>
      <c r="Z50" s="75"/>
      <c r="AA50" s="89">
        <f>1000*(Y51-Y49)</f>
        <v>60.0000000000005</v>
      </c>
      <c r="AB50" s="80">
        <f>0.5*AA50*(Z49+Z51)</f>
        <v>48.0000000000004</v>
      </c>
    </row>
    <row r="51" spans="3:28" ht="12.75">
      <c r="C51" s="72">
        <v>5.2</v>
      </c>
      <c r="D51" s="74">
        <v>0.4</v>
      </c>
      <c r="E51" s="89"/>
      <c r="F51" s="81">
        <f t="shared" si="0"/>
        <v>0</v>
      </c>
      <c r="I51" s="72">
        <v>5.2</v>
      </c>
      <c r="J51" s="77"/>
      <c r="K51" s="89"/>
      <c r="L51" s="80">
        <f t="shared" si="3"/>
        <v>0</v>
      </c>
      <c r="Q51" s="72">
        <v>5.2</v>
      </c>
      <c r="R51" s="75"/>
      <c r="S51" s="89"/>
      <c r="T51" s="80">
        <f t="shared" si="4"/>
        <v>0</v>
      </c>
      <c r="Y51" s="72">
        <v>5.2</v>
      </c>
      <c r="Z51" s="75">
        <v>1.6</v>
      </c>
      <c r="AA51" s="89"/>
      <c r="AB51" s="80"/>
    </row>
    <row r="52" spans="3:28" ht="12.75">
      <c r="C52" s="72"/>
      <c r="D52" s="74"/>
      <c r="E52" s="89">
        <f>1000*(C53-C51)</f>
        <v>40.000000000000036</v>
      </c>
      <c r="F52" s="81">
        <f t="shared" si="0"/>
        <v>8.000000000000007</v>
      </c>
      <c r="I52" s="72"/>
      <c r="J52" s="77"/>
      <c r="K52" s="89">
        <f>1000*(I53-I51)</f>
        <v>40.000000000000036</v>
      </c>
      <c r="L52" s="80">
        <f t="shared" si="3"/>
        <v>0</v>
      </c>
      <c r="Q52" s="72"/>
      <c r="R52" s="75"/>
      <c r="S52" s="89">
        <f>1000*(Q53-Q51)</f>
        <v>40.000000000000036</v>
      </c>
      <c r="T52" s="80">
        <f t="shared" si="4"/>
        <v>48.00000000000004</v>
      </c>
      <c r="Y52" s="72"/>
      <c r="Z52" s="75"/>
      <c r="AA52" s="89">
        <f>1000*(Y53-Y51)</f>
        <v>40.000000000000036</v>
      </c>
      <c r="AB52" s="80">
        <f>0.5*AA52*(Z51+Z53)</f>
        <v>32.00000000000003</v>
      </c>
    </row>
    <row r="53" spans="3:28" ht="12.75">
      <c r="C53" s="72">
        <v>5.24</v>
      </c>
      <c r="D53" s="74">
        <v>0</v>
      </c>
      <c r="E53" s="89"/>
      <c r="F53" s="81">
        <f t="shared" si="0"/>
        <v>0</v>
      </c>
      <c r="I53" s="72">
        <v>5.24</v>
      </c>
      <c r="J53" s="77"/>
      <c r="K53" s="89"/>
      <c r="L53" s="80">
        <f t="shared" si="3"/>
        <v>0</v>
      </c>
      <c r="Q53" s="72">
        <v>5.24</v>
      </c>
      <c r="R53" s="75">
        <v>2.4</v>
      </c>
      <c r="S53" s="89"/>
      <c r="T53" s="80">
        <f t="shared" si="4"/>
        <v>0</v>
      </c>
      <c r="Y53" s="72">
        <v>5.24</v>
      </c>
      <c r="Z53" s="148"/>
      <c r="AA53" s="89"/>
      <c r="AB53" s="80"/>
    </row>
    <row r="54" spans="3:28" ht="12.75">
      <c r="C54" s="72"/>
      <c r="D54" s="74"/>
      <c r="E54" s="89">
        <f>1000*(C55-C53)</f>
        <v>59.99999999999961</v>
      </c>
      <c r="F54" s="81">
        <f t="shared" si="0"/>
        <v>0</v>
      </c>
      <c r="I54" s="72"/>
      <c r="J54" s="77"/>
      <c r="K54" s="89">
        <f>1000*(I55-I53)</f>
        <v>59.99999999999961</v>
      </c>
      <c r="L54" s="80">
        <f t="shared" si="3"/>
        <v>370.49999999999756</v>
      </c>
      <c r="N54">
        <v>370.5</v>
      </c>
      <c r="Q54" s="72"/>
      <c r="R54" s="75"/>
      <c r="S54" s="89">
        <f>1000*(Q55-Q53)</f>
        <v>59.99999999999961</v>
      </c>
      <c r="T54" s="80">
        <f t="shared" si="4"/>
        <v>446.9999999999971</v>
      </c>
      <c r="Y54" s="72"/>
      <c r="Z54" s="75"/>
      <c r="AA54" s="89">
        <f>1000*(Y55-Y53)</f>
        <v>59.99999999999961</v>
      </c>
      <c r="AB54" s="80">
        <f>0.5*AA54*(Z53+Z55)</f>
        <v>0</v>
      </c>
    </row>
    <row r="55" spans="3:28" ht="12.75">
      <c r="C55" s="72">
        <v>5.3</v>
      </c>
      <c r="D55" s="74">
        <v>0</v>
      </c>
      <c r="E55" s="89"/>
      <c r="F55" s="81">
        <f t="shared" si="0"/>
        <v>0</v>
      </c>
      <c r="I55" s="374">
        <v>5.3</v>
      </c>
      <c r="J55" s="77">
        <v>12.35</v>
      </c>
      <c r="K55" s="89"/>
      <c r="L55" s="80">
        <f t="shared" si="3"/>
        <v>0</v>
      </c>
      <c r="Q55" s="374">
        <v>5.3</v>
      </c>
      <c r="R55" s="150">
        <v>12.5</v>
      </c>
      <c r="S55" s="89"/>
      <c r="T55" s="80">
        <f t="shared" si="4"/>
        <v>0</v>
      </c>
      <c r="Y55" s="374">
        <v>5.3</v>
      </c>
      <c r="Z55" s="318">
        <v>0</v>
      </c>
      <c r="AA55" s="89"/>
      <c r="AB55" s="80"/>
    </row>
    <row r="56" spans="3:28" ht="12.75">
      <c r="C56" s="72"/>
      <c r="D56" s="74"/>
      <c r="E56" s="89">
        <f>1000*(C57-C55)</f>
        <v>40.000000000000036</v>
      </c>
      <c r="F56" s="81">
        <f t="shared" si="0"/>
        <v>0</v>
      </c>
      <c r="I56" s="374"/>
      <c r="J56" s="77"/>
      <c r="K56" s="89">
        <f>1000*(I57-I55)</f>
        <v>40.000000000000036</v>
      </c>
      <c r="L56" s="80">
        <f t="shared" si="3"/>
        <v>355.00000000000034</v>
      </c>
      <c r="N56">
        <v>355</v>
      </c>
      <c r="Q56" s="374"/>
      <c r="R56" s="150"/>
      <c r="S56" s="89">
        <f>1000*(Q57-Q55)</f>
        <v>40.000000000000036</v>
      </c>
      <c r="T56" s="80">
        <f t="shared" si="4"/>
        <v>358.0000000000003</v>
      </c>
      <c r="Y56" s="374"/>
      <c r="Z56" s="319"/>
      <c r="AA56" s="89">
        <f>1000*(Y57-Y55)</f>
        <v>40.000000000000036</v>
      </c>
      <c r="AB56" s="80">
        <f>0.5*AA56*(Z55+Z57)</f>
        <v>0</v>
      </c>
    </row>
    <row r="57" spans="3:28" ht="12.75">
      <c r="C57" s="72">
        <v>5.34</v>
      </c>
      <c r="D57" s="74">
        <v>0</v>
      </c>
      <c r="E57" s="89"/>
      <c r="F57" s="81">
        <f t="shared" si="0"/>
        <v>0</v>
      </c>
      <c r="I57" s="374">
        <v>5.34</v>
      </c>
      <c r="J57" s="77">
        <v>5.4</v>
      </c>
      <c r="K57" s="89"/>
      <c r="L57" s="80">
        <f t="shared" si="3"/>
        <v>0</v>
      </c>
      <c r="Q57" s="374">
        <v>5.34</v>
      </c>
      <c r="R57" s="150">
        <v>5.4</v>
      </c>
      <c r="S57" s="89"/>
      <c r="T57" s="80">
        <f t="shared" si="4"/>
        <v>0</v>
      </c>
      <c r="Y57" s="374">
        <v>5.34</v>
      </c>
      <c r="Z57" s="318">
        <v>0</v>
      </c>
      <c r="AA57" s="89"/>
      <c r="AB57" s="80"/>
    </row>
    <row r="58" spans="3:28" ht="12.75">
      <c r="C58" s="72"/>
      <c r="D58" s="74"/>
      <c r="E58" s="89">
        <f>1000*(C59-C57)</f>
        <v>60.0000000000005</v>
      </c>
      <c r="F58" s="81">
        <f t="shared" si="0"/>
        <v>0</v>
      </c>
      <c r="I58" s="374"/>
      <c r="J58" s="77"/>
      <c r="K58" s="89">
        <f>1000*(I59-I57)</f>
        <v>60.0000000000005</v>
      </c>
      <c r="L58" s="80">
        <f t="shared" si="3"/>
        <v>264.0000000000022</v>
      </c>
      <c r="N58" s="2">
        <f>L58</f>
        <v>264.0000000000022</v>
      </c>
      <c r="Q58" s="374"/>
      <c r="R58" s="150"/>
      <c r="S58" s="89">
        <f>1000*(Q59-Q57)</f>
        <v>60.0000000000005</v>
      </c>
      <c r="T58" s="80">
        <f t="shared" si="4"/>
        <v>246.00000000000202</v>
      </c>
      <c r="Y58" s="374"/>
      <c r="Z58" s="319"/>
      <c r="AA58" s="89">
        <f>1000*(Y59-Y57)</f>
        <v>60.0000000000005</v>
      </c>
      <c r="AB58" s="80">
        <f>0.5*AA58*(Z57+Z59)</f>
        <v>0</v>
      </c>
    </row>
    <row r="59" spans="3:28" ht="12.75">
      <c r="C59" s="72">
        <v>5.4</v>
      </c>
      <c r="D59" s="74">
        <v>0</v>
      </c>
      <c r="E59" s="89"/>
      <c r="F59" s="81">
        <f t="shared" si="0"/>
        <v>0</v>
      </c>
      <c r="I59" s="374">
        <v>5.4</v>
      </c>
      <c r="J59" s="77">
        <v>3.4</v>
      </c>
      <c r="K59" s="89"/>
      <c r="L59" s="80">
        <f t="shared" si="3"/>
        <v>0</v>
      </c>
      <c r="Q59" s="374">
        <v>5.4</v>
      </c>
      <c r="R59" s="150">
        <v>2.8</v>
      </c>
      <c r="S59" s="89"/>
      <c r="T59" s="80">
        <f t="shared" si="4"/>
        <v>0</v>
      </c>
      <c r="Y59" s="374">
        <v>5.4</v>
      </c>
      <c r="Z59" s="318">
        <v>0</v>
      </c>
      <c r="AA59" s="89"/>
      <c r="AB59" s="80"/>
    </row>
    <row r="60" spans="3:28" ht="12.75">
      <c r="C60" s="72"/>
      <c r="D60" s="74"/>
      <c r="E60" s="89">
        <f>1000*(C61-C59)</f>
        <v>40.000000000000036</v>
      </c>
      <c r="F60" s="81">
        <f t="shared" si="0"/>
        <v>0</v>
      </c>
      <c r="I60" s="72"/>
      <c r="J60" s="377"/>
      <c r="K60" s="89">
        <f>1000*(I61-I59)</f>
        <v>40.000000000000036</v>
      </c>
      <c r="L60" s="80">
        <f t="shared" si="3"/>
        <v>506.0000000000004</v>
      </c>
      <c r="N60">
        <f>L60*0.5</f>
        <v>253.0000000000002</v>
      </c>
      <c r="Q60" s="72"/>
      <c r="R60" s="150"/>
      <c r="S60" s="89">
        <f>1000*(Q61-Q59)</f>
        <v>40.000000000000036</v>
      </c>
      <c r="T60" s="80">
        <f t="shared" si="4"/>
        <v>316.0000000000003</v>
      </c>
      <c r="Y60" s="72"/>
      <c r="Z60" s="75"/>
      <c r="AA60" s="89">
        <f>1000*(Y61-Y59)</f>
        <v>40.000000000000036</v>
      </c>
      <c r="AB60" s="80">
        <f>0.5*AA60*(Z59+Z61)</f>
        <v>0</v>
      </c>
    </row>
    <row r="61" spans="3:28" ht="12.75">
      <c r="C61" s="72">
        <v>5.44</v>
      </c>
      <c r="D61" s="74">
        <v>0</v>
      </c>
      <c r="E61" s="89"/>
      <c r="F61" s="81">
        <f t="shared" si="0"/>
        <v>0</v>
      </c>
      <c r="I61" s="72">
        <v>5.44</v>
      </c>
      <c r="J61" s="377">
        <v>21.9</v>
      </c>
      <c r="K61" s="89"/>
      <c r="L61" s="80">
        <f t="shared" si="3"/>
        <v>0</v>
      </c>
      <c r="Q61" s="72">
        <v>5.44</v>
      </c>
      <c r="R61" s="150">
        <v>13</v>
      </c>
      <c r="S61" s="89"/>
      <c r="T61" s="80">
        <f t="shared" si="4"/>
        <v>0</v>
      </c>
      <c r="Y61" s="72">
        <v>5.44</v>
      </c>
      <c r="Z61" s="148"/>
      <c r="AA61" s="89"/>
      <c r="AB61" s="80"/>
    </row>
    <row r="62" spans="3:28" ht="12.75">
      <c r="C62" s="72"/>
      <c r="D62" s="75"/>
      <c r="E62" s="89">
        <f>1000*(C63-C61)</f>
        <v>59.99999999999961</v>
      </c>
      <c r="F62" s="81">
        <f t="shared" si="0"/>
        <v>0</v>
      </c>
      <c r="I62" s="72"/>
      <c r="J62" s="377"/>
      <c r="K62" s="89">
        <f>1000*(I63-I61)</f>
        <v>59.99999999999961</v>
      </c>
      <c r="L62" s="80">
        <f t="shared" si="3"/>
        <v>1385.9999999999911</v>
      </c>
      <c r="M62" s="376" t="s">
        <v>374</v>
      </c>
      <c r="Q62" s="72"/>
      <c r="R62" s="150"/>
      <c r="S62" s="89">
        <f>1000*(Q63-Q61)</f>
        <v>59.99999999999961</v>
      </c>
      <c r="T62" s="80">
        <f t="shared" si="4"/>
        <v>698.9999999999955</v>
      </c>
      <c r="Y62" s="72"/>
      <c r="Z62" s="148" t="s">
        <v>83</v>
      </c>
      <c r="AA62" s="89">
        <f>1000*(Y63-Y61)</f>
        <v>59.99999999999961</v>
      </c>
      <c r="AB62" s="80">
        <f>0.5*AA62*(Z61+Z63)</f>
        <v>0</v>
      </c>
    </row>
    <row r="63" spans="3:28" ht="12.75">
      <c r="C63" s="72">
        <v>5.5</v>
      </c>
      <c r="D63" s="74">
        <v>0</v>
      </c>
      <c r="E63" s="89"/>
      <c r="F63" s="81">
        <f t="shared" si="0"/>
        <v>0</v>
      </c>
      <c r="I63" s="72">
        <v>5.5</v>
      </c>
      <c r="J63" s="377">
        <v>24.3</v>
      </c>
      <c r="K63" s="89"/>
      <c r="L63" s="80">
        <f t="shared" si="3"/>
        <v>0</v>
      </c>
      <c r="Q63" s="72">
        <v>5.5</v>
      </c>
      <c r="R63" s="150">
        <v>10.3</v>
      </c>
      <c r="S63" s="89"/>
      <c r="T63" s="80">
        <f t="shared" si="4"/>
        <v>0</v>
      </c>
      <c r="Y63" s="72">
        <v>5.5</v>
      </c>
      <c r="Z63" s="81"/>
      <c r="AA63" s="89"/>
      <c r="AB63" s="80"/>
    </row>
    <row r="64" spans="3:28" ht="12.75">
      <c r="C64" s="72"/>
      <c r="D64" s="74"/>
      <c r="E64" s="89">
        <f>1000*(C65-C63)</f>
        <v>40.000000000000036</v>
      </c>
      <c r="F64" s="81">
        <f t="shared" si="0"/>
        <v>0</v>
      </c>
      <c r="I64" s="72"/>
      <c r="J64" s="377"/>
      <c r="K64" s="89">
        <f>1000*(I65-I63)</f>
        <v>40.000000000000036</v>
      </c>
      <c r="L64" s="80">
        <f t="shared" si="3"/>
        <v>624.0000000000006</v>
      </c>
      <c r="Q64" s="72"/>
      <c r="R64" s="150"/>
      <c r="S64" s="89">
        <f>1000*(Q65-Q63)</f>
        <v>40.000000000000036</v>
      </c>
      <c r="T64" s="80">
        <f t="shared" si="4"/>
        <v>354.0000000000004</v>
      </c>
      <c r="Y64" s="72"/>
      <c r="Z64" s="81"/>
      <c r="AA64" s="89">
        <f>1000*(Y65-Y63)</f>
        <v>40.000000000000036</v>
      </c>
      <c r="AB64" s="80">
        <f>0.5*AA64*(Z63+Z65)</f>
        <v>0</v>
      </c>
    </row>
    <row r="65" spans="3:28" ht="12.75">
      <c r="C65" s="72">
        <v>5.54</v>
      </c>
      <c r="D65" s="74">
        <v>0</v>
      </c>
      <c r="E65" s="89"/>
      <c r="F65" s="81">
        <f t="shared" si="0"/>
        <v>0</v>
      </c>
      <c r="I65" s="72">
        <v>5.54</v>
      </c>
      <c r="J65" s="377">
        <v>6.9</v>
      </c>
      <c r="K65" s="89"/>
      <c r="L65" s="80">
        <f t="shared" si="3"/>
        <v>0</v>
      </c>
      <c r="Q65" s="72">
        <v>5.54</v>
      </c>
      <c r="R65" s="150">
        <v>7.4</v>
      </c>
      <c r="S65" s="89"/>
      <c r="T65" s="80">
        <f t="shared" si="4"/>
        <v>0</v>
      </c>
      <c r="Y65" s="72">
        <v>5.54</v>
      </c>
      <c r="Z65" s="81"/>
      <c r="AA65" s="89"/>
      <c r="AB65" s="80"/>
    </row>
    <row r="66" spans="3:28" ht="12.75">
      <c r="C66" s="72"/>
      <c r="D66" s="74"/>
      <c r="E66" s="89">
        <f>1000*(C67-C65)</f>
        <v>59.99999999999961</v>
      </c>
      <c r="F66" s="81">
        <f t="shared" si="0"/>
        <v>0</v>
      </c>
      <c r="I66" s="72"/>
      <c r="J66" s="377"/>
      <c r="K66" s="89">
        <f>1000*(I67-I65)</f>
        <v>59.99999999999961</v>
      </c>
      <c r="L66" s="80">
        <f t="shared" si="3"/>
        <v>233.9999999999985</v>
      </c>
      <c r="Q66" s="72"/>
      <c r="R66" s="150"/>
      <c r="S66" s="89">
        <f>1000*(Q67-Q65)</f>
        <v>59.99999999999961</v>
      </c>
      <c r="T66" s="80">
        <f t="shared" si="4"/>
        <v>539.9999999999965</v>
      </c>
      <c r="Y66" s="72"/>
      <c r="Z66" s="81"/>
      <c r="AA66" s="89">
        <f>1000*(Y67-Y65)</f>
        <v>59.99999999999961</v>
      </c>
      <c r="AB66" s="80">
        <f>0.5*AA66*(Z65+Z67)</f>
        <v>0</v>
      </c>
    </row>
    <row r="67" spans="3:28" ht="12.75">
      <c r="C67" s="72">
        <v>5.6</v>
      </c>
      <c r="D67" s="74">
        <v>0</v>
      </c>
      <c r="E67" s="89"/>
      <c r="F67" s="81">
        <f t="shared" si="0"/>
        <v>0</v>
      </c>
      <c r="I67" s="72">
        <v>5.6</v>
      </c>
      <c r="J67" s="377">
        <v>0.9</v>
      </c>
      <c r="K67" s="89"/>
      <c r="L67" s="80">
        <f t="shared" si="3"/>
        <v>0</v>
      </c>
      <c r="Q67" s="72">
        <v>5.6</v>
      </c>
      <c r="R67" s="150">
        <v>10.6</v>
      </c>
      <c r="S67" s="89"/>
      <c r="T67" s="80">
        <f t="shared" si="4"/>
        <v>0</v>
      </c>
      <c r="Y67" s="72">
        <v>5.6</v>
      </c>
      <c r="Z67" s="81"/>
      <c r="AA67" s="89"/>
      <c r="AB67" s="80"/>
    </row>
    <row r="68" spans="3:28" ht="12.75">
      <c r="C68" s="72"/>
      <c r="D68" s="74"/>
      <c r="E68" s="89">
        <f>1000*(C69-C67)</f>
        <v>40.000000000000036</v>
      </c>
      <c r="F68" s="81">
        <f t="shared" si="0"/>
        <v>0</v>
      </c>
      <c r="I68" s="72"/>
      <c r="J68" s="377"/>
      <c r="K68" s="89">
        <f>1000*(I69-I67)</f>
        <v>40.000000000000036</v>
      </c>
      <c r="L68" s="80">
        <f t="shared" si="3"/>
        <v>260.0000000000002</v>
      </c>
      <c r="Q68" s="72"/>
      <c r="R68" s="150"/>
      <c r="S68" s="89">
        <f>1000*(Q69-Q67)</f>
        <v>40.000000000000036</v>
      </c>
      <c r="T68" s="80">
        <f t="shared" si="4"/>
        <v>372.00000000000034</v>
      </c>
      <c r="Y68" s="72"/>
      <c r="Z68" s="81"/>
      <c r="AA68" s="89">
        <f>1000*(Y69-Y67)</f>
        <v>40.000000000000036</v>
      </c>
      <c r="AB68" s="80">
        <f>0.5*AA68*(Z67+Z69)</f>
        <v>0</v>
      </c>
    </row>
    <row r="69" spans="3:28" ht="12.75">
      <c r="C69" s="72">
        <v>5.64</v>
      </c>
      <c r="D69" s="74">
        <v>0</v>
      </c>
      <c r="E69" s="89"/>
      <c r="F69" s="81">
        <f t="shared" si="0"/>
        <v>0</v>
      </c>
      <c r="I69" s="72">
        <v>5.64</v>
      </c>
      <c r="J69" s="377">
        <v>12.1</v>
      </c>
      <c r="K69" s="89"/>
      <c r="L69" s="80">
        <f t="shared" si="3"/>
        <v>0</v>
      </c>
      <c r="Q69" s="72">
        <v>5.64</v>
      </c>
      <c r="R69" s="150">
        <v>8</v>
      </c>
      <c r="S69" s="89"/>
      <c r="T69" s="80">
        <f t="shared" si="4"/>
        <v>0</v>
      </c>
      <c r="Y69" s="72">
        <v>5.64</v>
      </c>
      <c r="Z69" s="81"/>
      <c r="AA69" s="89"/>
      <c r="AB69" s="80"/>
    </row>
    <row r="70" spans="3:28" ht="12.75">
      <c r="C70" s="72"/>
      <c r="D70" s="74"/>
      <c r="E70" s="89">
        <f>1000*(C71-C69)</f>
        <v>60.0000000000005</v>
      </c>
      <c r="F70" s="81">
        <f t="shared" si="0"/>
        <v>0</v>
      </c>
      <c r="I70" s="72"/>
      <c r="J70" s="377"/>
      <c r="K70" s="89">
        <f>1000*(I71-I69)</f>
        <v>60.0000000000005</v>
      </c>
      <c r="L70" s="80">
        <f t="shared" si="3"/>
        <v>435.0000000000036</v>
      </c>
      <c r="Q70" s="72"/>
      <c r="R70" s="150"/>
      <c r="S70" s="89">
        <f>1000*(Q71-Q69)</f>
        <v>60.0000000000005</v>
      </c>
      <c r="T70" s="80">
        <f t="shared" si="4"/>
        <v>375.0000000000031</v>
      </c>
      <c r="Y70" s="72"/>
      <c r="Z70" s="81"/>
      <c r="AA70" s="89">
        <f>1000*(Y71-Y69)</f>
        <v>60.0000000000005</v>
      </c>
      <c r="AB70" s="80">
        <f>0.5*AA70*(Z69+Z71)</f>
        <v>0</v>
      </c>
    </row>
    <row r="71" spans="3:28" ht="12.75">
      <c r="C71" s="72">
        <v>5.7</v>
      </c>
      <c r="D71" s="74">
        <v>0</v>
      </c>
      <c r="E71" s="89"/>
      <c r="F71" s="81">
        <f t="shared" si="0"/>
        <v>0</v>
      </c>
      <c r="I71" s="72">
        <v>5.7</v>
      </c>
      <c r="J71" s="377">
        <v>2.4</v>
      </c>
      <c r="K71" s="89"/>
      <c r="L71" s="80">
        <f t="shared" si="3"/>
        <v>0</v>
      </c>
      <c r="Q71" s="72">
        <v>5.7</v>
      </c>
      <c r="R71" s="150">
        <v>4.5</v>
      </c>
      <c r="S71" s="89"/>
      <c r="T71" s="80">
        <f t="shared" si="4"/>
        <v>0</v>
      </c>
      <c r="Y71" s="72">
        <v>5.7</v>
      </c>
      <c r="Z71" s="81"/>
      <c r="AA71" s="89"/>
      <c r="AB71" s="80"/>
    </row>
    <row r="72" spans="3:28" ht="12.75">
      <c r="C72" s="72"/>
      <c r="D72" s="74"/>
      <c r="E72" s="89">
        <f>1000*(C73-C71)</f>
        <v>40.000000000000036</v>
      </c>
      <c r="F72" s="81">
        <f t="shared" si="0"/>
        <v>0</v>
      </c>
      <c r="I72" s="72"/>
      <c r="J72" s="377"/>
      <c r="K72" s="89">
        <f>1000*(I73-I71)</f>
        <v>40.000000000000036</v>
      </c>
      <c r="L72" s="80">
        <f t="shared" si="3"/>
        <v>72.00000000000006</v>
      </c>
      <c r="Q72" s="72"/>
      <c r="R72" s="150"/>
      <c r="S72" s="89">
        <f>1000*(Q73-Q71)</f>
        <v>40.000000000000036</v>
      </c>
      <c r="T72" s="80">
        <f t="shared" si="4"/>
        <v>170.00000000000014</v>
      </c>
      <c r="Y72" s="72"/>
      <c r="Z72" s="81"/>
      <c r="AA72" s="89">
        <f>1000*(Y73-Y71)</f>
        <v>40.000000000000036</v>
      </c>
      <c r="AB72" s="80">
        <f>0.5*AA72*(Z71+Z73)</f>
        <v>0</v>
      </c>
    </row>
    <row r="73" spans="3:28" ht="12.75">
      <c r="C73" s="72">
        <v>5.74</v>
      </c>
      <c r="D73" s="74">
        <v>0</v>
      </c>
      <c r="E73" s="89"/>
      <c r="F73" s="81">
        <f t="shared" si="0"/>
        <v>0</v>
      </c>
      <c r="I73" s="72">
        <v>5.74</v>
      </c>
      <c r="J73" s="377">
        <v>1.2</v>
      </c>
      <c r="K73" s="89"/>
      <c r="L73" s="80">
        <f t="shared" si="3"/>
        <v>0</v>
      </c>
      <c r="Q73" s="72">
        <v>5.74</v>
      </c>
      <c r="R73" s="150">
        <v>4</v>
      </c>
      <c r="S73" s="89"/>
      <c r="T73" s="80">
        <f t="shared" si="4"/>
        <v>0</v>
      </c>
      <c r="Y73" s="72">
        <v>5.74</v>
      </c>
      <c r="Z73" s="81"/>
      <c r="AA73" s="89"/>
      <c r="AB73" s="80"/>
    </row>
    <row r="74" spans="3:28" ht="12.75">
      <c r="C74" s="72"/>
      <c r="D74" s="74"/>
      <c r="E74" s="89">
        <f>1000*(C75-C73)</f>
        <v>59.99999999999961</v>
      </c>
      <c r="F74" s="81">
        <f t="shared" si="0"/>
        <v>0</v>
      </c>
      <c r="I74" s="72"/>
      <c r="J74" s="377"/>
      <c r="K74" s="89">
        <f>1000*(I75-I73)</f>
        <v>59.99999999999961</v>
      </c>
      <c r="L74" s="80">
        <f t="shared" si="3"/>
        <v>206.99999999999866</v>
      </c>
      <c r="Q74" s="72"/>
      <c r="R74" s="150"/>
      <c r="S74" s="89">
        <f>1000*(Q75-Q73)</f>
        <v>59.99999999999961</v>
      </c>
      <c r="T74" s="80">
        <f t="shared" si="4"/>
        <v>305.999999999998</v>
      </c>
      <c r="Y74" s="72"/>
      <c r="Z74" s="81"/>
      <c r="AA74" s="89">
        <f>1000*(Y75-Y73)</f>
        <v>59.99999999999961</v>
      </c>
      <c r="AB74" s="80">
        <f>0.5*AA74*(Z73+Z75)</f>
        <v>0</v>
      </c>
    </row>
    <row r="75" spans="3:28" ht="12.75">
      <c r="C75" s="72">
        <v>5.8</v>
      </c>
      <c r="D75" s="74">
        <v>0</v>
      </c>
      <c r="E75" s="89"/>
      <c r="F75" s="81">
        <f aca="true" t="shared" si="5" ref="F75:F85">0.5*E75*(D74+D76)</f>
        <v>0</v>
      </c>
      <c r="I75" s="72">
        <v>5.8</v>
      </c>
      <c r="J75" s="377">
        <v>5.7</v>
      </c>
      <c r="K75" s="89"/>
      <c r="L75" s="80">
        <f t="shared" si="3"/>
        <v>0</v>
      </c>
      <c r="Q75" s="72">
        <v>5.8</v>
      </c>
      <c r="R75" s="150">
        <v>6.2</v>
      </c>
      <c r="S75" s="89"/>
      <c r="T75" s="80">
        <f t="shared" si="4"/>
        <v>0</v>
      </c>
      <c r="Y75" s="72">
        <v>5.8</v>
      </c>
      <c r="Z75" s="81"/>
      <c r="AA75" s="89"/>
      <c r="AB75" s="80"/>
    </row>
    <row r="76" spans="3:28" ht="12.75">
      <c r="C76" s="72"/>
      <c r="D76" s="74"/>
      <c r="E76" s="89">
        <f>1000*(C77-C75)</f>
        <v>40.000000000000036</v>
      </c>
      <c r="F76" s="81">
        <f t="shared" si="5"/>
        <v>0</v>
      </c>
      <c r="I76" s="72"/>
      <c r="J76" s="377"/>
      <c r="K76" s="89">
        <f>1000*(I77-I75)</f>
        <v>40.000000000000036</v>
      </c>
      <c r="L76" s="80">
        <f aca="true" t="shared" si="6" ref="L76:L107">0.5*K76*(J75+J77)</f>
        <v>410.00000000000034</v>
      </c>
      <c r="Q76" s="72"/>
      <c r="R76" s="239"/>
      <c r="S76" s="89">
        <f>1000*(Q77-Q75)</f>
        <v>40.000000000000036</v>
      </c>
      <c r="T76" s="80">
        <f aca="true" t="shared" si="7" ref="T76:T107">0.5*S76*(R75+R77)</f>
        <v>420.0000000000004</v>
      </c>
      <c r="Y76" s="72"/>
      <c r="Z76" s="81"/>
      <c r="AA76" s="89">
        <f>1000*(Y77-Y75)</f>
        <v>40.000000000000036</v>
      </c>
      <c r="AB76" s="80">
        <f aca="true" t="shared" si="8" ref="AB76:AB104">0.5*AA76*(Z75+Z77)</f>
        <v>0</v>
      </c>
    </row>
    <row r="77" spans="3:28" ht="12.75">
      <c r="C77" s="72">
        <v>5.84</v>
      </c>
      <c r="D77" s="74">
        <v>0</v>
      </c>
      <c r="E77" s="89"/>
      <c r="F77" s="81">
        <f t="shared" si="5"/>
        <v>0</v>
      </c>
      <c r="I77" s="72">
        <v>5.84</v>
      </c>
      <c r="J77" s="377">
        <v>14.8</v>
      </c>
      <c r="K77" s="89"/>
      <c r="L77" s="80">
        <f t="shared" si="6"/>
        <v>0</v>
      </c>
      <c r="Q77" s="72">
        <v>5.84</v>
      </c>
      <c r="R77" s="150">
        <v>14.8</v>
      </c>
      <c r="S77" s="89"/>
      <c r="T77" s="80">
        <f t="shared" si="7"/>
        <v>0</v>
      </c>
      <c r="Y77" s="72">
        <v>5.84</v>
      </c>
      <c r="Z77" s="81"/>
      <c r="AA77" s="89"/>
      <c r="AB77" s="80"/>
    </row>
    <row r="78" spans="3:28" ht="12.75">
      <c r="C78" s="72"/>
      <c r="D78" s="74"/>
      <c r="E78" s="89">
        <f>1000*(C79-C77)</f>
        <v>60.0000000000005</v>
      </c>
      <c r="F78" s="81">
        <f t="shared" si="5"/>
        <v>0</v>
      </c>
      <c r="I78" s="72"/>
      <c r="J78" s="377"/>
      <c r="K78" s="89">
        <f>1000*(I79-I77)</f>
        <v>60.0000000000005</v>
      </c>
      <c r="L78" s="80">
        <f t="shared" si="6"/>
        <v>468.0000000000039</v>
      </c>
      <c r="Q78" s="72"/>
      <c r="R78" s="150"/>
      <c r="S78" s="89">
        <f>1000*(Q79-Q77)</f>
        <v>60.0000000000005</v>
      </c>
      <c r="T78" s="80">
        <f t="shared" si="7"/>
        <v>444.0000000000037</v>
      </c>
      <c r="Y78" s="72"/>
      <c r="Z78" s="81"/>
      <c r="AA78" s="89">
        <f>1000*(Y79-Y77)</f>
        <v>60.0000000000005</v>
      </c>
      <c r="AB78" s="80">
        <f t="shared" si="8"/>
        <v>0</v>
      </c>
    </row>
    <row r="79" spans="3:28" ht="12.75">
      <c r="C79" s="72">
        <v>5.9</v>
      </c>
      <c r="D79" s="74">
        <v>0</v>
      </c>
      <c r="E79" s="89"/>
      <c r="F79" s="81">
        <f t="shared" si="5"/>
        <v>0</v>
      </c>
      <c r="I79" s="72">
        <v>5.9</v>
      </c>
      <c r="J79" s="377">
        <v>0.8</v>
      </c>
      <c r="K79" s="89"/>
      <c r="L79" s="80">
        <f t="shared" si="6"/>
        <v>0</v>
      </c>
      <c r="Q79" s="72">
        <v>5.9</v>
      </c>
      <c r="R79" s="150">
        <v>0</v>
      </c>
      <c r="S79" s="89"/>
      <c r="T79" s="80">
        <f t="shared" si="7"/>
        <v>0</v>
      </c>
      <c r="Y79" s="72">
        <v>5.9</v>
      </c>
      <c r="Z79" s="81"/>
      <c r="AA79" s="89"/>
      <c r="AB79" s="80"/>
    </row>
    <row r="80" spans="3:28" ht="12.75">
      <c r="C80" s="72"/>
      <c r="D80" s="74"/>
      <c r="E80" s="89">
        <f>1000*(C81-C79)</f>
        <v>40.000000000000036</v>
      </c>
      <c r="F80" s="81">
        <f t="shared" si="5"/>
        <v>0</v>
      </c>
      <c r="I80" s="72"/>
      <c r="J80" s="377"/>
      <c r="K80" s="89">
        <f>1000*(I81-I79)</f>
        <v>40.000000000000036</v>
      </c>
      <c r="L80" s="80">
        <f t="shared" si="6"/>
        <v>16.000000000000014</v>
      </c>
      <c r="Q80" s="72"/>
      <c r="R80" s="150"/>
      <c r="S80" s="89">
        <f>1000*(Q81-Q79)</f>
        <v>40.000000000000036</v>
      </c>
      <c r="T80" s="80">
        <f t="shared" si="7"/>
        <v>0</v>
      </c>
      <c r="Y80" s="72"/>
      <c r="Z80" s="81"/>
      <c r="AA80" s="89">
        <f>1000*(Y81-Y79)</f>
        <v>40.000000000000036</v>
      </c>
      <c r="AB80" s="80">
        <f t="shared" si="8"/>
        <v>0</v>
      </c>
    </row>
    <row r="81" spans="3:28" ht="12.75">
      <c r="C81" s="72">
        <v>5.94</v>
      </c>
      <c r="D81" s="74">
        <v>0</v>
      </c>
      <c r="E81" s="89"/>
      <c r="F81" s="81">
        <f t="shared" si="5"/>
        <v>0</v>
      </c>
      <c r="I81" s="72">
        <v>5.94</v>
      </c>
      <c r="J81" s="77"/>
      <c r="K81" s="89"/>
      <c r="L81" s="80">
        <f t="shared" si="6"/>
        <v>0</v>
      </c>
      <c r="Q81" s="72">
        <v>5.94</v>
      </c>
      <c r="R81" s="75"/>
      <c r="S81" s="89"/>
      <c r="T81" s="80">
        <f t="shared" si="7"/>
        <v>0</v>
      </c>
      <c r="Y81" s="72">
        <v>5.94</v>
      </c>
      <c r="Z81" s="81"/>
      <c r="AA81" s="89"/>
      <c r="AB81" s="80"/>
    </row>
    <row r="82" spans="3:28" ht="12.75">
      <c r="C82" s="144">
        <v>5.967</v>
      </c>
      <c r="D82" s="74"/>
      <c r="E82" s="89">
        <f>1000*(C83-C81)</f>
        <v>40.000000000000036</v>
      </c>
      <c r="F82" s="81">
        <f t="shared" si="5"/>
        <v>0</v>
      </c>
      <c r="I82" s="144">
        <v>5.967</v>
      </c>
      <c r="J82" s="77"/>
      <c r="K82" s="89">
        <f>1000*(I83-I81)</f>
        <v>40.000000000000036</v>
      </c>
      <c r="L82" s="80">
        <f t="shared" si="6"/>
        <v>0</v>
      </c>
      <c r="Q82" s="144">
        <v>5.967</v>
      </c>
      <c r="R82" s="75"/>
      <c r="S82" s="89">
        <f>1000*(Q83-Q81)</f>
        <v>40.000000000000036</v>
      </c>
      <c r="T82" s="80">
        <f t="shared" si="7"/>
        <v>0</v>
      </c>
      <c r="Y82" s="144">
        <v>5.967</v>
      </c>
      <c r="Z82" s="152" t="s">
        <v>27</v>
      </c>
      <c r="AA82" s="89">
        <f>1000*(Y83-Y81)</f>
        <v>40.000000000000036</v>
      </c>
      <c r="AB82" s="80">
        <f t="shared" si="8"/>
        <v>0</v>
      </c>
    </row>
    <row r="83" spans="3:28" ht="12.75">
      <c r="C83" s="72">
        <v>5.98</v>
      </c>
      <c r="D83" s="74"/>
      <c r="E83" s="89"/>
      <c r="F83" s="81">
        <f t="shared" si="5"/>
        <v>0</v>
      </c>
      <c r="I83" s="72">
        <v>5.98</v>
      </c>
      <c r="J83" s="77"/>
      <c r="K83" s="89"/>
      <c r="L83" s="80">
        <f t="shared" si="6"/>
        <v>0</v>
      </c>
      <c r="Q83" s="72">
        <v>5.98</v>
      </c>
      <c r="R83" s="75"/>
      <c r="S83" s="89"/>
      <c r="T83" s="80">
        <f t="shared" si="7"/>
        <v>0</v>
      </c>
      <c r="Y83" s="72">
        <v>5.98</v>
      </c>
      <c r="Z83" s="146"/>
      <c r="AA83" s="89"/>
      <c r="AB83" s="80"/>
    </row>
    <row r="84" spans="3:28" ht="12.75">
      <c r="C84" s="72"/>
      <c r="D84" s="74"/>
      <c r="E84" s="89">
        <f>1000*(C85-C83)</f>
        <v>59.99999999999961</v>
      </c>
      <c r="F84" s="81">
        <f t="shared" si="5"/>
        <v>0</v>
      </c>
      <c r="I84" s="72"/>
      <c r="J84" s="77"/>
      <c r="K84" s="89">
        <f>1000*(I85-I83)</f>
        <v>59.99999999999961</v>
      </c>
      <c r="L84" s="80">
        <f t="shared" si="6"/>
        <v>0</v>
      </c>
      <c r="N84" s="317">
        <f>SUM(N54:N61)</f>
        <v>1242.5000000000025</v>
      </c>
      <c r="Q84" s="72"/>
      <c r="R84" s="75"/>
      <c r="S84" s="89">
        <f>1000*(Q85-Q83)</f>
        <v>59.99999999999961</v>
      </c>
      <c r="T84" s="80">
        <f t="shared" si="7"/>
        <v>0</v>
      </c>
      <c r="Y84" s="72"/>
      <c r="Z84" s="81"/>
      <c r="AA84" s="89">
        <f>1000*(Y85-Y83)</f>
        <v>59.99999999999961</v>
      </c>
      <c r="AB84" s="80">
        <f t="shared" si="8"/>
        <v>0</v>
      </c>
    </row>
    <row r="85" spans="3:28" ht="12.75">
      <c r="C85" s="72">
        <v>6.04</v>
      </c>
      <c r="D85" s="74"/>
      <c r="E85" s="89"/>
      <c r="F85" s="81">
        <f t="shared" si="5"/>
        <v>0</v>
      </c>
      <c r="I85" s="72">
        <v>6.04</v>
      </c>
      <c r="J85" s="77"/>
      <c r="K85" s="89"/>
      <c r="L85" s="80">
        <f t="shared" si="6"/>
        <v>0</v>
      </c>
      <c r="Q85" s="72">
        <v>6.04</v>
      </c>
      <c r="R85" s="75"/>
      <c r="S85" s="89"/>
      <c r="T85" s="80">
        <f t="shared" si="7"/>
        <v>0</v>
      </c>
      <c r="Y85" s="72">
        <v>6.04</v>
      </c>
      <c r="Z85" s="146"/>
      <c r="AA85" s="89"/>
      <c r="AB85" s="80"/>
    </row>
    <row r="86" spans="3:28" ht="12.75">
      <c r="C86" s="72"/>
      <c r="D86" s="74"/>
      <c r="E86" s="89">
        <f>1000*(C87-C85)</f>
        <v>59.99999999999961</v>
      </c>
      <c r="F86" s="81">
        <f aca="true" t="shared" si="9" ref="F86:F108">0.5*E86*(D85+D87)</f>
        <v>0</v>
      </c>
      <c r="I86" s="72"/>
      <c r="J86" s="77"/>
      <c r="K86" s="89">
        <f>1000*(I87-I85)</f>
        <v>59.99999999999961</v>
      </c>
      <c r="L86" s="80">
        <f t="shared" si="6"/>
        <v>0</v>
      </c>
      <c r="Q86" s="72"/>
      <c r="R86" s="75"/>
      <c r="S86" s="89">
        <f>1000*(Q87-Q85)</f>
        <v>59.99999999999961</v>
      </c>
      <c r="T86" s="80">
        <f t="shared" si="7"/>
        <v>0</v>
      </c>
      <c r="Y86" s="72"/>
      <c r="Z86" s="81"/>
      <c r="AA86" s="89">
        <f>1000*(Y87-Y85)</f>
        <v>59.99999999999961</v>
      </c>
      <c r="AB86" s="80">
        <f t="shared" si="8"/>
        <v>0</v>
      </c>
    </row>
    <row r="87" spans="3:28" ht="12.75">
      <c r="C87" s="72">
        <v>6.1</v>
      </c>
      <c r="D87" s="74"/>
      <c r="E87" s="89">
        <f>1000*(C88-C86)</f>
        <v>0</v>
      </c>
      <c r="F87" s="81">
        <f t="shared" si="9"/>
        <v>0</v>
      </c>
      <c r="I87" s="72">
        <v>6.1</v>
      </c>
      <c r="J87" s="77"/>
      <c r="K87" s="89">
        <f>1000*(I88-I86)</f>
        <v>0</v>
      </c>
      <c r="L87" s="80">
        <f t="shared" si="6"/>
        <v>0</v>
      </c>
      <c r="Q87" s="72">
        <v>6.1</v>
      </c>
      <c r="R87" s="75"/>
      <c r="S87" s="89">
        <f>1000*(Q88-Q86)</f>
        <v>0</v>
      </c>
      <c r="T87" s="80">
        <f t="shared" si="7"/>
        <v>0</v>
      </c>
      <c r="Y87" s="72">
        <v>6.1</v>
      </c>
      <c r="Z87" s="146"/>
      <c r="AA87" s="89">
        <f>1000*(Y88-Y86)</f>
        <v>0</v>
      </c>
      <c r="AB87" s="80"/>
    </row>
    <row r="88" spans="3:28" ht="12.75">
      <c r="C88" s="72"/>
      <c r="D88" s="74"/>
      <c r="E88" s="89">
        <f>1000*(C89-C87)</f>
        <v>40.000000000000036</v>
      </c>
      <c r="F88" s="81">
        <f t="shared" si="9"/>
        <v>0</v>
      </c>
      <c r="I88" s="72"/>
      <c r="J88" s="77"/>
      <c r="K88" s="89">
        <f>1000*(I89-I87)</f>
        <v>40.000000000000036</v>
      </c>
      <c r="L88" s="80">
        <f t="shared" si="6"/>
        <v>0</v>
      </c>
      <c r="Q88" s="72"/>
      <c r="R88" s="75"/>
      <c r="S88" s="89">
        <f>1000*(Q89-Q87)</f>
        <v>40.000000000000036</v>
      </c>
      <c r="T88" s="80">
        <f t="shared" si="7"/>
        <v>0</v>
      </c>
      <c r="Y88" s="72"/>
      <c r="Z88" s="81"/>
      <c r="AA88" s="89">
        <f>1000*(Y89-Y87)</f>
        <v>40.000000000000036</v>
      </c>
      <c r="AB88" s="80">
        <f t="shared" si="8"/>
        <v>0</v>
      </c>
    </row>
    <row r="89" spans="3:28" ht="12.75">
      <c r="C89" s="72">
        <v>6.14</v>
      </c>
      <c r="D89" s="74"/>
      <c r="E89" s="89"/>
      <c r="F89" s="81">
        <f t="shared" si="9"/>
        <v>0</v>
      </c>
      <c r="I89" s="72">
        <v>6.14</v>
      </c>
      <c r="J89" s="77"/>
      <c r="K89" s="89"/>
      <c r="L89" s="80">
        <f t="shared" si="6"/>
        <v>0</v>
      </c>
      <c r="Q89" s="72">
        <v>6.14</v>
      </c>
      <c r="R89" s="75"/>
      <c r="S89" s="89"/>
      <c r="T89" s="80">
        <f t="shared" si="7"/>
        <v>0</v>
      </c>
      <c r="Y89" s="72">
        <v>6.14</v>
      </c>
      <c r="Z89" s="146"/>
      <c r="AA89" s="89"/>
      <c r="AB89" s="80"/>
    </row>
    <row r="90" spans="3:28" ht="12.75">
      <c r="C90" s="72"/>
      <c r="D90" s="74"/>
      <c r="E90" s="89">
        <f>1000*(C91-C89)</f>
        <v>60.0000000000005</v>
      </c>
      <c r="F90" s="81">
        <f t="shared" si="9"/>
        <v>0</v>
      </c>
      <c r="I90" s="72"/>
      <c r="J90" s="77"/>
      <c r="K90" s="89">
        <f>1000*(I91-I89)</f>
        <v>60.0000000000005</v>
      </c>
      <c r="L90" s="80">
        <f t="shared" si="6"/>
        <v>0</v>
      </c>
      <c r="Q90" s="72"/>
      <c r="R90" s="75"/>
      <c r="S90" s="89">
        <f>1000*(Q91-Q89)</f>
        <v>60.0000000000005</v>
      </c>
      <c r="T90" s="80">
        <f t="shared" si="7"/>
        <v>0</v>
      </c>
      <c r="Y90" s="72"/>
      <c r="Z90" s="81"/>
      <c r="AA90" s="89">
        <f>1000*(Y91-Y89)</f>
        <v>60.0000000000005</v>
      </c>
      <c r="AB90" s="80">
        <f t="shared" si="8"/>
        <v>0</v>
      </c>
    </row>
    <row r="91" spans="3:28" ht="12.75">
      <c r="C91" s="72">
        <v>6.2</v>
      </c>
      <c r="D91" s="74"/>
      <c r="E91" s="89"/>
      <c r="F91" s="81">
        <f t="shared" si="9"/>
        <v>0</v>
      </c>
      <c r="I91" s="72">
        <v>6.2</v>
      </c>
      <c r="J91" s="77"/>
      <c r="K91" s="89"/>
      <c r="L91" s="80">
        <f t="shared" si="6"/>
        <v>0</v>
      </c>
      <c r="Q91" s="72">
        <v>6.2</v>
      </c>
      <c r="R91" s="96"/>
      <c r="S91" s="89"/>
      <c r="T91" s="80">
        <f t="shared" si="7"/>
        <v>0</v>
      </c>
      <c r="Y91" s="72">
        <v>6.2</v>
      </c>
      <c r="Z91" s="146"/>
      <c r="AA91" s="89"/>
      <c r="AB91" s="80"/>
    </row>
    <row r="92" spans="3:28" ht="12.75">
      <c r="C92" s="72"/>
      <c r="D92" s="74"/>
      <c r="E92" s="89">
        <f>1000*(C93-C91)</f>
        <v>40.000000000000036</v>
      </c>
      <c r="F92" s="81">
        <f t="shared" si="9"/>
        <v>0</v>
      </c>
      <c r="I92" s="72"/>
      <c r="J92" s="77"/>
      <c r="K92" s="89">
        <f>1000*(I93-I91)</f>
        <v>40.000000000000036</v>
      </c>
      <c r="L92" s="80">
        <f t="shared" si="6"/>
        <v>0</v>
      </c>
      <c r="Q92" s="72"/>
      <c r="R92" s="93"/>
      <c r="S92" s="89">
        <f>1000*(Q93-Q91)</f>
        <v>40.000000000000036</v>
      </c>
      <c r="T92" s="80">
        <f t="shared" si="7"/>
        <v>0</v>
      </c>
      <c r="Y92" s="72"/>
      <c r="Z92" s="81"/>
      <c r="AA92" s="89">
        <f>1000*(Y93-Y91)</f>
        <v>40.000000000000036</v>
      </c>
      <c r="AB92" s="80">
        <f t="shared" si="8"/>
        <v>0</v>
      </c>
    </row>
    <row r="93" spans="3:28" ht="12.75">
      <c r="C93" s="72">
        <v>6.24</v>
      </c>
      <c r="D93" s="74"/>
      <c r="E93" s="89"/>
      <c r="F93" s="81">
        <f t="shared" si="9"/>
        <v>0</v>
      </c>
      <c r="I93" s="72">
        <v>6.24</v>
      </c>
      <c r="J93" s="77"/>
      <c r="K93" s="89"/>
      <c r="L93" s="80">
        <f t="shared" si="6"/>
        <v>0</v>
      </c>
      <c r="Q93" s="72">
        <v>6.24</v>
      </c>
      <c r="R93" s="93"/>
      <c r="S93" s="89"/>
      <c r="T93" s="80">
        <f t="shared" si="7"/>
        <v>0</v>
      </c>
      <c r="Y93" s="72">
        <v>6.24</v>
      </c>
      <c r="Z93" s="146"/>
      <c r="AA93" s="89"/>
      <c r="AB93" s="80"/>
    </row>
    <row r="94" spans="3:28" ht="12.75">
      <c r="C94" s="72"/>
      <c r="D94" s="74"/>
      <c r="E94" s="89">
        <f>1000*(C95-C93)</f>
        <v>59.99999999999961</v>
      </c>
      <c r="F94" s="81">
        <f t="shared" si="9"/>
        <v>0</v>
      </c>
      <c r="I94" s="72"/>
      <c r="J94" s="77"/>
      <c r="K94" s="89">
        <f>1000*(I95-I93)</f>
        <v>59.99999999999961</v>
      </c>
      <c r="L94" s="80">
        <f t="shared" si="6"/>
        <v>0</v>
      </c>
      <c r="Q94" s="72"/>
      <c r="R94" s="93"/>
      <c r="S94" s="89">
        <f>1000*(Q95-Q93)</f>
        <v>59.99999999999961</v>
      </c>
      <c r="T94" s="80">
        <f t="shared" si="7"/>
        <v>0</v>
      </c>
      <c r="Y94" s="72"/>
      <c r="Z94" s="81"/>
      <c r="AA94" s="89">
        <f>1000*(Y95-Y93)</f>
        <v>59.99999999999961</v>
      </c>
      <c r="AB94" s="80">
        <f t="shared" si="8"/>
        <v>0</v>
      </c>
    </row>
    <row r="95" spans="3:28" ht="12.75">
      <c r="C95" s="72">
        <v>6.3</v>
      </c>
      <c r="D95" s="74"/>
      <c r="E95" s="89"/>
      <c r="F95" s="81">
        <f t="shared" si="9"/>
        <v>0</v>
      </c>
      <c r="I95" s="72">
        <v>6.3</v>
      </c>
      <c r="J95" s="77"/>
      <c r="K95" s="89"/>
      <c r="L95" s="80">
        <f t="shared" si="6"/>
        <v>0</v>
      </c>
      <c r="Q95" s="72">
        <v>6.3</v>
      </c>
      <c r="R95" s="93"/>
      <c r="S95" s="89"/>
      <c r="T95" s="80">
        <f t="shared" si="7"/>
        <v>0</v>
      </c>
      <c r="Y95" s="72">
        <v>6.3</v>
      </c>
      <c r="Z95" s="146"/>
      <c r="AA95" s="89"/>
      <c r="AB95" s="80"/>
    </row>
    <row r="96" spans="3:28" ht="12.75">
      <c r="C96" s="72"/>
      <c r="D96" s="74"/>
      <c r="E96" s="89">
        <f>1000*(C97-C95)</f>
        <v>40.000000000000036</v>
      </c>
      <c r="F96" s="81">
        <f t="shared" si="9"/>
        <v>0</v>
      </c>
      <c r="I96" s="72"/>
      <c r="J96" s="77"/>
      <c r="K96" s="89">
        <f>1000*(I97-I95)</f>
        <v>40.000000000000036</v>
      </c>
      <c r="L96" s="80">
        <f t="shared" si="6"/>
        <v>0</v>
      </c>
      <c r="Q96" s="72"/>
      <c r="R96" s="93"/>
      <c r="S96" s="89">
        <f>1000*(Q97-Q95)</f>
        <v>40.000000000000036</v>
      </c>
      <c r="T96" s="80">
        <f t="shared" si="7"/>
        <v>0</v>
      </c>
      <c r="Y96" s="72"/>
      <c r="Z96" s="81"/>
      <c r="AA96" s="89">
        <f>1000*(Y97-Y95)</f>
        <v>40.000000000000036</v>
      </c>
      <c r="AB96" s="80">
        <f t="shared" si="8"/>
        <v>0</v>
      </c>
    </row>
    <row r="97" spans="3:28" ht="12.75">
      <c r="C97" s="72">
        <v>6.34</v>
      </c>
      <c r="D97" s="74"/>
      <c r="E97" s="89"/>
      <c r="F97" s="81">
        <f t="shared" si="9"/>
        <v>0</v>
      </c>
      <c r="I97" s="72">
        <v>6.34</v>
      </c>
      <c r="J97" s="77"/>
      <c r="K97" s="89"/>
      <c r="L97" s="80">
        <f t="shared" si="6"/>
        <v>0</v>
      </c>
      <c r="Q97" s="72">
        <v>6.34</v>
      </c>
      <c r="R97" s="93"/>
      <c r="S97" s="89"/>
      <c r="T97" s="80">
        <f t="shared" si="7"/>
        <v>0</v>
      </c>
      <c r="Y97" s="72">
        <v>6.34</v>
      </c>
      <c r="Z97" s="146"/>
      <c r="AA97" s="89"/>
      <c r="AB97" s="80"/>
    </row>
    <row r="98" spans="3:28" ht="12.75">
      <c r="C98" s="144"/>
      <c r="D98" s="74"/>
      <c r="E98" s="89">
        <f>1000*(C99-C97)</f>
        <v>60.0000000000005</v>
      </c>
      <c r="F98" s="81">
        <f t="shared" si="9"/>
        <v>0</v>
      </c>
      <c r="I98" s="144"/>
      <c r="J98" s="77"/>
      <c r="K98" s="89">
        <f>1000*(I99-I97)</f>
        <v>60.0000000000005</v>
      </c>
      <c r="L98" s="80">
        <f t="shared" si="6"/>
        <v>0</v>
      </c>
      <c r="Q98" s="144"/>
      <c r="R98" s="93"/>
      <c r="S98" s="89">
        <f>1000*(Q99-Q97)</f>
        <v>60.0000000000005</v>
      </c>
      <c r="T98" s="80">
        <f t="shared" si="7"/>
        <v>0</v>
      </c>
      <c r="Y98" s="144"/>
      <c r="Z98" s="81"/>
      <c r="AA98" s="89">
        <f>1000*(Y99-Y97)</f>
        <v>60.0000000000005</v>
      </c>
      <c r="AB98" s="80">
        <f t="shared" si="8"/>
        <v>0</v>
      </c>
    </row>
    <row r="99" spans="3:28" ht="12.75">
      <c r="C99" s="72">
        <v>6.4</v>
      </c>
      <c r="D99" s="74"/>
      <c r="E99" s="89"/>
      <c r="F99" s="81">
        <f t="shared" si="9"/>
        <v>0</v>
      </c>
      <c r="I99" s="72">
        <v>6.4</v>
      </c>
      <c r="J99" s="77"/>
      <c r="K99" s="89"/>
      <c r="L99" s="80">
        <f t="shared" si="6"/>
        <v>0</v>
      </c>
      <c r="Q99" s="72">
        <v>6.4</v>
      </c>
      <c r="R99" s="93"/>
      <c r="S99" s="89"/>
      <c r="T99" s="80">
        <f t="shared" si="7"/>
        <v>0</v>
      </c>
      <c r="Y99" s="72">
        <v>6.4</v>
      </c>
      <c r="Z99" s="146"/>
      <c r="AA99" s="89"/>
      <c r="AB99" s="80"/>
    </row>
    <row r="100" spans="3:28" ht="12.75">
      <c r="C100" s="144">
        <v>6.415</v>
      </c>
      <c r="E100" s="89">
        <f>1000*(C101-C99)</f>
        <v>40.000000000000036</v>
      </c>
      <c r="F100" s="81">
        <f t="shared" si="9"/>
        <v>0</v>
      </c>
      <c r="I100" s="144">
        <v>6.415</v>
      </c>
      <c r="J100" s="77"/>
      <c r="K100" s="89">
        <f>1000*(I101-I99)</f>
        <v>40.000000000000036</v>
      </c>
      <c r="L100" s="80">
        <f t="shared" si="6"/>
        <v>0</v>
      </c>
      <c r="Q100" s="144">
        <v>6.415</v>
      </c>
      <c r="R100" s="93"/>
      <c r="S100" s="89">
        <f>1000*(Q101-Q99)</f>
        <v>40.000000000000036</v>
      </c>
      <c r="T100" s="80">
        <f t="shared" si="7"/>
        <v>0</v>
      </c>
      <c r="Y100" s="144">
        <v>6.415</v>
      </c>
      <c r="Z100" s="152" t="s">
        <v>37</v>
      </c>
      <c r="AA100" s="89">
        <f>1000*(Y101-Y99)</f>
        <v>40.000000000000036</v>
      </c>
      <c r="AB100" s="80">
        <f t="shared" si="8"/>
        <v>0</v>
      </c>
    </row>
    <row r="101" spans="3:28" ht="12.75">
      <c r="C101" s="72">
        <v>6.44</v>
      </c>
      <c r="D101" s="74"/>
      <c r="E101" s="89"/>
      <c r="F101" s="81">
        <f t="shared" si="9"/>
        <v>0</v>
      </c>
      <c r="I101" s="72">
        <v>6.44</v>
      </c>
      <c r="J101" s="77"/>
      <c r="K101" s="89"/>
      <c r="L101" s="80">
        <f t="shared" si="6"/>
        <v>0</v>
      </c>
      <c r="Q101" s="72">
        <v>6.44</v>
      </c>
      <c r="R101" s="93"/>
      <c r="S101" s="89"/>
      <c r="T101" s="80">
        <f t="shared" si="7"/>
        <v>0</v>
      </c>
      <c r="Y101" s="72">
        <v>6.44</v>
      </c>
      <c r="Z101" s="148"/>
      <c r="AA101" s="89"/>
      <c r="AB101" s="80"/>
    </row>
    <row r="102" spans="3:28" ht="12.75">
      <c r="C102" s="72"/>
      <c r="D102" s="74"/>
      <c r="E102" s="89">
        <f>1000*(C103-C101)</f>
        <v>19.999999999999574</v>
      </c>
      <c r="F102" s="81">
        <f t="shared" si="9"/>
        <v>0</v>
      </c>
      <c r="I102" s="72"/>
      <c r="J102" s="77"/>
      <c r="K102" s="89">
        <f>1000*(I103-I101)</f>
        <v>19.999999999999574</v>
      </c>
      <c r="L102" s="80">
        <f t="shared" si="6"/>
        <v>0</v>
      </c>
      <c r="Q102" s="72"/>
      <c r="R102" s="93"/>
      <c r="S102" s="89">
        <f>1000*(Q103-Q101)</f>
        <v>19.999999999999574</v>
      </c>
      <c r="T102" s="80">
        <f t="shared" si="7"/>
        <v>0</v>
      </c>
      <c r="Y102" s="72"/>
      <c r="Z102" s="75"/>
      <c r="AA102" s="89">
        <f>1000*(Y103-Y101)</f>
        <v>19.999999999999574</v>
      </c>
      <c r="AB102" s="80">
        <f t="shared" si="8"/>
        <v>0</v>
      </c>
    </row>
    <row r="103" spans="3:28" ht="12.75">
      <c r="C103" s="72">
        <v>6.46</v>
      </c>
      <c r="D103" s="74"/>
      <c r="E103" s="89"/>
      <c r="F103" s="81">
        <f t="shared" si="9"/>
        <v>0</v>
      </c>
      <c r="I103" s="72">
        <v>6.46</v>
      </c>
      <c r="J103" s="77"/>
      <c r="K103" s="89"/>
      <c r="L103" s="80">
        <f t="shared" si="6"/>
        <v>0</v>
      </c>
      <c r="Q103" s="72">
        <v>6.46</v>
      </c>
      <c r="R103" s="93"/>
      <c r="S103" s="89"/>
      <c r="T103" s="80">
        <f t="shared" si="7"/>
        <v>0</v>
      </c>
      <c r="Y103" s="72">
        <v>6.46</v>
      </c>
      <c r="Z103" s="148"/>
      <c r="AA103" s="89"/>
      <c r="AB103" s="80"/>
    </row>
    <row r="104" spans="3:28" ht="12.75">
      <c r="C104" s="72"/>
      <c r="D104" s="74"/>
      <c r="E104" s="89">
        <f>1000*(C105-C103)</f>
        <v>20.000000000000462</v>
      </c>
      <c r="F104" s="81">
        <f t="shared" si="9"/>
        <v>0</v>
      </c>
      <c r="I104" s="72"/>
      <c r="J104" s="77"/>
      <c r="K104" s="89">
        <f>1000*(I105-I103)</f>
        <v>20.000000000000462</v>
      </c>
      <c r="L104" s="80">
        <f t="shared" si="6"/>
        <v>0</v>
      </c>
      <c r="Q104" s="72"/>
      <c r="R104" s="93"/>
      <c r="S104" s="89">
        <f>1000*(Q105-Q103)</f>
        <v>20.000000000000462</v>
      </c>
      <c r="T104" s="80">
        <f t="shared" si="7"/>
        <v>0</v>
      </c>
      <c r="Y104" s="72"/>
      <c r="Z104" s="75"/>
      <c r="AA104" s="89">
        <f>1000*(Y105-Y103)</f>
        <v>20.000000000000462</v>
      </c>
      <c r="AB104" s="80">
        <f t="shared" si="8"/>
        <v>0</v>
      </c>
    </row>
    <row r="105" spans="3:28" ht="12.75">
      <c r="C105" s="72">
        <v>6.48</v>
      </c>
      <c r="D105" s="74"/>
      <c r="E105" s="89"/>
      <c r="F105" s="81">
        <f t="shared" si="9"/>
        <v>0</v>
      </c>
      <c r="I105" s="72">
        <v>6.48</v>
      </c>
      <c r="J105" s="77"/>
      <c r="K105" s="89"/>
      <c r="L105" s="80">
        <f t="shared" si="6"/>
        <v>0</v>
      </c>
      <c r="Q105" s="72">
        <v>6.48</v>
      </c>
      <c r="R105" s="93"/>
      <c r="S105" s="89"/>
      <c r="T105" s="80">
        <f t="shared" si="7"/>
        <v>0</v>
      </c>
      <c r="Y105" s="72">
        <v>6.48</v>
      </c>
      <c r="Z105" s="148"/>
      <c r="AA105" s="89"/>
      <c r="AB105" s="80"/>
    </row>
    <row r="106" spans="3:28" ht="12.75">
      <c r="C106" s="72"/>
      <c r="D106" s="74"/>
      <c r="E106" s="89">
        <f>1000*(C107-C105)</f>
        <v>39.99999999999915</v>
      </c>
      <c r="F106" s="81">
        <f t="shared" si="9"/>
        <v>0</v>
      </c>
      <c r="I106" s="72"/>
      <c r="J106" s="77"/>
      <c r="K106" s="89">
        <f>1000*(I107-I105)</f>
        <v>39.99999999999915</v>
      </c>
      <c r="L106" s="80">
        <f t="shared" si="6"/>
        <v>0</v>
      </c>
      <c r="Q106" s="72"/>
      <c r="R106" s="93"/>
      <c r="S106" s="89">
        <f>1000*(Q107-Q105)</f>
        <v>39.99999999999915</v>
      </c>
      <c r="T106" s="80">
        <f t="shared" si="7"/>
        <v>0</v>
      </c>
      <c r="Y106" s="72"/>
      <c r="Z106" s="75"/>
      <c r="AA106" s="89">
        <f>1000*(Y107-Y105)</f>
        <v>39.99999999999915</v>
      </c>
      <c r="AB106" s="80">
        <f>0.5*AA106*(Z105+Z107)</f>
        <v>0</v>
      </c>
    </row>
    <row r="107" spans="3:28" ht="12.75">
      <c r="C107" s="72">
        <v>6.52</v>
      </c>
      <c r="D107" s="74"/>
      <c r="E107" s="89"/>
      <c r="F107" s="81">
        <f t="shared" si="9"/>
        <v>0</v>
      </c>
      <c r="I107" s="72">
        <v>6.52</v>
      </c>
      <c r="J107" s="220"/>
      <c r="K107" s="89"/>
      <c r="L107" s="80">
        <f t="shared" si="6"/>
        <v>0</v>
      </c>
      <c r="Q107" s="72">
        <v>6.52</v>
      </c>
      <c r="R107" s="93"/>
      <c r="S107" s="89"/>
      <c r="T107" s="80">
        <f t="shared" si="7"/>
        <v>0</v>
      </c>
      <c r="Y107" s="72">
        <v>6.52</v>
      </c>
      <c r="Z107" s="148"/>
      <c r="AA107" s="89"/>
      <c r="AB107" s="80"/>
    </row>
    <row r="108" spans="3:28" ht="12.75">
      <c r="C108" s="72"/>
      <c r="D108" s="74"/>
      <c r="E108" s="89"/>
      <c r="F108" s="81">
        <f t="shared" si="9"/>
        <v>0</v>
      </c>
      <c r="I108" s="72"/>
      <c r="J108" s="77"/>
      <c r="K108" s="89"/>
      <c r="L108" s="80">
        <f>0.5*K108*(J107+J109)</f>
        <v>0</v>
      </c>
      <c r="Q108" s="72"/>
      <c r="R108" s="93"/>
      <c r="S108" s="89"/>
      <c r="T108" s="80">
        <f>0.5*S108*(R107+R109)</f>
        <v>0</v>
      </c>
      <c r="Y108" s="72"/>
      <c r="Z108" s="75"/>
      <c r="AA108" s="89"/>
      <c r="AB108" s="80"/>
    </row>
    <row r="109" spans="3:28" ht="12.75">
      <c r="C109" s="72"/>
      <c r="D109" s="74"/>
      <c r="E109" s="89"/>
      <c r="F109" s="81"/>
      <c r="I109" s="72"/>
      <c r="J109" s="77"/>
      <c r="K109" s="89"/>
      <c r="L109" s="80">
        <f>0.5*K109*(J108+J110)</f>
        <v>0</v>
      </c>
      <c r="Q109" s="72"/>
      <c r="R109" s="93"/>
      <c r="S109" s="89"/>
      <c r="T109" s="80">
        <f>0.5*S109*(R108+R110)</f>
        <v>0</v>
      </c>
      <c r="Y109" s="72"/>
      <c r="Z109" s="75"/>
      <c r="AA109" s="89"/>
      <c r="AB109" s="80"/>
    </row>
    <row r="110" spans="3:28" ht="13.5" thickBot="1">
      <c r="C110" s="58"/>
      <c r="D110" s="84"/>
      <c r="E110" s="90"/>
      <c r="F110" s="102"/>
      <c r="I110" s="58"/>
      <c r="J110" s="78"/>
      <c r="K110" s="90"/>
      <c r="L110" s="24"/>
      <c r="Q110" s="58"/>
      <c r="R110" s="94"/>
      <c r="S110" s="90"/>
      <c r="T110" s="24"/>
      <c r="Y110" s="58"/>
      <c r="Z110" s="94"/>
      <c r="AA110" s="90"/>
      <c r="AB110" s="24"/>
    </row>
    <row r="111" spans="3:28" ht="15.75" thickBot="1">
      <c r="C111" s="79" t="s">
        <v>11</v>
      </c>
      <c r="D111" s="73"/>
      <c r="E111" s="91"/>
      <c r="F111" s="139">
        <f>SUM(F8:F110)</f>
        <v>296.2500000000005</v>
      </c>
      <c r="I111" s="79" t="s">
        <v>11</v>
      </c>
      <c r="J111" s="73"/>
      <c r="K111" s="91"/>
      <c r="L111" s="138">
        <f>SUM(L8:L110)</f>
        <v>5607.499999999997</v>
      </c>
      <c r="Q111" s="79" t="s">
        <v>11</v>
      </c>
      <c r="R111" s="95"/>
      <c r="S111" s="91"/>
      <c r="T111" s="138">
        <f>SUM(T8:T110)</f>
        <v>5094.999999999997</v>
      </c>
      <c r="Y111" s="79" t="s">
        <v>11</v>
      </c>
      <c r="Z111" s="73"/>
      <c r="AA111" s="91"/>
      <c r="AB111" s="138">
        <f>SUM(AB8:AB110)</f>
        <v>760.0000000000016</v>
      </c>
    </row>
    <row r="112" spans="3:28" ht="13.5" thickBot="1">
      <c r="C112" s="50"/>
      <c r="D112" s="51"/>
      <c r="E112" s="71"/>
      <c r="F112" s="53"/>
      <c r="I112" s="50"/>
      <c r="J112" s="51"/>
      <c r="K112" s="71"/>
      <c r="L112" s="128"/>
      <c r="Q112" s="50"/>
      <c r="R112" s="69"/>
      <c r="S112" s="71"/>
      <c r="T112" s="128"/>
      <c r="Y112" s="50"/>
      <c r="Z112" s="51"/>
      <c r="AA112" s="71"/>
      <c r="AB112" s="128"/>
    </row>
    <row r="113" spans="3:28" ht="12.75">
      <c r="C113" s="59" t="s">
        <v>0</v>
      </c>
      <c r="D113" s="55" t="s">
        <v>14</v>
      </c>
      <c r="E113" s="86" t="s">
        <v>4</v>
      </c>
      <c r="F113" s="55" t="s">
        <v>14</v>
      </c>
      <c r="I113" s="59" t="s">
        <v>0</v>
      </c>
      <c r="J113" s="60" t="s">
        <v>1</v>
      </c>
      <c r="K113" s="86" t="s">
        <v>4</v>
      </c>
      <c r="L113" s="132" t="s">
        <v>1</v>
      </c>
      <c r="Q113" s="59" t="s">
        <v>0</v>
      </c>
      <c r="R113" s="108" t="s">
        <v>22</v>
      </c>
      <c r="S113" s="86" t="s">
        <v>4</v>
      </c>
      <c r="T113" s="132" t="s">
        <v>1</v>
      </c>
      <c r="Y113" s="59" t="s">
        <v>0</v>
      </c>
      <c r="Z113" s="60" t="s">
        <v>1</v>
      </c>
      <c r="AA113" s="86" t="s">
        <v>4</v>
      </c>
      <c r="AB113" s="132" t="s">
        <v>1</v>
      </c>
    </row>
    <row r="114" spans="3:28" ht="12.75">
      <c r="C114" s="57"/>
      <c r="D114" s="15" t="s">
        <v>15</v>
      </c>
      <c r="E114" s="87" t="s">
        <v>6</v>
      </c>
      <c r="F114" s="15" t="s">
        <v>15</v>
      </c>
      <c r="I114" s="57"/>
      <c r="J114" s="14"/>
      <c r="K114" s="87" t="s">
        <v>6</v>
      </c>
      <c r="L114" s="133"/>
      <c r="Q114" s="57"/>
      <c r="R114" s="109" t="s">
        <v>19</v>
      </c>
      <c r="S114" s="87" t="s">
        <v>6</v>
      </c>
      <c r="T114" s="133"/>
      <c r="Y114" s="57"/>
      <c r="Z114" s="103" t="s">
        <v>17</v>
      </c>
      <c r="AA114" s="87" t="s">
        <v>6</v>
      </c>
      <c r="AB114" s="133"/>
    </row>
    <row r="115" spans="3:28" ht="13.5" thickBot="1">
      <c r="C115" s="62" t="s">
        <v>7</v>
      </c>
      <c r="D115" s="64" t="s">
        <v>8</v>
      </c>
      <c r="E115" s="88" t="s">
        <v>9</v>
      </c>
      <c r="F115" s="64" t="s">
        <v>10</v>
      </c>
      <c r="I115" s="62" t="s">
        <v>7</v>
      </c>
      <c r="J115" s="63" t="s">
        <v>8</v>
      </c>
      <c r="K115" s="88" t="s">
        <v>9</v>
      </c>
      <c r="L115" s="135" t="s">
        <v>10</v>
      </c>
      <c r="Q115" s="62" t="s">
        <v>7</v>
      </c>
      <c r="R115" s="126" t="s">
        <v>9</v>
      </c>
      <c r="S115" s="88" t="s">
        <v>9</v>
      </c>
      <c r="T115" s="135" t="s">
        <v>10</v>
      </c>
      <c r="Y115" s="62" t="s">
        <v>7</v>
      </c>
      <c r="Z115" s="63" t="s">
        <v>8</v>
      </c>
      <c r="AA115" s="88" t="s">
        <v>9</v>
      </c>
      <c r="AB115" s="135" t="s">
        <v>10</v>
      </c>
    </row>
    <row r="116" spans="3:28" ht="12.75">
      <c r="C116" s="25"/>
      <c r="D116" s="6"/>
      <c r="E116" s="32"/>
      <c r="F116" s="40"/>
      <c r="I116" s="25"/>
      <c r="J116" s="6"/>
      <c r="K116" s="32"/>
      <c r="L116" s="40"/>
      <c r="Q116" s="25"/>
      <c r="R116"/>
      <c r="S116" s="32"/>
      <c r="T116" s="40"/>
      <c r="Y116" s="25"/>
      <c r="Z116" s="6"/>
      <c r="AA116" s="32"/>
      <c r="AB116" s="40"/>
    </row>
    <row r="117" spans="3:28" ht="12.75" customHeight="1">
      <c r="C117" s="25"/>
      <c r="D117" s="6"/>
      <c r="E117" s="371" t="s">
        <v>372</v>
      </c>
      <c r="F117" s="324" t="s">
        <v>10</v>
      </c>
      <c r="I117" s="25"/>
      <c r="J117" s="6"/>
      <c r="K117" s="371" t="s">
        <v>372</v>
      </c>
      <c r="L117" s="373" t="s">
        <v>373</v>
      </c>
      <c r="Q117" s="25"/>
      <c r="S117" s="371" t="s">
        <v>372</v>
      </c>
      <c r="T117" s="373" t="s">
        <v>373</v>
      </c>
      <c r="Y117" s="25"/>
      <c r="Z117" s="6"/>
      <c r="AA117" s="371"/>
      <c r="AB117" s="373"/>
    </row>
    <row r="118" spans="3:28" ht="12.75">
      <c r="C118" s="25"/>
      <c r="D118" s="6"/>
      <c r="E118" s="372"/>
      <c r="I118" s="25"/>
      <c r="J118" s="6"/>
      <c r="K118" s="372"/>
      <c r="L118" s="372"/>
      <c r="Q118" s="25"/>
      <c r="S118" s="372"/>
      <c r="T118" s="372"/>
      <c r="Y118" s="25"/>
      <c r="Z118" s="6"/>
      <c r="AA118" s="372"/>
      <c r="AB118" s="372"/>
    </row>
    <row r="119" spans="3:28" ht="12.75">
      <c r="C119" s="25"/>
      <c r="D119" s="6"/>
      <c r="E119" s="372"/>
      <c r="I119" s="25"/>
      <c r="J119" s="6"/>
      <c r="K119" s="372"/>
      <c r="L119" s="372"/>
      <c r="Q119" s="25"/>
      <c r="S119" s="372"/>
      <c r="T119" s="372"/>
      <c r="Y119" s="25"/>
      <c r="Z119" s="6"/>
      <c r="AA119" s="372"/>
      <c r="AB119" s="372"/>
    </row>
    <row r="120" spans="3:28" ht="12.75">
      <c r="C120" s="25"/>
      <c r="D120" s="6"/>
      <c r="E120" s="372"/>
      <c r="I120" s="25"/>
      <c r="J120" s="6"/>
      <c r="K120" s="372"/>
      <c r="L120" s="372"/>
      <c r="Q120" s="25"/>
      <c r="R120" s="16">
        <v>9816</v>
      </c>
      <c r="S120" s="372"/>
      <c r="T120" s="372"/>
      <c r="Y120" s="25"/>
      <c r="Z120" s="6"/>
      <c r="AA120" s="372"/>
      <c r="AB120" s="372"/>
    </row>
    <row r="121" spans="3:28" ht="12.75">
      <c r="C121" s="26"/>
      <c r="D121" s="6"/>
      <c r="E121" s="372"/>
      <c r="I121" s="26"/>
      <c r="J121" s="6"/>
      <c r="K121" s="372"/>
      <c r="L121" s="372"/>
      <c r="Q121" s="26"/>
      <c r="R121"/>
      <c r="S121" s="372"/>
      <c r="T121" s="372"/>
      <c r="Y121" s="26"/>
      <c r="Z121" s="6"/>
      <c r="AA121" s="372"/>
      <c r="AB121" s="372"/>
    </row>
    <row r="122" spans="3:28" ht="12.75">
      <c r="C122" s="25"/>
      <c r="D122" s="6"/>
      <c r="E122" s="372"/>
      <c r="I122" s="25"/>
      <c r="J122" s="6"/>
      <c r="K122" s="372"/>
      <c r="L122" s="372"/>
      <c r="Q122" s="25"/>
      <c r="R122" s="16">
        <v>1242.5</v>
      </c>
      <c r="S122" s="372"/>
      <c r="T122" s="372"/>
      <c r="Y122" s="25"/>
      <c r="Z122" s="6"/>
      <c r="AA122" s="372"/>
      <c r="AB122" s="372"/>
    </row>
    <row r="123" spans="3:28" ht="12.75">
      <c r="C123" s="25"/>
      <c r="D123" s="6"/>
      <c r="E123" s="372"/>
      <c r="I123" s="25"/>
      <c r="J123" s="6"/>
      <c r="K123" s="372"/>
      <c r="L123" s="372"/>
      <c r="Q123" s="25"/>
      <c r="R123"/>
      <c r="S123" s="372"/>
      <c r="T123" s="372"/>
      <c r="Y123" s="25"/>
      <c r="Z123" s="6"/>
      <c r="AA123" s="372"/>
      <c r="AB123" s="372"/>
    </row>
    <row r="124" spans="5:28" ht="12.75">
      <c r="E124" s="372"/>
      <c r="K124" s="372"/>
      <c r="L124" s="372"/>
      <c r="R124" s="2">
        <v>4365</v>
      </c>
      <c r="S124" s="372"/>
      <c r="T124" s="372"/>
      <c r="Z124" s="6"/>
      <c r="AA124" s="372"/>
      <c r="AB124" s="372"/>
    </row>
    <row r="125" spans="12:28" ht="12.75">
      <c r="L125" s="30"/>
      <c r="T125" s="30"/>
      <c r="Z125" s="6"/>
      <c r="AB125" s="30"/>
    </row>
    <row r="126" spans="3:28" ht="12.75">
      <c r="C126" s="17"/>
      <c r="E126" s="33"/>
      <c r="I126" s="17"/>
      <c r="K126" s="33"/>
      <c r="L126" s="42"/>
      <c r="Q126" s="17"/>
      <c r="S126" s="33"/>
      <c r="T126" s="42"/>
      <c r="Y126" s="17"/>
      <c r="Z126" s="6"/>
      <c r="AA126" s="33"/>
      <c r="AB126" s="42"/>
    </row>
    <row r="127" spans="12:28" ht="12.75">
      <c r="L127" s="42"/>
      <c r="T127" s="42"/>
      <c r="AB127" s="42"/>
    </row>
    <row r="128" spans="3:28" ht="12.75">
      <c r="C128" s="17"/>
      <c r="I128" s="17"/>
      <c r="L128" s="30"/>
      <c r="Q128" s="17"/>
      <c r="R128" s="2">
        <f>R120-R122-R124</f>
        <v>4208.5</v>
      </c>
      <c r="T128" s="30"/>
      <c r="Y128" s="17"/>
      <c r="AB128" s="30"/>
    </row>
    <row r="129" spans="12:28" ht="12.75">
      <c r="L129" s="30"/>
      <c r="T129" s="30"/>
      <c r="AB129" s="30"/>
    </row>
    <row r="130" spans="12:28" ht="12.75">
      <c r="L130" s="30"/>
      <c r="T130" s="30"/>
      <c r="AB130" s="30"/>
    </row>
    <row r="131" spans="12:28" ht="12.75">
      <c r="L131" s="30"/>
      <c r="T131" s="30"/>
      <c r="AB131" s="30"/>
    </row>
    <row r="132" spans="12:28" ht="12.75">
      <c r="L132" s="30"/>
      <c r="T132" s="30"/>
      <c r="AB132" s="30"/>
    </row>
    <row r="133" spans="5:28" ht="12.75">
      <c r="E133" s="33"/>
      <c r="K133" s="33"/>
      <c r="L133" s="30"/>
      <c r="S133" s="33"/>
      <c r="T133" s="30"/>
      <c r="AA133" s="33"/>
      <c r="AB133" s="30"/>
    </row>
    <row r="135" spans="3:27" ht="12.75">
      <c r="C135"/>
      <c r="D135"/>
      <c r="E135" s="33"/>
      <c r="I135"/>
      <c r="J135"/>
      <c r="K135" s="33"/>
      <c r="Q135"/>
      <c r="S135" s="33"/>
      <c r="Y135"/>
      <c r="AA135" s="33"/>
    </row>
    <row r="138" spans="18:26" ht="12.75">
      <c r="R138"/>
      <c r="Z138"/>
    </row>
    <row r="139" spans="3:28" ht="12.75">
      <c r="C139" s="17"/>
      <c r="I139" s="17"/>
      <c r="L139" s="42"/>
      <c r="Q139" s="17"/>
      <c r="T139" s="42"/>
      <c r="Y139" s="17"/>
      <c r="AB139" s="42"/>
    </row>
    <row r="140" spans="12:28" ht="12.75">
      <c r="L140" s="35"/>
      <c r="T140" s="35"/>
      <c r="AB140" s="35"/>
    </row>
    <row r="141" spans="12:28" ht="12.75">
      <c r="L141" s="30"/>
      <c r="T141" s="30"/>
      <c r="AB141" s="30"/>
    </row>
    <row r="142" spans="12:28" ht="12.75">
      <c r="L142" s="30"/>
      <c r="T142" s="30"/>
      <c r="AB142" s="30"/>
    </row>
    <row r="143" spans="12:28" ht="12.75">
      <c r="L143" s="30"/>
      <c r="T143" s="30"/>
      <c r="AB143" s="30"/>
    </row>
    <row r="144" spans="12:28" ht="12.75">
      <c r="L144" s="30"/>
      <c r="T144" s="30"/>
      <c r="AB144" s="30"/>
    </row>
    <row r="145" spans="3:28" ht="12.75">
      <c r="C145" s="17"/>
      <c r="I145" s="17"/>
      <c r="L145" s="30"/>
      <c r="Q145" s="17"/>
      <c r="T145" s="30"/>
      <c r="Y145" s="17"/>
      <c r="AB145" s="30"/>
    </row>
    <row r="146" spans="12:28" ht="12.75">
      <c r="L146" s="30"/>
      <c r="T146" s="30"/>
      <c r="AB146" s="30"/>
    </row>
    <row r="147" spans="12:28" ht="12.75">
      <c r="L147" s="30"/>
      <c r="T147" s="30"/>
      <c r="AB147" s="30"/>
    </row>
    <row r="148" spans="5:28" ht="12.75">
      <c r="E148" s="33"/>
      <c r="K148" s="33"/>
      <c r="L148" s="30"/>
      <c r="S148" s="33"/>
      <c r="T148" s="30"/>
      <c r="AA148" s="33"/>
      <c r="AB148" s="30"/>
    </row>
    <row r="149" spans="3:28" ht="12.75">
      <c r="C149" s="17"/>
      <c r="I149" s="17"/>
      <c r="L149" s="30"/>
      <c r="Q149" s="17"/>
      <c r="T149" s="30"/>
      <c r="Y149" s="17"/>
      <c r="AB149" s="30"/>
    </row>
    <row r="150" spans="5:28" ht="12.75">
      <c r="E150" s="34"/>
      <c r="K150" s="34"/>
      <c r="L150" s="30"/>
      <c r="S150" s="34"/>
      <c r="T150" s="30"/>
      <c r="AA150" s="34"/>
      <c r="AB150" s="30"/>
    </row>
    <row r="151" spans="12:28" ht="12.75">
      <c r="L151" s="30"/>
      <c r="T151" s="30"/>
      <c r="AB151" s="30"/>
    </row>
    <row r="152" spans="12:28" ht="12.75">
      <c r="L152" s="30"/>
      <c r="T152" s="30"/>
      <c r="AB152" s="30"/>
    </row>
    <row r="165" spans="5:27" ht="12.75">
      <c r="E165" s="30"/>
      <c r="K165" s="30"/>
      <c r="S165" s="30"/>
      <c r="AA165" s="30"/>
    </row>
    <row r="174" spans="3:27" ht="12.75">
      <c r="C174" s="17"/>
      <c r="E174" s="30"/>
      <c r="I174" s="17"/>
      <c r="K174" s="30"/>
      <c r="Q174" s="17"/>
      <c r="S174" s="30"/>
      <c r="Y174" s="17"/>
      <c r="AA174" s="30"/>
    </row>
    <row r="175" spans="5:27" ht="12.75">
      <c r="E175" s="30"/>
      <c r="K175" s="30"/>
      <c r="S175" s="30"/>
      <c r="AA175" s="30"/>
    </row>
    <row r="176" spans="5:27" ht="12.75">
      <c r="E176" s="30"/>
      <c r="K176" s="30"/>
      <c r="S176" s="30"/>
      <c r="AA176" s="30"/>
    </row>
    <row r="181" spans="3:28" ht="15.75">
      <c r="C181" s="19"/>
      <c r="D181" s="20"/>
      <c r="E181" s="31"/>
      <c r="F181" s="31"/>
      <c r="I181" s="19"/>
      <c r="J181" s="20"/>
      <c r="K181" s="31"/>
      <c r="L181" s="31"/>
      <c r="Q181" s="19"/>
      <c r="R181" s="3"/>
      <c r="S181" s="31"/>
      <c r="T181" s="31"/>
      <c r="Y181" s="19"/>
      <c r="AA181" s="31"/>
      <c r="AB181" s="31"/>
    </row>
    <row r="182" spans="3:28" ht="12.75">
      <c r="C182" s="13"/>
      <c r="D182" s="7"/>
      <c r="E182" s="31"/>
      <c r="F182" s="24"/>
      <c r="I182" s="13"/>
      <c r="J182" s="7"/>
      <c r="K182" s="31"/>
      <c r="L182" s="24"/>
      <c r="Q182" s="13"/>
      <c r="S182" s="31"/>
      <c r="T182" s="24"/>
      <c r="Y182" s="13"/>
      <c r="AA182" s="31"/>
      <c r="AB182" s="24"/>
    </row>
    <row r="183" spans="3:28" ht="12.75">
      <c r="C183" s="19"/>
      <c r="D183" s="20"/>
      <c r="E183" s="31"/>
      <c r="F183" s="31"/>
      <c r="I183" s="19"/>
      <c r="J183" s="20"/>
      <c r="K183" s="31"/>
      <c r="L183" s="31"/>
      <c r="Q183" s="19"/>
      <c r="S183" s="31"/>
      <c r="T183" s="31"/>
      <c r="Y183" s="19"/>
      <c r="AA183" s="31"/>
      <c r="AB183" s="31"/>
    </row>
    <row r="184" spans="3:28" ht="12.75">
      <c r="C184" s="13"/>
      <c r="D184" s="7"/>
      <c r="E184" s="24"/>
      <c r="F184" s="24"/>
      <c r="I184" s="13"/>
      <c r="J184" s="7"/>
      <c r="K184" s="24"/>
      <c r="L184" s="24"/>
      <c r="Q184" s="13"/>
      <c r="R184" s="20"/>
      <c r="S184" s="24"/>
      <c r="T184" s="24"/>
      <c r="Y184" s="13"/>
      <c r="Z184" s="20"/>
      <c r="AA184" s="24"/>
      <c r="AB184" s="24"/>
    </row>
    <row r="185" spans="3:28" ht="12.75">
      <c r="C185" s="13"/>
      <c r="D185" s="7"/>
      <c r="E185" s="24"/>
      <c r="F185" s="24"/>
      <c r="I185" s="13"/>
      <c r="J185" s="7"/>
      <c r="K185" s="24"/>
      <c r="L185" s="24"/>
      <c r="Q185" s="13"/>
      <c r="R185" s="7"/>
      <c r="S185" s="24"/>
      <c r="T185" s="24"/>
      <c r="Y185" s="13"/>
      <c r="Z185" s="7"/>
      <c r="AA185" s="24"/>
      <c r="AB185" s="24"/>
    </row>
    <row r="186" spans="3:28" ht="12.75">
      <c r="C186" s="13"/>
      <c r="D186" s="7"/>
      <c r="E186" s="24"/>
      <c r="F186" s="24"/>
      <c r="I186" s="13"/>
      <c r="J186" s="7"/>
      <c r="K186" s="24"/>
      <c r="L186" s="24"/>
      <c r="Q186" s="13"/>
      <c r="R186" s="20"/>
      <c r="S186" s="24"/>
      <c r="T186" s="24"/>
      <c r="Y186" s="13"/>
      <c r="Z186" s="20"/>
      <c r="AA186" s="24"/>
      <c r="AB186" s="24"/>
    </row>
    <row r="187" spans="3:28" ht="12.75">
      <c r="C187" s="13"/>
      <c r="D187" s="7"/>
      <c r="E187" s="24"/>
      <c r="F187" s="24"/>
      <c r="I187" s="13"/>
      <c r="J187" s="7"/>
      <c r="K187" s="24"/>
      <c r="L187" s="24"/>
      <c r="Q187" s="13"/>
      <c r="R187" s="7"/>
      <c r="S187" s="24"/>
      <c r="T187" s="24"/>
      <c r="Y187" s="13"/>
      <c r="Z187" s="7"/>
      <c r="AA187" s="24"/>
      <c r="AB187" s="24"/>
    </row>
    <row r="188" spans="3:28" ht="12.75">
      <c r="C188" s="13"/>
      <c r="D188" s="7"/>
      <c r="E188" s="24"/>
      <c r="F188" s="24"/>
      <c r="I188" s="13"/>
      <c r="J188" s="7"/>
      <c r="K188" s="24"/>
      <c r="L188" s="24"/>
      <c r="Q188" s="13"/>
      <c r="R188" s="7"/>
      <c r="S188" s="24"/>
      <c r="T188" s="24"/>
      <c r="Y188" s="13"/>
      <c r="Z188" s="7"/>
      <c r="AA188" s="24"/>
      <c r="AB188" s="24"/>
    </row>
    <row r="189" spans="3:28" ht="12.75">
      <c r="C189" s="13"/>
      <c r="D189" s="7"/>
      <c r="E189" s="24"/>
      <c r="F189" s="24"/>
      <c r="I189" s="13"/>
      <c r="J189" s="7"/>
      <c r="K189" s="24"/>
      <c r="L189" s="24"/>
      <c r="Q189" s="13"/>
      <c r="R189" s="7"/>
      <c r="S189" s="24"/>
      <c r="T189" s="24"/>
      <c r="Y189" s="13"/>
      <c r="Z189" s="7"/>
      <c r="AA189" s="24"/>
      <c r="AB189" s="24"/>
    </row>
    <row r="190" spans="3:28" ht="12.75">
      <c r="C190" s="13"/>
      <c r="D190" s="7"/>
      <c r="E190" s="24"/>
      <c r="F190" s="24"/>
      <c r="I190" s="13"/>
      <c r="J190" s="7"/>
      <c r="K190" s="24"/>
      <c r="L190" s="24"/>
      <c r="Q190" s="13"/>
      <c r="R190" s="7"/>
      <c r="S190" s="24"/>
      <c r="T190" s="24"/>
      <c r="Y190" s="13"/>
      <c r="Z190" s="7"/>
      <c r="AA190" s="24"/>
      <c r="AB190" s="24"/>
    </row>
    <row r="191" spans="3:28" ht="12.75">
      <c r="C191" s="13"/>
      <c r="D191" s="7"/>
      <c r="E191" s="24"/>
      <c r="F191" s="24"/>
      <c r="I191" s="13"/>
      <c r="J191" s="7"/>
      <c r="K191" s="24"/>
      <c r="L191" s="24"/>
      <c r="Q191" s="13"/>
      <c r="R191" s="7"/>
      <c r="S191" s="24"/>
      <c r="T191" s="24"/>
      <c r="Y191" s="13"/>
      <c r="Z191" s="7"/>
      <c r="AA191" s="24"/>
      <c r="AB191" s="24"/>
    </row>
    <row r="192" spans="3:28" ht="12.75">
      <c r="C192" s="13"/>
      <c r="D192" s="7"/>
      <c r="E192" s="24"/>
      <c r="F192" s="24"/>
      <c r="I192" s="13"/>
      <c r="J192" s="7"/>
      <c r="K192" s="24"/>
      <c r="L192" s="24"/>
      <c r="Q192" s="13"/>
      <c r="R192" s="7"/>
      <c r="S192" s="24"/>
      <c r="T192" s="24"/>
      <c r="Y192" s="13"/>
      <c r="Z192" s="7"/>
      <c r="AA192" s="24"/>
      <c r="AB192" s="24"/>
    </row>
    <row r="193" spans="3:28" ht="12.75">
      <c r="C193" s="13"/>
      <c r="D193" s="7"/>
      <c r="E193" s="24"/>
      <c r="F193" s="24"/>
      <c r="I193" s="13"/>
      <c r="J193" s="7"/>
      <c r="K193" s="24"/>
      <c r="L193" s="24"/>
      <c r="Q193" s="13"/>
      <c r="R193" s="7"/>
      <c r="S193" s="24"/>
      <c r="T193" s="24"/>
      <c r="Y193" s="13"/>
      <c r="Z193" s="7"/>
      <c r="AA193" s="24"/>
      <c r="AB193" s="24"/>
    </row>
    <row r="194" spans="3:28" ht="12.75">
      <c r="C194" s="13"/>
      <c r="D194" s="7"/>
      <c r="E194" s="24"/>
      <c r="F194" s="24"/>
      <c r="I194" s="13"/>
      <c r="J194" s="7"/>
      <c r="K194" s="24"/>
      <c r="L194" s="24"/>
      <c r="Q194" s="13"/>
      <c r="R194" s="7"/>
      <c r="S194" s="24"/>
      <c r="T194" s="24"/>
      <c r="Y194" s="13"/>
      <c r="Z194" s="7"/>
      <c r="AA194" s="24"/>
      <c r="AB194" s="24"/>
    </row>
    <row r="195" spans="3:28" ht="12.75">
      <c r="C195" s="13"/>
      <c r="D195" s="7"/>
      <c r="E195" s="24"/>
      <c r="F195" s="24"/>
      <c r="I195" s="13"/>
      <c r="J195" s="7"/>
      <c r="K195" s="24"/>
      <c r="L195" s="24"/>
      <c r="Q195" s="13"/>
      <c r="R195" s="7"/>
      <c r="S195" s="24"/>
      <c r="T195" s="24"/>
      <c r="Y195" s="13"/>
      <c r="Z195" s="7"/>
      <c r="AA195" s="24"/>
      <c r="AB195" s="24"/>
    </row>
    <row r="196" spans="3:28" ht="12.75">
      <c r="C196" s="13"/>
      <c r="D196" s="7"/>
      <c r="E196" s="24"/>
      <c r="F196" s="24"/>
      <c r="I196" s="13"/>
      <c r="J196" s="7"/>
      <c r="K196" s="24"/>
      <c r="L196" s="24"/>
      <c r="Q196" s="13"/>
      <c r="R196" s="7"/>
      <c r="S196" s="24"/>
      <c r="T196" s="24"/>
      <c r="Y196" s="13"/>
      <c r="Z196" s="7"/>
      <c r="AA196" s="24"/>
      <c r="AB196" s="24"/>
    </row>
    <row r="197" spans="3:28" ht="12.75">
      <c r="C197" s="13"/>
      <c r="D197" s="7"/>
      <c r="E197" s="24"/>
      <c r="F197" s="24"/>
      <c r="I197" s="13"/>
      <c r="J197" s="7"/>
      <c r="K197" s="24"/>
      <c r="L197" s="24"/>
      <c r="Q197" s="13"/>
      <c r="R197" s="7"/>
      <c r="S197" s="24"/>
      <c r="T197" s="24"/>
      <c r="Y197" s="13"/>
      <c r="Z197" s="7"/>
      <c r="AA197" s="24"/>
      <c r="AB197" s="24"/>
    </row>
    <row r="198" spans="3:28" ht="12.75">
      <c r="C198" s="13"/>
      <c r="D198" s="7"/>
      <c r="E198" s="24"/>
      <c r="F198" s="24"/>
      <c r="I198" s="13"/>
      <c r="J198" s="7"/>
      <c r="K198" s="24"/>
      <c r="L198" s="24"/>
      <c r="Q198" s="13"/>
      <c r="R198" s="7"/>
      <c r="S198" s="24"/>
      <c r="T198" s="24"/>
      <c r="Y198" s="13"/>
      <c r="Z198" s="7"/>
      <c r="AA198" s="24"/>
      <c r="AB198" s="24"/>
    </row>
    <row r="199" spans="3:28" ht="12.75">
      <c r="C199" s="13"/>
      <c r="D199" s="7"/>
      <c r="E199" s="24"/>
      <c r="F199" s="24"/>
      <c r="I199" s="13"/>
      <c r="J199" s="7"/>
      <c r="K199" s="24"/>
      <c r="L199" s="24"/>
      <c r="Q199" s="13"/>
      <c r="R199" s="7"/>
      <c r="S199" s="24"/>
      <c r="T199" s="24"/>
      <c r="Y199" s="13"/>
      <c r="Z199" s="7"/>
      <c r="AA199" s="24"/>
      <c r="AB199" s="24"/>
    </row>
    <row r="200" spans="3:28" ht="12.75">
      <c r="C200" s="13"/>
      <c r="D200" s="7"/>
      <c r="E200" s="24"/>
      <c r="F200" s="24"/>
      <c r="I200" s="13"/>
      <c r="J200" s="7"/>
      <c r="K200" s="24"/>
      <c r="L200" s="24"/>
      <c r="Q200" s="13"/>
      <c r="R200" s="7"/>
      <c r="S200" s="24"/>
      <c r="T200" s="24"/>
      <c r="Y200" s="13"/>
      <c r="Z200" s="7"/>
      <c r="AA200" s="24"/>
      <c r="AB200" s="24"/>
    </row>
    <row r="201" spans="3:28" ht="12.75">
      <c r="C201" s="13"/>
      <c r="D201" s="7"/>
      <c r="E201" s="24"/>
      <c r="F201" s="24"/>
      <c r="I201" s="13"/>
      <c r="J201" s="7"/>
      <c r="K201" s="24"/>
      <c r="L201" s="24"/>
      <c r="Q201" s="13"/>
      <c r="R201" s="7"/>
      <c r="S201" s="24"/>
      <c r="T201" s="24"/>
      <c r="Y201" s="13"/>
      <c r="Z201" s="7"/>
      <c r="AA201" s="24"/>
      <c r="AB201" s="24"/>
    </row>
    <row r="202" spans="3:28" ht="12.75">
      <c r="C202" s="13"/>
      <c r="D202" s="7"/>
      <c r="E202" s="24"/>
      <c r="F202" s="24"/>
      <c r="I202" s="13"/>
      <c r="J202" s="7"/>
      <c r="K202" s="24"/>
      <c r="L202" s="24"/>
      <c r="Q202" s="13"/>
      <c r="R202" s="7"/>
      <c r="S202" s="24"/>
      <c r="T202" s="24"/>
      <c r="Y202" s="13"/>
      <c r="Z202" s="7"/>
      <c r="AA202" s="24"/>
      <c r="AB202" s="24"/>
    </row>
    <row r="203" spans="3:28" ht="12.75">
      <c r="C203" s="13"/>
      <c r="D203" s="7"/>
      <c r="E203" s="24"/>
      <c r="F203" s="24"/>
      <c r="I203" s="13"/>
      <c r="J203" s="7"/>
      <c r="K203" s="24"/>
      <c r="L203" s="24"/>
      <c r="Q203" s="13"/>
      <c r="R203" s="7"/>
      <c r="S203" s="24"/>
      <c r="T203" s="24"/>
      <c r="Y203" s="13"/>
      <c r="Z203" s="7"/>
      <c r="AA203" s="24"/>
      <c r="AB203" s="24"/>
    </row>
    <row r="204" spans="3:28" ht="12.75">
      <c r="C204" s="13"/>
      <c r="D204" s="7"/>
      <c r="E204" s="24"/>
      <c r="F204" s="24"/>
      <c r="I204" s="13"/>
      <c r="J204" s="7"/>
      <c r="K204" s="24"/>
      <c r="L204" s="24"/>
      <c r="Q204" s="13"/>
      <c r="R204" s="7"/>
      <c r="S204" s="24"/>
      <c r="T204" s="24"/>
      <c r="Y204" s="13"/>
      <c r="Z204" s="7"/>
      <c r="AA204" s="24"/>
      <c r="AB204" s="24"/>
    </row>
    <row r="205" spans="3:28" ht="12.75">
      <c r="C205" s="13"/>
      <c r="D205" s="7"/>
      <c r="E205" s="24"/>
      <c r="F205" s="24"/>
      <c r="I205" s="13"/>
      <c r="J205" s="7"/>
      <c r="K205" s="24"/>
      <c r="L205" s="24"/>
      <c r="Q205" s="13"/>
      <c r="R205" s="7"/>
      <c r="S205" s="24"/>
      <c r="T205" s="24"/>
      <c r="Y205" s="13"/>
      <c r="Z205" s="7"/>
      <c r="AA205" s="24"/>
      <c r="AB205" s="24"/>
    </row>
    <row r="206" spans="3:28" ht="12.75">
      <c r="C206" s="13"/>
      <c r="D206" s="7"/>
      <c r="E206" s="24"/>
      <c r="F206" s="24"/>
      <c r="I206" s="13"/>
      <c r="J206" s="7"/>
      <c r="K206" s="24"/>
      <c r="L206" s="24"/>
      <c r="Q206" s="13"/>
      <c r="R206" s="7"/>
      <c r="S206" s="24"/>
      <c r="T206" s="24"/>
      <c r="Y206" s="13"/>
      <c r="Z206" s="7"/>
      <c r="AA206" s="24"/>
      <c r="AB206" s="24"/>
    </row>
    <row r="207" spans="3:28" ht="12.75">
      <c r="C207" s="13"/>
      <c r="D207" s="7"/>
      <c r="E207" s="24"/>
      <c r="F207" s="24"/>
      <c r="I207" s="13"/>
      <c r="J207" s="7"/>
      <c r="K207" s="24"/>
      <c r="L207" s="24"/>
      <c r="Q207" s="13"/>
      <c r="R207" s="7"/>
      <c r="S207" s="24"/>
      <c r="T207" s="24"/>
      <c r="Y207" s="13"/>
      <c r="Z207" s="7"/>
      <c r="AA207" s="24"/>
      <c r="AB207" s="24"/>
    </row>
    <row r="208" spans="3:28" ht="12.75">
      <c r="C208" s="13"/>
      <c r="D208" s="7"/>
      <c r="E208" s="24"/>
      <c r="F208" s="24"/>
      <c r="I208" s="13"/>
      <c r="J208" s="7"/>
      <c r="K208" s="24"/>
      <c r="L208" s="24"/>
      <c r="Q208" s="13"/>
      <c r="R208" s="7"/>
      <c r="S208" s="24"/>
      <c r="T208" s="24"/>
      <c r="Y208" s="13"/>
      <c r="Z208" s="7"/>
      <c r="AA208" s="24"/>
      <c r="AB208" s="24"/>
    </row>
    <row r="209" spans="3:28" ht="12.75">
      <c r="C209" s="13"/>
      <c r="D209" s="7"/>
      <c r="E209" s="24"/>
      <c r="F209" s="24"/>
      <c r="I209" s="13"/>
      <c r="J209" s="7"/>
      <c r="K209" s="24"/>
      <c r="L209" s="24"/>
      <c r="Q209" s="13"/>
      <c r="R209" s="7"/>
      <c r="S209" s="24"/>
      <c r="T209" s="24"/>
      <c r="Y209" s="13"/>
      <c r="Z209" s="7"/>
      <c r="AA209" s="24"/>
      <c r="AB209" s="24"/>
    </row>
    <row r="210" spans="3:28" ht="12.75">
      <c r="C210" s="13"/>
      <c r="D210" s="7"/>
      <c r="E210" s="24"/>
      <c r="F210" s="24"/>
      <c r="I210" s="13"/>
      <c r="J210" s="7"/>
      <c r="K210" s="24"/>
      <c r="L210" s="24"/>
      <c r="Q210" s="13"/>
      <c r="R210" s="7"/>
      <c r="S210" s="24"/>
      <c r="T210" s="24"/>
      <c r="Y210" s="13"/>
      <c r="Z210" s="7"/>
      <c r="AA210" s="24"/>
      <c r="AB210" s="24"/>
    </row>
    <row r="211" spans="3:28" ht="12.75">
      <c r="C211" s="13"/>
      <c r="D211" s="7"/>
      <c r="E211" s="24"/>
      <c r="F211" s="24"/>
      <c r="I211" s="13"/>
      <c r="J211" s="7"/>
      <c r="K211" s="24"/>
      <c r="L211" s="24"/>
      <c r="Q211" s="13"/>
      <c r="R211" s="7"/>
      <c r="S211" s="24"/>
      <c r="T211" s="24"/>
      <c r="Y211" s="13"/>
      <c r="Z211" s="7"/>
      <c r="AA211" s="24"/>
      <c r="AB211" s="24"/>
    </row>
    <row r="212" spans="3:28" ht="12.75">
      <c r="C212" s="13"/>
      <c r="D212" s="7"/>
      <c r="E212" s="24"/>
      <c r="F212" s="24"/>
      <c r="I212" s="13"/>
      <c r="J212" s="7"/>
      <c r="K212" s="24"/>
      <c r="L212" s="24"/>
      <c r="Q212" s="13"/>
      <c r="R212" s="7"/>
      <c r="S212" s="24"/>
      <c r="T212" s="24"/>
      <c r="Y212" s="13"/>
      <c r="Z212" s="7"/>
      <c r="AA212" s="24"/>
      <c r="AB212" s="24"/>
    </row>
    <row r="213" spans="3:28" ht="12.75">
      <c r="C213" s="13"/>
      <c r="D213" s="7"/>
      <c r="E213" s="24"/>
      <c r="F213" s="24"/>
      <c r="I213" s="13"/>
      <c r="J213" s="7"/>
      <c r="K213" s="24"/>
      <c r="L213" s="24"/>
      <c r="Q213" s="13"/>
      <c r="R213" s="7"/>
      <c r="S213" s="24"/>
      <c r="T213" s="24"/>
      <c r="Y213" s="13"/>
      <c r="Z213" s="7"/>
      <c r="AA213" s="24"/>
      <c r="AB213" s="24"/>
    </row>
    <row r="214" spans="3:28" ht="12.75">
      <c r="C214" s="13"/>
      <c r="D214" s="7"/>
      <c r="E214" s="24"/>
      <c r="F214" s="24"/>
      <c r="I214" s="13"/>
      <c r="J214" s="7"/>
      <c r="K214" s="24"/>
      <c r="L214" s="24"/>
      <c r="Q214" s="13"/>
      <c r="R214" s="7"/>
      <c r="S214" s="24"/>
      <c r="T214" s="24"/>
      <c r="Y214" s="13"/>
      <c r="Z214" s="7"/>
      <c r="AA214" s="24"/>
      <c r="AB214" s="24"/>
    </row>
    <row r="215" spans="3:28" ht="12.75">
      <c r="C215" s="13"/>
      <c r="D215" s="7"/>
      <c r="E215" s="24"/>
      <c r="F215" s="24"/>
      <c r="I215" s="13"/>
      <c r="J215" s="7"/>
      <c r="K215" s="24"/>
      <c r="L215" s="24"/>
      <c r="Q215" s="13"/>
      <c r="R215" s="7"/>
      <c r="S215" s="24"/>
      <c r="T215" s="24"/>
      <c r="Y215" s="13"/>
      <c r="Z215" s="7"/>
      <c r="AA215" s="24"/>
      <c r="AB215" s="24"/>
    </row>
    <row r="216" spans="3:28" ht="12.75">
      <c r="C216" s="13"/>
      <c r="D216" s="7"/>
      <c r="E216" s="24"/>
      <c r="F216" s="24"/>
      <c r="I216" s="13"/>
      <c r="J216" s="7"/>
      <c r="K216" s="24"/>
      <c r="L216" s="24"/>
      <c r="Q216" s="13"/>
      <c r="R216" s="7"/>
      <c r="S216" s="24"/>
      <c r="T216" s="24"/>
      <c r="Y216" s="13"/>
      <c r="Z216" s="7"/>
      <c r="AA216" s="24"/>
      <c r="AB216" s="24"/>
    </row>
    <row r="217" spans="3:28" ht="12.75">
      <c r="C217" s="13"/>
      <c r="D217" s="7"/>
      <c r="E217" s="24"/>
      <c r="F217" s="24"/>
      <c r="I217" s="13"/>
      <c r="J217" s="7"/>
      <c r="K217" s="24"/>
      <c r="L217" s="24"/>
      <c r="Q217" s="13"/>
      <c r="R217" s="7"/>
      <c r="S217" s="24"/>
      <c r="T217" s="24"/>
      <c r="Y217" s="13"/>
      <c r="Z217" s="7"/>
      <c r="AA217" s="24"/>
      <c r="AB217" s="24"/>
    </row>
    <row r="218" spans="3:28" ht="12.75">
      <c r="C218" s="13"/>
      <c r="D218" s="7"/>
      <c r="E218" s="24"/>
      <c r="F218" s="24"/>
      <c r="I218" s="13"/>
      <c r="J218" s="7"/>
      <c r="K218" s="24"/>
      <c r="L218" s="24"/>
      <c r="Q218" s="13"/>
      <c r="R218" s="7"/>
      <c r="S218" s="24"/>
      <c r="T218" s="24"/>
      <c r="Y218" s="13"/>
      <c r="Z218" s="7"/>
      <c r="AA218" s="24"/>
      <c r="AB218" s="24"/>
    </row>
    <row r="219" spans="3:28" ht="12.75">
      <c r="C219" s="13"/>
      <c r="D219" s="7"/>
      <c r="E219" s="24"/>
      <c r="F219" s="24"/>
      <c r="I219" s="13"/>
      <c r="J219" s="7"/>
      <c r="K219" s="24"/>
      <c r="L219" s="24"/>
      <c r="Q219" s="13"/>
      <c r="R219" s="7"/>
      <c r="S219" s="24"/>
      <c r="T219" s="24"/>
      <c r="Y219" s="13"/>
      <c r="Z219" s="7"/>
      <c r="AA219" s="24"/>
      <c r="AB219" s="24"/>
    </row>
    <row r="220" spans="3:28" ht="12.75">
      <c r="C220" s="13"/>
      <c r="D220" s="7"/>
      <c r="E220" s="24"/>
      <c r="F220" s="24"/>
      <c r="I220" s="13"/>
      <c r="J220" s="7"/>
      <c r="K220" s="24"/>
      <c r="L220" s="24"/>
      <c r="Q220" s="13"/>
      <c r="R220" s="7"/>
      <c r="S220" s="24"/>
      <c r="T220" s="24"/>
      <c r="Y220" s="13"/>
      <c r="Z220" s="7"/>
      <c r="AA220" s="24"/>
      <c r="AB220" s="24"/>
    </row>
    <row r="221" spans="3:28" ht="12.75">
      <c r="C221" s="13"/>
      <c r="D221" s="7"/>
      <c r="E221" s="24"/>
      <c r="F221" s="24"/>
      <c r="I221" s="13"/>
      <c r="J221" s="7"/>
      <c r="K221" s="24"/>
      <c r="L221" s="24"/>
      <c r="Q221" s="13"/>
      <c r="R221" s="7"/>
      <c r="S221" s="24"/>
      <c r="T221" s="24"/>
      <c r="Y221" s="13"/>
      <c r="Z221" s="7"/>
      <c r="AA221" s="24"/>
      <c r="AB221" s="24"/>
    </row>
    <row r="222" spans="3:28" ht="12.75">
      <c r="C222" s="13"/>
      <c r="D222" s="7"/>
      <c r="E222" s="24"/>
      <c r="F222" s="24"/>
      <c r="I222" s="13"/>
      <c r="J222" s="7"/>
      <c r="K222" s="24"/>
      <c r="L222" s="24"/>
      <c r="Q222" s="13"/>
      <c r="R222" s="7"/>
      <c r="S222" s="24"/>
      <c r="T222" s="24"/>
      <c r="Y222" s="13"/>
      <c r="Z222" s="7"/>
      <c r="AA222" s="24"/>
      <c r="AB222" s="24"/>
    </row>
    <row r="223" spans="3:28" ht="12.75">
      <c r="C223" s="13"/>
      <c r="D223" s="7"/>
      <c r="E223" s="24"/>
      <c r="F223" s="24"/>
      <c r="I223" s="13"/>
      <c r="J223" s="7"/>
      <c r="K223" s="24"/>
      <c r="L223" s="24"/>
      <c r="Q223" s="13"/>
      <c r="R223" s="7"/>
      <c r="S223" s="24"/>
      <c r="T223" s="24"/>
      <c r="Y223" s="13"/>
      <c r="Z223" s="7"/>
      <c r="AA223" s="24"/>
      <c r="AB223" s="24"/>
    </row>
    <row r="224" spans="3:28" ht="12.75">
      <c r="C224" s="13"/>
      <c r="D224" s="7"/>
      <c r="E224" s="24"/>
      <c r="F224" s="24"/>
      <c r="I224" s="13"/>
      <c r="J224" s="7"/>
      <c r="K224" s="24"/>
      <c r="L224" s="24"/>
      <c r="Q224" s="13"/>
      <c r="R224" s="7"/>
      <c r="S224" s="24"/>
      <c r="T224" s="24"/>
      <c r="Y224" s="13"/>
      <c r="Z224" s="7"/>
      <c r="AA224" s="24"/>
      <c r="AB224" s="24"/>
    </row>
    <row r="225" spans="3:28" ht="12.75">
      <c r="C225" s="13"/>
      <c r="D225" s="7"/>
      <c r="E225" s="24"/>
      <c r="F225" s="24"/>
      <c r="I225" s="13"/>
      <c r="J225" s="7"/>
      <c r="K225" s="24"/>
      <c r="L225" s="24"/>
      <c r="Q225" s="13"/>
      <c r="R225" s="7"/>
      <c r="S225" s="24"/>
      <c r="T225" s="24"/>
      <c r="Y225" s="13"/>
      <c r="Z225" s="7"/>
      <c r="AA225" s="24"/>
      <c r="AB225" s="24"/>
    </row>
    <row r="226" spans="3:28" ht="12.75">
      <c r="C226" s="13"/>
      <c r="D226" s="7"/>
      <c r="E226" s="24"/>
      <c r="F226" s="24"/>
      <c r="I226" s="13"/>
      <c r="J226" s="7"/>
      <c r="K226" s="24"/>
      <c r="L226" s="24"/>
      <c r="Q226" s="13"/>
      <c r="R226" s="7"/>
      <c r="S226" s="24"/>
      <c r="T226" s="24"/>
      <c r="Y226" s="13"/>
      <c r="Z226" s="7"/>
      <c r="AA226" s="24"/>
      <c r="AB226" s="24"/>
    </row>
    <row r="227" spans="3:28" ht="12.75">
      <c r="C227" s="13"/>
      <c r="D227" s="7"/>
      <c r="E227" s="24"/>
      <c r="F227" s="24"/>
      <c r="I227" s="13"/>
      <c r="J227" s="7"/>
      <c r="K227" s="24"/>
      <c r="L227" s="24"/>
      <c r="Q227" s="13"/>
      <c r="R227" s="7"/>
      <c r="S227" s="24"/>
      <c r="T227" s="24"/>
      <c r="Y227" s="13"/>
      <c r="Z227" s="7"/>
      <c r="AA227" s="24"/>
      <c r="AB227" s="24"/>
    </row>
    <row r="228" spans="3:28" ht="12.75">
      <c r="C228" s="13"/>
      <c r="D228" s="7"/>
      <c r="E228" s="24"/>
      <c r="F228" s="24"/>
      <c r="I228" s="13"/>
      <c r="J228" s="7"/>
      <c r="K228" s="24"/>
      <c r="L228" s="24"/>
      <c r="Q228" s="13"/>
      <c r="R228" s="7"/>
      <c r="S228" s="24"/>
      <c r="T228" s="24"/>
      <c r="Y228" s="13"/>
      <c r="Z228" s="7"/>
      <c r="AA228" s="24"/>
      <c r="AB228" s="24"/>
    </row>
    <row r="229" spans="3:28" ht="12.75">
      <c r="C229" s="13"/>
      <c r="D229" s="7"/>
      <c r="E229" s="24"/>
      <c r="F229" s="24"/>
      <c r="I229" s="13"/>
      <c r="J229" s="7"/>
      <c r="K229" s="24"/>
      <c r="L229" s="24"/>
      <c r="Q229" s="13"/>
      <c r="R229" s="7"/>
      <c r="S229" s="24"/>
      <c r="T229" s="24"/>
      <c r="Y229" s="13"/>
      <c r="Z229" s="7"/>
      <c r="AA229" s="24"/>
      <c r="AB229" s="24"/>
    </row>
    <row r="230" spans="3:28" ht="12.75">
      <c r="C230" s="13"/>
      <c r="D230" s="7"/>
      <c r="E230" s="24"/>
      <c r="F230" s="24"/>
      <c r="I230" s="13"/>
      <c r="J230" s="7"/>
      <c r="K230" s="24"/>
      <c r="L230" s="24"/>
      <c r="Q230" s="13"/>
      <c r="R230" s="7"/>
      <c r="S230" s="24"/>
      <c r="T230" s="24"/>
      <c r="Y230" s="13"/>
      <c r="Z230" s="7"/>
      <c r="AA230" s="24"/>
      <c r="AB230" s="24"/>
    </row>
    <row r="231" spans="3:28" ht="12.75">
      <c r="C231" s="13"/>
      <c r="D231" s="7"/>
      <c r="E231" s="24"/>
      <c r="F231" s="24"/>
      <c r="I231" s="13"/>
      <c r="J231" s="7"/>
      <c r="K231" s="24"/>
      <c r="L231" s="24"/>
      <c r="Q231" s="13"/>
      <c r="R231" s="7"/>
      <c r="S231" s="24"/>
      <c r="T231" s="24"/>
      <c r="Y231" s="13"/>
      <c r="Z231" s="7"/>
      <c r="AA231" s="24"/>
      <c r="AB231" s="24"/>
    </row>
    <row r="232" spans="3:28" ht="12.75">
      <c r="C232" s="13"/>
      <c r="D232" s="7"/>
      <c r="E232" s="24"/>
      <c r="F232" s="24"/>
      <c r="I232" s="13"/>
      <c r="J232" s="7"/>
      <c r="K232" s="24"/>
      <c r="L232" s="24"/>
      <c r="Q232" s="13"/>
      <c r="R232" s="7"/>
      <c r="S232" s="24"/>
      <c r="T232" s="24"/>
      <c r="Y232" s="13"/>
      <c r="Z232" s="7"/>
      <c r="AA232" s="24"/>
      <c r="AB232" s="24"/>
    </row>
    <row r="233" spans="3:28" ht="12.75">
      <c r="C233" s="13"/>
      <c r="D233" s="7"/>
      <c r="E233" s="24"/>
      <c r="F233" s="24"/>
      <c r="I233" s="13"/>
      <c r="J233" s="7"/>
      <c r="K233" s="24"/>
      <c r="L233" s="24"/>
      <c r="Q233" s="13"/>
      <c r="R233" s="7"/>
      <c r="S233" s="24"/>
      <c r="T233" s="24"/>
      <c r="Y233" s="13"/>
      <c r="Z233" s="7"/>
      <c r="AA233" s="24"/>
      <c r="AB233" s="24"/>
    </row>
    <row r="234" spans="3:28" ht="12.75">
      <c r="C234" s="13"/>
      <c r="D234" s="7"/>
      <c r="E234" s="24"/>
      <c r="F234" s="24"/>
      <c r="I234" s="13"/>
      <c r="J234" s="7"/>
      <c r="K234" s="24"/>
      <c r="L234" s="24"/>
      <c r="Q234" s="13"/>
      <c r="R234" s="7"/>
      <c r="S234" s="24"/>
      <c r="T234" s="24"/>
      <c r="Y234" s="13"/>
      <c r="Z234" s="7"/>
      <c r="AA234" s="24"/>
      <c r="AB234" s="24"/>
    </row>
    <row r="235" spans="3:28" ht="12.75">
      <c r="C235" s="13"/>
      <c r="D235" s="7"/>
      <c r="E235" s="24"/>
      <c r="F235" s="24"/>
      <c r="I235" s="13"/>
      <c r="J235" s="7"/>
      <c r="K235" s="24"/>
      <c r="L235" s="24"/>
      <c r="Q235" s="13"/>
      <c r="R235" s="7"/>
      <c r="S235" s="24"/>
      <c r="T235" s="24"/>
      <c r="Y235" s="13"/>
      <c r="Z235" s="7"/>
      <c r="AA235" s="24"/>
      <c r="AB235" s="24"/>
    </row>
    <row r="236" spans="3:28" ht="12.75">
      <c r="C236" s="13"/>
      <c r="D236" s="7"/>
      <c r="E236" s="24"/>
      <c r="F236" s="24"/>
      <c r="I236" s="13"/>
      <c r="J236" s="7"/>
      <c r="K236" s="24"/>
      <c r="L236" s="24"/>
      <c r="Q236" s="13"/>
      <c r="R236" s="7"/>
      <c r="S236" s="24"/>
      <c r="T236" s="24"/>
      <c r="Y236" s="13"/>
      <c r="Z236" s="7"/>
      <c r="AA236" s="24"/>
      <c r="AB236" s="24"/>
    </row>
    <row r="237" spans="3:28" ht="12.75">
      <c r="C237" s="13"/>
      <c r="D237" s="7"/>
      <c r="E237" s="24"/>
      <c r="F237" s="24"/>
      <c r="I237" s="13"/>
      <c r="J237" s="7"/>
      <c r="K237" s="24"/>
      <c r="L237" s="24"/>
      <c r="Q237" s="13"/>
      <c r="R237" s="7"/>
      <c r="S237" s="24"/>
      <c r="T237" s="24"/>
      <c r="Y237" s="13"/>
      <c r="Z237" s="7"/>
      <c r="AA237" s="24"/>
      <c r="AB237" s="24"/>
    </row>
    <row r="238" spans="3:28" ht="12.75">
      <c r="C238" s="13"/>
      <c r="D238" s="7"/>
      <c r="E238" s="24"/>
      <c r="F238" s="24"/>
      <c r="I238" s="13"/>
      <c r="J238" s="7"/>
      <c r="K238" s="24"/>
      <c r="L238" s="24"/>
      <c r="Q238" s="13"/>
      <c r="R238" s="7"/>
      <c r="S238" s="24"/>
      <c r="T238" s="24"/>
      <c r="Y238" s="13"/>
      <c r="Z238" s="7"/>
      <c r="AA238" s="24"/>
      <c r="AB238" s="24"/>
    </row>
    <row r="239" spans="3:28" ht="12.75">
      <c r="C239" s="19"/>
      <c r="D239" s="20"/>
      <c r="E239" s="24"/>
      <c r="F239" s="24"/>
      <c r="I239" s="19"/>
      <c r="J239" s="20"/>
      <c r="K239" s="24"/>
      <c r="L239" s="31"/>
      <c r="Q239" s="19"/>
      <c r="R239" s="7"/>
      <c r="S239" s="24"/>
      <c r="T239" s="31"/>
      <c r="Y239" s="19"/>
      <c r="Z239" s="7"/>
      <c r="AA239" s="24"/>
      <c r="AB239" s="31"/>
    </row>
    <row r="240" spans="3:28" ht="12.75">
      <c r="C240" s="13"/>
      <c r="D240" s="7"/>
      <c r="E240" s="24"/>
      <c r="F240" s="36"/>
      <c r="I240" s="13"/>
      <c r="J240" s="7"/>
      <c r="K240" s="24"/>
      <c r="L240" s="36"/>
      <c r="Q240" s="13"/>
      <c r="R240" s="7"/>
      <c r="S240" s="24"/>
      <c r="T240" s="36"/>
      <c r="Y240" s="13"/>
      <c r="Z240" s="7"/>
      <c r="AA240" s="24"/>
      <c r="AB240" s="36"/>
    </row>
    <row r="241" spans="3:28" ht="12.75">
      <c r="C241" s="13"/>
      <c r="D241" s="7"/>
      <c r="E241" s="24"/>
      <c r="F241" s="36"/>
      <c r="I241" s="13"/>
      <c r="J241" s="7"/>
      <c r="K241" s="24"/>
      <c r="L241" s="36"/>
      <c r="Q241" s="13"/>
      <c r="R241" s="7"/>
      <c r="S241" s="24"/>
      <c r="T241" s="36"/>
      <c r="Y241" s="13"/>
      <c r="Z241" s="7"/>
      <c r="AA241" s="24"/>
      <c r="AB241" s="36"/>
    </row>
    <row r="242" spans="3:28" ht="12.75">
      <c r="C242" s="13"/>
      <c r="D242" s="7"/>
      <c r="E242" s="24"/>
      <c r="F242" s="36"/>
      <c r="I242" s="13"/>
      <c r="J242" s="7"/>
      <c r="K242" s="24"/>
      <c r="L242" s="36"/>
      <c r="Q242" s="13"/>
      <c r="R242" s="20"/>
      <c r="S242" s="24"/>
      <c r="T242" s="36"/>
      <c r="Y242" s="13"/>
      <c r="Z242" s="20"/>
      <c r="AA242" s="24"/>
      <c r="AB242" s="36"/>
    </row>
    <row r="243" spans="3:28" ht="12.75">
      <c r="C243" s="13"/>
      <c r="D243" s="7"/>
      <c r="E243" s="24"/>
      <c r="F243" s="24"/>
      <c r="I243" s="13"/>
      <c r="J243" s="7"/>
      <c r="K243" s="24"/>
      <c r="L243" s="24"/>
      <c r="Q243" s="13"/>
      <c r="R243" s="11"/>
      <c r="S243" s="24"/>
      <c r="T243" s="24"/>
      <c r="Y243" s="13"/>
      <c r="Z243" s="7"/>
      <c r="AA243" s="24"/>
      <c r="AB243" s="24"/>
    </row>
    <row r="244" spans="3:28" ht="12.75">
      <c r="C244" s="13"/>
      <c r="D244" s="7"/>
      <c r="E244" s="24"/>
      <c r="F244" s="24"/>
      <c r="I244" s="13"/>
      <c r="J244" s="7"/>
      <c r="K244" s="24"/>
      <c r="L244" s="24"/>
      <c r="Q244" s="13"/>
      <c r="R244" s="7"/>
      <c r="S244" s="24"/>
      <c r="T244" s="24"/>
      <c r="Y244" s="13"/>
      <c r="Z244" s="7"/>
      <c r="AA244" s="24"/>
      <c r="AB244" s="24"/>
    </row>
    <row r="245" spans="3:28" ht="12.75">
      <c r="C245" s="13"/>
      <c r="D245" s="7"/>
      <c r="E245" s="24"/>
      <c r="F245" s="24"/>
      <c r="I245" s="13"/>
      <c r="J245" s="7"/>
      <c r="K245" s="24"/>
      <c r="L245" s="24"/>
      <c r="Q245" s="13"/>
      <c r="R245" s="7"/>
      <c r="S245" s="24"/>
      <c r="T245" s="24"/>
      <c r="Y245" s="13"/>
      <c r="Z245" s="7"/>
      <c r="AA245" s="24"/>
      <c r="AB245" s="24"/>
    </row>
    <row r="246" spans="3:28" ht="12.75">
      <c r="C246" s="13"/>
      <c r="D246" s="7"/>
      <c r="E246" s="24"/>
      <c r="F246" s="24"/>
      <c r="I246" s="13"/>
      <c r="J246" s="7"/>
      <c r="K246" s="24"/>
      <c r="L246" s="24"/>
      <c r="Q246" s="13"/>
      <c r="R246" s="7"/>
      <c r="S246" s="24"/>
      <c r="T246" s="24"/>
      <c r="Y246" s="13"/>
      <c r="Z246" s="7"/>
      <c r="AA246" s="24"/>
      <c r="AB246" s="24"/>
    </row>
    <row r="247" spans="3:28" ht="12.75">
      <c r="C247" s="13"/>
      <c r="D247" s="7"/>
      <c r="E247" s="24"/>
      <c r="F247" s="24"/>
      <c r="I247" s="13"/>
      <c r="J247" s="7"/>
      <c r="K247" s="24"/>
      <c r="L247" s="24"/>
      <c r="Q247" s="13"/>
      <c r="R247" s="7"/>
      <c r="S247" s="24"/>
      <c r="T247" s="24"/>
      <c r="Y247" s="13"/>
      <c r="Z247" s="7"/>
      <c r="AA247" s="24"/>
      <c r="AB247" s="24"/>
    </row>
    <row r="248" spans="3:28" ht="12.75">
      <c r="C248" s="13"/>
      <c r="D248" s="7"/>
      <c r="E248" s="24"/>
      <c r="F248" s="24"/>
      <c r="I248" s="13"/>
      <c r="J248" s="7"/>
      <c r="K248" s="24"/>
      <c r="L248" s="24"/>
      <c r="Q248" s="13"/>
      <c r="R248" s="7"/>
      <c r="S248" s="24"/>
      <c r="T248" s="24"/>
      <c r="Y248" s="13"/>
      <c r="Z248" s="7"/>
      <c r="AA248" s="24"/>
      <c r="AB248" s="24"/>
    </row>
    <row r="249" spans="3:28" ht="12.75">
      <c r="C249" s="13"/>
      <c r="D249" s="7"/>
      <c r="E249" s="24"/>
      <c r="F249" s="24"/>
      <c r="I249" s="13"/>
      <c r="J249" s="7"/>
      <c r="K249" s="24"/>
      <c r="L249" s="24"/>
      <c r="Q249" s="13"/>
      <c r="R249" s="7"/>
      <c r="S249" s="24"/>
      <c r="T249" s="24"/>
      <c r="Y249" s="13"/>
      <c r="Z249" s="7"/>
      <c r="AA249" s="24"/>
      <c r="AB249" s="24"/>
    </row>
    <row r="250" spans="3:28" ht="12.75">
      <c r="C250" s="13"/>
      <c r="D250" s="7"/>
      <c r="E250" s="24"/>
      <c r="F250" s="24"/>
      <c r="I250" s="13"/>
      <c r="J250" s="7"/>
      <c r="K250" s="24"/>
      <c r="L250" s="24"/>
      <c r="Q250" s="13"/>
      <c r="R250" s="7"/>
      <c r="S250" s="24"/>
      <c r="T250" s="24"/>
      <c r="Y250" s="13"/>
      <c r="Z250" s="7"/>
      <c r="AA250" s="24"/>
      <c r="AB250" s="24"/>
    </row>
    <row r="251" spans="3:28" ht="12.75">
      <c r="C251" s="13"/>
      <c r="D251" s="7"/>
      <c r="E251" s="24"/>
      <c r="F251" s="24"/>
      <c r="I251" s="13"/>
      <c r="J251" s="7"/>
      <c r="K251" s="24"/>
      <c r="L251" s="24"/>
      <c r="Q251" s="13"/>
      <c r="R251" s="7"/>
      <c r="S251" s="24"/>
      <c r="T251" s="24"/>
      <c r="Y251" s="13"/>
      <c r="Z251" s="7"/>
      <c r="AA251" s="24"/>
      <c r="AB251" s="24"/>
    </row>
    <row r="252" spans="3:28" ht="12.75">
      <c r="C252" s="13"/>
      <c r="D252" s="7"/>
      <c r="E252" s="24"/>
      <c r="F252" s="24"/>
      <c r="I252" s="13"/>
      <c r="J252" s="7"/>
      <c r="K252" s="24"/>
      <c r="L252" s="24"/>
      <c r="Q252" s="13"/>
      <c r="R252" s="7"/>
      <c r="S252" s="24"/>
      <c r="T252" s="24"/>
      <c r="Y252" s="13"/>
      <c r="Z252" s="7"/>
      <c r="AA252" s="24"/>
      <c r="AB252" s="24"/>
    </row>
    <row r="253" spans="3:28" ht="12.75">
      <c r="C253" s="13"/>
      <c r="D253" s="7"/>
      <c r="E253" s="24"/>
      <c r="F253" s="24"/>
      <c r="I253" s="13"/>
      <c r="J253" s="7"/>
      <c r="K253" s="24"/>
      <c r="L253" s="24"/>
      <c r="Q253" s="13"/>
      <c r="R253" s="7"/>
      <c r="S253" s="24"/>
      <c r="T253" s="24"/>
      <c r="Y253" s="13"/>
      <c r="Z253" s="7"/>
      <c r="AA253" s="24"/>
      <c r="AB253" s="24"/>
    </row>
    <row r="254" spans="3:28" ht="12.75">
      <c r="C254" s="13"/>
      <c r="D254" s="7"/>
      <c r="E254" s="24"/>
      <c r="F254" s="24"/>
      <c r="I254" s="13"/>
      <c r="J254" s="7"/>
      <c r="K254" s="24"/>
      <c r="L254" s="24"/>
      <c r="Q254" s="13"/>
      <c r="R254" s="7"/>
      <c r="S254" s="24"/>
      <c r="T254" s="24"/>
      <c r="Y254" s="13"/>
      <c r="Z254" s="7"/>
      <c r="AA254" s="24"/>
      <c r="AB254" s="24"/>
    </row>
    <row r="255" spans="18:26" ht="12.75">
      <c r="R255" s="7"/>
      <c r="Z255" s="7"/>
    </row>
    <row r="256" spans="18:26" ht="12.75">
      <c r="R256" s="7"/>
      <c r="Z256" s="7"/>
    </row>
    <row r="257" spans="18:26" ht="12.75">
      <c r="R257" s="7"/>
      <c r="Z257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6">
      <selection activeCell="L41" sqref="L41"/>
    </sheetView>
  </sheetViews>
  <sheetFormatPr defaultColWidth="9.00390625" defaultRowHeight="12.75"/>
  <cols>
    <col min="1" max="1" width="2.875" style="156" customWidth="1"/>
    <col min="2" max="2" width="23.00390625" style="156" customWidth="1"/>
    <col min="3" max="3" width="10.625" style="183" customWidth="1"/>
    <col min="4" max="4" width="9.75390625" style="164" customWidth="1"/>
    <col min="5" max="5" width="3.875" style="154" customWidth="1"/>
    <col min="6" max="6" width="9.125" style="156" customWidth="1"/>
    <col min="7" max="7" width="8.125" style="156" customWidth="1"/>
    <col min="8" max="11" width="9.125" style="156" customWidth="1"/>
    <col min="12" max="12" width="10.625" style="156" bestFit="1" customWidth="1"/>
    <col min="13" max="16384" width="9.125" style="156" customWidth="1"/>
  </cols>
  <sheetData>
    <row r="1" spans="2:11" s="154" customFormat="1" ht="12.75">
      <c r="B1" s="155" t="s">
        <v>47</v>
      </c>
      <c r="C1" s="156"/>
      <c r="D1" s="156"/>
      <c r="E1" s="156"/>
      <c r="J1" s="157"/>
      <c r="K1" s="157"/>
    </row>
    <row r="2" spans="2:11" s="154" customFormat="1" ht="14.25" customHeight="1">
      <c r="B2" s="158" t="s">
        <v>146</v>
      </c>
      <c r="C2" s="156"/>
      <c r="D2" s="159"/>
      <c r="E2" s="156"/>
      <c r="J2" s="157"/>
      <c r="K2" s="157"/>
    </row>
    <row r="3" spans="2:11" s="154" customFormat="1" ht="4.5" customHeight="1">
      <c r="B3" s="158"/>
      <c r="C3" s="156"/>
      <c r="D3" s="160"/>
      <c r="E3" s="156"/>
      <c r="J3" s="157"/>
      <c r="K3" s="157"/>
    </row>
    <row r="4" spans="2:11" s="154" customFormat="1" ht="12.75">
      <c r="B4" s="161" t="s">
        <v>29</v>
      </c>
      <c r="C4" s="162"/>
      <c r="D4" s="156"/>
      <c r="E4" s="156"/>
      <c r="J4" s="157"/>
      <c r="K4" s="157"/>
    </row>
    <row r="5" spans="3:11" s="154" customFormat="1" ht="6.75" customHeight="1">
      <c r="C5" s="163"/>
      <c r="D5" s="164"/>
      <c r="J5" s="157"/>
      <c r="K5" s="157"/>
    </row>
    <row r="6" spans="2:5" ht="12.75">
      <c r="B6" s="154"/>
      <c r="C6" s="164"/>
      <c r="E6" s="156"/>
    </row>
    <row r="7" spans="2:5" ht="12.75">
      <c r="B7" s="276" t="s">
        <v>148</v>
      </c>
      <c r="C7" s="164"/>
      <c r="D7" s="156"/>
      <c r="E7" s="156"/>
    </row>
    <row r="8" spans="2:5" ht="12.75">
      <c r="B8" s="154"/>
      <c r="C8" s="164"/>
      <c r="E8" s="156"/>
    </row>
    <row r="9" spans="2:12" ht="12.75">
      <c r="B9" s="154" t="s">
        <v>149</v>
      </c>
      <c r="C9" s="164" t="s">
        <v>151</v>
      </c>
      <c r="D9" s="164" t="s">
        <v>156</v>
      </c>
      <c r="E9" s="156"/>
      <c r="F9" s="183" t="s">
        <v>153</v>
      </c>
      <c r="H9" s="156" t="s">
        <v>153</v>
      </c>
      <c r="J9" s="183" t="s">
        <v>365</v>
      </c>
      <c r="L9" s="156" t="s">
        <v>368</v>
      </c>
    </row>
    <row r="10" spans="2:10" ht="12.75">
      <c r="B10" s="154"/>
      <c r="C10" s="164" t="s">
        <v>152</v>
      </c>
      <c r="F10" s="183" t="s">
        <v>11</v>
      </c>
      <c r="H10" s="156" t="s">
        <v>154</v>
      </c>
      <c r="J10" s="183" t="s">
        <v>11</v>
      </c>
    </row>
    <row r="11" spans="2:12" ht="12.75">
      <c r="B11" s="154" t="s">
        <v>357</v>
      </c>
      <c r="C11" s="164">
        <v>1</v>
      </c>
      <c r="D11" s="164">
        <f>4292-4129</f>
        <v>163</v>
      </c>
      <c r="F11" s="156">
        <v>163</v>
      </c>
      <c r="H11" s="156" t="s">
        <v>155</v>
      </c>
      <c r="J11" s="156">
        <f>F11*0.7</f>
        <v>114.1</v>
      </c>
      <c r="L11" s="156">
        <f>163*6.2</f>
        <v>1010.6</v>
      </c>
    </row>
    <row r="12" spans="2:12" ht="12.75">
      <c r="B12" s="154" t="s">
        <v>150</v>
      </c>
      <c r="C12" s="164">
        <v>2</v>
      </c>
      <c r="D12" s="164">
        <v>27</v>
      </c>
      <c r="F12" s="156">
        <f>2*27</f>
        <v>54</v>
      </c>
      <c r="H12" s="156" t="s">
        <v>155</v>
      </c>
      <c r="J12" s="156">
        <f>27*1.4</f>
        <v>37.8</v>
      </c>
      <c r="L12" s="156">
        <f>27*7.2</f>
        <v>194.4</v>
      </c>
    </row>
    <row r="13" spans="2:12" ht="12.75">
      <c r="B13" s="154" t="s">
        <v>358</v>
      </c>
      <c r="C13" s="164">
        <v>2</v>
      </c>
      <c r="D13" s="164">
        <f>350-327</f>
        <v>23</v>
      </c>
      <c r="F13" s="156">
        <v>46</v>
      </c>
      <c r="H13" s="156" t="s">
        <v>155</v>
      </c>
      <c r="J13" s="156">
        <f>23*1.4</f>
        <v>32.199999999999996</v>
      </c>
      <c r="L13" s="156">
        <f>23*7.2</f>
        <v>165.6</v>
      </c>
    </row>
    <row r="14" spans="2:12" ht="12.75">
      <c r="B14" s="328" t="s">
        <v>359</v>
      </c>
      <c r="C14" s="164">
        <v>3</v>
      </c>
      <c r="D14" s="164">
        <v>42</v>
      </c>
      <c r="F14" s="156">
        <v>126</v>
      </c>
      <c r="H14" s="156" t="s">
        <v>155</v>
      </c>
      <c r="J14" s="369">
        <f>42*3*0.7</f>
        <v>88.19999999999999</v>
      </c>
      <c r="L14" s="156">
        <f>42*8.4</f>
        <v>352.8</v>
      </c>
    </row>
    <row r="15" spans="2:12" ht="12.75">
      <c r="B15" s="154" t="s">
        <v>360</v>
      </c>
      <c r="C15" s="164">
        <v>2</v>
      </c>
      <c r="D15" s="164">
        <v>42</v>
      </c>
      <c r="F15" s="156">
        <v>84</v>
      </c>
      <c r="H15" s="156" t="s">
        <v>155</v>
      </c>
      <c r="J15" s="156">
        <f>42*1.4</f>
        <v>58.8</v>
      </c>
      <c r="L15" s="156">
        <f>D15*7.2</f>
        <v>302.40000000000003</v>
      </c>
    </row>
    <row r="16" spans="2:12" ht="12.75">
      <c r="B16" s="156" t="s">
        <v>354</v>
      </c>
      <c r="C16" s="183">
        <v>2</v>
      </c>
      <c r="D16" s="164">
        <v>81</v>
      </c>
      <c r="F16" s="156">
        <v>162</v>
      </c>
      <c r="H16" s="156" t="s">
        <v>155</v>
      </c>
      <c r="J16" s="156">
        <f>81*1.4</f>
        <v>113.39999999999999</v>
      </c>
      <c r="L16" s="156">
        <f>D16*7.2</f>
        <v>583.2</v>
      </c>
    </row>
    <row r="17" spans="2:12" ht="12.75">
      <c r="B17" s="154" t="s">
        <v>355</v>
      </c>
      <c r="C17" s="164">
        <v>3</v>
      </c>
      <c r="D17" s="164">
        <v>42</v>
      </c>
      <c r="F17" s="156">
        <v>126</v>
      </c>
      <c r="H17" s="156" t="s">
        <v>155</v>
      </c>
      <c r="J17" s="369">
        <f>42*2.1</f>
        <v>88.2</v>
      </c>
      <c r="L17" s="156">
        <f>D17*8.4</f>
        <v>352.8</v>
      </c>
    </row>
    <row r="18" spans="2:12" ht="12.75">
      <c r="B18" s="154" t="s">
        <v>356</v>
      </c>
      <c r="C18" s="164">
        <v>2</v>
      </c>
      <c r="D18" s="164">
        <v>42</v>
      </c>
      <c r="F18" s="156">
        <v>84</v>
      </c>
      <c r="H18" s="156" t="s">
        <v>155</v>
      </c>
      <c r="J18" s="156">
        <f>42*1.4</f>
        <v>58.8</v>
      </c>
      <c r="L18" s="156">
        <f>42*7.2</f>
        <v>302.40000000000003</v>
      </c>
    </row>
    <row r="19" spans="2:12" ht="12.75">
      <c r="B19" s="156" t="s">
        <v>361</v>
      </c>
      <c r="C19" s="183">
        <v>1</v>
      </c>
      <c r="D19" s="164">
        <v>21</v>
      </c>
      <c r="F19" s="156">
        <v>21</v>
      </c>
      <c r="H19" s="156" t="s">
        <v>155</v>
      </c>
      <c r="J19" s="156">
        <f>21*0.7</f>
        <v>14.7</v>
      </c>
      <c r="L19" s="156">
        <f>21*6.2</f>
        <v>130.20000000000002</v>
      </c>
    </row>
    <row r="20" spans="2:12" ht="12.75">
      <c r="B20" s="156" t="s">
        <v>362</v>
      </c>
      <c r="C20" s="183">
        <v>2</v>
      </c>
      <c r="D20" s="183">
        <v>27</v>
      </c>
      <c r="E20" s="156"/>
      <c r="F20" s="156">
        <v>54</v>
      </c>
      <c r="H20" s="156" t="s">
        <v>155</v>
      </c>
      <c r="J20" s="156">
        <f>27*1.4</f>
        <v>37.8</v>
      </c>
      <c r="L20" s="156">
        <f>27*7.2</f>
        <v>194.4</v>
      </c>
    </row>
    <row r="21" spans="3:5" ht="12.75">
      <c r="C21" s="156"/>
      <c r="D21" s="156"/>
      <c r="E21" s="156"/>
    </row>
    <row r="22" spans="3:13" ht="12.75">
      <c r="C22" s="183" t="s">
        <v>153</v>
      </c>
      <c r="D22" s="183" t="s">
        <v>11</v>
      </c>
      <c r="F22" s="275">
        <f>SUM(F11:F22)</f>
        <v>920</v>
      </c>
      <c r="G22" s="156" t="s">
        <v>9</v>
      </c>
      <c r="I22" s="275" t="s">
        <v>366</v>
      </c>
      <c r="J22" s="275">
        <f>J11+J12+J13+J15+J16+J18+J19+J20</f>
        <v>467.59999999999997</v>
      </c>
      <c r="L22" s="275">
        <f>SUM(L11:L21)</f>
        <v>3588.8</v>
      </c>
      <c r="M22" s="156" t="s">
        <v>8</v>
      </c>
    </row>
    <row r="23" spans="3:13" ht="12.75">
      <c r="C23" s="183" t="s">
        <v>363</v>
      </c>
      <c r="D23" s="183" t="s">
        <v>364</v>
      </c>
      <c r="E23" s="156"/>
      <c r="F23" s="275">
        <f>920*0.7</f>
        <v>644</v>
      </c>
      <c r="G23" s="156" t="s">
        <v>8</v>
      </c>
      <c r="H23" s="275"/>
      <c r="I23" s="275" t="s">
        <v>367</v>
      </c>
      <c r="J23" s="275">
        <f>J14+J17</f>
        <v>176.39999999999998</v>
      </c>
      <c r="L23" s="370">
        <f>L22*0.25</f>
        <v>897.2</v>
      </c>
      <c r="M23" s="156" t="s">
        <v>10</v>
      </c>
    </row>
    <row r="25" ht="12.75">
      <c r="B25" s="276" t="s">
        <v>157</v>
      </c>
    </row>
    <row r="26" spans="2:6" ht="12.75">
      <c r="B26" s="154" t="s">
        <v>149</v>
      </c>
      <c r="C26" s="164" t="s">
        <v>166</v>
      </c>
      <c r="D26" s="164" t="s">
        <v>156</v>
      </c>
      <c r="E26" s="156"/>
      <c r="F26" s="183" t="s">
        <v>158</v>
      </c>
    </row>
    <row r="27" spans="2:6" ht="12.75">
      <c r="B27" s="154"/>
      <c r="C27" s="164"/>
      <c r="F27" s="183" t="s">
        <v>11</v>
      </c>
    </row>
    <row r="28" spans="2:3" ht="12.75">
      <c r="B28" s="154"/>
      <c r="C28" s="164"/>
    </row>
    <row r="29" spans="2:3" ht="12.75">
      <c r="B29" s="154"/>
      <c r="C29" s="164"/>
    </row>
    <row r="30" spans="2:12" ht="12.75">
      <c r="B30" s="154" t="s">
        <v>159</v>
      </c>
      <c r="C30" s="164">
        <v>2.5</v>
      </c>
      <c r="D30" s="164">
        <v>80</v>
      </c>
      <c r="F30" s="156">
        <f>C30*D30</f>
        <v>200</v>
      </c>
      <c r="K30" s="156">
        <f>80*2.5</f>
        <v>200</v>
      </c>
      <c r="L30" s="156">
        <f>80*1.5</f>
        <v>120</v>
      </c>
    </row>
    <row r="31" spans="2:11" ht="12.75">
      <c r="B31" s="154" t="s">
        <v>160</v>
      </c>
      <c r="C31" s="164">
        <v>1.9</v>
      </c>
      <c r="D31" s="164">
        <v>28</v>
      </c>
      <c r="F31" s="156">
        <f aca="true" t="shared" si="0" ref="F31:F38">C31*D31</f>
        <v>53.199999999999996</v>
      </c>
      <c r="H31" s="156" t="s">
        <v>290</v>
      </c>
      <c r="K31" s="156">
        <f>28*2</f>
        <v>56</v>
      </c>
    </row>
    <row r="32" spans="2:11" ht="12.75">
      <c r="B32" s="154" t="s">
        <v>164</v>
      </c>
      <c r="C32" s="183">
        <v>4.5</v>
      </c>
      <c r="D32" s="164">
        <v>100</v>
      </c>
      <c r="F32" s="156">
        <f t="shared" si="0"/>
        <v>450</v>
      </c>
      <c r="K32" s="156">
        <f>100*4</f>
        <v>400</v>
      </c>
    </row>
    <row r="33" spans="2:11" ht="12.75">
      <c r="B33" s="154" t="s">
        <v>165</v>
      </c>
      <c r="C33" s="183">
        <v>2.5</v>
      </c>
      <c r="D33" s="164">
        <v>75</v>
      </c>
      <c r="F33" s="156">
        <f t="shared" si="0"/>
        <v>187.5</v>
      </c>
      <c r="K33" s="596">
        <f>75*2.5</f>
        <v>187.5</v>
      </c>
    </row>
    <row r="34" spans="2:11" ht="12.75">
      <c r="B34" s="156" t="s">
        <v>161</v>
      </c>
      <c r="C34" s="183">
        <v>2.5</v>
      </c>
      <c r="D34" s="164">
        <f>1140-967</f>
        <v>173</v>
      </c>
      <c r="F34" s="156">
        <f t="shared" si="0"/>
        <v>432.5</v>
      </c>
      <c r="K34" s="156">
        <f>D34*3</f>
        <v>519</v>
      </c>
    </row>
    <row r="35" spans="2:11" ht="12.75">
      <c r="B35" s="154" t="s">
        <v>162</v>
      </c>
      <c r="C35" s="183">
        <v>1.75</v>
      </c>
      <c r="D35" s="164">
        <v>130</v>
      </c>
      <c r="F35" s="156">
        <f t="shared" si="0"/>
        <v>227.5</v>
      </c>
      <c r="K35" s="156">
        <f>130*2.5</f>
        <v>325</v>
      </c>
    </row>
    <row r="36" spans="2:11" ht="12.75">
      <c r="B36" s="154" t="s">
        <v>163</v>
      </c>
      <c r="C36" s="183">
        <v>3.7</v>
      </c>
      <c r="D36" s="164">
        <v>50</v>
      </c>
      <c r="F36" s="156">
        <f t="shared" si="0"/>
        <v>185</v>
      </c>
      <c r="K36" s="156">
        <f>50*4</f>
        <v>200</v>
      </c>
    </row>
    <row r="37" spans="2:11" ht="12.75">
      <c r="B37" s="154" t="s">
        <v>291</v>
      </c>
      <c r="C37" s="183">
        <v>2.5</v>
      </c>
      <c r="D37" s="164">
        <v>30</v>
      </c>
      <c r="F37" s="156">
        <f t="shared" si="0"/>
        <v>75</v>
      </c>
      <c r="K37" s="156">
        <f>30*2.5</f>
        <v>75</v>
      </c>
    </row>
    <row r="38" spans="2:11" ht="12.75">
      <c r="B38" s="154" t="s">
        <v>292</v>
      </c>
      <c r="C38" s="183">
        <v>1.75</v>
      </c>
      <c r="D38" s="164">
        <v>65</v>
      </c>
      <c r="F38" s="156">
        <f t="shared" si="0"/>
        <v>113.75</v>
      </c>
      <c r="K38" s="156">
        <f>65*2</f>
        <v>130</v>
      </c>
    </row>
    <row r="40" spans="3:12" ht="12.75">
      <c r="C40" s="183" t="s">
        <v>153</v>
      </c>
      <c r="D40" s="183">
        <f>SUM(D30:D39)</f>
        <v>731</v>
      </c>
      <c r="F40" s="275">
        <f>SUM(F28:F39)</f>
        <v>1924.45</v>
      </c>
      <c r="G40" s="156" t="s">
        <v>10</v>
      </c>
      <c r="H40" s="275"/>
      <c r="K40" s="275">
        <f>SUM(K30:K39)</f>
        <v>2092.5</v>
      </c>
      <c r="L40" s="156" t="s">
        <v>8</v>
      </c>
    </row>
    <row r="42" spans="2:9" ht="12.75">
      <c r="B42" s="276" t="s">
        <v>174</v>
      </c>
      <c r="C42" s="279" t="s">
        <v>189</v>
      </c>
      <c r="D42" s="164" t="s">
        <v>183</v>
      </c>
      <c r="F42" s="277" t="s">
        <v>156</v>
      </c>
      <c r="H42" s="275" t="s">
        <v>190</v>
      </c>
      <c r="I42" s="281" t="s">
        <v>191</v>
      </c>
    </row>
    <row r="43" spans="2:9" ht="12.75">
      <c r="B43" s="276"/>
      <c r="C43" s="279"/>
      <c r="F43" s="277"/>
      <c r="H43" s="275"/>
      <c r="I43" s="281"/>
    </row>
    <row r="44" ht="12.75">
      <c r="B44" s="275" t="s">
        <v>296</v>
      </c>
    </row>
    <row r="45" spans="2:8" ht="12.75">
      <c r="B45" s="156" t="s">
        <v>293</v>
      </c>
      <c r="C45" s="183" t="s">
        <v>176</v>
      </c>
      <c r="D45" s="164" t="s">
        <v>175</v>
      </c>
      <c r="F45" s="156">
        <v>525</v>
      </c>
      <c r="G45" s="156" t="s">
        <v>294</v>
      </c>
      <c r="H45" s="156" t="s">
        <v>295</v>
      </c>
    </row>
    <row r="46" spans="2:8" ht="12.75">
      <c r="B46" s="156" t="s">
        <v>300</v>
      </c>
      <c r="C46" s="183" t="s">
        <v>179</v>
      </c>
      <c r="D46" s="164" t="s">
        <v>177</v>
      </c>
      <c r="F46" s="156">
        <v>130</v>
      </c>
      <c r="H46" s="156" t="s">
        <v>178</v>
      </c>
    </row>
    <row r="47" spans="2:6" ht="12.75">
      <c r="B47" s="156" t="s">
        <v>301</v>
      </c>
      <c r="C47" s="183" t="s">
        <v>176</v>
      </c>
      <c r="D47" s="164" t="s">
        <v>180</v>
      </c>
      <c r="F47" s="156">
        <v>420</v>
      </c>
    </row>
    <row r="48" spans="2:8" ht="12.75">
      <c r="B48" s="156" t="s">
        <v>181</v>
      </c>
      <c r="C48" s="183" t="s">
        <v>182</v>
      </c>
      <c r="D48" s="164" t="s">
        <v>184</v>
      </c>
      <c r="E48" s="278" t="s">
        <v>185</v>
      </c>
      <c r="F48" s="156">
        <v>120</v>
      </c>
      <c r="H48" s="156" t="s">
        <v>178</v>
      </c>
    </row>
    <row r="49" spans="2:8" ht="12.75">
      <c r="B49" s="156" t="s">
        <v>302</v>
      </c>
      <c r="C49" s="183" t="s">
        <v>182</v>
      </c>
      <c r="D49" s="164" t="s">
        <v>186</v>
      </c>
      <c r="E49" s="154" t="s">
        <v>185</v>
      </c>
      <c r="F49" s="156">
        <v>1040</v>
      </c>
      <c r="H49" s="156" t="s">
        <v>178</v>
      </c>
    </row>
    <row r="51" spans="3:7" ht="12.75">
      <c r="C51" s="279" t="s">
        <v>153</v>
      </c>
      <c r="D51" s="279" t="s">
        <v>11</v>
      </c>
      <c r="E51" s="280"/>
      <c r="F51" s="275">
        <f>SUM(F45:F50)</f>
        <v>2235</v>
      </c>
      <c r="G51" s="156" t="s">
        <v>9</v>
      </c>
    </row>
    <row r="52" spans="3:6" ht="12.75">
      <c r="C52" s="279"/>
      <c r="D52" s="279"/>
      <c r="E52" s="280"/>
      <c r="F52" s="275"/>
    </row>
    <row r="53" spans="2:9" ht="12.75">
      <c r="B53" s="275" t="s">
        <v>297</v>
      </c>
      <c r="C53" s="279" t="s">
        <v>189</v>
      </c>
      <c r="D53" s="164" t="s">
        <v>183</v>
      </c>
      <c r="F53" s="277" t="s">
        <v>156</v>
      </c>
      <c r="H53" s="275" t="s">
        <v>190</v>
      </c>
      <c r="I53" s="281" t="s">
        <v>191</v>
      </c>
    </row>
    <row r="54" spans="2:7" ht="12.75">
      <c r="B54" s="156" t="s">
        <v>298</v>
      </c>
      <c r="F54" s="156">
        <v>105</v>
      </c>
      <c r="G54" s="156" t="s">
        <v>9</v>
      </c>
    </row>
    <row r="55" spans="2:7" ht="12.75">
      <c r="B55" s="156" t="s">
        <v>299</v>
      </c>
      <c r="F55" s="156">
        <v>103</v>
      </c>
      <c r="G55" s="156" t="s">
        <v>9</v>
      </c>
    </row>
    <row r="57" spans="2:7" ht="12.75">
      <c r="B57" s="156" t="s">
        <v>303</v>
      </c>
      <c r="D57" s="164" t="s">
        <v>304</v>
      </c>
      <c r="E57" s="278"/>
      <c r="F57" s="156">
        <v>72</v>
      </c>
      <c r="G57" s="156" t="s">
        <v>9</v>
      </c>
    </row>
    <row r="59" spans="2:8" ht="12.75">
      <c r="B59" s="275" t="s">
        <v>187</v>
      </c>
      <c r="C59" s="279" t="s">
        <v>188</v>
      </c>
      <c r="D59" s="164" t="s">
        <v>193</v>
      </c>
      <c r="F59" s="156">
        <f>D40</f>
        <v>731</v>
      </c>
      <c r="G59" s="156" t="s">
        <v>9</v>
      </c>
      <c r="H59" s="156" t="s">
        <v>192</v>
      </c>
    </row>
    <row r="60" spans="2:7" ht="12.75">
      <c r="B60" s="156" t="s">
        <v>194</v>
      </c>
      <c r="D60" s="164" t="s">
        <v>195</v>
      </c>
      <c r="E60" s="154" t="s">
        <v>196</v>
      </c>
      <c r="F60" s="156">
        <f>15*6</f>
        <v>90</v>
      </c>
      <c r="G60" s="156" t="s">
        <v>9</v>
      </c>
    </row>
    <row r="61" spans="6:7" ht="12.75">
      <c r="F61" s="275">
        <f>SUM(F59:F60)</f>
        <v>821</v>
      </c>
      <c r="G61" s="156" t="s">
        <v>9</v>
      </c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2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7" sqref="G21:G27"/>
    </sheetView>
  </sheetViews>
  <sheetFormatPr defaultColWidth="9.00390625" defaultRowHeight="12.75"/>
  <cols>
    <col min="1" max="1" width="10.125" style="1" customWidth="1"/>
    <col min="2" max="2" width="6.125" style="2" customWidth="1"/>
    <col min="3" max="3" width="6.25390625" style="2" customWidth="1"/>
    <col min="4" max="4" width="6.125" style="2" customWidth="1"/>
    <col min="5" max="5" width="7.00390625" style="2" customWidth="1"/>
    <col min="6" max="6" width="8.75390625" style="2" customWidth="1"/>
    <col min="7" max="7" width="9.00390625" style="2" customWidth="1"/>
    <col min="8" max="8" width="7.375" style="223" customWidth="1"/>
    <col min="9" max="15" width="7.375" style="2" customWidth="1"/>
    <col min="16" max="16" width="8.75390625" style="28" customWidth="1"/>
    <col min="17" max="19" width="8.125" style="28" customWidth="1"/>
    <col min="20" max="20" width="8.875" style="28" customWidth="1"/>
    <col min="21" max="22" width="9.125" style="28" customWidth="1"/>
    <col min="23" max="23" width="7.125" style="35" customWidth="1"/>
    <col min="24" max="26" width="7.875" style="35" customWidth="1"/>
    <col min="27" max="27" width="9.75390625" style="35" customWidth="1"/>
    <col min="28" max="28" width="7.375" style="2" customWidth="1"/>
    <col min="29" max="29" width="9.75390625" style="35" customWidth="1"/>
    <col min="30" max="30" width="7.375" style="2" customWidth="1"/>
  </cols>
  <sheetData>
    <row r="1" spans="1:8" ht="15.75" customHeight="1">
      <c r="A1" s="155" t="s">
        <v>47</v>
      </c>
      <c r="H1" s="28"/>
    </row>
    <row r="2" spans="1:27" ht="15.75" customHeight="1">
      <c r="A2" s="158" t="s">
        <v>146</v>
      </c>
      <c r="H2" s="28"/>
      <c r="M2" s="158"/>
      <c r="AA2" s="28"/>
    </row>
    <row r="3" spans="9:64" ht="15.75">
      <c r="I3" s="3"/>
      <c r="J3" s="3"/>
      <c r="K3" s="3"/>
      <c r="L3" s="274" t="s">
        <v>147</v>
      </c>
      <c r="M3" s="3"/>
      <c r="N3" s="3"/>
      <c r="O3" s="3"/>
      <c r="AB3" s="3"/>
      <c r="AD3" s="3"/>
      <c r="AK3" s="4"/>
      <c r="AS3" s="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100" ht="10.5" customHeight="1" thickBot="1">
      <c r="A4" s="8"/>
      <c r="B4" s="9"/>
      <c r="C4" s="9"/>
      <c r="D4" s="9"/>
      <c r="E4" s="7"/>
      <c r="F4" s="7"/>
      <c r="G4" s="7"/>
      <c r="H4" s="24"/>
      <c r="I4" s="7"/>
      <c r="J4" s="7"/>
      <c r="K4" s="7"/>
      <c r="L4" s="7"/>
      <c r="M4" s="7"/>
      <c r="N4" s="7"/>
      <c r="O4" s="7"/>
      <c r="P4" s="24"/>
      <c r="Q4" s="36"/>
      <c r="R4" s="36"/>
      <c r="S4" s="36"/>
      <c r="T4" s="36"/>
      <c r="U4" s="36"/>
      <c r="V4" s="36"/>
      <c r="W4" s="24"/>
      <c r="X4" s="24"/>
      <c r="Y4" s="24"/>
      <c r="Z4" s="24"/>
      <c r="AA4" s="24"/>
      <c r="AB4" s="7"/>
      <c r="AC4" s="24"/>
      <c r="AD4" s="7"/>
      <c r="AE4" s="12"/>
      <c r="AR4" s="5"/>
      <c r="AS4" s="13"/>
      <c r="AT4" s="7"/>
      <c r="AU4" s="7"/>
      <c r="AV4" s="7"/>
      <c r="AW4" s="7"/>
      <c r="AX4" s="7"/>
      <c r="AY4" s="7"/>
      <c r="AZ4" s="7"/>
      <c r="BA4" s="7"/>
      <c r="BB4" s="11"/>
      <c r="BC4" s="11"/>
      <c r="BD4" s="10"/>
      <c r="BE4" s="11"/>
      <c r="BF4" s="11"/>
      <c r="BG4" s="11"/>
      <c r="BH4" s="11"/>
      <c r="BI4" s="11"/>
      <c r="BJ4" s="11"/>
      <c r="BK4" s="11"/>
      <c r="BL4" s="11"/>
      <c r="BM4" s="7"/>
      <c r="BN4" s="7"/>
      <c r="BO4" s="7"/>
      <c r="BP4" s="7"/>
      <c r="BQ4" s="7"/>
      <c r="BR4" s="7"/>
      <c r="BS4" s="12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</row>
    <row r="5" spans="1:100" ht="12.75">
      <c r="A5" s="59" t="s">
        <v>0</v>
      </c>
      <c r="B5" s="60" t="s">
        <v>1</v>
      </c>
      <c r="C5" s="60" t="s">
        <v>1</v>
      </c>
      <c r="D5" s="104" t="s">
        <v>2</v>
      </c>
      <c r="E5" s="60" t="s">
        <v>2</v>
      </c>
      <c r="F5" s="55" t="s">
        <v>14</v>
      </c>
      <c r="G5" s="55" t="s">
        <v>14</v>
      </c>
      <c r="H5" s="226" t="s">
        <v>3</v>
      </c>
      <c r="I5" s="56" t="s">
        <v>12</v>
      </c>
      <c r="J5" s="106" t="s">
        <v>14</v>
      </c>
      <c r="K5" s="106" t="s">
        <v>16</v>
      </c>
      <c r="L5" s="108" t="s">
        <v>22</v>
      </c>
      <c r="M5" s="100" t="s">
        <v>22</v>
      </c>
      <c r="N5" s="108" t="s">
        <v>197</v>
      </c>
      <c r="O5" s="100" t="s">
        <v>24</v>
      </c>
      <c r="P5" s="86" t="s">
        <v>4</v>
      </c>
      <c r="Q5" s="132" t="s">
        <v>1</v>
      </c>
      <c r="R5" s="60" t="s">
        <v>1</v>
      </c>
      <c r="S5" s="104" t="s">
        <v>2</v>
      </c>
      <c r="T5" s="60" t="s">
        <v>2</v>
      </c>
      <c r="U5" s="56" t="s">
        <v>14</v>
      </c>
      <c r="V5" s="55" t="s">
        <v>14</v>
      </c>
      <c r="W5" s="61" t="s">
        <v>3</v>
      </c>
      <c r="X5" s="56" t="s">
        <v>12</v>
      </c>
      <c r="Y5" s="106" t="s">
        <v>14</v>
      </c>
      <c r="Z5" s="106" t="s">
        <v>16</v>
      </c>
      <c r="AA5" s="108" t="s">
        <v>22</v>
      </c>
      <c r="AB5" s="101" t="s">
        <v>22</v>
      </c>
      <c r="AC5" s="108" t="s">
        <v>197</v>
      </c>
      <c r="AD5" s="101" t="s">
        <v>24</v>
      </c>
      <c r="AE5" s="12"/>
      <c r="AR5" s="5"/>
      <c r="AS5" s="13"/>
      <c r="AT5" s="7"/>
      <c r="AU5" s="7"/>
      <c r="AV5" s="7"/>
      <c r="AW5" s="7"/>
      <c r="AX5" s="7"/>
      <c r="AY5" s="7"/>
      <c r="AZ5" s="7"/>
      <c r="BA5" s="7"/>
      <c r="BB5" s="11"/>
      <c r="BC5" s="11"/>
      <c r="BD5" s="10"/>
      <c r="BE5" s="11"/>
      <c r="BF5" s="11"/>
      <c r="BG5" s="11"/>
      <c r="BH5" s="11"/>
      <c r="BI5" s="11"/>
      <c r="BJ5" s="11"/>
      <c r="BK5" s="11"/>
      <c r="BL5" s="11"/>
      <c r="BM5" s="7"/>
      <c r="BN5" s="7"/>
      <c r="BO5" s="7"/>
      <c r="BP5" s="7"/>
      <c r="BQ5" s="7"/>
      <c r="BR5" s="7"/>
      <c r="BS5" s="12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6" spans="1:100" ht="12.75">
      <c r="A6" s="57"/>
      <c r="B6" s="14"/>
      <c r="C6" s="103" t="s">
        <v>17</v>
      </c>
      <c r="D6" s="103" t="s">
        <v>17</v>
      </c>
      <c r="E6" s="222" t="s">
        <v>84</v>
      </c>
      <c r="F6" s="221" t="s">
        <v>82</v>
      </c>
      <c r="G6" s="15" t="s">
        <v>15</v>
      </c>
      <c r="H6" s="227" t="s">
        <v>25</v>
      </c>
      <c r="I6" s="29" t="s">
        <v>13</v>
      </c>
      <c r="J6" s="107" t="s">
        <v>21</v>
      </c>
      <c r="K6" s="107" t="s">
        <v>18</v>
      </c>
      <c r="L6" s="109" t="s">
        <v>19</v>
      </c>
      <c r="M6" s="110" t="s">
        <v>20</v>
      </c>
      <c r="N6" s="109" t="s">
        <v>198</v>
      </c>
      <c r="O6" s="110"/>
      <c r="P6" s="87" t="s">
        <v>6</v>
      </c>
      <c r="Q6" s="133"/>
      <c r="R6" s="103" t="s">
        <v>17</v>
      </c>
      <c r="S6" s="103" t="s">
        <v>17</v>
      </c>
      <c r="T6" s="222" t="s">
        <v>84</v>
      </c>
      <c r="U6" s="37" t="s">
        <v>5</v>
      </c>
      <c r="V6" s="15" t="s">
        <v>15</v>
      </c>
      <c r="W6" s="38"/>
      <c r="X6" s="29" t="s">
        <v>13</v>
      </c>
      <c r="Y6" s="107" t="s">
        <v>21</v>
      </c>
      <c r="Z6" s="107" t="s">
        <v>18</v>
      </c>
      <c r="AA6" s="109" t="s">
        <v>19</v>
      </c>
      <c r="AB6" s="134" t="s">
        <v>20</v>
      </c>
      <c r="AC6" s="109" t="s">
        <v>198</v>
      </c>
      <c r="AD6" s="134"/>
      <c r="AE6" s="12"/>
      <c r="AR6" s="5"/>
      <c r="AS6" s="13"/>
      <c r="AT6" s="7"/>
      <c r="AU6" s="7"/>
      <c r="AV6" s="7"/>
      <c r="AW6" s="7"/>
      <c r="AX6" s="7"/>
      <c r="AY6" s="7"/>
      <c r="AZ6" s="7"/>
      <c r="BA6" s="7"/>
      <c r="BB6" s="11"/>
      <c r="BC6" s="11"/>
      <c r="BD6" s="10"/>
      <c r="BE6" s="11"/>
      <c r="BF6" s="11"/>
      <c r="BG6" s="11"/>
      <c r="BH6" s="11"/>
      <c r="BI6" s="11"/>
      <c r="BJ6" s="11"/>
      <c r="BK6" s="11"/>
      <c r="BL6" s="11"/>
      <c r="BM6" s="7"/>
      <c r="BN6" s="7"/>
      <c r="BO6" s="7"/>
      <c r="BP6" s="7"/>
      <c r="BQ6" s="7"/>
      <c r="BR6" s="7"/>
      <c r="BS6" s="12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</row>
    <row r="7" spans="1:100" ht="13.5" customHeight="1" thickBot="1">
      <c r="A7" s="62" t="s">
        <v>7</v>
      </c>
      <c r="B7" s="63" t="s">
        <v>8</v>
      </c>
      <c r="C7" s="63" t="s">
        <v>8</v>
      </c>
      <c r="D7" s="63" t="s">
        <v>8</v>
      </c>
      <c r="E7" s="63" t="s">
        <v>8</v>
      </c>
      <c r="F7" s="130" t="s">
        <v>9</v>
      </c>
      <c r="G7" s="64" t="s">
        <v>8</v>
      </c>
      <c r="H7" s="228" t="s">
        <v>9</v>
      </c>
      <c r="I7" s="64" t="s">
        <v>9</v>
      </c>
      <c r="J7" s="125" t="s">
        <v>8</v>
      </c>
      <c r="K7" s="125" t="s">
        <v>9</v>
      </c>
      <c r="L7" s="126" t="s">
        <v>9</v>
      </c>
      <c r="M7" s="127" t="s">
        <v>9</v>
      </c>
      <c r="N7" s="126" t="s">
        <v>9</v>
      </c>
      <c r="O7" s="127" t="s">
        <v>8</v>
      </c>
      <c r="P7" s="88" t="s">
        <v>9</v>
      </c>
      <c r="Q7" s="135" t="s">
        <v>10</v>
      </c>
      <c r="R7" s="68" t="s">
        <v>10</v>
      </c>
      <c r="S7" s="68" t="s">
        <v>10</v>
      </c>
      <c r="T7" s="65" t="s">
        <v>10</v>
      </c>
      <c r="U7" s="131" t="s">
        <v>8</v>
      </c>
      <c r="V7" s="64" t="s">
        <v>10</v>
      </c>
      <c r="W7" s="66" t="s">
        <v>8</v>
      </c>
      <c r="X7" s="67" t="s">
        <v>8</v>
      </c>
      <c r="Y7" s="125" t="s">
        <v>10</v>
      </c>
      <c r="Z7" s="125" t="s">
        <v>8</v>
      </c>
      <c r="AA7" s="126" t="s">
        <v>8</v>
      </c>
      <c r="AB7" s="136" t="s">
        <v>8</v>
      </c>
      <c r="AC7" s="126" t="s">
        <v>8</v>
      </c>
      <c r="AD7" s="136" t="s">
        <v>8</v>
      </c>
      <c r="AE7" s="12"/>
      <c r="AR7" s="5"/>
      <c r="AS7" s="13"/>
      <c r="AT7" s="7"/>
      <c r="AU7" s="7"/>
      <c r="AV7" s="7"/>
      <c r="AW7" s="7"/>
      <c r="AX7" s="7"/>
      <c r="AY7" s="7"/>
      <c r="AZ7" s="7"/>
      <c r="BA7" s="7"/>
      <c r="BB7" s="11"/>
      <c r="BC7" s="11"/>
      <c r="BD7" s="10"/>
      <c r="BE7" s="11"/>
      <c r="BF7" s="11"/>
      <c r="BG7" s="11"/>
      <c r="BH7" s="11"/>
      <c r="BI7" s="11"/>
      <c r="BJ7" s="11"/>
      <c r="BK7" s="11"/>
      <c r="BL7" s="11"/>
      <c r="BM7" s="7"/>
      <c r="BN7" s="7"/>
      <c r="BO7" s="7"/>
      <c r="BP7" s="7"/>
      <c r="BQ7" s="7"/>
      <c r="BR7" s="7"/>
      <c r="BS7" s="12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</row>
    <row r="8" spans="1:100" ht="12.75">
      <c r="A8" s="72"/>
      <c r="B8" s="77"/>
      <c r="C8" s="75"/>
      <c r="D8" s="77"/>
      <c r="E8" s="75"/>
      <c r="F8" s="76"/>
      <c r="G8" s="74"/>
      <c r="H8" s="229"/>
      <c r="I8" s="75"/>
      <c r="J8" s="93"/>
      <c r="K8" s="93"/>
      <c r="L8" s="93"/>
      <c r="M8" s="77"/>
      <c r="N8" s="82"/>
      <c r="O8" s="77"/>
      <c r="P8" s="89"/>
      <c r="Q8" s="80"/>
      <c r="R8" s="83"/>
      <c r="S8" s="80"/>
      <c r="T8" s="81"/>
      <c r="U8" s="80"/>
      <c r="V8" s="81"/>
      <c r="W8" s="80"/>
      <c r="X8" s="85"/>
      <c r="Y8" s="85"/>
      <c r="Z8" s="85"/>
      <c r="AA8" s="81"/>
      <c r="AB8" s="141"/>
      <c r="AC8" s="83"/>
      <c r="AD8" s="99"/>
      <c r="AE8" s="12"/>
      <c r="AR8" s="5"/>
      <c r="AS8" s="13"/>
      <c r="AT8" s="7"/>
      <c r="AU8" s="7"/>
      <c r="AV8" s="7"/>
      <c r="AW8" s="7"/>
      <c r="AX8" s="7"/>
      <c r="AY8" s="7"/>
      <c r="AZ8" s="7"/>
      <c r="BA8" s="7"/>
      <c r="BB8" s="11"/>
      <c r="BC8" s="11"/>
      <c r="BD8" s="10"/>
      <c r="BE8" s="11"/>
      <c r="BF8" s="11"/>
      <c r="BG8" s="11"/>
      <c r="BH8" s="11"/>
      <c r="BI8" s="11"/>
      <c r="BJ8" s="11"/>
      <c r="BK8" s="11"/>
      <c r="BL8" s="11"/>
      <c r="BM8" s="7"/>
      <c r="BN8" s="7"/>
      <c r="BO8" s="7"/>
      <c r="BP8" s="7"/>
      <c r="BQ8" s="7"/>
      <c r="BR8" s="7"/>
      <c r="BS8" s="12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100" ht="13.5" customHeight="1">
      <c r="A9" s="111">
        <v>4.145</v>
      </c>
      <c r="B9" s="115">
        <v>0.7</v>
      </c>
      <c r="C9" s="97">
        <v>4</v>
      </c>
      <c r="D9" s="115">
        <v>2.8</v>
      </c>
      <c r="E9" s="97">
        <v>0</v>
      </c>
      <c r="F9" s="116">
        <v>2.25</v>
      </c>
      <c r="G9" s="117">
        <v>0.33</v>
      </c>
      <c r="H9" s="230"/>
      <c r="I9" s="97">
        <v>2.6</v>
      </c>
      <c r="J9" s="96">
        <v>0</v>
      </c>
      <c r="K9" s="96">
        <v>2.5</v>
      </c>
      <c r="L9" s="96">
        <v>0</v>
      </c>
      <c r="M9" s="115">
        <v>1.3</v>
      </c>
      <c r="N9" s="97">
        <v>6</v>
      </c>
      <c r="O9" s="115">
        <v>0.1</v>
      </c>
      <c r="P9" s="112"/>
      <c r="Q9" s="31"/>
      <c r="R9" s="81"/>
      <c r="S9" s="80"/>
      <c r="T9" s="81"/>
      <c r="U9" s="80"/>
      <c r="V9" s="81"/>
      <c r="W9" s="80"/>
      <c r="X9" s="85"/>
      <c r="Y9" s="85"/>
      <c r="Z9" s="85"/>
      <c r="AA9" s="81"/>
      <c r="AB9" s="141"/>
      <c r="AC9" s="81"/>
      <c r="AD9" s="99"/>
      <c r="AE9" s="12"/>
      <c r="AR9" s="5"/>
      <c r="AS9" s="13"/>
      <c r="AT9" s="7"/>
      <c r="AU9" s="7"/>
      <c r="AV9" s="7"/>
      <c r="AW9" s="7"/>
      <c r="AX9" s="7"/>
      <c r="AY9" s="7"/>
      <c r="AZ9" s="7"/>
      <c r="BA9" s="7"/>
      <c r="BB9" s="11"/>
      <c r="BC9" s="11"/>
      <c r="BD9" s="10"/>
      <c r="BE9" s="11"/>
      <c r="BF9" s="11"/>
      <c r="BG9" s="11"/>
      <c r="BH9" s="11"/>
      <c r="BI9" s="11"/>
      <c r="BJ9" s="11"/>
      <c r="BK9" s="11"/>
      <c r="BL9" s="11"/>
      <c r="BM9" s="7"/>
      <c r="BN9" s="7"/>
      <c r="BO9" s="7"/>
      <c r="BP9" s="7"/>
      <c r="BQ9" s="7"/>
      <c r="BR9" s="7"/>
      <c r="BS9" s="12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</row>
    <row r="10" spans="1:100" ht="12.75">
      <c r="A10" s="72"/>
      <c r="B10" s="77"/>
      <c r="C10" s="75"/>
      <c r="D10" s="77"/>
      <c r="E10" s="75"/>
      <c r="F10" s="76"/>
      <c r="G10" s="74"/>
      <c r="H10" s="229"/>
      <c r="I10" s="75"/>
      <c r="J10" s="93"/>
      <c r="K10" s="93"/>
      <c r="L10" s="93"/>
      <c r="M10" s="77"/>
      <c r="N10" s="75"/>
      <c r="O10" s="77"/>
      <c r="P10" s="89">
        <f>1000*(A11-A9)</f>
        <v>55.000000000000604</v>
      </c>
      <c r="Q10" s="80">
        <f>0.5*P10*(B9+B11)</f>
        <v>38.50000000000042</v>
      </c>
      <c r="R10" s="81">
        <f>0.5*P10*(C9+C11)</f>
        <v>242.00000000000267</v>
      </c>
      <c r="S10" s="81">
        <f>0.5*P10*(D9+D11)</f>
        <v>154.00000000000168</v>
      </c>
      <c r="T10" s="81">
        <f>0.5*P10*(E9+E11)</f>
        <v>0</v>
      </c>
      <c r="U10" s="80">
        <f>0.5*P10*(F9+F11)</f>
        <v>123.75000000000136</v>
      </c>
      <c r="V10" s="81">
        <f>0.5*P10*(G9+G11)</f>
        <v>18.1500000000002</v>
      </c>
      <c r="W10" s="80">
        <f>0.5*P10*(H9+H11)</f>
        <v>0</v>
      </c>
      <c r="X10" s="85">
        <f>0.5*P10*(I9+I11)</f>
        <v>143.00000000000156</v>
      </c>
      <c r="Y10" s="81">
        <f>0.5*P10*(J9+J11)</f>
        <v>0</v>
      </c>
      <c r="Z10" s="81">
        <f>0.5*P10*(K9+K11)</f>
        <v>137.5000000000015</v>
      </c>
      <c r="AA10" s="81">
        <f>0.5*P10*(L9+L11)</f>
        <v>0</v>
      </c>
      <c r="AB10" s="141">
        <f>0.5*P10*(M9+M11)</f>
        <v>71.50000000000078</v>
      </c>
      <c r="AC10" s="81">
        <f>0.5*P10*(N9+N11)</f>
        <v>330.00000000000364</v>
      </c>
      <c r="AD10" s="99">
        <f>0.5*P10*(O9+O11)</f>
        <v>5.50000000000006</v>
      </c>
      <c r="AE10" s="12"/>
      <c r="AR10" s="5"/>
      <c r="AS10" s="13"/>
      <c r="AT10" s="7"/>
      <c r="AU10" s="7"/>
      <c r="AV10" s="7"/>
      <c r="AW10" s="7"/>
      <c r="AX10" s="7"/>
      <c r="AY10" s="7"/>
      <c r="AZ10" s="7"/>
      <c r="BA10" s="7"/>
      <c r="BB10" s="11"/>
      <c r="BC10" s="11"/>
      <c r="BD10" s="10"/>
      <c r="BE10" s="11"/>
      <c r="BF10" s="11"/>
      <c r="BG10" s="11"/>
      <c r="BH10" s="11"/>
      <c r="BI10" s="11"/>
      <c r="BJ10" s="11"/>
      <c r="BK10" s="11"/>
      <c r="BL10" s="11"/>
      <c r="BM10" s="7"/>
      <c r="BN10" s="7"/>
      <c r="BO10" s="7"/>
      <c r="BP10" s="7"/>
      <c r="BQ10" s="7"/>
      <c r="BR10" s="7"/>
      <c r="BS10" s="12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</row>
    <row r="11" spans="1:100" ht="13.5" customHeight="1">
      <c r="A11" s="111">
        <v>4.2</v>
      </c>
      <c r="B11" s="115">
        <v>0.7</v>
      </c>
      <c r="C11" s="97">
        <v>4.8</v>
      </c>
      <c r="D11" s="115">
        <v>2.8</v>
      </c>
      <c r="E11" s="97">
        <v>0</v>
      </c>
      <c r="F11" s="116">
        <v>2.25</v>
      </c>
      <c r="G11" s="117">
        <v>0.33</v>
      </c>
      <c r="H11" s="230"/>
      <c r="I11" s="97">
        <v>2.6</v>
      </c>
      <c r="J11" s="96">
        <v>0</v>
      </c>
      <c r="K11" s="96">
        <v>2.5</v>
      </c>
      <c r="L11" s="96">
        <v>0</v>
      </c>
      <c r="M11" s="115">
        <v>1.3</v>
      </c>
      <c r="N11" s="97">
        <v>6</v>
      </c>
      <c r="O11" s="115">
        <v>0.1</v>
      </c>
      <c r="P11" s="112"/>
      <c r="Q11" s="31"/>
      <c r="R11" s="81"/>
      <c r="S11" s="80"/>
      <c r="T11" s="81"/>
      <c r="U11" s="80"/>
      <c r="V11" s="81"/>
      <c r="W11" s="80"/>
      <c r="X11" s="85"/>
      <c r="Y11" s="85"/>
      <c r="Z11" s="85"/>
      <c r="AA11" s="81"/>
      <c r="AB11" s="141"/>
      <c r="AC11" s="81"/>
      <c r="AD11" s="99"/>
      <c r="AE11" s="12"/>
      <c r="AR11" s="5"/>
      <c r="AS11" s="13"/>
      <c r="AT11" s="7"/>
      <c r="AU11" s="7"/>
      <c r="AV11" s="7"/>
      <c r="AW11" s="7"/>
      <c r="AX11" s="7"/>
      <c r="AY11" s="7"/>
      <c r="AZ11" s="7"/>
      <c r="BA11" s="7"/>
      <c r="BB11" s="11"/>
      <c r="BC11" s="11"/>
      <c r="BD11" s="10"/>
      <c r="BE11" s="11"/>
      <c r="BF11" s="11"/>
      <c r="BG11" s="11"/>
      <c r="BH11" s="11"/>
      <c r="BI11" s="11"/>
      <c r="BJ11" s="11"/>
      <c r="BK11" s="11"/>
      <c r="BL11" s="11"/>
      <c r="BM11" s="7"/>
      <c r="BN11" s="7"/>
      <c r="BO11" s="7"/>
      <c r="BP11" s="7"/>
      <c r="BQ11" s="7"/>
      <c r="BR11" s="7"/>
      <c r="BS11" s="12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</row>
    <row r="12" spans="1:100" ht="12.75">
      <c r="A12" s="72"/>
      <c r="B12" s="77"/>
      <c r="C12" s="75"/>
      <c r="D12" s="77"/>
      <c r="E12" s="75"/>
      <c r="F12" s="76"/>
      <c r="G12" s="74"/>
      <c r="H12" s="229"/>
      <c r="I12" s="75"/>
      <c r="J12" s="93"/>
      <c r="K12" s="93"/>
      <c r="L12" s="93"/>
      <c r="M12" s="77"/>
      <c r="N12" s="75"/>
      <c r="O12" s="77"/>
      <c r="P12" s="89">
        <f>1000*(A13-A11)</f>
        <v>59.99999999999961</v>
      </c>
      <c r="Q12" s="80">
        <f>0.5*P12*(B11+B13)</f>
        <v>35.999999999999766</v>
      </c>
      <c r="R12" s="81">
        <f>0.5*P12*(C11+C13)</f>
        <v>275.9999999999982</v>
      </c>
      <c r="S12" s="81">
        <f>0.5*P12*(D11+D13)</f>
        <v>167.9999999999989</v>
      </c>
      <c r="T12" s="81">
        <f>0.5*P12*(E11+E13)</f>
        <v>0</v>
      </c>
      <c r="U12" s="80">
        <f>0.5*P12*(F11+F13)</f>
        <v>134.99999999999912</v>
      </c>
      <c r="V12" s="81">
        <f>0.5*P12*(G11+G13)</f>
        <v>19.799999999999873</v>
      </c>
      <c r="W12" s="80">
        <f>0.5*P12*(H11+H13)</f>
        <v>0</v>
      </c>
      <c r="X12" s="85">
        <f>0.5*P12*(I11+I13)</f>
        <v>155.99999999999898</v>
      </c>
      <c r="Y12" s="81">
        <f>0.5*P12*(J11+J13)</f>
        <v>0</v>
      </c>
      <c r="Z12" s="81">
        <f>0.5*P12*(K11+K13)</f>
        <v>164.99999999999892</v>
      </c>
      <c r="AA12" s="81">
        <f>0.5*P12*(L11+L13)</f>
        <v>0</v>
      </c>
      <c r="AB12" s="141">
        <f>0.5*P12*(M11+M13)</f>
        <v>71.99999999999955</v>
      </c>
      <c r="AC12" s="81">
        <f>0.5*P12*(N11+N13)</f>
        <v>353.9999999999977</v>
      </c>
      <c r="AD12" s="99">
        <f>0.5*P12*(O11+O13)</f>
        <v>5.999999999999961</v>
      </c>
      <c r="AE12" s="12"/>
      <c r="AR12" s="5"/>
      <c r="AS12" s="13"/>
      <c r="AT12" s="7"/>
      <c r="AU12" s="7"/>
      <c r="AV12" s="7"/>
      <c r="AW12" s="7"/>
      <c r="AX12" s="7"/>
      <c r="AY12" s="7"/>
      <c r="AZ12" s="7"/>
      <c r="BA12" s="7"/>
      <c r="BB12" s="11"/>
      <c r="BC12" s="11"/>
      <c r="BD12" s="10"/>
      <c r="BE12" s="11"/>
      <c r="BF12" s="11"/>
      <c r="BG12" s="11"/>
      <c r="BH12" s="11"/>
      <c r="BI12" s="11"/>
      <c r="BJ12" s="11"/>
      <c r="BK12" s="11"/>
      <c r="BL12" s="11"/>
      <c r="BM12" s="7"/>
      <c r="BN12" s="7"/>
      <c r="BO12" s="7"/>
      <c r="BP12" s="7"/>
      <c r="BQ12" s="7"/>
      <c r="BR12" s="7"/>
      <c r="BS12" s="12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ht="13.5" customHeight="1">
      <c r="A13" s="111">
        <v>4.26</v>
      </c>
      <c r="B13" s="115">
        <v>0.5</v>
      </c>
      <c r="C13" s="97">
        <v>4.4</v>
      </c>
      <c r="D13" s="115">
        <v>2.8</v>
      </c>
      <c r="E13" s="97">
        <v>0</v>
      </c>
      <c r="F13" s="116">
        <v>2.25</v>
      </c>
      <c r="G13" s="117">
        <v>0.33</v>
      </c>
      <c r="H13" s="230"/>
      <c r="I13" s="97">
        <v>2.6</v>
      </c>
      <c r="J13" s="96">
        <v>0</v>
      </c>
      <c r="K13" s="96">
        <v>3</v>
      </c>
      <c r="L13" s="96">
        <v>0</v>
      </c>
      <c r="M13" s="115">
        <v>1.1</v>
      </c>
      <c r="N13" s="97">
        <v>5.8</v>
      </c>
      <c r="O13" s="115">
        <v>0.1</v>
      </c>
      <c r="P13" s="112"/>
      <c r="Q13" s="31"/>
      <c r="R13" s="81"/>
      <c r="S13" s="80"/>
      <c r="T13" s="81"/>
      <c r="U13" s="80"/>
      <c r="V13" s="81"/>
      <c r="W13" s="80"/>
      <c r="X13" s="85"/>
      <c r="Y13" s="85"/>
      <c r="Z13" s="85"/>
      <c r="AA13" s="81"/>
      <c r="AB13" s="141"/>
      <c r="AC13" s="81"/>
      <c r="AD13" s="99"/>
      <c r="AE13" s="12"/>
      <c r="AR13" s="5"/>
      <c r="AS13" s="13"/>
      <c r="AT13" s="7"/>
      <c r="AU13" s="7"/>
      <c r="AV13" s="7"/>
      <c r="AW13" s="7"/>
      <c r="AX13" s="7"/>
      <c r="AY13" s="7"/>
      <c r="AZ13" s="7"/>
      <c r="BA13" s="7"/>
      <c r="BB13" s="11"/>
      <c r="BC13" s="11"/>
      <c r="BD13" s="10"/>
      <c r="BE13" s="11"/>
      <c r="BF13" s="11"/>
      <c r="BG13" s="11"/>
      <c r="BH13" s="11"/>
      <c r="BI13" s="11"/>
      <c r="BJ13" s="11"/>
      <c r="BK13" s="11"/>
      <c r="BL13" s="11"/>
      <c r="BM13" s="7"/>
      <c r="BN13" s="7"/>
      <c r="BO13" s="7"/>
      <c r="BP13" s="7"/>
      <c r="BQ13" s="7"/>
      <c r="BR13" s="7"/>
      <c r="BS13" s="12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</row>
    <row r="14" spans="1:100" ht="12.75">
      <c r="A14" s="72"/>
      <c r="B14" s="77"/>
      <c r="C14" s="75"/>
      <c r="D14" s="77"/>
      <c r="E14" s="75"/>
      <c r="F14" s="76"/>
      <c r="G14" s="74"/>
      <c r="H14" s="229"/>
      <c r="I14" s="75"/>
      <c r="J14" s="93"/>
      <c r="K14" s="93"/>
      <c r="L14" s="93"/>
      <c r="M14" s="77"/>
      <c r="N14" s="75"/>
      <c r="O14" s="77"/>
      <c r="P14" s="89">
        <f>1000*(A15-A13)</f>
        <v>40.000000000000036</v>
      </c>
      <c r="Q14" s="80">
        <f>0.5*P14*(B13+B15)</f>
        <v>18.000000000000018</v>
      </c>
      <c r="R14" s="81">
        <f>0.5*P14*(C13+C15)</f>
        <v>230.0000000000002</v>
      </c>
      <c r="S14" s="81">
        <f>0.5*P14*(D13+D15)</f>
        <v>164.00000000000014</v>
      </c>
      <c r="T14" s="81">
        <f>0.5*P14*(E13+E15)</f>
        <v>0</v>
      </c>
      <c r="U14" s="80">
        <f>0.5*P14*(F13+F15)</f>
        <v>90.00000000000009</v>
      </c>
      <c r="V14" s="81">
        <f>0.5*P14*(G13+G15)</f>
        <v>13.200000000000012</v>
      </c>
      <c r="W14" s="80">
        <f>0.5*P14*(H13+H15)</f>
        <v>0</v>
      </c>
      <c r="X14" s="85">
        <f>0.5*P14*(I13+I15)</f>
        <v>110.0000000000001</v>
      </c>
      <c r="Y14" s="81">
        <f>0.5*P14*(J13+J15)</f>
        <v>0</v>
      </c>
      <c r="Z14" s="81">
        <f>0.5*P14*(K13+K15)</f>
        <v>116.0000000000001</v>
      </c>
      <c r="AA14" s="81">
        <f>0.5*P14*(L13+L15)</f>
        <v>22.00000000000002</v>
      </c>
      <c r="AB14" s="141">
        <f>0.5*P14*(M13+M15)</f>
        <v>54.00000000000005</v>
      </c>
      <c r="AC14" s="81">
        <f>0.5*P14*(N13+N15)</f>
        <v>276.0000000000003</v>
      </c>
      <c r="AD14" s="99">
        <f>0.5*P14*(O13+O15)</f>
        <v>12.00000000000001</v>
      </c>
      <c r="AE14" s="12"/>
      <c r="AR14" s="5"/>
      <c r="AS14" s="13"/>
      <c r="AT14" s="7"/>
      <c r="AU14" s="7"/>
      <c r="AV14" s="7"/>
      <c r="AW14" s="7"/>
      <c r="AX14" s="7"/>
      <c r="AY14" s="7"/>
      <c r="AZ14" s="7"/>
      <c r="BA14" s="7"/>
      <c r="BB14" s="11"/>
      <c r="BC14" s="11"/>
      <c r="BD14" s="10"/>
      <c r="BE14" s="11"/>
      <c r="BF14" s="11"/>
      <c r="BG14" s="11"/>
      <c r="BH14" s="11"/>
      <c r="BI14" s="11"/>
      <c r="BJ14" s="11"/>
      <c r="BK14" s="11"/>
      <c r="BL14" s="11"/>
      <c r="BM14" s="7"/>
      <c r="BN14" s="7"/>
      <c r="BO14" s="7"/>
      <c r="BP14" s="7"/>
      <c r="BQ14" s="7"/>
      <c r="BR14" s="7"/>
      <c r="BS14" s="12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</row>
    <row r="15" spans="1:100" ht="12.75">
      <c r="A15" s="114">
        <v>4.3</v>
      </c>
      <c r="B15" s="115">
        <v>0.4</v>
      </c>
      <c r="C15" s="97">
        <v>7.1</v>
      </c>
      <c r="D15" s="115">
        <v>5.4</v>
      </c>
      <c r="E15" s="97">
        <v>0</v>
      </c>
      <c r="F15" s="116">
        <v>2.25</v>
      </c>
      <c r="G15" s="117">
        <v>0.33</v>
      </c>
      <c r="H15" s="230"/>
      <c r="I15" s="97">
        <v>2.9</v>
      </c>
      <c r="J15" s="96">
        <v>0</v>
      </c>
      <c r="K15" s="96">
        <v>2.8</v>
      </c>
      <c r="L15" s="96">
        <v>1.1</v>
      </c>
      <c r="M15" s="115">
        <v>1.6</v>
      </c>
      <c r="N15" s="97">
        <v>8</v>
      </c>
      <c r="O15" s="115">
        <v>0.5</v>
      </c>
      <c r="P15" s="118"/>
      <c r="Q15" s="119"/>
      <c r="R15" s="120"/>
      <c r="S15" s="119"/>
      <c r="T15" s="120"/>
      <c r="U15" s="119"/>
      <c r="V15" s="120"/>
      <c r="W15" s="121"/>
      <c r="X15" s="122"/>
      <c r="Y15" s="122"/>
      <c r="Z15" s="122"/>
      <c r="AA15" s="123"/>
      <c r="AB15" s="142"/>
      <c r="AC15" s="123"/>
      <c r="AD15" s="124"/>
      <c r="AE15" s="12"/>
      <c r="AR15" s="5"/>
      <c r="AS15" s="13"/>
      <c r="AT15" s="7"/>
      <c r="AU15" s="7"/>
      <c r="AV15" s="7"/>
      <c r="AW15" s="7"/>
      <c r="AX15" s="7"/>
      <c r="AY15" s="7"/>
      <c r="AZ15" s="7"/>
      <c r="BA15" s="7"/>
      <c r="BB15" s="11"/>
      <c r="BC15" s="11"/>
      <c r="BD15" s="10"/>
      <c r="BE15" s="11"/>
      <c r="BF15" s="11"/>
      <c r="BG15" s="11"/>
      <c r="BH15" s="11"/>
      <c r="BI15" s="11"/>
      <c r="BJ15" s="11"/>
      <c r="BK15" s="11"/>
      <c r="BL15" s="11"/>
      <c r="BM15" s="7"/>
      <c r="BN15" s="7"/>
      <c r="BO15" s="7"/>
      <c r="BP15" s="7"/>
      <c r="BQ15" s="7"/>
      <c r="BR15" s="7"/>
      <c r="BS15" s="12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</row>
    <row r="16" spans="1:100" ht="12.75">
      <c r="A16" s="72"/>
      <c r="B16" s="77"/>
      <c r="C16" s="75"/>
      <c r="D16" s="77"/>
      <c r="E16" s="75"/>
      <c r="F16" s="76"/>
      <c r="G16" s="74"/>
      <c r="H16" s="229"/>
      <c r="I16" s="75"/>
      <c r="J16" s="93"/>
      <c r="K16" s="93"/>
      <c r="L16" s="93"/>
      <c r="M16" s="77"/>
      <c r="N16" s="75"/>
      <c r="O16" s="77"/>
      <c r="P16" s="89">
        <f>1000*(A17-A15)</f>
        <v>40.000000000000036</v>
      </c>
      <c r="Q16" s="80">
        <f>0.5*P16*(B15+B17)</f>
        <v>15.200000000000014</v>
      </c>
      <c r="R16" s="81">
        <f>0.5*P16*(C15+C17)</f>
        <v>294.0000000000002</v>
      </c>
      <c r="S16" s="81">
        <f>0.5*P16*(D15+D17)</f>
        <v>212.00000000000023</v>
      </c>
      <c r="T16" s="81">
        <f>0.5*P16*(E15+E17)</f>
        <v>0</v>
      </c>
      <c r="U16" s="80">
        <f>0.5*P16*(F15+F17)</f>
        <v>90.00000000000009</v>
      </c>
      <c r="V16" s="81">
        <f>0.5*P16*(G15+G17)</f>
        <v>13.200000000000012</v>
      </c>
      <c r="W16" s="80">
        <f>0.5*P16*(H15+H17)</f>
        <v>0</v>
      </c>
      <c r="X16" s="85">
        <f>0.5*P16*(I15+I17)</f>
        <v>118.00000000000011</v>
      </c>
      <c r="Y16" s="81">
        <f>0.5*P16*(J15+J17)</f>
        <v>0</v>
      </c>
      <c r="Z16" s="81">
        <f>0.5*P16*(K15+K17)</f>
        <v>112.00000000000009</v>
      </c>
      <c r="AA16" s="81">
        <f>0.5*P16*(L15+L17)</f>
        <v>22.00000000000002</v>
      </c>
      <c r="AB16" s="141">
        <f>0.5*P16*(M15+M17)</f>
        <v>68.00000000000007</v>
      </c>
      <c r="AC16" s="81">
        <f>0.5*P16*(N15+N17)</f>
        <v>300.0000000000003</v>
      </c>
      <c r="AD16" s="99">
        <f>0.5*P16*(O15+O17)</f>
        <v>19.000000000000014</v>
      </c>
      <c r="AE16" s="12"/>
      <c r="AR16" s="5"/>
      <c r="AS16" s="13"/>
      <c r="AT16" s="7"/>
      <c r="AU16" s="7"/>
      <c r="AV16" s="7"/>
      <c r="AW16" s="7"/>
      <c r="AX16" s="7"/>
      <c r="AY16" s="7"/>
      <c r="AZ16" s="7"/>
      <c r="BA16" s="7"/>
      <c r="BB16" s="11"/>
      <c r="BC16" s="11"/>
      <c r="BD16" s="10"/>
      <c r="BE16" s="11"/>
      <c r="BF16" s="11"/>
      <c r="BG16" s="11"/>
      <c r="BH16" s="11"/>
      <c r="BI16" s="11"/>
      <c r="BJ16" s="11"/>
      <c r="BK16" s="11"/>
      <c r="BL16" s="11"/>
      <c r="BM16" s="7"/>
      <c r="BN16" s="7"/>
      <c r="BO16" s="7"/>
      <c r="BP16" s="7"/>
      <c r="BQ16" s="7"/>
      <c r="BR16" s="7"/>
      <c r="BS16" s="12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</row>
    <row r="17" spans="1:100" ht="12.75">
      <c r="A17" s="72">
        <v>4.34</v>
      </c>
      <c r="B17" s="77">
        <v>0.36</v>
      </c>
      <c r="C17" s="75">
        <v>7.6</v>
      </c>
      <c r="D17" s="77">
        <v>5.2</v>
      </c>
      <c r="E17" s="75">
        <v>0</v>
      </c>
      <c r="F17" s="76">
        <v>2.25</v>
      </c>
      <c r="G17" s="74">
        <v>0.33</v>
      </c>
      <c r="H17" s="229"/>
      <c r="I17" s="75">
        <v>3</v>
      </c>
      <c r="J17" s="93">
        <v>0</v>
      </c>
      <c r="K17" s="93">
        <v>2.8</v>
      </c>
      <c r="L17" s="93">
        <v>0</v>
      </c>
      <c r="M17" s="77">
        <v>1.8</v>
      </c>
      <c r="N17" s="75">
        <v>7</v>
      </c>
      <c r="O17" s="77">
        <v>0.45</v>
      </c>
      <c r="P17" s="89"/>
      <c r="Q17" s="80"/>
      <c r="R17" s="81"/>
      <c r="S17" s="80"/>
      <c r="T17" s="81"/>
      <c r="U17" s="80"/>
      <c r="V17" s="81"/>
      <c r="W17" s="80"/>
      <c r="X17" s="85"/>
      <c r="Y17" s="85"/>
      <c r="Z17" s="85"/>
      <c r="AA17" s="81"/>
      <c r="AB17" s="141"/>
      <c r="AC17" s="81"/>
      <c r="AD17" s="99"/>
      <c r="AE17" s="12"/>
      <c r="AR17" s="5"/>
      <c r="AS17" s="13"/>
      <c r="AT17" s="7"/>
      <c r="AU17" s="7"/>
      <c r="AV17" s="7"/>
      <c r="AW17" s="7"/>
      <c r="AX17" s="7"/>
      <c r="AY17" s="7"/>
      <c r="AZ17" s="7"/>
      <c r="BA17" s="7"/>
      <c r="BB17" s="11"/>
      <c r="BC17" s="11"/>
      <c r="BD17" s="10"/>
      <c r="BE17" s="11"/>
      <c r="BF17" s="11"/>
      <c r="BG17" s="11"/>
      <c r="BH17" s="11"/>
      <c r="BI17" s="11"/>
      <c r="BJ17" s="11"/>
      <c r="BK17" s="11"/>
      <c r="BL17" s="11"/>
      <c r="BM17" s="7"/>
      <c r="BN17" s="7"/>
      <c r="BO17" s="7"/>
      <c r="BP17" s="7"/>
      <c r="BQ17" s="7"/>
      <c r="BR17" s="7"/>
      <c r="BS17" s="12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</row>
    <row r="18" spans="1:100" ht="12.75">
      <c r="A18" s="72"/>
      <c r="B18" s="77"/>
      <c r="C18" s="75"/>
      <c r="D18" s="77"/>
      <c r="E18" s="75"/>
      <c r="F18" s="76"/>
      <c r="G18" s="74"/>
      <c r="H18" s="229"/>
      <c r="I18" s="75"/>
      <c r="J18" s="93"/>
      <c r="K18" s="93"/>
      <c r="L18" s="93"/>
      <c r="M18" s="77"/>
      <c r="N18" s="75"/>
      <c r="O18" s="77"/>
      <c r="P18" s="89">
        <f>1000*(A19-A17)</f>
        <v>60.0000000000005</v>
      </c>
      <c r="Q18" s="80">
        <f>0.5*P18*(B17+B19)</f>
        <v>22.80000000000019</v>
      </c>
      <c r="R18" s="81">
        <f>0.5*P18*(C17+C19)</f>
        <v>474.0000000000039</v>
      </c>
      <c r="S18" s="81">
        <f>0.5*P18*(D17+D19)</f>
        <v>312.0000000000026</v>
      </c>
      <c r="T18" s="81">
        <f>0.5*P18*(E17+E19)</f>
        <v>0</v>
      </c>
      <c r="U18" s="80">
        <f>0.5*P18*(F17+F19)</f>
        <v>135.0000000000011</v>
      </c>
      <c r="V18" s="81">
        <f>0.5*P18*(G17+G19)</f>
        <v>19.800000000000164</v>
      </c>
      <c r="W18" s="80">
        <f>0.5*P18*(H17+H19)</f>
        <v>0</v>
      </c>
      <c r="X18" s="85">
        <f>0.5*P18*(I17+I19)</f>
        <v>177.00000000000148</v>
      </c>
      <c r="Y18" s="81">
        <f>0.5*P18*(J17+J19)</f>
        <v>0</v>
      </c>
      <c r="Z18" s="81">
        <f>0.5*P18*(K17+K19)</f>
        <v>171.0000000000014</v>
      </c>
      <c r="AA18" s="81">
        <f>0.5*P18*(L17+L19)</f>
        <v>0</v>
      </c>
      <c r="AB18" s="141">
        <f>0.5*P18*(M17+M19)</f>
        <v>87.00000000000074</v>
      </c>
      <c r="AC18" s="81">
        <f>0.5*P18*(N17+N19)</f>
        <v>429.0000000000036</v>
      </c>
      <c r="AD18" s="99">
        <f>0.5*P18*(O17+O19)</f>
        <v>32.70000000000027</v>
      </c>
      <c r="AE18" s="12"/>
      <c r="AR18" s="5"/>
      <c r="AS18" s="13"/>
      <c r="AT18" s="7"/>
      <c r="AU18" s="7"/>
      <c r="AV18" s="7"/>
      <c r="AW18" s="7"/>
      <c r="AX18" s="7"/>
      <c r="AY18" s="7"/>
      <c r="AZ18" s="7"/>
      <c r="BA18" s="7"/>
      <c r="BB18" s="11"/>
      <c r="BC18" s="11"/>
      <c r="BD18" s="10"/>
      <c r="BE18" s="11"/>
      <c r="BF18" s="11"/>
      <c r="BG18" s="11"/>
      <c r="BH18" s="11"/>
      <c r="BI18" s="11"/>
      <c r="BJ18" s="11"/>
      <c r="BK18" s="11"/>
      <c r="BL18" s="11"/>
      <c r="BM18" s="7"/>
      <c r="BN18" s="7"/>
      <c r="BO18" s="7"/>
      <c r="BP18" s="7"/>
      <c r="BQ18" s="7"/>
      <c r="BR18" s="7"/>
      <c r="BS18" s="12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</row>
    <row r="19" spans="1:100" ht="12.75">
      <c r="A19" s="72">
        <v>4.4</v>
      </c>
      <c r="B19" s="77">
        <v>0.4</v>
      </c>
      <c r="C19" s="75">
        <v>8.2</v>
      </c>
      <c r="D19" s="77">
        <v>5.2</v>
      </c>
      <c r="E19" s="75">
        <v>0</v>
      </c>
      <c r="F19" s="76">
        <v>2.25</v>
      </c>
      <c r="G19" s="74">
        <v>0.33</v>
      </c>
      <c r="H19" s="229"/>
      <c r="I19" s="75">
        <v>2.9</v>
      </c>
      <c r="J19" s="93">
        <v>0</v>
      </c>
      <c r="K19" s="93">
        <v>2.9</v>
      </c>
      <c r="L19" s="93">
        <v>0</v>
      </c>
      <c r="M19" s="77">
        <v>1.1</v>
      </c>
      <c r="N19" s="75">
        <v>7.3</v>
      </c>
      <c r="O19" s="77">
        <v>0.64</v>
      </c>
      <c r="P19" s="89"/>
      <c r="Q19" s="80"/>
      <c r="R19" s="81"/>
      <c r="S19" s="81"/>
      <c r="T19" s="81"/>
      <c r="U19" s="80"/>
      <c r="V19" s="81"/>
      <c r="W19" s="80"/>
      <c r="X19" s="85"/>
      <c r="Y19" s="85"/>
      <c r="Z19" s="85"/>
      <c r="AA19" s="81"/>
      <c r="AB19" s="141"/>
      <c r="AC19" s="81"/>
      <c r="AD19" s="99"/>
      <c r="AE19" s="12"/>
      <c r="AR19" s="5"/>
      <c r="AS19" s="13"/>
      <c r="AT19" s="7"/>
      <c r="AU19" s="7"/>
      <c r="AV19" s="7"/>
      <c r="AW19" s="7"/>
      <c r="AX19" s="7"/>
      <c r="AY19" s="7"/>
      <c r="AZ19" s="7"/>
      <c r="BA19" s="7"/>
      <c r="BB19" s="11"/>
      <c r="BC19" s="11"/>
      <c r="BD19" s="10"/>
      <c r="BE19" s="11"/>
      <c r="BF19" s="11"/>
      <c r="BG19" s="11"/>
      <c r="BH19" s="11"/>
      <c r="BI19" s="11"/>
      <c r="BJ19" s="11"/>
      <c r="BK19" s="11"/>
      <c r="BL19" s="11"/>
      <c r="BM19" s="7"/>
      <c r="BN19" s="7"/>
      <c r="BO19" s="7"/>
      <c r="BP19" s="7"/>
      <c r="BQ19" s="7"/>
      <c r="BR19" s="7"/>
      <c r="BS19" s="12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</row>
    <row r="20" spans="1:100" ht="12.75">
      <c r="A20" s="144">
        <v>4.43</v>
      </c>
      <c r="B20" s="77"/>
      <c r="C20" s="146" t="s">
        <v>27</v>
      </c>
      <c r="E20" s="75"/>
      <c r="F20" s="76"/>
      <c r="G20" s="74"/>
      <c r="H20" s="229"/>
      <c r="I20" s="75"/>
      <c r="J20" s="93"/>
      <c r="K20" s="93"/>
      <c r="L20" s="93"/>
      <c r="M20" s="77"/>
      <c r="N20" s="75"/>
      <c r="O20" s="77"/>
      <c r="P20" s="89">
        <f>1000*(A21-A19)</f>
        <v>40.000000000000036</v>
      </c>
      <c r="Q20" s="145">
        <f>0.4*30</f>
        <v>12</v>
      </c>
      <c r="R20" s="146">
        <f>8.2*30</f>
        <v>245.99999999999997</v>
      </c>
      <c r="S20" s="146">
        <f>5.2*30</f>
        <v>156</v>
      </c>
      <c r="T20" s="150">
        <f>1.7*70</f>
        <v>119</v>
      </c>
      <c r="U20" s="80">
        <f>0.5*P20*(F19+F21)</f>
        <v>90.00000000000009</v>
      </c>
      <c r="V20" s="81">
        <f>0.5*P20*(G19+G21)</f>
        <v>13.200000000000012</v>
      </c>
      <c r="W20" s="80">
        <f>0.7*10</f>
        <v>7</v>
      </c>
      <c r="X20" s="85">
        <f>0.5*P20*(I19+I21)</f>
        <v>90.00000000000009</v>
      </c>
      <c r="Y20" s="81">
        <f>0.5*P20*(J19+J21)</f>
        <v>0</v>
      </c>
      <c r="Z20" s="81">
        <f>0.5*P20*(K19+K21)</f>
        <v>96.00000000000009</v>
      </c>
      <c r="AA20" s="81">
        <f>0.5*P20*(L19+L21)</f>
        <v>0</v>
      </c>
      <c r="AB20" s="141">
        <f>0.5*P20*(M19+M21)</f>
        <v>44.00000000000004</v>
      </c>
      <c r="AC20" s="81">
        <f>0.5*P20*(N19+N21)</f>
        <v>186.00000000000017</v>
      </c>
      <c r="AD20" s="99">
        <f>0.5*P20*(O19+O21)</f>
        <v>17.800000000000015</v>
      </c>
      <c r="AE20" s="12"/>
      <c r="AR20" s="5"/>
      <c r="AS20" s="13"/>
      <c r="AT20" s="7"/>
      <c r="AU20" s="7"/>
      <c r="AV20" s="7"/>
      <c r="AW20" s="7"/>
      <c r="AX20" s="7"/>
      <c r="AY20" s="7"/>
      <c r="AZ20" s="7"/>
      <c r="BA20" s="7"/>
      <c r="BB20" s="11"/>
      <c r="BC20" s="11"/>
      <c r="BD20" s="10"/>
      <c r="BE20" s="11"/>
      <c r="BF20" s="11"/>
      <c r="BG20" s="11"/>
      <c r="BH20" s="11"/>
      <c r="BI20" s="11"/>
      <c r="BJ20" s="11"/>
      <c r="BK20" s="11"/>
      <c r="BL20" s="11"/>
      <c r="BM20" s="7"/>
      <c r="BN20" s="7"/>
      <c r="BO20" s="7"/>
      <c r="BP20" s="7"/>
      <c r="BQ20" s="7"/>
      <c r="BR20" s="7"/>
      <c r="BS20" s="12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</row>
    <row r="21" spans="1:100" ht="12.75">
      <c r="A21" s="72">
        <v>4.44</v>
      </c>
      <c r="B21" s="77">
        <v>3.9</v>
      </c>
      <c r="C21" s="152">
        <v>0</v>
      </c>
      <c r="D21" s="143">
        <v>0</v>
      </c>
      <c r="E21" s="150">
        <v>1.7</v>
      </c>
      <c r="F21" s="76">
        <v>2.25</v>
      </c>
      <c r="G21" s="74">
        <v>0.33</v>
      </c>
      <c r="H21" s="229">
        <v>1.4</v>
      </c>
      <c r="I21" s="75">
        <v>1.6</v>
      </c>
      <c r="J21" s="93">
        <v>0</v>
      </c>
      <c r="K21" s="93">
        <v>1.9</v>
      </c>
      <c r="L21" s="93">
        <v>0</v>
      </c>
      <c r="M21" s="77">
        <v>1.1</v>
      </c>
      <c r="N21" s="75">
        <v>2</v>
      </c>
      <c r="O21" s="77">
        <v>0.25</v>
      </c>
      <c r="P21" s="89"/>
      <c r="Q21" s="147"/>
      <c r="R21" s="148"/>
      <c r="S21" s="148"/>
      <c r="T21" s="149" t="s">
        <v>26</v>
      </c>
      <c r="U21" s="80"/>
      <c r="V21" s="81"/>
      <c r="X21" s="85"/>
      <c r="Y21" s="85"/>
      <c r="Z21" s="85"/>
      <c r="AA21" s="81"/>
      <c r="AB21" s="141"/>
      <c r="AC21" s="81"/>
      <c r="AD21" s="99"/>
      <c r="AE21" s="12"/>
      <c r="AR21" s="5"/>
      <c r="AS21" s="13"/>
      <c r="AT21" s="7"/>
      <c r="AU21" s="7"/>
      <c r="AV21" s="7"/>
      <c r="AW21" s="7"/>
      <c r="AX21" s="7"/>
      <c r="AY21" s="7"/>
      <c r="AZ21" s="7"/>
      <c r="BA21" s="7"/>
      <c r="BB21" s="11"/>
      <c r="BC21" s="11"/>
      <c r="BD21" s="10"/>
      <c r="BE21" s="11"/>
      <c r="BF21" s="11"/>
      <c r="BG21" s="11"/>
      <c r="BH21" s="11"/>
      <c r="BI21" s="11"/>
      <c r="BJ21" s="11"/>
      <c r="BK21" s="11"/>
      <c r="BL21" s="11"/>
      <c r="BM21" s="7"/>
      <c r="BN21" s="7"/>
      <c r="BO21" s="7"/>
      <c r="BP21" s="7"/>
      <c r="BQ21" s="7"/>
      <c r="BR21" s="7"/>
      <c r="BS21" s="12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</row>
    <row r="22" spans="1:100" ht="12.75">
      <c r="A22" s="72"/>
      <c r="B22" s="77"/>
      <c r="E22" s="75"/>
      <c r="F22" s="76"/>
      <c r="G22" s="74"/>
      <c r="H22" s="229"/>
      <c r="I22" s="75"/>
      <c r="J22" s="93"/>
      <c r="K22" s="93"/>
      <c r="L22" s="93"/>
      <c r="M22" s="77"/>
      <c r="N22" s="75"/>
      <c r="O22" s="77"/>
      <c r="P22" s="89">
        <f>1000*(A23-A21)</f>
        <v>59.99999999999961</v>
      </c>
      <c r="Q22" s="80">
        <f>10*3.9</f>
        <v>39</v>
      </c>
      <c r="R22" s="81">
        <v>0</v>
      </c>
      <c r="S22" s="81">
        <f>0.5*P22*(D21+D24)</f>
        <v>0</v>
      </c>
      <c r="T22" s="150">
        <f>1.7*10</f>
        <v>17</v>
      </c>
      <c r="U22" s="80">
        <f>0.5*P22*(F21+F23)</f>
        <v>157.49999999999898</v>
      </c>
      <c r="V22" s="81">
        <f>0.5*P22*(G21+G23)</f>
        <v>18.899999999999878</v>
      </c>
      <c r="W22" s="80">
        <f>0.5*P22*(H21+H23)</f>
        <v>113.99999999999925</v>
      </c>
      <c r="X22" s="85">
        <f>0.5*P22*(I21+I23)</f>
        <v>143.9999999999991</v>
      </c>
      <c r="Y22" s="81">
        <f>0.5*P22*(J21+J23)</f>
        <v>0</v>
      </c>
      <c r="Z22" s="81">
        <f>0.5*P22*(K21+K23)</f>
        <v>140.99999999999906</v>
      </c>
      <c r="AA22" s="81">
        <f>0.5*P22*(L21+L23)</f>
        <v>0</v>
      </c>
      <c r="AB22" s="141">
        <f>0.5*P22*(M21+M23)</f>
        <v>32.99999999999979</v>
      </c>
      <c r="AC22" s="81">
        <f>0.5*P22*(N21+N23)</f>
        <v>179.99999999999883</v>
      </c>
      <c r="AD22" s="99">
        <f>0.5*P22*(O21+O23)</f>
        <v>28.49999999999981</v>
      </c>
      <c r="AE22" s="12"/>
      <c r="AR22" s="5"/>
      <c r="AS22" s="13"/>
      <c r="AT22" s="7"/>
      <c r="AU22" s="7"/>
      <c r="AV22" s="7"/>
      <c r="AW22" s="7"/>
      <c r="AX22" s="7"/>
      <c r="AY22" s="7"/>
      <c r="AZ22" s="7"/>
      <c r="BA22" s="7"/>
      <c r="BB22" s="11"/>
      <c r="BC22" s="11"/>
      <c r="BD22" s="10"/>
      <c r="BE22" s="11"/>
      <c r="BF22" s="11"/>
      <c r="BG22" s="11"/>
      <c r="BH22" s="11"/>
      <c r="BI22" s="11"/>
      <c r="BJ22" s="11"/>
      <c r="BK22" s="11"/>
      <c r="BL22" s="11"/>
      <c r="BM22" s="7"/>
      <c r="BN22" s="7"/>
      <c r="BO22" s="7"/>
      <c r="BP22" s="7"/>
      <c r="BQ22" s="7"/>
      <c r="BR22" s="7"/>
      <c r="BS22" s="12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</row>
    <row r="23" spans="1:100" ht="12.75">
      <c r="A23" s="72">
        <v>4.5</v>
      </c>
      <c r="B23" s="77">
        <v>4.7</v>
      </c>
      <c r="C23" s="152">
        <v>0</v>
      </c>
      <c r="D23" s="143">
        <v>0</v>
      </c>
      <c r="E23" s="150">
        <v>1.7</v>
      </c>
      <c r="F23" s="76">
        <v>3</v>
      </c>
      <c r="G23" s="74">
        <v>0.3</v>
      </c>
      <c r="H23" s="229">
        <v>2.4</v>
      </c>
      <c r="I23" s="75">
        <v>3.2</v>
      </c>
      <c r="J23" s="93">
        <v>0</v>
      </c>
      <c r="K23" s="93">
        <v>2.8</v>
      </c>
      <c r="L23" s="93">
        <v>0</v>
      </c>
      <c r="M23" s="77">
        <v>0</v>
      </c>
      <c r="N23" s="75">
        <v>4</v>
      </c>
      <c r="O23" s="77">
        <v>0.7</v>
      </c>
      <c r="P23" s="89"/>
      <c r="Q23" s="80"/>
      <c r="R23" s="81"/>
      <c r="S23" s="81"/>
      <c r="T23" s="81"/>
      <c r="U23" s="80"/>
      <c r="V23" s="81"/>
      <c r="W23" s="80"/>
      <c r="X23" s="85"/>
      <c r="Y23" s="85"/>
      <c r="Z23" s="85"/>
      <c r="AA23" s="81"/>
      <c r="AB23" s="141"/>
      <c r="AC23" s="81"/>
      <c r="AD23" s="99"/>
      <c r="AE23" s="12"/>
      <c r="AR23" s="5"/>
      <c r="AS23" s="13"/>
      <c r="AT23" s="7"/>
      <c r="AU23" s="7"/>
      <c r="AV23" s="7"/>
      <c r="AW23" s="7"/>
      <c r="AX23" s="7"/>
      <c r="AY23" s="7"/>
      <c r="AZ23" s="7"/>
      <c r="BA23" s="7"/>
      <c r="BB23" s="11"/>
      <c r="BC23" s="11"/>
      <c r="BD23" s="10"/>
      <c r="BE23" s="11"/>
      <c r="BF23" s="11"/>
      <c r="BG23" s="11"/>
      <c r="BH23" s="11"/>
      <c r="BI23" s="11"/>
      <c r="BJ23" s="11"/>
      <c r="BK23" s="11"/>
      <c r="BL23" s="11"/>
      <c r="BM23" s="7"/>
      <c r="BN23" s="7"/>
      <c r="BO23" s="7"/>
      <c r="BP23" s="7"/>
      <c r="BQ23" s="7"/>
      <c r="BR23" s="7"/>
      <c r="BS23" s="12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</row>
    <row r="24" spans="1:100" ht="12.75">
      <c r="A24" s="144">
        <v>4.51</v>
      </c>
      <c r="C24" s="146" t="s">
        <v>27</v>
      </c>
      <c r="D24" s="81"/>
      <c r="E24" s="75"/>
      <c r="F24" s="76"/>
      <c r="G24" s="74"/>
      <c r="H24" s="229"/>
      <c r="I24" s="75"/>
      <c r="J24" s="93"/>
      <c r="K24" s="93"/>
      <c r="L24" s="93"/>
      <c r="M24" s="77"/>
      <c r="N24" s="75"/>
      <c r="O24" s="77"/>
      <c r="P24" s="89">
        <f>1000*(A25-A23)</f>
        <v>40.000000000000036</v>
      </c>
      <c r="Q24" s="80">
        <f>0.5*P24*(B23+B25)</f>
        <v>104.0000000000001</v>
      </c>
      <c r="R24" s="81">
        <f>0.5*P24*(C23+C25)</f>
        <v>146.0000000000001</v>
      </c>
      <c r="S24" s="81">
        <f>0.5*P24*(D24+D25)</f>
        <v>104.0000000000001</v>
      </c>
      <c r="T24" s="81">
        <f>0.5*P24*(E23+E25)</f>
        <v>34.00000000000003</v>
      </c>
      <c r="U24" s="80">
        <f>0.5*P24*(F23+F25)</f>
        <v>105.0000000000001</v>
      </c>
      <c r="V24" s="81">
        <f>0.5*P24*(G23+G25)</f>
        <v>19.000000000000014</v>
      </c>
      <c r="W24" s="80">
        <f>0.5*P24*(H23+H25)</f>
        <v>48.00000000000004</v>
      </c>
      <c r="X24" s="85">
        <f>0.5*P24*(I23+I25)</f>
        <v>122.0000000000001</v>
      </c>
      <c r="Y24" s="81">
        <f>0.5*P24*(J23+J25)</f>
        <v>10.000000000000009</v>
      </c>
      <c r="Z24" s="81">
        <f>0.5*P24*(K23+K25)</f>
        <v>112.00000000000009</v>
      </c>
      <c r="AA24" s="81">
        <f>0.5*P24*(L23+L25)</f>
        <v>42.00000000000004</v>
      </c>
      <c r="AB24" s="141">
        <f>0.5*P24*(M23+M25)</f>
        <v>42.00000000000004</v>
      </c>
      <c r="AC24" s="81">
        <f>0.5*P24*(N23+N25)</f>
        <v>224.00000000000017</v>
      </c>
      <c r="AD24" s="99">
        <f>0.5*P24*(O23+O25)</f>
        <v>19.000000000000014</v>
      </c>
      <c r="AE24" s="12"/>
      <c r="AR24" s="5"/>
      <c r="AS24" s="13"/>
      <c r="AT24" s="7"/>
      <c r="AU24" s="7"/>
      <c r="AV24" s="7"/>
      <c r="AW24" s="7"/>
      <c r="AX24" s="7"/>
      <c r="AY24" s="7"/>
      <c r="AZ24" s="7"/>
      <c r="BA24" s="7"/>
      <c r="BB24" s="11"/>
      <c r="BC24" s="11"/>
      <c r="BD24" s="10"/>
      <c r="BE24" s="11"/>
      <c r="BF24" s="11"/>
      <c r="BG24" s="11"/>
      <c r="BH24" s="11"/>
      <c r="BI24" s="11"/>
      <c r="BJ24" s="11"/>
      <c r="BK24" s="11"/>
      <c r="BL24" s="11"/>
      <c r="BM24" s="7"/>
      <c r="BN24" s="7"/>
      <c r="BO24" s="7"/>
      <c r="BP24" s="7"/>
      <c r="BQ24" s="7"/>
      <c r="BR24" s="7"/>
      <c r="BS24" s="12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</row>
    <row r="25" spans="1:100" ht="12.75">
      <c r="A25" s="72">
        <v>4.54</v>
      </c>
      <c r="B25" s="77">
        <f>0.3+0.2</f>
        <v>0.5</v>
      </c>
      <c r="C25" s="75">
        <v>7.3</v>
      </c>
      <c r="D25" s="77">
        <v>5.2</v>
      </c>
      <c r="E25" s="75">
        <v>0</v>
      </c>
      <c r="F25" s="76">
        <v>2.25</v>
      </c>
      <c r="G25" s="74">
        <v>0.65</v>
      </c>
      <c r="H25" s="229"/>
      <c r="I25" s="75">
        <v>2.9</v>
      </c>
      <c r="J25" s="93">
        <v>0.5</v>
      </c>
      <c r="K25" s="93">
        <v>2.8</v>
      </c>
      <c r="L25" s="93">
        <v>2.1</v>
      </c>
      <c r="M25" s="77">
        <v>2.1</v>
      </c>
      <c r="N25" s="75">
        <v>7.2</v>
      </c>
      <c r="O25" s="77">
        <v>0.25</v>
      </c>
      <c r="P25" s="89"/>
      <c r="Q25" s="80"/>
      <c r="R25" s="81"/>
      <c r="S25" s="81"/>
      <c r="T25" s="81"/>
      <c r="U25" s="80"/>
      <c r="V25" s="81"/>
      <c r="W25" s="80"/>
      <c r="X25" s="85"/>
      <c r="Y25" s="81"/>
      <c r="Z25" s="81"/>
      <c r="AA25" s="81"/>
      <c r="AB25" s="141"/>
      <c r="AC25" s="81"/>
      <c r="AD25" s="99"/>
      <c r="AE25" s="12"/>
      <c r="AR25" s="5"/>
      <c r="AS25" s="13"/>
      <c r="AT25" s="7"/>
      <c r="AU25" s="7"/>
      <c r="AV25" s="7"/>
      <c r="AW25" s="7"/>
      <c r="AX25" s="7"/>
      <c r="AY25" s="7"/>
      <c r="AZ25" s="7"/>
      <c r="BA25" s="7"/>
      <c r="BB25" s="11"/>
      <c r="BC25" s="11"/>
      <c r="BD25" s="10"/>
      <c r="BE25" s="11"/>
      <c r="BF25" s="11"/>
      <c r="BG25" s="11"/>
      <c r="BH25" s="11"/>
      <c r="BI25" s="11"/>
      <c r="BJ25" s="11"/>
      <c r="BK25" s="11"/>
      <c r="BL25" s="11"/>
      <c r="BM25" s="7"/>
      <c r="BN25" s="7"/>
      <c r="BO25" s="7"/>
      <c r="BP25" s="7"/>
      <c r="BQ25" s="7"/>
      <c r="BR25" s="7"/>
      <c r="BS25" s="12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</row>
    <row r="26" spans="1:100" ht="12.75">
      <c r="A26" s="72"/>
      <c r="B26" s="77"/>
      <c r="C26" s="75"/>
      <c r="D26" s="77"/>
      <c r="E26" s="75"/>
      <c r="F26" s="76"/>
      <c r="G26" s="74"/>
      <c r="H26" s="229"/>
      <c r="I26" s="75"/>
      <c r="J26" s="93"/>
      <c r="K26" s="93"/>
      <c r="L26" s="93"/>
      <c r="M26" s="77"/>
      <c r="N26" s="75"/>
      <c r="O26" s="77"/>
      <c r="P26" s="89">
        <f>1000*(A27-A25)</f>
        <v>59.99999999999961</v>
      </c>
      <c r="Q26" s="80">
        <f>0.5*P26*(B25+B27)</f>
        <v>17.999999999999883</v>
      </c>
      <c r="R26" s="81">
        <f>0.5*P26*(C25+C27)</f>
        <v>506.99999999999665</v>
      </c>
      <c r="S26" s="81">
        <f>0.5*P26*(D25+D27)</f>
        <v>389.99999999999744</v>
      </c>
      <c r="T26" s="81">
        <f>0.5*P26*(E25+E27)</f>
        <v>0</v>
      </c>
      <c r="U26" s="80">
        <f>0.5*P26*(F25+F27)</f>
        <v>134.99999999999912</v>
      </c>
      <c r="V26" s="81">
        <f>0.5*P26*(G25+G27)</f>
        <v>28.49999999999981</v>
      </c>
      <c r="W26" s="80">
        <f>0.5*P26*(H25+H27)</f>
        <v>0</v>
      </c>
      <c r="X26" s="85">
        <f>0.5*P26*(I25+I27)</f>
        <v>86.99999999999943</v>
      </c>
      <c r="Y26" s="81">
        <f>0.5*P26*(J25+J27)</f>
        <v>29.399999999999807</v>
      </c>
      <c r="Z26" s="81">
        <f>0.5*P26*(K25+K27)</f>
        <v>173.99999999999886</v>
      </c>
      <c r="AA26" s="81">
        <f>0.5*P26*(L25+L27)</f>
        <v>62.999999999999595</v>
      </c>
      <c r="AB26" s="141">
        <f>0.5*P26*(M25+M27)</f>
        <v>83.99999999999945</v>
      </c>
      <c r="AC26" s="81">
        <f>0.5*P26*(N25+N27)</f>
        <v>464.999999999997</v>
      </c>
      <c r="AD26" s="99">
        <f>0.5*P26*(O25+O27)</f>
        <v>22.499999999999854</v>
      </c>
      <c r="AE26" s="12"/>
      <c r="AR26" s="5"/>
      <c r="AS26" s="13"/>
      <c r="AT26" s="7"/>
      <c r="AU26" s="7"/>
      <c r="AV26" s="7"/>
      <c r="AW26" s="7"/>
      <c r="AX26" s="7"/>
      <c r="AY26" s="7"/>
      <c r="AZ26" s="7"/>
      <c r="BA26" s="7"/>
      <c r="BB26" s="11"/>
      <c r="BC26" s="11"/>
      <c r="BD26" s="10"/>
      <c r="BE26" s="11"/>
      <c r="BF26" s="11"/>
      <c r="BG26" s="11"/>
      <c r="BH26" s="11"/>
      <c r="BI26" s="11"/>
      <c r="BJ26" s="11"/>
      <c r="BK26" s="11"/>
      <c r="BL26" s="11"/>
      <c r="BM26" s="7"/>
      <c r="BN26" s="7"/>
      <c r="BO26" s="7"/>
      <c r="BP26" s="7"/>
      <c r="BQ26" s="7"/>
      <c r="BR26" s="7"/>
      <c r="BS26" s="12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</row>
    <row r="27" spans="1:100" ht="12.75">
      <c r="A27" s="72">
        <v>4.6</v>
      </c>
      <c r="B27" s="77">
        <v>0.1</v>
      </c>
      <c r="C27" s="75">
        <v>9.6</v>
      </c>
      <c r="D27" s="77">
        <v>7.8</v>
      </c>
      <c r="E27" s="75">
        <v>0</v>
      </c>
      <c r="F27" s="76">
        <v>2.25</v>
      </c>
      <c r="G27" s="74">
        <v>0.3</v>
      </c>
      <c r="H27" s="229"/>
      <c r="I27" s="75"/>
      <c r="J27" s="93">
        <f>1.2*0.4</f>
        <v>0.48</v>
      </c>
      <c r="K27" s="93">
        <v>3</v>
      </c>
      <c r="L27" s="93">
        <v>0</v>
      </c>
      <c r="M27" s="77">
        <v>0.7</v>
      </c>
      <c r="N27" s="75">
        <v>8.3</v>
      </c>
      <c r="O27" s="77">
        <v>0.5</v>
      </c>
      <c r="P27" s="89"/>
      <c r="Q27" s="80"/>
      <c r="R27" s="81"/>
      <c r="S27" s="81"/>
      <c r="T27" s="81"/>
      <c r="U27" s="80"/>
      <c r="V27" s="81"/>
      <c r="W27" s="80"/>
      <c r="X27" s="85"/>
      <c r="Y27" s="85"/>
      <c r="Z27" s="85"/>
      <c r="AA27" s="81"/>
      <c r="AB27" s="141"/>
      <c r="AC27" s="81"/>
      <c r="AD27" s="99"/>
      <c r="AE27" s="12"/>
      <c r="AR27" s="5"/>
      <c r="AS27" s="13"/>
      <c r="AT27" s="7"/>
      <c r="AU27" s="7"/>
      <c r="AV27" s="7"/>
      <c r="AW27" s="7"/>
      <c r="AX27" s="7"/>
      <c r="AY27" s="7"/>
      <c r="AZ27" s="7"/>
      <c r="BA27" s="7"/>
      <c r="BB27" s="11"/>
      <c r="BC27" s="11"/>
      <c r="BD27" s="10"/>
      <c r="BE27" s="11"/>
      <c r="BF27" s="11"/>
      <c r="BG27" s="11"/>
      <c r="BH27" s="11"/>
      <c r="BI27" s="11"/>
      <c r="BJ27" s="11"/>
      <c r="BK27" s="11"/>
      <c r="BL27" s="11"/>
      <c r="BM27" s="7"/>
      <c r="BN27" s="7"/>
      <c r="BO27" s="7"/>
      <c r="BP27" s="7"/>
      <c r="BQ27" s="7"/>
      <c r="BR27" s="7"/>
      <c r="BS27" s="12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</row>
    <row r="28" spans="1:100" ht="12.75">
      <c r="A28" s="72"/>
      <c r="B28" s="77"/>
      <c r="C28" s="75"/>
      <c r="D28" s="77"/>
      <c r="E28" s="75"/>
      <c r="F28" s="76"/>
      <c r="G28" s="74"/>
      <c r="H28" s="229"/>
      <c r="I28" s="75"/>
      <c r="J28" s="93"/>
      <c r="K28" s="93"/>
      <c r="L28" s="93"/>
      <c r="M28" s="77"/>
      <c r="N28" s="75"/>
      <c r="O28" s="77"/>
      <c r="P28" s="89">
        <f>1000*(A29-A27)</f>
        <v>40.000000000000036</v>
      </c>
      <c r="Q28" s="80">
        <f>0.5*P28*(B27+B29)</f>
        <v>4.0000000000000036</v>
      </c>
      <c r="R28" s="81">
        <f>0.5*P28*(C27+C29)</f>
        <v>326.0000000000003</v>
      </c>
      <c r="S28" s="81">
        <f>0.5*P28*(D27+D29)</f>
        <v>256.0000000000002</v>
      </c>
      <c r="T28" s="81">
        <f>0.5*P28*(E27+E29)</f>
        <v>0</v>
      </c>
      <c r="U28" s="80">
        <f>0.5*P28*(F27+F29)</f>
        <v>90.00000000000009</v>
      </c>
      <c r="V28" s="81">
        <f>0.5*P28*(G27+G29)</f>
        <v>12.00000000000001</v>
      </c>
      <c r="W28" s="80">
        <f>0.5*P28*(H27+H29)</f>
        <v>0</v>
      </c>
      <c r="X28" s="85">
        <f>0.5*P28*(I27+I29)</f>
        <v>54.00000000000005</v>
      </c>
      <c r="Y28" s="81">
        <f>0.5*P28*(J27+J29)</f>
        <v>14.400000000000013</v>
      </c>
      <c r="Z28" s="81">
        <f>0.5*P28*(K27+K29)</f>
        <v>114.0000000000001</v>
      </c>
      <c r="AA28" s="81">
        <f>0.5*P28*(L27+L29)</f>
        <v>0</v>
      </c>
      <c r="AB28" s="141">
        <f>0.5*P28*(M27+M29)</f>
        <v>28.00000000000002</v>
      </c>
      <c r="AC28" s="81">
        <f>0.5*P28*(N27+N29)</f>
        <v>300.0000000000003</v>
      </c>
      <c r="AD28" s="99">
        <f>0.5*P28*(O27+O29)</f>
        <v>13.000000000000012</v>
      </c>
      <c r="AE28" s="12"/>
      <c r="AR28" s="5"/>
      <c r="AS28" s="13"/>
      <c r="AT28" s="7"/>
      <c r="AU28" s="7"/>
      <c r="AV28" s="7"/>
      <c r="AW28" s="7"/>
      <c r="AX28" s="7"/>
      <c r="AY28" s="7"/>
      <c r="AZ28" s="7"/>
      <c r="BA28" s="7"/>
      <c r="BB28" s="11"/>
      <c r="BC28" s="11"/>
      <c r="BD28" s="10"/>
      <c r="BE28" s="11"/>
      <c r="BF28" s="11"/>
      <c r="BG28" s="11"/>
      <c r="BH28" s="11"/>
      <c r="BI28" s="11"/>
      <c r="BJ28" s="11"/>
      <c r="BK28" s="11"/>
      <c r="BL28" s="11"/>
      <c r="BM28" s="7"/>
      <c r="BN28" s="7"/>
      <c r="BO28" s="7"/>
      <c r="BP28" s="7"/>
      <c r="BQ28" s="7"/>
      <c r="BR28" s="7"/>
      <c r="BS28" s="12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</row>
    <row r="29" spans="1:100" ht="12.75">
      <c r="A29" s="72">
        <v>4.64</v>
      </c>
      <c r="B29" s="77">
        <v>0.1</v>
      </c>
      <c r="C29" s="75">
        <v>6.7</v>
      </c>
      <c r="D29" s="77">
        <v>5</v>
      </c>
      <c r="E29" s="75">
        <v>0</v>
      </c>
      <c r="F29" s="76">
        <v>2.25</v>
      </c>
      <c r="G29" s="74">
        <v>0.3</v>
      </c>
      <c r="H29" s="229"/>
      <c r="I29" s="75">
        <v>2.7</v>
      </c>
      <c r="J29" s="93">
        <v>0.24</v>
      </c>
      <c r="K29" s="93">
        <v>2.7</v>
      </c>
      <c r="L29" s="93">
        <v>0</v>
      </c>
      <c r="M29" s="77">
        <v>0.7</v>
      </c>
      <c r="N29" s="75">
        <v>6.7</v>
      </c>
      <c r="O29" s="77">
        <v>0.15</v>
      </c>
      <c r="P29" s="89"/>
      <c r="Q29" s="80"/>
      <c r="R29" s="81"/>
      <c r="S29" s="81"/>
      <c r="T29" s="81"/>
      <c r="U29" s="80"/>
      <c r="V29" s="81"/>
      <c r="W29" s="80"/>
      <c r="X29" s="85"/>
      <c r="Y29" s="85"/>
      <c r="Z29" s="85"/>
      <c r="AA29" s="81"/>
      <c r="AB29" s="141"/>
      <c r="AC29" s="81"/>
      <c r="AD29" s="99"/>
      <c r="AE29" s="12"/>
      <c r="AR29" s="5"/>
      <c r="AS29" s="13"/>
      <c r="AT29" s="7"/>
      <c r="AU29" s="7"/>
      <c r="AV29" s="7"/>
      <c r="AW29" s="7"/>
      <c r="AX29" s="7"/>
      <c r="AY29" s="7"/>
      <c r="AZ29" s="7"/>
      <c r="BA29" s="7"/>
      <c r="BB29" s="11"/>
      <c r="BC29" s="11"/>
      <c r="BD29" s="10"/>
      <c r="BE29" s="11"/>
      <c r="BF29" s="11"/>
      <c r="BG29" s="11"/>
      <c r="BH29" s="11"/>
      <c r="BI29" s="11"/>
      <c r="BJ29" s="11"/>
      <c r="BK29" s="11"/>
      <c r="BL29" s="11"/>
      <c r="BM29" s="7"/>
      <c r="BN29" s="7"/>
      <c r="BO29" s="7"/>
      <c r="BP29" s="7"/>
      <c r="BQ29" s="7"/>
      <c r="BR29" s="7"/>
      <c r="BS29" s="12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</row>
    <row r="30" spans="1:100" ht="12.75">
      <c r="A30" s="144">
        <v>4.67</v>
      </c>
      <c r="B30" s="77"/>
      <c r="C30" s="146" t="s">
        <v>27</v>
      </c>
      <c r="D30" s="81"/>
      <c r="E30" s="75"/>
      <c r="F30" s="76"/>
      <c r="G30" s="74"/>
      <c r="H30" s="229"/>
      <c r="I30" s="75"/>
      <c r="J30" s="75"/>
      <c r="K30" s="75"/>
      <c r="L30" s="75"/>
      <c r="M30" s="77"/>
      <c r="N30" s="75"/>
      <c r="O30" s="77"/>
      <c r="P30" s="89">
        <f>1000*(A31-A29)</f>
        <v>60.0000000000005</v>
      </c>
      <c r="Q30" s="80">
        <f>0.5*P30*(B29+B31)</f>
        <v>272.58000000000226</v>
      </c>
      <c r="R30" s="81">
        <f>0.5*P30*(C29+C31)</f>
        <v>201.00000000000168</v>
      </c>
      <c r="S30" s="81">
        <f>0.5*P30*(D29+D31)</f>
        <v>150.00000000000125</v>
      </c>
      <c r="T30" s="150">
        <f>0.5*P30*(E29+E31)</f>
        <v>162.00000000000136</v>
      </c>
      <c r="U30" s="80">
        <f>0.5*P30*(F29+F31)</f>
        <v>135.0000000000011</v>
      </c>
      <c r="V30" s="81">
        <f>0.5*P30*(G29+G31)</f>
        <v>18.00000000000015</v>
      </c>
      <c r="W30" s="80">
        <f>0.5*P30*(H29+H31)</f>
        <v>45.00000000000037</v>
      </c>
      <c r="X30" s="85">
        <f>0.5*P30*(I29+I31)</f>
        <v>132.0000000000011</v>
      </c>
      <c r="Y30" s="81">
        <f>0.5*P30*(J29+J31)</f>
        <v>16.80000000000014</v>
      </c>
      <c r="Z30" s="81">
        <f>0.5*P30*(K29+K31)</f>
        <v>123.00000000000101</v>
      </c>
      <c r="AA30" s="81">
        <f>0.5*P30*(L29+L31)</f>
        <v>0</v>
      </c>
      <c r="AB30" s="141">
        <f>0.5*P30*(M29+M31)</f>
        <v>21.000000000000174</v>
      </c>
      <c r="AC30" s="81">
        <f>0.5*P30*(N29+N31)</f>
        <v>297.0000000000025</v>
      </c>
      <c r="AD30" s="99">
        <f>0.5*P30*(O29+O31)</f>
        <v>16.50000000000014</v>
      </c>
      <c r="AE30" s="12"/>
      <c r="AR30" s="5"/>
      <c r="AS30" s="13"/>
      <c r="AT30" s="7"/>
      <c r="AU30" s="7"/>
      <c r="AV30" s="7"/>
      <c r="AW30" s="7"/>
      <c r="AX30" s="7"/>
      <c r="AY30" s="7"/>
      <c r="AZ30" s="7"/>
      <c r="BA30" s="7"/>
      <c r="BB30" s="11"/>
      <c r="BC30" s="11"/>
      <c r="BD30" s="10"/>
      <c r="BE30" s="11"/>
      <c r="BF30" s="11"/>
      <c r="BG30" s="11"/>
      <c r="BH30" s="11"/>
      <c r="BI30" s="11"/>
      <c r="BJ30" s="11"/>
      <c r="BK30" s="11"/>
      <c r="BL30" s="11"/>
      <c r="BM30" s="7"/>
      <c r="BN30" s="7"/>
      <c r="BO30" s="7"/>
      <c r="BP30" s="7"/>
      <c r="BQ30" s="7"/>
      <c r="BR30" s="7"/>
      <c r="BS30" s="12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</row>
    <row r="31" spans="1:100" ht="12.75">
      <c r="A31" s="72">
        <v>4.7</v>
      </c>
      <c r="B31" s="77">
        <v>8.986</v>
      </c>
      <c r="C31" s="152">
        <v>0</v>
      </c>
      <c r="D31" s="143">
        <v>0</v>
      </c>
      <c r="E31" s="150">
        <v>5.4</v>
      </c>
      <c r="F31" s="76">
        <v>2.25</v>
      </c>
      <c r="G31" s="74">
        <v>0.3</v>
      </c>
      <c r="H31" s="229">
        <v>1.5</v>
      </c>
      <c r="I31" s="75">
        <v>1.7</v>
      </c>
      <c r="J31" s="75">
        <f>0.8*0.4</f>
        <v>0.32000000000000006</v>
      </c>
      <c r="K31" s="75">
        <v>1.4</v>
      </c>
      <c r="L31" s="75">
        <v>0</v>
      </c>
      <c r="M31" s="77">
        <v>0</v>
      </c>
      <c r="N31" s="75">
        <v>3.2</v>
      </c>
      <c r="O31" s="77">
        <v>0.4</v>
      </c>
      <c r="P31" s="89"/>
      <c r="Q31" s="80"/>
      <c r="R31" s="81"/>
      <c r="S31" s="81"/>
      <c r="T31" s="149" t="s">
        <v>26</v>
      </c>
      <c r="U31" s="80"/>
      <c r="V31" s="81"/>
      <c r="W31" s="80"/>
      <c r="X31" s="85"/>
      <c r="Y31" s="85"/>
      <c r="Z31" s="85"/>
      <c r="AA31" s="81"/>
      <c r="AB31" s="141"/>
      <c r="AC31" s="81"/>
      <c r="AD31" s="99"/>
      <c r="AE31" s="12"/>
      <c r="AR31" s="5"/>
      <c r="AS31" s="13"/>
      <c r="AT31" s="7"/>
      <c r="AU31" s="7"/>
      <c r="AV31" s="7"/>
      <c r="AW31" s="7"/>
      <c r="AX31" s="7"/>
      <c r="AY31" s="7"/>
      <c r="AZ31" s="7"/>
      <c r="BA31" s="7"/>
      <c r="BB31" s="11"/>
      <c r="BC31" s="11"/>
      <c r="BD31" s="10"/>
      <c r="BE31" s="11"/>
      <c r="BF31" s="11"/>
      <c r="BG31" s="11"/>
      <c r="BH31" s="11"/>
      <c r="BI31" s="11"/>
      <c r="BJ31" s="11"/>
      <c r="BK31" s="11"/>
      <c r="BL31" s="11"/>
      <c r="BM31" s="7"/>
      <c r="BN31" s="7"/>
      <c r="BO31" s="7"/>
      <c r="BP31" s="7"/>
      <c r="BQ31" s="7"/>
      <c r="BR31" s="7"/>
      <c r="BS31" s="12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</row>
    <row r="32" spans="1:100" ht="12.75">
      <c r="A32" s="72"/>
      <c r="B32" s="77"/>
      <c r="C32" s="81"/>
      <c r="D32" s="80"/>
      <c r="E32" s="75"/>
      <c r="F32" s="76"/>
      <c r="G32" s="74"/>
      <c r="H32" s="229"/>
      <c r="I32" s="75"/>
      <c r="J32" s="75"/>
      <c r="K32" s="75"/>
      <c r="L32" s="75"/>
      <c r="M32" s="77"/>
      <c r="N32" s="75"/>
      <c r="O32" s="77"/>
      <c r="P32" s="89">
        <f>1000*(A33-A31)</f>
        <v>40.000000000000036</v>
      </c>
      <c r="Q32" s="80">
        <f>0.5*P32*(B31+B33)</f>
        <v>377.72000000000037</v>
      </c>
      <c r="R32" s="81">
        <f>0.5*P32*(C31+C33)</f>
        <v>0</v>
      </c>
      <c r="S32" s="81">
        <f>0.5*P32*(D31+D33)</f>
        <v>0</v>
      </c>
      <c r="T32" s="150">
        <f>0.5*P32*(E31+E33)</f>
        <v>212.00000000000023</v>
      </c>
      <c r="U32" s="80">
        <f>0.5*P32*(F31+F33)</f>
        <v>90.00000000000009</v>
      </c>
      <c r="V32" s="81">
        <f>0.5*P32*(G31+G33)</f>
        <v>12.00000000000001</v>
      </c>
      <c r="W32" s="80">
        <f>0.5*P32*(H31+H33)</f>
        <v>60.00000000000006</v>
      </c>
      <c r="X32" s="85">
        <f>0.5*P32*(I31+I33)</f>
        <v>70.00000000000006</v>
      </c>
      <c r="Y32" s="81">
        <f>0.5*P32*(J31+J33)</f>
        <v>12.400000000000013</v>
      </c>
      <c r="Z32" s="81">
        <f>0.5*P32*(K31+K33)</f>
        <v>62.00000000000005</v>
      </c>
      <c r="AA32" s="81">
        <f>0.5*P32*(L31+L33)</f>
        <v>0</v>
      </c>
      <c r="AB32" s="141">
        <f>0.5*P32*(M31+M33)</f>
        <v>0</v>
      </c>
      <c r="AC32" s="81">
        <f>0.5*P32*(N31+N33)</f>
        <v>128.0000000000001</v>
      </c>
      <c r="AD32" s="99">
        <f>0.5*P32*(O31+O33)</f>
        <v>14.00000000000001</v>
      </c>
      <c r="AE32" s="12"/>
      <c r="AR32" s="5"/>
      <c r="AS32" s="13"/>
      <c r="AT32" s="7"/>
      <c r="AU32" s="7"/>
      <c r="AV32" s="7"/>
      <c r="AW32" s="7"/>
      <c r="AX32" s="7"/>
      <c r="AY32" s="7"/>
      <c r="AZ32" s="7"/>
      <c r="BA32" s="7"/>
      <c r="BB32" s="11"/>
      <c r="BC32" s="11"/>
      <c r="BD32" s="10"/>
      <c r="BE32" s="11"/>
      <c r="BF32" s="11"/>
      <c r="BG32" s="11"/>
      <c r="BH32" s="11"/>
      <c r="BI32" s="11"/>
      <c r="BJ32" s="11"/>
      <c r="BK32" s="11"/>
      <c r="BL32" s="11"/>
      <c r="BM32" s="7"/>
      <c r="BN32" s="7"/>
      <c r="BO32" s="7"/>
      <c r="BP32" s="7"/>
      <c r="BQ32" s="7"/>
      <c r="BR32" s="7"/>
      <c r="BS32" s="12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ht="12.75">
      <c r="A33" s="72">
        <v>4.74</v>
      </c>
      <c r="B33" s="77">
        <v>9.9</v>
      </c>
      <c r="C33" s="152">
        <v>0</v>
      </c>
      <c r="D33" s="143">
        <v>0</v>
      </c>
      <c r="E33" s="150">
        <v>5.2</v>
      </c>
      <c r="F33" s="76">
        <v>2.25</v>
      </c>
      <c r="G33" s="74">
        <v>0.3</v>
      </c>
      <c r="H33" s="229">
        <v>1.5</v>
      </c>
      <c r="I33" s="75">
        <v>1.8</v>
      </c>
      <c r="J33" s="75">
        <v>0.3</v>
      </c>
      <c r="K33" s="75">
        <v>1.7</v>
      </c>
      <c r="L33" s="75">
        <v>0</v>
      </c>
      <c r="M33" s="77">
        <v>0</v>
      </c>
      <c r="N33" s="75">
        <v>3.2</v>
      </c>
      <c r="O33" s="77">
        <v>0.3</v>
      </c>
      <c r="P33" s="89"/>
      <c r="Q33" s="80"/>
      <c r="R33" s="81"/>
      <c r="S33" s="81"/>
      <c r="T33" s="150"/>
      <c r="U33" s="80"/>
      <c r="V33" s="81"/>
      <c r="W33" s="80"/>
      <c r="X33" s="85"/>
      <c r="Y33" s="85"/>
      <c r="Z33" s="85"/>
      <c r="AA33" s="81"/>
      <c r="AB33" s="141"/>
      <c r="AC33" s="81"/>
      <c r="AD33" s="99"/>
      <c r="AE33" s="12"/>
      <c r="AR33" s="5"/>
      <c r="AS33" s="13"/>
      <c r="AT33" s="7"/>
      <c r="AU33" s="7"/>
      <c r="AV33" s="7"/>
      <c r="AW33" s="7"/>
      <c r="AX33" s="7"/>
      <c r="AY33" s="7"/>
      <c r="AZ33" s="7"/>
      <c r="BA33" s="7"/>
      <c r="BB33" s="11"/>
      <c r="BC33" s="11"/>
      <c r="BD33" s="10"/>
      <c r="BE33" s="11"/>
      <c r="BF33" s="11"/>
      <c r="BG33" s="11"/>
      <c r="BH33" s="11"/>
      <c r="BI33" s="11"/>
      <c r="BJ33" s="11"/>
      <c r="BK33" s="11"/>
      <c r="BL33" s="11"/>
      <c r="BM33" s="7"/>
      <c r="BN33" s="7"/>
      <c r="BO33" s="7"/>
      <c r="BP33" s="7"/>
      <c r="BQ33" s="7"/>
      <c r="BR33" s="7"/>
      <c r="BS33" s="12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</row>
    <row r="34" spans="1:100" ht="12.75">
      <c r="A34" s="72"/>
      <c r="B34" s="77"/>
      <c r="C34" s="81"/>
      <c r="D34" s="80"/>
      <c r="E34" s="75"/>
      <c r="F34" s="76"/>
      <c r="G34" s="74"/>
      <c r="H34" s="229"/>
      <c r="I34" s="75"/>
      <c r="J34" s="75"/>
      <c r="K34" s="75"/>
      <c r="L34" s="75"/>
      <c r="M34" s="77"/>
      <c r="N34" s="75"/>
      <c r="O34" s="77"/>
      <c r="P34" s="89">
        <f>1000*(A35-A33)</f>
        <v>59.99999999999961</v>
      </c>
      <c r="Q34" s="80">
        <f>0.5*P34*(B33+B35)</f>
        <v>461.999999999997</v>
      </c>
      <c r="R34" s="81">
        <f>0.5*P34*(C33+C35)</f>
        <v>0</v>
      </c>
      <c r="S34" s="81">
        <f>0.5*P34*(D33+D35)</f>
        <v>0</v>
      </c>
      <c r="T34" s="150">
        <f>0.5*P34*(E33+E35)</f>
        <v>200.9999999999987</v>
      </c>
      <c r="U34" s="80">
        <f>0.5*P34*(F33+F35)</f>
        <v>134.99999999999912</v>
      </c>
      <c r="V34" s="81">
        <f>0.5*P34*(G33+G35)</f>
        <v>20.99999999999986</v>
      </c>
      <c r="W34" s="80">
        <f>0.5*P34*(H33+H35)</f>
        <v>89.99999999999942</v>
      </c>
      <c r="X34" s="85">
        <f>0.5*P34*(I33+I35)</f>
        <v>104.99999999999932</v>
      </c>
      <c r="Y34" s="81">
        <f>0.5*P34*(J33+J35)</f>
        <v>8.999999999999941</v>
      </c>
      <c r="Z34" s="81">
        <f>0.5*P34*(K33+K35)</f>
        <v>86.99999999999943</v>
      </c>
      <c r="AA34" s="81">
        <f>0.5*P34*(L33+L35)</f>
        <v>11.999999999999922</v>
      </c>
      <c r="AB34" s="141">
        <f>0.5*P34*(M33+M35)</f>
        <v>17.999999999999883</v>
      </c>
      <c r="AC34" s="81">
        <f>0.5*P34*(N33+N35)</f>
        <v>158.99999999999898</v>
      </c>
      <c r="AD34" s="99">
        <f>0.5*P34*(O33+O35)</f>
        <v>38.999999999999744</v>
      </c>
      <c r="AE34" s="12"/>
      <c r="AR34" s="5"/>
      <c r="AS34" s="13"/>
      <c r="AT34" s="7"/>
      <c r="AU34" s="7"/>
      <c r="AV34" s="7"/>
      <c r="AW34" s="7"/>
      <c r="AX34" s="7"/>
      <c r="AY34" s="7"/>
      <c r="AZ34" s="7"/>
      <c r="BA34" s="7"/>
      <c r="BB34" s="11"/>
      <c r="BC34" s="11"/>
      <c r="BD34" s="10"/>
      <c r="BE34" s="11"/>
      <c r="BF34" s="11"/>
      <c r="BG34" s="11"/>
      <c r="BH34" s="11"/>
      <c r="BI34" s="11"/>
      <c r="BJ34" s="11"/>
      <c r="BK34" s="11"/>
      <c r="BL34" s="11"/>
      <c r="BM34" s="7"/>
      <c r="BN34" s="7"/>
      <c r="BO34" s="7"/>
      <c r="BP34" s="7"/>
      <c r="BQ34" s="7"/>
      <c r="BR34" s="7"/>
      <c r="BS34" s="12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</row>
    <row r="35" spans="1:100" ht="12.75">
      <c r="A35" s="72">
        <v>4.8</v>
      </c>
      <c r="B35" s="77">
        <v>5.5</v>
      </c>
      <c r="C35" s="152">
        <v>0</v>
      </c>
      <c r="D35" s="143">
        <v>0</v>
      </c>
      <c r="E35" s="150">
        <v>1.5</v>
      </c>
      <c r="F35" s="76">
        <v>2.25</v>
      </c>
      <c r="G35" s="74">
        <v>0.4</v>
      </c>
      <c r="H35" s="229">
        <v>1.5</v>
      </c>
      <c r="I35" s="75">
        <v>1.7</v>
      </c>
      <c r="J35" s="75">
        <v>0</v>
      </c>
      <c r="K35" s="75">
        <v>1.2</v>
      </c>
      <c r="L35" s="75">
        <v>0.4</v>
      </c>
      <c r="M35" s="77">
        <v>0.6</v>
      </c>
      <c r="N35" s="75">
        <v>2.1</v>
      </c>
      <c r="O35" s="77">
        <v>1</v>
      </c>
      <c r="P35" s="89"/>
      <c r="Q35" s="80"/>
      <c r="R35" s="81"/>
      <c r="S35" s="81"/>
      <c r="T35" s="150"/>
      <c r="U35" s="80"/>
      <c r="V35" s="81"/>
      <c r="W35" s="80"/>
      <c r="X35" s="85"/>
      <c r="Y35" s="85"/>
      <c r="Z35" s="85"/>
      <c r="AA35" s="81"/>
      <c r="AB35" s="141"/>
      <c r="AC35" s="81"/>
      <c r="AD35" s="99"/>
      <c r="AE35" s="12"/>
      <c r="AR35" s="5"/>
      <c r="AS35" s="13"/>
      <c r="AT35" s="7"/>
      <c r="AU35" s="7"/>
      <c r="AV35" s="7"/>
      <c r="AW35" s="7"/>
      <c r="AX35" s="7"/>
      <c r="AY35" s="7"/>
      <c r="AZ35" s="7"/>
      <c r="BA35" s="7"/>
      <c r="BB35" s="11"/>
      <c r="BC35" s="11"/>
      <c r="BD35" s="10"/>
      <c r="BE35" s="11"/>
      <c r="BF35" s="11"/>
      <c r="BG35" s="11"/>
      <c r="BH35" s="11"/>
      <c r="BI35" s="11"/>
      <c r="BJ35" s="11"/>
      <c r="BK35" s="11"/>
      <c r="BL35" s="11"/>
      <c r="BM35" s="7"/>
      <c r="BN35" s="7"/>
      <c r="BO35" s="7"/>
      <c r="BP35" s="7"/>
      <c r="BQ35" s="7"/>
      <c r="BR35" s="7"/>
      <c r="BS35" s="12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</row>
    <row r="36" spans="1:100" ht="12.75">
      <c r="A36" s="72"/>
      <c r="B36" s="77"/>
      <c r="C36" s="146"/>
      <c r="D36" s="81"/>
      <c r="E36" s="75"/>
      <c r="F36" s="76"/>
      <c r="G36" s="74"/>
      <c r="H36" s="229"/>
      <c r="I36" s="75"/>
      <c r="J36" s="75"/>
      <c r="K36" s="75"/>
      <c r="L36" s="75"/>
      <c r="M36" s="77"/>
      <c r="N36" s="75"/>
      <c r="O36" s="77"/>
      <c r="P36" s="89">
        <f>1000*(A37-A35)</f>
        <v>40.000000000000036</v>
      </c>
      <c r="Q36" s="80">
        <f>0.5*P36*(B35+B37)</f>
        <v>198.00000000000017</v>
      </c>
      <c r="R36" s="81">
        <f>0.5*P36*(C35+C37)</f>
        <v>0</v>
      </c>
      <c r="S36" s="81">
        <f>0.5*P36*(D35+D37)</f>
        <v>0</v>
      </c>
      <c r="T36" s="150">
        <f>0.5*P36*(E35+E37)</f>
        <v>58.00000000000005</v>
      </c>
      <c r="U36" s="80">
        <f>0.5*P36*(F35+F37)</f>
        <v>90.00000000000009</v>
      </c>
      <c r="V36" s="81">
        <f>0.5*P36*(G35+G37)</f>
        <v>20.000000000000018</v>
      </c>
      <c r="W36" s="80">
        <f>0.5*P36*(H35+H37)</f>
        <v>60.00000000000006</v>
      </c>
      <c r="X36" s="85">
        <f>0.5*P36*(I35+I37)</f>
        <v>74.00000000000007</v>
      </c>
      <c r="Y36" s="81">
        <f>0.5*P36*(J35+J37)</f>
        <v>0</v>
      </c>
      <c r="Z36" s="81">
        <f>0.5*P36*(K35+K37)</f>
        <v>50.00000000000004</v>
      </c>
      <c r="AA36" s="81">
        <f>0.5*P36*(L35+L37)</f>
        <v>64.00000000000006</v>
      </c>
      <c r="AB36" s="141">
        <f>0.5*P36*(M35+M37)</f>
        <v>72.00000000000007</v>
      </c>
      <c r="AC36" s="81">
        <f>0.5*P36*(N35+N37)</f>
        <v>84.00000000000009</v>
      </c>
      <c r="AD36" s="99">
        <f>0.5*P36*(O35+O37)</f>
        <v>26.000000000000025</v>
      </c>
      <c r="AE36" s="12"/>
      <c r="AR36" s="5"/>
      <c r="AS36" s="13"/>
      <c r="AT36" s="7"/>
      <c r="AU36" s="7"/>
      <c r="AV36" s="7"/>
      <c r="AW36" s="7"/>
      <c r="AX36" s="7"/>
      <c r="AY36" s="7"/>
      <c r="AZ36" s="7"/>
      <c r="BA36" s="7"/>
      <c r="BB36" s="11"/>
      <c r="BC36" s="11"/>
      <c r="BD36" s="10"/>
      <c r="BE36" s="11"/>
      <c r="BF36" s="11"/>
      <c r="BG36" s="11"/>
      <c r="BH36" s="11"/>
      <c r="BI36" s="11"/>
      <c r="BJ36" s="11"/>
      <c r="BK36" s="11"/>
      <c r="BL36" s="11"/>
      <c r="BM36" s="7"/>
      <c r="BN36" s="7"/>
      <c r="BO36" s="7"/>
      <c r="BP36" s="7"/>
      <c r="BQ36" s="7"/>
      <c r="BR36" s="7"/>
      <c r="BS36" s="12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</row>
    <row r="37" spans="1:100" ht="12.75">
      <c r="A37" s="72">
        <v>4.84</v>
      </c>
      <c r="B37" s="77">
        <f>0.8+3.6</f>
        <v>4.4</v>
      </c>
      <c r="C37" s="152">
        <v>0</v>
      </c>
      <c r="D37" s="143">
        <v>0</v>
      </c>
      <c r="E37" s="150">
        <v>1.4</v>
      </c>
      <c r="F37" s="76">
        <v>2.25</v>
      </c>
      <c r="G37" s="151">
        <v>0.6</v>
      </c>
      <c r="H37" s="229">
        <v>1.5</v>
      </c>
      <c r="I37" s="75">
        <v>2</v>
      </c>
      <c r="J37" s="75">
        <v>0</v>
      </c>
      <c r="K37" s="75">
        <v>1.3</v>
      </c>
      <c r="L37" s="75">
        <v>2.8</v>
      </c>
      <c r="M37" s="77">
        <v>3</v>
      </c>
      <c r="N37" s="75">
        <v>2.1</v>
      </c>
      <c r="O37" s="77">
        <v>0.3</v>
      </c>
      <c r="P37" s="89"/>
      <c r="Q37" s="80"/>
      <c r="R37" s="81"/>
      <c r="S37" s="81"/>
      <c r="T37" s="150"/>
      <c r="U37" s="80"/>
      <c r="V37" s="81"/>
      <c r="W37" s="80"/>
      <c r="X37" s="85"/>
      <c r="Y37" s="85"/>
      <c r="Z37" s="85"/>
      <c r="AA37" s="81"/>
      <c r="AB37" s="141"/>
      <c r="AC37" s="81"/>
      <c r="AD37" s="99"/>
      <c r="AE37" s="12"/>
      <c r="AR37" s="5"/>
      <c r="AS37" s="13"/>
      <c r="AT37" s="7"/>
      <c r="AU37" s="7"/>
      <c r="AV37" s="7"/>
      <c r="AW37" s="7"/>
      <c r="AX37" s="7"/>
      <c r="AY37" s="7"/>
      <c r="AZ37" s="7"/>
      <c r="BA37" s="7"/>
      <c r="BB37" s="11"/>
      <c r="BC37" s="11"/>
      <c r="BD37" s="10"/>
      <c r="BE37" s="11"/>
      <c r="BF37" s="11"/>
      <c r="BG37" s="11"/>
      <c r="BH37" s="11"/>
      <c r="BI37" s="11"/>
      <c r="BJ37" s="11"/>
      <c r="BK37" s="11"/>
      <c r="BL37" s="11"/>
      <c r="BM37" s="7"/>
      <c r="BN37" s="7"/>
      <c r="BO37" s="7"/>
      <c r="BP37" s="7"/>
      <c r="BQ37" s="7"/>
      <c r="BR37" s="7"/>
      <c r="BS37" s="12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</row>
    <row r="38" spans="1:100" ht="12.75">
      <c r="A38" s="144">
        <v>4.845</v>
      </c>
      <c r="B38" s="77"/>
      <c r="C38" s="146" t="s">
        <v>27</v>
      </c>
      <c r="D38" s="81"/>
      <c r="E38" s="75"/>
      <c r="F38" s="76"/>
      <c r="G38" s="74"/>
      <c r="H38" s="229"/>
      <c r="I38" s="75"/>
      <c r="J38" s="75"/>
      <c r="K38" s="75"/>
      <c r="L38" s="75"/>
      <c r="M38" s="77"/>
      <c r="N38" s="75"/>
      <c r="O38" s="77"/>
      <c r="P38" s="89">
        <f>1000*(A39-A37)</f>
        <v>60.0000000000005</v>
      </c>
      <c r="Q38" s="80">
        <f>0.5*P38*(B37+B39)</f>
        <v>156.0000000000013</v>
      </c>
      <c r="R38" s="81">
        <f>0.5*P38*(C37+C39)</f>
        <v>0</v>
      </c>
      <c r="S38" s="81">
        <f>0.5*P38*(D37+D39)</f>
        <v>0</v>
      </c>
      <c r="T38" s="150">
        <f>0.5*P38*(E37+E39)</f>
        <v>42.00000000000035</v>
      </c>
      <c r="U38" s="80">
        <f>0.5*P38*(F37+F39)</f>
        <v>112.50000000000094</v>
      </c>
      <c r="V38" s="81">
        <f>0.5*P38*(G37+G39)</f>
        <v>42.00000000000035</v>
      </c>
      <c r="W38" s="80">
        <f>0.5*P38*(H37+H39)</f>
        <v>45.00000000000037</v>
      </c>
      <c r="X38" s="85">
        <f>0.5*P38*(I37+I39)</f>
        <v>60.0000000000005</v>
      </c>
      <c r="Y38" s="81">
        <f>0.5*P38*(J37+J39)</f>
        <v>0</v>
      </c>
      <c r="Z38" s="81">
        <f>0.5*P38*(K37+K39)</f>
        <v>39.00000000000033</v>
      </c>
      <c r="AA38" s="81">
        <f>0.5*P38*(L37+L39)</f>
        <v>84.0000000000007</v>
      </c>
      <c r="AB38" s="141">
        <f>0.5*P38*(M37+M39)</f>
        <v>171.00000000000142</v>
      </c>
      <c r="AC38" s="81">
        <f>0.5*P38*(N37+N39)</f>
        <v>63.000000000000526</v>
      </c>
      <c r="AD38" s="99">
        <f>0.5*P38*(O37+O39)</f>
        <v>9.000000000000075</v>
      </c>
      <c r="AE38" s="12"/>
      <c r="AR38" s="5"/>
      <c r="AS38" s="13"/>
      <c r="AT38" s="7"/>
      <c r="AU38" s="7"/>
      <c r="AV38" s="7"/>
      <c r="AW38" s="7"/>
      <c r="AX38" s="7"/>
      <c r="AY38" s="7"/>
      <c r="AZ38" s="7"/>
      <c r="BA38" s="7"/>
      <c r="BB38" s="11"/>
      <c r="BC38" s="11"/>
      <c r="BD38" s="10"/>
      <c r="BE38" s="11"/>
      <c r="BF38" s="11"/>
      <c r="BG38" s="11"/>
      <c r="BH38" s="11"/>
      <c r="BI38" s="11"/>
      <c r="BJ38" s="11"/>
      <c r="BK38" s="11"/>
      <c r="BL38" s="11"/>
      <c r="BM38" s="7"/>
      <c r="BN38" s="7"/>
      <c r="BO38" s="7"/>
      <c r="BP38" s="7"/>
      <c r="BQ38" s="7"/>
      <c r="BR38" s="7"/>
      <c r="BS38" s="12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</row>
    <row r="39" spans="1:100" ht="12.75">
      <c r="A39" s="72">
        <v>4.9</v>
      </c>
      <c r="B39" s="77">
        <v>0.8</v>
      </c>
      <c r="C39" s="148"/>
      <c r="D39" s="147"/>
      <c r="E39" s="75">
        <v>0</v>
      </c>
      <c r="F39" s="76">
        <v>1.5</v>
      </c>
      <c r="G39" s="74">
        <v>0.8</v>
      </c>
      <c r="H39" s="229">
        <v>0</v>
      </c>
      <c r="I39" s="75">
        <v>0</v>
      </c>
      <c r="J39" s="75">
        <v>0</v>
      </c>
      <c r="K39" s="75">
        <v>0</v>
      </c>
      <c r="L39" s="75">
        <v>0</v>
      </c>
      <c r="M39" s="77">
        <v>2.7</v>
      </c>
      <c r="N39" s="75">
        <v>0</v>
      </c>
      <c r="O39" s="77">
        <v>0</v>
      </c>
      <c r="P39" s="89"/>
      <c r="Q39" s="80"/>
      <c r="R39" s="81"/>
      <c r="S39" s="81"/>
      <c r="T39" s="81"/>
      <c r="U39" s="80"/>
      <c r="V39" s="81"/>
      <c r="W39" s="80"/>
      <c r="X39" s="85"/>
      <c r="Y39" s="85"/>
      <c r="Z39" s="85"/>
      <c r="AA39" s="81"/>
      <c r="AB39" s="141"/>
      <c r="AC39" s="81"/>
      <c r="AD39" s="99"/>
      <c r="AE39" s="12"/>
      <c r="AR39" s="5"/>
      <c r="AS39" s="13"/>
      <c r="AT39" s="7"/>
      <c r="AU39" s="7"/>
      <c r="AV39" s="7"/>
      <c r="AW39" s="7"/>
      <c r="AX39" s="7"/>
      <c r="AY39" s="7"/>
      <c r="AZ39" s="7"/>
      <c r="BA39" s="7"/>
      <c r="BB39" s="11"/>
      <c r="BC39" s="11"/>
      <c r="BD39" s="10"/>
      <c r="BE39" s="11"/>
      <c r="BF39" s="11"/>
      <c r="BG39" s="11"/>
      <c r="BH39" s="11"/>
      <c r="BI39" s="11"/>
      <c r="BJ39" s="11"/>
      <c r="BK39" s="11"/>
      <c r="BL39" s="11"/>
      <c r="BM39" s="7"/>
      <c r="BN39" s="7"/>
      <c r="BO39" s="7"/>
      <c r="BP39" s="7"/>
      <c r="BQ39" s="7"/>
      <c r="BR39" s="7"/>
      <c r="BS39" s="12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</row>
    <row r="40" spans="1:100" ht="12.75">
      <c r="A40" s="72"/>
      <c r="B40" s="77"/>
      <c r="C40" s="75"/>
      <c r="D40" s="77"/>
      <c r="E40" s="75"/>
      <c r="F40" s="76"/>
      <c r="G40" s="74"/>
      <c r="H40" s="229"/>
      <c r="I40" s="75"/>
      <c r="J40" s="75"/>
      <c r="K40" s="75"/>
      <c r="L40" s="75"/>
      <c r="M40" s="77"/>
      <c r="N40" s="75"/>
      <c r="O40" s="77"/>
      <c r="P40" s="89">
        <f>1000*(A41-A39)</f>
        <v>40.000000000000036</v>
      </c>
      <c r="Q40" s="80">
        <f>0.5*P40*(B39+B41)</f>
        <v>24.000000000000025</v>
      </c>
      <c r="R40" s="81">
        <f>0.5*P40*(C39+C41)</f>
        <v>0</v>
      </c>
      <c r="S40" s="81">
        <f>0.5*P40*(D39+D41)</f>
        <v>0</v>
      </c>
      <c r="T40" s="81">
        <f>0.5*P40*(E39+E41)</f>
        <v>0</v>
      </c>
      <c r="U40" s="80">
        <f>0.5*P40*(F39+F41)</f>
        <v>60.00000000000006</v>
      </c>
      <c r="V40" s="81">
        <f>0.5*P40*(G39+G41)</f>
        <v>16.000000000000014</v>
      </c>
      <c r="W40" s="80">
        <f>0.5*P40*(H39+H41)</f>
        <v>0</v>
      </c>
      <c r="X40" s="85">
        <v>0</v>
      </c>
      <c r="Y40" s="81">
        <f>0.5*P40*(J39+J41)</f>
        <v>0</v>
      </c>
      <c r="Z40" s="81">
        <f>0.5*P40*(K39+K41)</f>
        <v>0</v>
      </c>
      <c r="AA40" s="81">
        <f>0.5*P40*(L39+L41)</f>
        <v>0</v>
      </c>
      <c r="AB40" s="141">
        <f>0.5*P40*(M39+M41)</f>
        <v>146.0000000000001</v>
      </c>
      <c r="AC40" s="81">
        <f>0.5*P40*(N39+N41)</f>
        <v>0</v>
      </c>
      <c r="AD40" s="99">
        <f>0.5*P40*(O39+O41)</f>
        <v>0</v>
      </c>
      <c r="AE40" s="12"/>
      <c r="AR40" s="5"/>
      <c r="AS40" s="13"/>
      <c r="AT40" s="7"/>
      <c r="AU40" s="7"/>
      <c r="AV40" s="7"/>
      <c r="AW40" s="7"/>
      <c r="AX40" s="7"/>
      <c r="AY40" s="7"/>
      <c r="AZ40" s="7"/>
      <c r="BA40" s="7"/>
      <c r="BB40" s="11"/>
      <c r="BC40" s="11"/>
      <c r="BD40" s="10"/>
      <c r="BE40" s="11"/>
      <c r="BF40" s="11"/>
      <c r="BG40" s="11"/>
      <c r="BH40" s="11"/>
      <c r="BI40" s="11"/>
      <c r="BJ40" s="11"/>
      <c r="BK40" s="11"/>
      <c r="BL40" s="11"/>
      <c r="BM40" s="7"/>
      <c r="BN40" s="7"/>
      <c r="BO40" s="7"/>
      <c r="BP40" s="7"/>
      <c r="BQ40" s="7"/>
      <c r="BR40" s="7"/>
      <c r="BS40" s="12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12.75">
      <c r="A41" s="72">
        <v>4.94</v>
      </c>
      <c r="B41" s="77">
        <v>0.4</v>
      </c>
      <c r="C41" s="148"/>
      <c r="D41" s="147"/>
      <c r="E41" s="75">
        <v>0</v>
      </c>
      <c r="F41" s="76">
        <v>1.5</v>
      </c>
      <c r="G41" s="74">
        <v>0</v>
      </c>
      <c r="H41" s="229">
        <v>0</v>
      </c>
      <c r="I41" s="75">
        <v>0</v>
      </c>
      <c r="J41" s="75">
        <v>0</v>
      </c>
      <c r="K41" s="75">
        <v>0</v>
      </c>
      <c r="L41" s="75">
        <v>0</v>
      </c>
      <c r="M41" s="77">
        <v>4.6</v>
      </c>
      <c r="N41" s="75">
        <v>0</v>
      </c>
      <c r="O41" s="77">
        <v>0</v>
      </c>
      <c r="P41" s="89"/>
      <c r="Q41" s="80"/>
      <c r="R41" s="81"/>
      <c r="S41" s="81"/>
      <c r="T41" s="81"/>
      <c r="U41" s="80"/>
      <c r="V41" s="81"/>
      <c r="W41" s="80"/>
      <c r="X41" s="85"/>
      <c r="Y41" s="85"/>
      <c r="Z41" s="85"/>
      <c r="AA41" s="81"/>
      <c r="AB41" s="141"/>
      <c r="AC41" s="81"/>
      <c r="AD41" s="99"/>
      <c r="AE41" s="12"/>
      <c r="AR41" s="5"/>
      <c r="AS41" s="13"/>
      <c r="AT41" s="7"/>
      <c r="AU41" s="7"/>
      <c r="AV41" s="7"/>
      <c r="AW41" s="7"/>
      <c r="AX41" s="7"/>
      <c r="AY41" s="7"/>
      <c r="AZ41" s="7"/>
      <c r="BA41" s="7"/>
      <c r="BB41" s="11"/>
      <c r="BC41" s="11"/>
      <c r="BD41" s="10"/>
      <c r="BE41" s="11"/>
      <c r="BF41" s="11"/>
      <c r="BG41" s="11"/>
      <c r="BH41" s="11"/>
      <c r="BI41" s="11"/>
      <c r="BJ41" s="11"/>
      <c r="BK41" s="11"/>
      <c r="BL41" s="11"/>
      <c r="BM41" s="7"/>
      <c r="BN41" s="7"/>
      <c r="BO41" s="7"/>
      <c r="BP41" s="7"/>
      <c r="BQ41" s="7"/>
      <c r="BR41" s="7"/>
      <c r="BS41" s="12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12.75">
      <c r="A42" s="72"/>
      <c r="B42" s="77"/>
      <c r="C42" s="75"/>
      <c r="D42" s="77"/>
      <c r="E42" s="75"/>
      <c r="F42" s="76"/>
      <c r="G42" s="74"/>
      <c r="H42" s="229"/>
      <c r="I42" s="75"/>
      <c r="J42" s="75"/>
      <c r="K42" s="75"/>
      <c r="L42" s="75"/>
      <c r="M42" s="77"/>
      <c r="N42" s="75"/>
      <c r="O42" s="77"/>
      <c r="P42" s="89">
        <f>1000*(A43-A41)</f>
        <v>59.99999999999961</v>
      </c>
      <c r="Q42" s="80">
        <f>0.5*P42*(B41+B43)</f>
        <v>44.99999999999971</v>
      </c>
      <c r="R42" s="81">
        <f>0.5*P42*(C41+C43)</f>
        <v>0</v>
      </c>
      <c r="S42" s="81">
        <f>0.5*P42*(D41+D43)</f>
        <v>0</v>
      </c>
      <c r="T42" s="81">
        <f>0.5*P42*(E41+E43)</f>
        <v>0</v>
      </c>
      <c r="U42" s="80">
        <f>0.5*P42*(F41+F43)</f>
        <v>89.99999999999942</v>
      </c>
      <c r="V42" s="81">
        <f>0.5*P42*(G41+G43)</f>
        <v>0</v>
      </c>
      <c r="W42" s="80">
        <f>0.5*P42*(H41+H43)</f>
        <v>0</v>
      </c>
      <c r="X42" s="85">
        <f>0.5*P42*(I41+I43)</f>
        <v>0</v>
      </c>
      <c r="Y42" s="81">
        <f>0.5*P42*(J41+J43)</f>
        <v>0</v>
      </c>
      <c r="Z42" s="81">
        <f>0.5*P42*(K41+K43)</f>
        <v>0</v>
      </c>
      <c r="AA42" s="81">
        <f>0.5*P42*(L41+L43)</f>
        <v>80.99999999999947</v>
      </c>
      <c r="AB42" s="141">
        <f>0.5*P42*(M41+M43)</f>
        <v>203.99999999999866</v>
      </c>
      <c r="AC42" s="81">
        <f>0.5*P42*(N41+N43)</f>
        <v>0</v>
      </c>
      <c r="AD42" s="99">
        <f>0.5*P42*(O41+O43)</f>
        <v>0</v>
      </c>
      <c r="AE42" s="12"/>
      <c r="AR42" s="5"/>
      <c r="AS42" s="13"/>
      <c r="AT42" s="7"/>
      <c r="AU42" s="7"/>
      <c r="AV42" s="7"/>
      <c r="AW42" s="7"/>
      <c r="AX42" s="7"/>
      <c r="AY42" s="7"/>
      <c r="AZ42" s="7"/>
      <c r="BA42" s="7"/>
      <c r="BB42" s="11"/>
      <c r="BC42" s="11"/>
      <c r="BD42" s="10"/>
      <c r="BE42" s="11"/>
      <c r="BF42" s="11"/>
      <c r="BG42" s="11"/>
      <c r="BH42" s="11"/>
      <c r="BI42" s="11"/>
      <c r="BJ42" s="11"/>
      <c r="BK42" s="11"/>
      <c r="BL42" s="11"/>
      <c r="BM42" s="7"/>
      <c r="BN42" s="7"/>
      <c r="BO42" s="7"/>
      <c r="BP42" s="7"/>
      <c r="BQ42" s="7"/>
      <c r="BR42" s="7"/>
      <c r="BS42" s="12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</row>
    <row r="43" spans="1:100" ht="12.75">
      <c r="A43" s="72">
        <v>5</v>
      </c>
      <c r="B43" s="77">
        <v>1.1</v>
      </c>
      <c r="C43" s="148"/>
      <c r="D43" s="147"/>
      <c r="E43" s="75">
        <v>0</v>
      </c>
      <c r="F43" s="76">
        <v>1.5</v>
      </c>
      <c r="G43" s="74">
        <v>0</v>
      </c>
      <c r="H43" s="229">
        <v>0</v>
      </c>
      <c r="I43" s="75">
        <v>0</v>
      </c>
      <c r="J43" s="75">
        <v>0</v>
      </c>
      <c r="K43" s="75">
        <v>0</v>
      </c>
      <c r="L43" s="153">
        <v>2.7</v>
      </c>
      <c r="M43" s="77">
        <v>2.2</v>
      </c>
      <c r="N43" s="75">
        <v>0</v>
      </c>
      <c r="O43" s="77">
        <v>0</v>
      </c>
      <c r="P43" s="89"/>
      <c r="Q43" s="80"/>
      <c r="R43" s="81"/>
      <c r="S43" s="81"/>
      <c r="T43" s="81"/>
      <c r="U43" s="80"/>
      <c r="V43" s="81"/>
      <c r="W43" s="80"/>
      <c r="X43" s="85"/>
      <c r="Y43" s="85"/>
      <c r="Z43" s="85"/>
      <c r="AA43" s="81"/>
      <c r="AB43" s="141"/>
      <c r="AC43" s="81"/>
      <c r="AD43" s="99"/>
      <c r="AE43" s="12"/>
      <c r="AR43" s="5"/>
      <c r="AS43" s="13"/>
      <c r="AT43" s="7"/>
      <c r="AU43" s="7"/>
      <c r="AV43" s="7"/>
      <c r="AW43" s="7"/>
      <c r="AX43" s="7"/>
      <c r="AY43" s="7"/>
      <c r="AZ43" s="7"/>
      <c r="BA43" s="7"/>
      <c r="BB43" s="11"/>
      <c r="BC43" s="11"/>
      <c r="BD43" s="10"/>
      <c r="BE43" s="11"/>
      <c r="BF43" s="11"/>
      <c r="BG43" s="11"/>
      <c r="BH43" s="11"/>
      <c r="BI43" s="11"/>
      <c r="BJ43" s="11"/>
      <c r="BK43" s="11"/>
      <c r="BL43" s="11"/>
      <c r="BM43" s="7"/>
      <c r="BN43" s="7"/>
      <c r="BO43" s="7"/>
      <c r="BP43" s="7"/>
      <c r="BQ43" s="7"/>
      <c r="BR43" s="7"/>
      <c r="BS43" s="12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</row>
    <row r="44" spans="1:100" ht="12.75">
      <c r="A44" s="72"/>
      <c r="B44" s="77"/>
      <c r="C44" s="75"/>
      <c r="D44" s="77"/>
      <c r="E44" s="75"/>
      <c r="F44" s="76"/>
      <c r="G44" s="74"/>
      <c r="H44" s="229"/>
      <c r="I44" s="75"/>
      <c r="J44" s="75"/>
      <c r="K44" s="75"/>
      <c r="L44" s="75" t="s">
        <v>28</v>
      </c>
      <c r="M44" s="77"/>
      <c r="N44" s="75"/>
      <c r="O44" s="77"/>
      <c r="P44" s="89">
        <f aca="true" t="shared" si="0" ref="P44:P98">1000*(A45-A43)</f>
        <v>40.000000000000036</v>
      </c>
      <c r="Q44" s="80">
        <f>0.5*P44*(B43+B45)</f>
        <v>50.00000000000004</v>
      </c>
      <c r="R44" s="81">
        <f>0.5*P44*(C43+C45)</f>
        <v>0</v>
      </c>
      <c r="S44" s="81">
        <f>0.5*P44*(D43+D45)</f>
        <v>0</v>
      </c>
      <c r="T44" s="81">
        <f>0.5*P44*(E43+E45)</f>
        <v>0</v>
      </c>
      <c r="U44" s="80">
        <f>0.5*P44*(F43+F45)</f>
        <v>60.00000000000006</v>
      </c>
      <c r="V44" s="81">
        <f>0.5*P44*(G43+G45)</f>
        <v>0</v>
      </c>
      <c r="W44" s="80">
        <f>0.5*P44*(H43+H45)</f>
        <v>0</v>
      </c>
      <c r="X44" s="85">
        <f>0.5*P44*(I43+I45)</f>
        <v>0</v>
      </c>
      <c r="Y44" s="81">
        <f>0.5*P44*(J43+J45)</f>
        <v>0</v>
      </c>
      <c r="Z44" s="81">
        <f>0.5*P44*(K43+K45)</f>
        <v>0</v>
      </c>
      <c r="AA44" s="81">
        <f>0.5*P44*(L43+L45)</f>
        <v>108.0000000000001</v>
      </c>
      <c r="AB44" s="141">
        <f>0.5*P44*(M43+M45)</f>
        <v>88.00000000000009</v>
      </c>
      <c r="AC44" s="81">
        <f>0.5*P44*(N43+N45)</f>
        <v>0</v>
      </c>
      <c r="AD44" s="99">
        <f>0.5*P44*(O43+O45)</f>
        <v>0</v>
      </c>
      <c r="AE44" s="12"/>
      <c r="AR44" s="5"/>
      <c r="AS44" s="13"/>
      <c r="AT44" s="7"/>
      <c r="AU44" s="7"/>
      <c r="AV44" s="7"/>
      <c r="AW44" s="7"/>
      <c r="AX44" s="7"/>
      <c r="AY44" s="7"/>
      <c r="AZ44" s="7"/>
      <c r="BA44" s="7"/>
      <c r="BB44" s="11"/>
      <c r="BC44" s="11"/>
      <c r="BD44" s="10"/>
      <c r="BE44" s="11"/>
      <c r="BF44" s="11"/>
      <c r="BG44" s="11"/>
      <c r="BH44" s="11"/>
      <c r="BI44" s="11"/>
      <c r="BJ44" s="11"/>
      <c r="BK44" s="11"/>
      <c r="BL44" s="11"/>
      <c r="BM44" s="7"/>
      <c r="BN44" s="7"/>
      <c r="BO44" s="7"/>
      <c r="BP44" s="7"/>
      <c r="BQ44" s="7"/>
      <c r="BR44" s="7"/>
      <c r="BS44" s="12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</row>
    <row r="45" spans="1:100" ht="12.75">
      <c r="A45" s="72">
        <v>5.04</v>
      </c>
      <c r="B45" s="77">
        <v>1.4</v>
      </c>
      <c r="C45" s="148"/>
      <c r="D45" s="147"/>
      <c r="E45" s="75">
        <v>0</v>
      </c>
      <c r="F45" s="76">
        <v>1.5</v>
      </c>
      <c r="G45" s="74">
        <v>0</v>
      </c>
      <c r="H45" s="229">
        <v>0</v>
      </c>
      <c r="I45" s="75">
        <v>0</v>
      </c>
      <c r="J45" s="75">
        <v>0</v>
      </c>
      <c r="K45" s="75">
        <v>0</v>
      </c>
      <c r="L45" s="153">
        <v>2.7</v>
      </c>
      <c r="M45" s="77">
        <v>2.2</v>
      </c>
      <c r="N45" s="75">
        <v>0</v>
      </c>
      <c r="O45" s="77">
        <v>0</v>
      </c>
      <c r="P45" s="89"/>
      <c r="Q45" s="80"/>
      <c r="R45" s="81"/>
      <c r="S45" s="81"/>
      <c r="T45" s="81"/>
      <c r="U45" s="80"/>
      <c r="V45" s="81"/>
      <c r="W45" s="80"/>
      <c r="X45" s="85"/>
      <c r="Y45" s="85"/>
      <c r="Z45" s="85"/>
      <c r="AA45" s="81"/>
      <c r="AB45" s="141"/>
      <c r="AC45" s="81"/>
      <c r="AD45" s="99"/>
      <c r="AE45" s="12"/>
      <c r="AR45" s="5"/>
      <c r="AS45" s="13"/>
      <c r="AT45" s="7"/>
      <c r="AU45" s="7"/>
      <c r="AV45" s="7"/>
      <c r="AW45" s="7"/>
      <c r="AX45" s="7"/>
      <c r="AY45" s="7"/>
      <c r="AZ45" s="7"/>
      <c r="BA45" s="7"/>
      <c r="BB45" s="11"/>
      <c r="BC45" s="11"/>
      <c r="BD45" s="10"/>
      <c r="BE45" s="11"/>
      <c r="BF45" s="11"/>
      <c r="BG45" s="11"/>
      <c r="BH45" s="11"/>
      <c r="BI45" s="11"/>
      <c r="BJ45" s="11"/>
      <c r="BK45" s="11"/>
      <c r="BL45" s="11"/>
      <c r="BM45" s="7"/>
      <c r="BN45" s="7"/>
      <c r="BO45" s="7"/>
      <c r="BP45" s="7"/>
      <c r="BQ45" s="7"/>
      <c r="BR45" s="7"/>
      <c r="BS45" s="12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</row>
    <row r="46" spans="1:100" ht="12.75">
      <c r="A46" s="72"/>
      <c r="B46" s="77"/>
      <c r="C46" s="75"/>
      <c r="D46" s="77"/>
      <c r="E46" s="75"/>
      <c r="F46" s="76"/>
      <c r="G46" s="74"/>
      <c r="H46" s="229"/>
      <c r="I46" s="75"/>
      <c r="J46" s="75"/>
      <c r="K46" s="75"/>
      <c r="L46" s="75"/>
      <c r="M46" s="77"/>
      <c r="N46" s="75"/>
      <c r="O46" s="77"/>
      <c r="P46" s="89">
        <f t="shared" si="0"/>
        <v>59.99999999999961</v>
      </c>
      <c r="Q46" s="80">
        <f>0.5*P46*(B45+B47)</f>
        <v>73.49999999999953</v>
      </c>
      <c r="R46" s="81">
        <f>0.5*P46*(C45+C47)</f>
        <v>0</v>
      </c>
      <c r="S46" s="81">
        <f>0.5*P46*(D45+D47)</f>
        <v>0</v>
      </c>
      <c r="T46" s="81">
        <f>0.5*P46*(E45+E47)</f>
        <v>0</v>
      </c>
      <c r="U46" s="80">
        <f>0.5*P46*(F45+F47)</f>
        <v>89.99999999999942</v>
      </c>
      <c r="V46" s="81">
        <f>0.5*P46*(G45+G47)</f>
        <v>0</v>
      </c>
      <c r="W46" s="80">
        <f>0.5*P46*(H45+H47)</f>
        <v>0</v>
      </c>
      <c r="X46" s="85">
        <f>0.5*P46*(I45+I47)</f>
        <v>0</v>
      </c>
      <c r="Y46" s="81">
        <f>0.5*P46*(J45+J47)</f>
        <v>0</v>
      </c>
      <c r="Z46" s="81">
        <f>0.5*P46*(K45+K47)</f>
        <v>0</v>
      </c>
      <c r="AA46" s="81">
        <f>0.5*P46*(L45+L47)</f>
        <v>80.99999999999947</v>
      </c>
      <c r="AB46" s="141">
        <f>0.5*P46*(M45+M47)</f>
        <v>65.99999999999957</v>
      </c>
      <c r="AC46" s="81">
        <f>0.5*P46*(N45+N47)</f>
        <v>0</v>
      </c>
      <c r="AD46" s="99">
        <f>0.5*P46*(O45+O47)</f>
        <v>0</v>
      </c>
      <c r="AE46" s="12"/>
      <c r="AR46" s="5"/>
      <c r="AS46" s="13"/>
      <c r="AT46" s="7"/>
      <c r="AU46" s="7"/>
      <c r="AV46" s="7"/>
      <c r="AW46" s="7"/>
      <c r="AX46" s="7"/>
      <c r="AY46" s="7"/>
      <c r="AZ46" s="7"/>
      <c r="BA46" s="7"/>
      <c r="BB46" s="11"/>
      <c r="BC46" s="11"/>
      <c r="BD46" s="10"/>
      <c r="BE46" s="11"/>
      <c r="BF46" s="11"/>
      <c r="BG46" s="11"/>
      <c r="BH46" s="11"/>
      <c r="BI46" s="11"/>
      <c r="BJ46" s="11"/>
      <c r="BK46" s="11"/>
      <c r="BL46" s="11"/>
      <c r="BM46" s="7"/>
      <c r="BN46" s="7"/>
      <c r="BO46" s="7"/>
      <c r="BP46" s="7"/>
      <c r="BQ46" s="7"/>
      <c r="BR46" s="7"/>
      <c r="BS46" s="12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</row>
    <row r="47" spans="1:100" ht="12.75">
      <c r="A47" s="72">
        <v>5.1</v>
      </c>
      <c r="B47" s="77">
        <f>3.5*0.3</f>
        <v>1.05</v>
      </c>
      <c r="C47" s="148"/>
      <c r="D47" s="147"/>
      <c r="E47" s="75">
        <v>0</v>
      </c>
      <c r="F47" s="76">
        <v>1.5</v>
      </c>
      <c r="G47" s="74">
        <v>0</v>
      </c>
      <c r="H47" s="229">
        <v>0</v>
      </c>
      <c r="I47" s="75">
        <v>0</v>
      </c>
      <c r="J47" s="75">
        <v>0</v>
      </c>
      <c r="K47" s="75">
        <v>0</v>
      </c>
      <c r="L47" s="146">
        <v>0</v>
      </c>
      <c r="M47" s="77">
        <v>0</v>
      </c>
      <c r="N47" s="75">
        <v>0</v>
      </c>
      <c r="O47" s="77">
        <v>0</v>
      </c>
      <c r="P47" s="89"/>
      <c r="Q47" s="80"/>
      <c r="R47" s="81"/>
      <c r="S47" s="81"/>
      <c r="T47" s="81"/>
      <c r="U47" s="80"/>
      <c r="V47" s="81"/>
      <c r="W47" s="80"/>
      <c r="X47" s="85"/>
      <c r="Y47" s="85"/>
      <c r="Z47" s="85"/>
      <c r="AA47" s="81"/>
      <c r="AB47" s="141"/>
      <c r="AC47" s="81"/>
      <c r="AD47" s="99"/>
      <c r="AE47" s="12"/>
      <c r="AF47" s="2"/>
      <c r="AR47" s="5"/>
      <c r="AS47" s="13"/>
      <c r="AT47" s="7"/>
      <c r="AU47" s="7"/>
      <c r="AV47" s="7"/>
      <c r="AW47" s="7"/>
      <c r="AX47" s="7"/>
      <c r="AY47" s="7"/>
      <c r="AZ47" s="7"/>
      <c r="BA47" s="7"/>
      <c r="BB47" s="11"/>
      <c r="BC47" s="11"/>
      <c r="BD47" s="10"/>
      <c r="BE47" s="11"/>
      <c r="BF47" s="11"/>
      <c r="BG47" s="11"/>
      <c r="BH47" s="11"/>
      <c r="BI47" s="11"/>
      <c r="BJ47" s="11"/>
      <c r="BK47" s="11"/>
      <c r="BL47" s="11"/>
      <c r="BM47" s="7"/>
      <c r="BN47" s="7"/>
      <c r="BO47" s="7"/>
      <c r="BP47" s="7"/>
      <c r="BQ47" s="7"/>
      <c r="BR47" s="7"/>
      <c r="BS47" s="12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</row>
    <row r="48" spans="1:100" ht="12.75">
      <c r="A48" s="72"/>
      <c r="B48" s="77"/>
      <c r="C48" s="75"/>
      <c r="D48" s="77"/>
      <c r="E48" s="75"/>
      <c r="F48" s="76"/>
      <c r="G48" s="74"/>
      <c r="H48" s="229"/>
      <c r="I48" s="75"/>
      <c r="J48" s="75"/>
      <c r="K48" s="75"/>
      <c r="L48" s="75"/>
      <c r="M48" s="77"/>
      <c r="N48" s="75"/>
      <c r="O48" s="77"/>
      <c r="P48" s="89">
        <f t="shared" si="0"/>
        <v>40.000000000000036</v>
      </c>
      <c r="Q48" s="80">
        <f>0.5*P48*(B47+B49)</f>
        <v>49.00000000000005</v>
      </c>
      <c r="R48" s="81">
        <f>0.5*P48*(C47+C49)</f>
        <v>0</v>
      </c>
      <c r="S48" s="81">
        <f>0.5*P48*(D47+D49)</f>
        <v>0</v>
      </c>
      <c r="T48" s="81">
        <f>0.5*P48*(E47+E49)</f>
        <v>0</v>
      </c>
      <c r="U48" s="80">
        <f>0.5*P48*(F47+F49)</f>
        <v>60.00000000000006</v>
      </c>
      <c r="V48" s="81">
        <f>0.5*P48*(G47+G49)</f>
        <v>5.000000000000004</v>
      </c>
      <c r="W48" s="80">
        <f>0.5*P48*(H47+H49)</f>
        <v>0</v>
      </c>
      <c r="X48" s="85">
        <f>0.5*P48*(I47+I49)</f>
        <v>0</v>
      </c>
      <c r="Y48" s="81">
        <f>0.5*P48*(J47+J49)</f>
        <v>0</v>
      </c>
      <c r="Z48" s="81">
        <f>0.5*P48*(K47+K49)</f>
        <v>0</v>
      </c>
      <c r="AA48" s="81">
        <f>0.5*P48*(L47+L49)</f>
        <v>0</v>
      </c>
      <c r="AB48" s="141">
        <f>0.5*P48*(M47+M49)</f>
        <v>24.00000000000002</v>
      </c>
      <c r="AC48" s="81">
        <f>0.5*P48*(N47+N49)</f>
        <v>0</v>
      </c>
      <c r="AD48" s="99">
        <f>0.5*P48*(O47+O49)</f>
        <v>0</v>
      </c>
      <c r="AE48" s="12"/>
      <c r="AF48" s="2"/>
      <c r="AR48" s="5"/>
      <c r="AS48" s="13"/>
      <c r="AT48" s="7"/>
      <c r="AU48" s="7"/>
      <c r="AV48" s="7"/>
      <c r="AW48" s="7"/>
      <c r="AX48" s="7"/>
      <c r="AY48" s="7"/>
      <c r="AZ48" s="7"/>
      <c r="BA48" s="7"/>
      <c r="BB48" s="11"/>
      <c r="BC48" s="11"/>
      <c r="BD48" s="10"/>
      <c r="BE48" s="11"/>
      <c r="BF48" s="11"/>
      <c r="BG48" s="11"/>
      <c r="BH48" s="11"/>
      <c r="BI48" s="11"/>
      <c r="BJ48" s="11"/>
      <c r="BK48" s="11"/>
      <c r="BL48" s="11"/>
      <c r="BM48" s="7"/>
      <c r="BN48" s="7"/>
      <c r="BO48" s="7"/>
      <c r="BP48" s="7"/>
      <c r="BQ48" s="7"/>
      <c r="BR48" s="7"/>
      <c r="BS48" s="12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</row>
    <row r="49" spans="1:100" ht="12.75">
      <c r="A49" s="72">
        <v>5.14</v>
      </c>
      <c r="B49" s="77">
        <v>1.4</v>
      </c>
      <c r="C49" s="148"/>
      <c r="D49" s="147"/>
      <c r="E49" s="75">
        <v>0</v>
      </c>
      <c r="F49" s="76">
        <v>1.5</v>
      </c>
      <c r="G49" s="74">
        <v>0.25</v>
      </c>
      <c r="H49" s="229">
        <v>0</v>
      </c>
      <c r="I49" s="75">
        <v>0</v>
      </c>
      <c r="J49" s="75">
        <v>0</v>
      </c>
      <c r="K49" s="75">
        <v>0</v>
      </c>
      <c r="L49" s="75">
        <v>0</v>
      </c>
      <c r="M49" s="77">
        <v>1.2</v>
      </c>
      <c r="N49" s="75">
        <v>0</v>
      </c>
      <c r="O49" s="77">
        <v>0</v>
      </c>
      <c r="P49" s="89"/>
      <c r="Q49" s="80"/>
      <c r="R49" s="81"/>
      <c r="S49" s="81"/>
      <c r="T49" s="81"/>
      <c r="U49" s="80"/>
      <c r="V49" s="81"/>
      <c r="W49" s="80"/>
      <c r="X49" s="85"/>
      <c r="Y49" s="85"/>
      <c r="Z49" s="85"/>
      <c r="AA49" s="81"/>
      <c r="AB49" s="141"/>
      <c r="AC49" s="81"/>
      <c r="AD49" s="99"/>
      <c r="AE49" s="12"/>
      <c r="AF49" s="2"/>
      <c r="AR49" s="5"/>
      <c r="AS49" s="13"/>
      <c r="AT49" s="7"/>
      <c r="AU49" s="7"/>
      <c r="AV49" s="7"/>
      <c r="AW49" s="7"/>
      <c r="AX49" s="7"/>
      <c r="AY49" s="7"/>
      <c r="AZ49" s="7"/>
      <c r="BA49" s="7"/>
      <c r="BB49" s="11"/>
      <c r="BC49" s="11"/>
      <c r="BD49" s="10"/>
      <c r="BE49" s="11"/>
      <c r="BF49" s="11"/>
      <c r="BG49" s="11"/>
      <c r="BH49" s="11"/>
      <c r="BI49" s="11"/>
      <c r="BJ49" s="11"/>
      <c r="BK49" s="11"/>
      <c r="BL49" s="11"/>
      <c r="BM49" s="7"/>
      <c r="BN49" s="7"/>
      <c r="BO49" s="7"/>
      <c r="BP49" s="7"/>
      <c r="BQ49" s="7"/>
      <c r="BR49" s="7"/>
      <c r="BS49" s="12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ht="12.75">
      <c r="A50" s="72"/>
      <c r="B50" s="77"/>
      <c r="C50" s="75"/>
      <c r="D50" s="77"/>
      <c r="E50" s="75"/>
      <c r="F50" s="76"/>
      <c r="G50" s="74"/>
      <c r="H50" s="229"/>
      <c r="I50" s="75"/>
      <c r="J50" s="75"/>
      <c r="K50" s="75"/>
      <c r="L50" s="75"/>
      <c r="M50" s="77"/>
      <c r="N50" s="75"/>
      <c r="O50" s="77"/>
      <c r="P50" s="89">
        <f t="shared" si="0"/>
        <v>60.0000000000005</v>
      </c>
      <c r="Q50" s="80">
        <f>0.5*P50*(B49+B51)</f>
        <v>57.00000000000047</v>
      </c>
      <c r="R50" s="81">
        <f>0.5*P50*(C49+C51)</f>
        <v>178.50000000000148</v>
      </c>
      <c r="S50" s="81">
        <f>0.5*P50*(D49+D51)</f>
        <v>96.0000000000008</v>
      </c>
      <c r="T50" s="81">
        <f>0.5*P50*(E49+E51)</f>
        <v>0</v>
      </c>
      <c r="U50" s="80">
        <f>0.5*P50*(F49+F51)</f>
        <v>112.50000000000094</v>
      </c>
      <c r="V50" s="81">
        <f>0.5*P50*(G49+G51)</f>
        <v>19.500000000000163</v>
      </c>
      <c r="W50" s="80">
        <f>0.5*P50*(H49+H51)</f>
        <v>0</v>
      </c>
      <c r="X50" s="85">
        <f>0.5*P50*(I49+I51)</f>
        <v>114.00000000000094</v>
      </c>
      <c r="Y50" s="81">
        <f>0.5*P50*(J49+J51)</f>
        <v>0</v>
      </c>
      <c r="Z50" s="81">
        <f>0.5*P50*(K49+K51)</f>
        <v>75.00000000000063</v>
      </c>
      <c r="AA50" s="81">
        <f>0.5*P50*(L49+L51)</f>
        <v>0</v>
      </c>
      <c r="AB50" s="141">
        <f>0.5*P50*(M49+M51)</f>
        <v>57.00000000000047</v>
      </c>
      <c r="AC50" s="81">
        <f>0.5*P50*(N49+N51)</f>
        <v>195.00000000000162</v>
      </c>
      <c r="AD50" s="99">
        <f>0.5*P50*(O49+O51)</f>
        <v>0</v>
      </c>
      <c r="AE50" s="12"/>
      <c r="AF50" s="2"/>
      <c r="AR50" s="5"/>
      <c r="AS50" s="13"/>
      <c r="AT50" s="7"/>
      <c r="AU50" s="7"/>
      <c r="AV50" s="7"/>
      <c r="AW50" s="7"/>
      <c r="AX50" s="7"/>
      <c r="AY50" s="7"/>
      <c r="AZ50" s="7"/>
      <c r="BA50" s="7"/>
      <c r="BB50" s="11"/>
      <c r="BC50" s="11"/>
      <c r="BD50" s="10"/>
      <c r="BE50" s="11"/>
      <c r="BF50" s="11"/>
      <c r="BG50" s="11"/>
      <c r="BH50" s="11"/>
      <c r="BI50" s="11"/>
      <c r="BJ50" s="11"/>
      <c r="BK50" s="11"/>
      <c r="BL50" s="11"/>
      <c r="BM50" s="7"/>
      <c r="BN50" s="7"/>
      <c r="BO50" s="7"/>
      <c r="BP50" s="7"/>
      <c r="BQ50" s="7"/>
      <c r="BR50" s="7"/>
      <c r="BS50" s="12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ht="12.75">
      <c r="A51" s="72">
        <v>5.2</v>
      </c>
      <c r="B51" s="77">
        <v>0.5</v>
      </c>
      <c r="C51" s="75">
        <f>3.5*1.7</f>
        <v>5.95</v>
      </c>
      <c r="D51" s="77">
        <v>3.2</v>
      </c>
      <c r="E51" s="75">
        <v>0</v>
      </c>
      <c r="F51" s="76">
        <v>2.25</v>
      </c>
      <c r="G51" s="74">
        <v>0.4</v>
      </c>
      <c r="H51" s="229">
        <v>0</v>
      </c>
      <c r="I51" s="75">
        <f>2.6+1.2</f>
        <v>3.8</v>
      </c>
      <c r="J51" s="75">
        <v>0</v>
      </c>
      <c r="K51" s="75">
        <v>2.5</v>
      </c>
      <c r="L51" s="75">
        <v>0</v>
      </c>
      <c r="M51" s="77">
        <v>0.7</v>
      </c>
      <c r="N51" s="75">
        <v>6.5</v>
      </c>
      <c r="O51" s="77">
        <v>0</v>
      </c>
      <c r="P51" s="89"/>
      <c r="Q51" s="80"/>
      <c r="R51" s="81"/>
      <c r="S51" s="81"/>
      <c r="T51" s="81"/>
      <c r="U51" s="80"/>
      <c r="V51" s="81"/>
      <c r="W51" s="80"/>
      <c r="X51" s="85"/>
      <c r="Y51" s="85"/>
      <c r="Z51" s="85"/>
      <c r="AA51" s="81"/>
      <c r="AB51" s="141"/>
      <c r="AC51" s="81"/>
      <c r="AD51" s="99"/>
      <c r="AE51" s="12"/>
      <c r="AF51" s="2"/>
      <c r="AR51" s="5"/>
      <c r="AS51" s="13"/>
      <c r="AT51" s="7"/>
      <c r="AU51" s="7"/>
      <c r="AV51" s="7"/>
      <c r="AW51" s="7"/>
      <c r="AX51" s="7"/>
      <c r="AY51" s="7"/>
      <c r="AZ51" s="7"/>
      <c r="BA51" s="7"/>
      <c r="BB51" s="11"/>
      <c r="BC51" s="11"/>
      <c r="BD51" s="10"/>
      <c r="BE51" s="11"/>
      <c r="BF51" s="11"/>
      <c r="BG51" s="11"/>
      <c r="BH51" s="11"/>
      <c r="BI51" s="11"/>
      <c r="BJ51" s="11"/>
      <c r="BK51" s="11"/>
      <c r="BL51" s="11"/>
      <c r="BM51" s="7"/>
      <c r="BN51" s="7"/>
      <c r="BO51" s="7"/>
      <c r="BP51" s="7"/>
      <c r="BQ51" s="7"/>
      <c r="BR51" s="7"/>
      <c r="BS51" s="12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ht="12.75">
      <c r="A52" s="72"/>
      <c r="B52" s="77"/>
      <c r="C52" s="75"/>
      <c r="D52" s="77"/>
      <c r="E52" s="75"/>
      <c r="F52" s="76"/>
      <c r="G52" s="74"/>
      <c r="H52" s="229"/>
      <c r="I52" s="75"/>
      <c r="J52" s="75"/>
      <c r="K52" s="75"/>
      <c r="L52" s="75"/>
      <c r="M52" s="77"/>
      <c r="N52" s="75"/>
      <c r="O52" s="77"/>
      <c r="P52" s="89">
        <f t="shared" si="0"/>
        <v>40.000000000000036</v>
      </c>
      <c r="Q52" s="80">
        <f>0.5*P52*(B51+B53)</f>
        <v>62.00000000000006</v>
      </c>
      <c r="R52" s="81">
        <f>0.5*P52*(C51+C53)</f>
        <v>119.00000000000011</v>
      </c>
      <c r="S52" s="81">
        <f>0.5*P52*(D51+D53)</f>
        <v>64.00000000000006</v>
      </c>
      <c r="T52" s="81">
        <f>0.5*P52*(E51+E53)</f>
        <v>0</v>
      </c>
      <c r="U52" s="80">
        <f>0.5*P52*(F51+F53)</f>
        <v>105.0000000000001</v>
      </c>
      <c r="V52" s="81">
        <f>0.5*P52*(G51+G53)</f>
        <v>8.000000000000007</v>
      </c>
      <c r="W52" s="80">
        <f>0.5*P52*(H51+H53)</f>
        <v>24.00000000000002</v>
      </c>
      <c r="X52" s="85">
        <f>0.5*P52*(I51+I53)</f>
        <v>112.00000000000009</v>
      </c>
      <c r="Y52" s="81">
        <f>0.5*P52*(J51+J53)</f>
        <v>6.000000000000005</v>
      </c>
      <c r="Z52" s="81">
        <f>0.5*P52*(K51+K53)</f>
        <v>56.00000000000004</v>
      </c>
      <c r="AA52" s="81">
        <f>0.5*P52*(L51+L53)</f>
        <v>48.00000000000004</v>
      </c>
      <c r="AB52" s="141">
        <f>0.5*P52*(M51+M53)</f>
        <v>14.00000000000001</v>
      </c>
      <c r="AC52" s="81">
        <f>0.5*P52*(N51+N53)</f>
        <v>130.0000000000001</v>
      </c>
      <c r="AD52" s="99">
        <f>0.5*P52*(O51+O53)</f>
        <v>0</v>
      </c>
      <c r="AE52" s="12"/>
      <c r="AF52" s="2"/>
      <c r="AR52" s="5"/>
      <c r="AS52" s="13"/>
      <c r="AT52" s="7"/>
      <c r="AU52" s="7"/>
      <c r="AV52" s="7"/>
      <c r="AW52" s="7"/>
      <c r="AX52" s="7"/>
      <c r="AY52" s="7"/>
      <c r="AZ52" s="7"/>
      <c r="BA52" s="7"/>
      <c r="BB52" s="11"/>
      <c r="BC52" s="11"/>
      <c r="BD52" s="10"/>
      <c r="BE52" s="11"/>
      <c r="BF52" s="11"/>
      <c r="BG52" s="11"/>
      <c r="BH52" s="11"/>
      <c r="BI52" s="11"/>
      <c r="BJ52" s="11"/>
      <c r="BK52" s="11"/>
      <c r="BL52" s="11"/>
      <c r="BM52" s="7"/>
      <c r="BN52" s="7"/>
      <c r="BO52" s="7"/>
      <c r="BP52" s="7"/>
      <c r="BQ52" s="7"/>
      <c r="BR52" s="7"/>
      <c r="BS52" s="12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</row>
    <row r="53" spans="1:100" ht="12.75">
      <c r="A53" s="72">
        <v>5.24</v>
      </c>
      <c r="B53" s="77">
        <v>2.6</v>
      </c>
      <c r="C53" s="148"/>
      <c r="D53" s="147"/>
      <c r="E53" s="75">
        <v>0</v>
      </c>
      <c r="F53" s="76">
        <v>3</v>
      </c>
      <c r="G53" s="74">
        <v>0</v>
      </c>
      <c r="H53" s="229">
        <v>1.2</v>
      </c>
      <c r="I53" s="75">
        <v>1.8</v>
      </c>
      <c r="J53" s="75">
        <v>0.3</v>
      </c>
      <c r="K53" s="75">
        <v>0.3</v>
      </c>
      <c r="L53" s="75">
        <v>2.4</v>
      </c>
      <c r="M53" s="77">
        <v>0</v>
      </c>
      <c r="N53" s="75">
        <v>0</v>
      </c>
      <c r="O53" s="77">
        <v>0</v>
      </c>
      <c r="P53" s="89"/>
      <c r="Q53" s="80"/>
      <c r="R53" s="81"/>
      <c r="S53" s="81"/>
      <c r="T53" s="81"/>
      <c r="U53" s="80"/>
      <c r="V53" s="81"/>
      <c r="W53" s="80"/>
      <c r="X53" s="85"/>
      <c r="Y53" s="85"/>
      <c r="Z53" s="85"/>
      <c r="AA53" s="81"/>
      <c r="AB53" s="141"/>
      <c r="AC53" s="81"/>
      <c r="AD53" s="99"/>
      <c r="AE53" s="12"/>
      <c r="AF53" s="2"/>
      <c r="AR53" s="5"/>
      <c r="AS53" s="13"/>
      <c r="AT53" s="7"/>
      <c r="AU53" s="7"/>
      <c r="AV53" s="7"/>
      <c r="AW53" s="7"/>
      <c r="AX53" s="7"/>
      <c r="AY53" s="7"/>
      <c r="AZ53" s="7"/>
      <c r="BA53" s="7"/>
      <c r="BB53" s="11"/>
      <c r="BC53" s="11"/>
      <c r="BD53" s="10"/>
      <c r="BE53" s="11"/>
      <c r="BF53" s="11"/>
      <c r="BG53" s="11"/>
      <c r="BH53" s="11"/>
      <c r="BI53" s="11"/>
      <c r="BJ53" s="11"/>
      <c r="BK53" s="11"/>
      <c r="BL53" s="11"/>
      <c r="BM53" s="7"/>
      <c r="BN53" s="7"/>
      <c r="BO53" s="7"/>
      <c r="BP53" s="7"/>
      <c r="BQ53" s="7"/>
      <c r="BR53" s="7"/>
      <c r="BS53" s="12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</row>
    <row r="54" spans="1:100" ht="12.75">
      <c r="A54" s="72"/>
      <c r="B54" s="77"/>
      <c r="C54" s="75"/>
      <c r="D54" s="77"/>
      <c r="E54" s="75"/>
      <c r="F54" s="76"/>
      <c r="G54" s="74"/>
      <c r="H54" s="229"/>
      <c r="I54" s="75"/>
      <c r="J54" s="75"/>
      <c r="K54" s="75"/>
      <c r="L54" s="75"/>
      <c r="M54" s="77"/>
      <c r="N54" s="75"/>
      <c r="O54" s="77"/>
      <c r="P54" s="89">
        <f t="shared" si="0"/>
        <v>59.99999999999961</v>
      </c>
      <c r="Q54" s="80">
        <f>0.5*P54*(B53+B55)</f>
        <v>448.49999999999704</v>
      </c>
      <c r="R54" s="81">
        <v>0</v>
      </c>
      <c r="S54" s="81">
        <f>0.5*P54*(D53+D55)</f>
        <v>0</v>
      </c>
      <c r="T54" s="81">
        <f>0.5*P54*(E53+E55)</f>
        <v>0</v>
      </c>
      <c r="U54" s="80">
        <f>0.5*P54*(F53+F55)</f>
        <v>202.4999999999987</v>
      </c>
      <c r="V54" s="81">
        <f>0.5*P54*(G53+G55)</f>
        <v>0</v>
      </c>
      <c r="W54" s="80">
        <f>0.5*P54*(H53+H55)</f>
        <v>77.99999999999949</v>
      </c>
      <c r="X54" s="85">
        <f>0.5*P54*(I53+I55)</f>
        <v>125.99999999999919</v>
      </c>
      <c r="Y54" s="81">
        <f>0.5*P54*(J53+J55)</f>
        <v>17.999999999999883</v>
      </c>
      <c r="Z54" s="81">
        <f>0.5*P54*(K53+K55)</f>
        <v>20.99999999999986</v>
      </c>
      <c r="AA54" s="81">
        <f>0.5*P54*(L53+L55)</f>
        <v>446.9999999999971</v>
      </c>
      <c r="AB54" s="141">
        <f>0.5*P54*(M53+M55)</f>
        <v>0</v>
      </c>
      <c r="AC54" s="81">
        <f>0.5*P54*(N53+N55)</f>
        <v>0</v>
      </c>
      <c r="AD54" s="99">
        <f>0.5*P54*(O53+O55)</f>
        <v>0</v>
      </c>
      <c r="AE54" s="12"/>
      <c r="AF54" s="2"/>
      <c r="AR54" s="5"/>
      <c r="AS54" s="13"/>
      <c r="AT54" s="7"/>
      <c r="AU54" s="7"/>
      <c r="AV54" s="7"/>
      <c r="AW54" s="7"/>
      <c r="AX54" s="7"/>
      <c r="AY54" s="7"/>
      <c r="AZ54" s="7"/>
      <c r="BA54" s="7"/>
      <c r="BB54" s="11"/>
      <c r="BC54" s="11"/>
      <c r="BD54" s="10"/>
      <c r="BE54" s="11"/>
      <c r="BF54" s="11"/>
      <c r="BG54" s="11"/>
      <c r="BH54" s="11"/>
      <c r="BI54" s="11"/>
      <c r="BJ54" s="11"/>
      <c r="BK54" s="11"/>
      <c r="BL54" s="11"/>
      <c r="BM54" s="7"/>
      <c r="BN54" s="7"/>
      <c r="BO54" s="7"/>
      <c r="BP54" s="7"/>
      <c r="BQ54" s="7"/>
      <c r="BR54" s="7"/>
      <c r="BS54" s="12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</row>
    <row r="55" spans="1:100" ht="12.75">
      <c r="A55" s="72">
        <v>5.3</v>
      </c>
      <c r="B55" s="77">
        <v>12.35</v>
      </c>
      <c r="C55" s="318" t="s">
        <v>251</v>
      </c>
      <c r="D55" s="147"/>
      <c r="E55" s="75">
        <v>0</v>
      </c>
      <c r="F55" s="76">
        <v>3.75</v>
      </c>
      <c r="G55" s="74">
        <v>0</v>
      </c>
      <c r="H55" s="229">
        <v>1.4</v>
      </c>
      <c r="I55" s="75">
        <v>2.4</v>
      </c>
      <c r="J55" s="75">
        <v>0.3</v>
      </c>
      <c r="K55" s="75">
        <v>0.4</v>
      </c>
      <c r="L55" s="150">
        <v>12.5</v>
      </c>
      <c r="M55" s="77">
        <v>0</v>
      </c>
      <c r="N55" s="75">
        <v>0</v>
      </c>
      <c r="O55" s="77">
        <v>0</v>
      </c>
      <c r="P55" s="89"/>
      <c r="Q55" s="80"/>
      <c r="R55" s="81"/>
      <c r="S55" s="81"/>
      <c r="T55" s="81"/>
      <c r="U55" s="80"/>
      <c r="V55" s="81"/>
      <c r="W55" s="80"/>
      <c r="X55" s="85"/>
      <c r="Y55" s="85"/>
      <c r="Z55" s="85"/>
      <c r="AA55" s="81"/>
      <c r="AB55" s="141"/>
      <c r="AC55" s="81"/>
      <c r="AD55" s="99"/>
      <c r="AE55" s="12"/>
      <c r="AF55" s="2"/>
      <c r="AR55" s="5"/>
      <c r="AS55" s="13"/>
      <c r="AT55" s="7"/>
      <c r="AU55" s="7"/>
      <c r="AV55" s="7"/>
      <c r="AW55" s="7"/>
      <c r="AX55" s="7"/>
      <c r="AY55" s="7"/>
      <c r="AZ55" s="7"/>
      <c r="BA55" s="7"/>
      <c r="BB55" s="11"/>
      <c r="BC55" s="11"/>
      <c r="BD55" s="10"/>
      <c r="BE55" s="11"/>
      <c r="BF55" s="11"/>
      <c r="BG55" s="11"/>
      <c r="BH55" s="11"/>
      <c r="BI55" s="11"/>
      <c r="BJ55" s="11"/>
      <c r="BK55" s="11"/>
      <c r="BL55" s="11"/>
      <c r="BM55" s="7"/>
      <c r="BN55" s="7"/>
      <c r="BO55" s="7"/>
      <c r="BP55" s="7"/>
      <c r="BQ55" s="7"/>
      <c r="BR55" s="7"/>
      <c r="BS55" s="12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</row>
    <row r="56" spans="1:100" ht="12.75">
      <c r="A56" s="72"/>
      <c r="B56" s="77"/>
      <c r="C56" s="319"/>
      <c r="D56" s="77"/>
      <c r="E56" s="75"/>
      <c r="F56" s="76"/>
      <c r="G56" s="74"/>
      <c r="H56" s="229"/>
      <c r="I56" s="75"/>
      <c r="J56" s="75"/>
      <c r="K56" s="75"/>
      <c r="L56" s="150"/>
      <c r="M56" s="77"/>
      <c r="N56" s="75"/>
      <c r="O56" s="77"/>
      <c r="P56" s="89">
        <f t="shared" si="0"/>
        <v>40.000000000000036</v>
      </c>
      <c r="Q56" s="80">
        <f>0.5*P56*(B55+B57)</f>
        <v>355.00000000000034</v>
      </c>
      <c r="R56" s="81">
        <v>0</v>
      </c>
      <c r="S56" s="81">
        <f>0.5*P56*(D55+D57)</f>
        <v>0</v>
      </c>
      <c r="T56" s="81">
        <f>0.5*P56*(E55+E57)</f>
        <v>0</v>
      </c>
      <c r="U56" s="80">
        <f>0.5*P56*(F55+F57)</f>
        <v>130.0000000000001</v>
      </c>
      <c r="V56" s="81">
        <f>0.5*P56*(G55+G57)</f>
        <v>0</v>
      </c>
      <c r="W56" s="80">
        <f>0.5*P56*(H55+H57)</f>
        <v>52.00000000000004</v>
      </c>
      <c r="X56" s="85">
        <f>0.5*P56*(I55+I57)</f>
        <v>90.00000000000009</v>
      </c>
      <c r="Y56" s="81">
        <f>0.5*P56*(J55+J57)</f>
        <v>14.00000000000001</v>
      </c>
      <c r="Z56" s="81">
        <f>0.5*P56*(K55+K57)</f>
        <v>16.000000000000014</v>
      </c>
      <c r="AA56" s="150">
        <f>0.5*P56*(L55+L57)</f>
        <v>358.0000000000003</v>
      </c>
      <c r="AB56" s="141">
        <f>0.5*P56*(M55+M57)</f>
        <v>0</v>
      </c>
      <c r="AC56" s="81">
        <f>0.5*P56*(N55+N57)</f>
        <v>0</v>
      </c>
      <c r="AD56" s="99">
        <f>0.5*P56*(O55+O57)</f>
        <v>0</v>
      </c>
      <c r="AE56" s="12"/>
      <c r="AR56" s="5"/>
      <c r="AS56" s="13"/>
      <c r="AT56" s="7"/>
      <c r="AU56" s="7"/>
      <c r="AV56" s="7"/>
      <c r="AW56" s="7"/>
      <c r="AX56" s="7"/>
      <c r="AY56" s="7"/>
      <c r="AZ56" s="7"/>
      <c r="BA56" s="7"/>
      <c r="BB56" s="11"/>
      <c r="BC56" s="11"/>
      <c r="BD56" s="10"/>
      <c r="BE56" s="11"/>
      <c r="BF56" s="11"/>
      <c r="BG56" s="11"/>
      <c r="BH56" s="11"/>
      <c r="BI56" s="11"/>
      <c r="BJ56" s="11"/>
      <c r="BK56" s="11"/>
      <c r="BL56" s="11"/>
      <c r="BM56" s="7"/>
      <c r="BN56" s="7"/>
      <c r="BO56" s="7"/>
      <c r="BP56" s="7"/>
      <c r="BQ56" s="7"/>
      <c r="BR56" s="7"/>
      <c r="BS56" s="12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</row>
    <row r="57" spans="1:100" ht="12.75">
      <c r="A57" s="72">
        <v>5.34</v>
      </c>
      <c r="B57" s="77">
        <v>5.4</v>
      </c>
      <c r="C57" s="318" t="s">
        <v>251</v>
      </c>
      <c r="D57" s="147"/>
      <c r="E57" s="75">
        <v>0</v>
      </c>
      <c r="F57" s="76">
        <v>2.75</v>
      </c>
      <c r="G57" s="74">
        <v>0</v>
      </c>
      <c r="H57" s="229">
        <v>1.2</v>
      </c>
      <c r="I57" s="75">
        <v>2.1</v>
      </c>
      <c r="J57" s="75">
        <v>0.4</v>
      </c>
      <c r="K57" s="75">
        <v>0.4</v>
      </c>
      <c r="L57" s="150">
        <v>5.4</v>
      </c>
      <c r="M57" s="77">
        <v>0</v>
      </c>
      <c r="N57" s="75">
        <v>0</v>
      </c>
      <c r="O57" s="77">
        <v>0</v>
      </c>
      <c r="P57" s="89"/>
      <c r="Q57" s="80"/>
      <c r="R57" s="81"/>
      <c r="S57" s="81"/>
      <c r="T57" s="81"/>
      <c r="U57" s="80"/>
      <c r="V57" s="81"/>
      <c r="W57" s="80"/>
      <c r="X57" s="85"/>
      <c r="Y57" s="85"/>
      <c r="Z57" s="85"/>
      <c r="AA57" s="150"/>
      <c r="AB57" s="141"/>
      <c r="AC57" s="81"/>
      <c r="AD57" s="99"/>
      <c r="AE57" s="12"/>
      <c r="AR57" s="5"/>
      <c r="AS57" s="13"/>
      <c r="AT57" s="7"/>
      <c r="AU57" s="7"/>
      <c r="AV57" s="7"/>
      <c r="AW57" s="7"/>
      <c r="AX57" s="7"/>
      <c r="AY57" s="7"/>
      <c r="AZ57" s="7"/>
      <c r="BA57" s="7"/>
      <c r="BB57" s="11"/>
      <c r="BC57" s="11"/>
      <c r="BD57" s="10"/>
      <c r="BE57" s="11"/>
      <c r="BF57" s="11"/>
      <c r="BG57" s="11"/>
      <c r="BH57" s="11"/>
      <c r="BI57" s="11"/>
      <c r="BJ57" s="11"/>
      <c r="BK57" s="11"/>
      <c r="BL57" s="11"/>
      <c r="BM57" s="7"/>
      <c r="BN57" s="7"/>
      <c r="BO57" s="7"/>
      <c r="BP57" s="7"/>
      <c r="BQ57" s="7"/>
      <c r="BR57" s="7"/>
      <c r="BS57" s="12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</row>
    <row r="58" spans="1:100" ht="12.75">
      <c r="A58" s="72"/>
      <c r="B58" s="77"/>
      <c r="C58" s="319"/>
      <c r="D58" s="77"/>
      <c r="E58" s="75"/>
      <c r="F58" s="76"/>
      <c r="G58" s="74"/>
      <c r="H58" s="229"/>
      <c r="I58" s="75"/>
      <c r="J58" s="75"/>
      <c r="K58" s="75"/>
      <c r="L58" s="150"/>
      <c r="M58" s="77"/>
      <c r="N58" s="75"/>
      <c r="O58" s="77"/>
      <c r="P58" s="89">
        <f t="shared" si="0"/>
        <v>60.0000000000005</v>
      </c>
      <c r="Q58" s="80">
        <f>0.5*P58*(B57+B59)</f>
        <v>264.0000000000022</v>
      </c>
      <c r="R58" s="81">
        <v>0</v>
      </c>
      <c r="S58" s="81">
        <f>0.5*P58*(D57+D59)</f>
        <v>0</v>
      </c>
      <c r="T58" s="81">
        <f>0.5*P58*(E57+E59)</f>
        <v>0</v>
      </c>
      <c r="U58" s="80">
        <f>0.5*P58*(F57+F59)</f>
        <v>165.00000000000136</v>
      </c>
      <c r="V58" s="81">
        <f>0.5*P58*(G57+G59)</f>
        <v>0</v>
      </c>
      <c r="W58" s="80">
        <f>0.5*P58*(H57+H59)</f>
        <v>72.0000000000006</v>
      </c>
      <c r="X58" s="85">
        <f>0.5*P58*(I57+I59)</f>
        <v>126.00000000000105</v>
      </c>
      <c r="Y58" s="81">
        <f>0.5*P58*(J57+J59)</f>
        <v>24.0000000000002</v>
      </c>
      <c r="Z58" s="81">
        <f>0.5*P58*(K57+K59)</f>
        <v>24.0000000000002</v>
      </c>
      <c r="AA58" s="150">
        <f>0.5*P58*(L57+L59)</f>
        <v>246.00000000000202</v>
      </c>
      <c r="AB58" s="141">
        <f>0.5*P58*(M57+M59)</f>
        <v>0</v>
      </c>
      <c r="AC58" s="81">
        <f>0.5*P58*(N57+N59)</f>
        <v>0</v>
      </c>
      <c r="AD58" s="99">
        <f>0.5*P58*(O57+O59)</f>
        <v>0</v>
      </c>
      <c r="AE58" s="12"/>
      <c r="AR58" s="5"/>
      <c r="AS58" s="13"/>
      <c r="AT58" s="7"/>
      <c r="AU58" s="7"/>
      <c r="AV58" s="7"/>
      <c r="AW58" s="7"/>
      <c r="AX58" s="7"/>
      <c r="AY58" s="7"/>
      <c r="AZ58" s="7"/>
      <c r="BA58" s="7"/>
      <c r="BB58" s="11"/>
      <c r="BC58" s="11"/>
      <c r="BD58" s="10"/>
      <c r="BE58" s="11"/>
      <c r="BF58" s="11"/>
      <c r="BG58" s="11"/>
      <c r="BH58" s="11"/>
      <c r="BI58" s="11"/>
      <c r="BJ58" s="11"/>
      <c r="BK58" s="11"/>
      <c r="BL58" s="11"/>
      <c r="BM58" s="7"/>
      <c r="BN58" s="7"/>
      <c r="BO58" s="7"/>
      <c r="BP58" s="7"/>
      <c r="BQ58" s="7"/>
      <c r="BR58" s="7"/>
      <c r="BS58" s="12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</row>
    <row r="59" spans="1:100" ht="12.75">
      <c r="A59" s="72">
        <v>5.4</v>
      </c>
      <c r="B59" s="77">
        <v>3.4</v>
      </c>
      <c r="C59" s="318" t="s">
        <v>251</v>
      </c>
      <c r="D59" s="147"/>
      <c r="E59" s="75">
        <v>0</v>
      </c>
      <c r="F59" s="76">
        <v>2.75</v>
      </c>
      <c r="G59" s="74">
        <v>0</v>
      </c>
      <c r="H59" s="229">
        <v>1.2</v>
      </c>
      <c r="I59" s="75">
        <v>2.1</v>
      </c>
      <c r="J59" s="75">
        <v>0.4</v>
      </c>
      <c r="K59" s="75">
        <v>0.4</v>
      </c>
      <c r="L59" s="150">
        <v>2.8</v>
      </c>
      <c r="M59" s="77">
        <v>0</v>
      </c>
      <c r="N59" s="75">
        <v>0</v>
      </c>
      <c r="O59" s="77">
        <v>0</v>
      </c>
      <c r="P59" s="89"/>
      <c r="Q59" s="80"/>
      <c r="R59" s="81"/>
      <c r="S59" s="81"/>
      <c r="T59" s="81"/>
      <c r="U59" s="80"/>
      <c r="V59" s="81"/>
      <c r="W59" s="80"/>
      <c r="X59" s="85"/>
      <c r="Y59" s="85"/>
      <c r="Z59" s="85"/>
      <c r="AA59" s="316"/>
      <c r="AB59" s="141"/>
      <c r="AC59" s="98"/>
      <c r="AD59" s="99"/>
      <c r="AE59" s="12"/>
      <c r="AR59" s="5"/>
      <c r="AS59" s="13"/>
      <c r="AT59" s="7"/>
      <c r="AU59" s="7"/>
      <c r="AV59" s="7"/>
      <c r="AW59" s="7"/>
      <c r="AX59" s="7"/>
      <c r="AY59" s="7"/>
      <c r="AZ59" s="7"/>
      <c r="BA59" s="7"/>
      <c r="BB59" s="11"/>
      <c r="BC59" s="11"/>
      <c r="BD59" s="10"/>
      <c r="BE59" s="11"/>
      <c r="BF59" s="11"/>
      <c r="BG59" s="11"/>
      <c r="BH59" s="11"/>
      <c r="BI59" s="11"/>
      <c r="BJ59" s="11"/>
      <c r="BK59" s="11"/>
      <c r="BL59" s="11"/>
      <c r="BM59" s="7"/>
      <c r="BN59" s="7"/>
      <c r="BO59" s="7"/>
      <c r="BP59" s="7"/>
      <c r="BQ59" s="7"/>
      <c r="BR59" s="7"/>
      <c r="BS59" s="12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</row>
    <row r="60" spans="1:100" ht="12.75">
      <c r="A60" s="72"/>
      <c r="B60" s="77"/>
      <c r="C60" s="75"/>
      <c r="D60" s="77"/>
      <c r="E60" s="75"/>
      <c r="F60" s="76"/>
      <c r="G60" s="74"/>
      <c r="H60" s="229"/>
      <c r="I60" s="75"/>
      <c r="J60" s="75"/>
      <c r="K60" s="75"/>
      <c r="L60" s="150"/>
      <c r="M60" s="77"/>
      <c r="N60" s="75"/>
      <c r="O60" s="77"/>
      <c r="P60" s="89">
        <f t="shared" si="0"/>
        <v>40.000000000000036</v>
      </c>
      <c r="Q60" s="80">
        <f>0.5*P60*(B59+B61)</f>
        <v>506.0000000000004</v>
      </c>
      <c r="R60" s="81">
        <v>0</v>
      </c>
      <c r="S60" s="81">
        <f>0.5*P60*(D59+D61)</f>
        <v>0</v>
      </c>
      <c r="T60" s="81">
        <f>0.5*P60*(E59+E61)</f>
        <v>0</v>
      </c>
      <c r="U60" s="80">
        <f>0.5*P60*(F59+F61)</f>
        <v>110.0000000000001</v>
      </c>
      <c r="V60" s="81">
        <f>0.5*P60*(G59+G61)</f>
        <v>0</v>
      </c>
      <c r="W60" s="80">
        <f>0.5*P60*(H59+H61)</f>
        <v>54.00000000000005</v>
      </c>
      <c r="X60" s="85">
        <f>0.5*P60*(I59+I61)</f>
        <v>96.0000000000001</v>
      </c>
      <c r="Y60" s="81">
        <f>0.5*P60*(J59+J61)</f>
        <v>16.000000000000014</v>
      </c>
      <c r="Z60" s="81">
        <f>0.5*P60*(K59+K61)</f>
        <v>88.00000000000009</v>
      </c>
      <c r="AA60" s="150">
        <f>0.5*P60*(L59+L61)</f>
        <v>316.0000000000003</v>
      </c>
      <c r="AB60" s="141">
        <f>0.5*P60*(M59+M61)</f>
        <v>0</v>
      </c>
      <c r="AC60" s="81">
        <f>0.5*P60*(N59+N61)</f>
        <v>0</v>
      </c>
      <c r="AD60" s="99">
        <f>0.5*P60*(O59+O61)</f>
        <v>0</v>
      </c>
      <c r="AE60" s="12"/>
      <c r="AR60" s="5"/>
      <c r="AS60" s="13"/>
      <c r="AT60" s="7"/>
      <c r="AU60" s="7"/>
      <c r="AV60" s="7"/>
      <c r="AW60" s="7"/>
      <c r="AX60" s="7"/>
      <c r="AY60" s="7"/>
      <c r="AZ60" s="7"/>
      <c r="BA60" s="7"/>
      <c r="BB60" s="11"/>
      <c r="BC60" s="11"/>
      <c r="BD60" s="10"/>
      <c r="BE60" s="11"/>
      <c r="BF60" s="11"/>
      <c r="BG60" s="11"/>
      <c r="BH60" s="11"/>
      <c r="BI60" s="11"/>
      <c r="BJ60" s="11"/>
      <c r="BK60" s="11"/>
      <c r="BL60" s="11"/>
      <c r="BM60" s="7"/>
      <c r="BN60" s="7"/>
      <c r="BO60" s="7"/>
      <c r="BP60" s="7"/>
      <c r="BQ60" s="7"/>
      <c r="BR60" s="7"/>
      <c r="BS60" s="12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</row>
    <row r="61" spans="1:100" ht="12.75">
      <c r="A61" s="72">
        <v>5.44</v>
      </c>
      <c r="B61" s="77">
        <v>21.9</v>
      </c>
      <c r="C61" s="148"/>
      <c r="D61" s="147"/>
      <c r="E61" s="75">
        <v>0</v>
      </c>
      <c r="F61" s="76">
        <v>2.75</v>
      </c>
      <c r="G61" s="74">
        <v>0</v>
      </c>
      <c r="H61" s="229">
        <v>1.5</v>
      </c>
      <c r="I61" s="75">
        <v>2.7</v>
      </c>
      <c r="J61" s="75">
        <v>0.4</v>
      </c>
      <c r="K61" s="75">
        <v>4</v>
      </c>
      <c r="L61" s="150">
        <v>13</v>
      </c>
      <c r="M61" s="77">
        <v>0</v>
      </c>
      <c r="N61" s="75">
        <v>0</v>
      </c>
      <c r="O61" s="77">
        <v>0</v>
      </c>
      <c r="P61" s="89"/>
      <c r="Q61" s="80"/>
      <c r="R61" s="81"/>
      <c r="S61" s="81"/>
      <c r="T61" s="81"/>
      <c r="U61" s="80"/>
      <c r="V61" s="81"/>
      <c r="W61" s="80"/>
      <c r="X61" s="85"/>
      <c r="Y61" s="85"/>
      <c r="Z61" s="85"/>
      <c r="AA61" s="150"/>
      <c r="AB61" s="141"/>
      <c r="AC61" s="81"/>
      <c r="AD61" s="99"/>
      <c r="AE61" s="12"/>
      <c r="AR61" s="5"/>
      <c r="AS61" s="13"/>
      <c r="AT61" s="7"/>
      <c r="AU61" s="7"/>
      <c r="AV61" s="7"/>
      <c r="AW61" s="7"/>
      <c r="AX61" s="7"/>
      <c r="AY61" s="7"/>
      <c r="AZ61" s="7"/>
      <c r="BA61" s="7"/>
      <c r="BB61" s="11"/>
      <c r="BC61" s="11"/>
      <c r="BD61" s="10"/>
      <c r="BE61" s="11"/>
      <c r="BF61" s="11"/>
      <c r="BG61" s="11"/>
      <c r="BH61" s="11"/>
      <c r="BI61" s="11"/>
      <c r="BJ61" s="11"/>
      <c r="BK61" s="11"/>
      <c r="BL61" s="11"/>
      <c r="BM61" s="7"/>
      <c r="BN61" s="7"/>
      <c r="BO61" s="7"/>
      <c r="BP61" s="7"/>
      <c r="BQ61" s="7"/>
      <c r="BR61" s="7"/>
      <c r="BS61" s="12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ht="12.75">
      <c r="A62" s="72"/>
      <c r="B62" s="77"/>
      <c r="C62" s="148" t="s">
        <v>83</v>
      </c>
      <c r="D62" s="147"/>
      <c r="E62" s="75"/>
      <c r="F62" s="77"/>
      <c r="G62" s="75"/>
      <c r="H62" s="229"/>
      <c r="I62" s="219" t="s">
        <v>81</v>
      </c>
      <c r="J62" s="75"/>
      <c r="K62" s="75"/>
      <c r="L62" s="150"/>
      <c r="M62" s="77"/>
      <c r="N62" s="75"/>
      <c r="O62" s="77"/>
      <c r="P62" s="89">
        <f t="shared" si="0"/>
        <v>59.99999999999961</v>
      </c>
      <c r="Q62" s="80">
        <f>0.5*P62*(B61+B63)</f>
        <v>1385.9999999999911</v>
      </c>
      <c r="R62" s="81">
        <v>0</v>
      </c>
      <c r="S62" s="81">
        <f>0.5*P62*(D61+D63)</f>
        <v>0</v>
      </c>
      <c r="T62" s="81">
        <f>0.5*P62*(E61+E63)</f>
        <v>0</v>
      </c>
      <c r="U62" s="80">
        <f>0.5*P62*(F61+F63)</f>
        <v>119.99999999999922</v>
      </c>
      <c r="V62" s="81">
        <f>0.5*P62*(G61+G63)</f>
        <v>0</v>
      </c>
      <c r="W62" s="80">
        <f>0.5*P62*(H61+H63)</f>
        <v>83.99999999999945</v>
      </c>
      <c r="X62" s="85">
        <f>0.5*P62*(I61+I63)</f>
        <v>182.9999999999988</v>
      </c>
      <c r="Y62" s="81">
        <f>0.5*P62*(J61+J63)</f>
        <v>23.999999999999844</v>
      </c>
      <c r="Z62" s="81">
        <f>0.5*P62*(K61+K63)</f>
        <v>173.99999999999886</v>
      </c>
      <c r="AA62" s="150">
        <f>0.5*P62*(L61+L63)</f>
        <v>698.9999999999955</v>
      </c>
      <c r="AB62" s="141">
        <f>0.5*P62*(M61+M63)</f>
        <v>0</v>
      </c>
      <c r="AC62" s="81">
        <f>0.5*P62*(N61+N63)</f>
        <v>0</v>
      </c>
      <c r="AD62" s="99">
        <f>0.5*P62*(O61+O63)</f>
        <v>0</v>
      </c>
      <c r="AE62" s="12"/>
      <c r="AR62" s="5"/>
      <c r="AS62" s="13"/>
      <c r="AT62" s="7"/>
      <c r="AU62" s="7"/>
      <c r="AV62" s="7"/>
      <c r="AW62" s="7"/>
      <c r="AX62" s="7"/>
      <c r="AY62" s="7"/>
      <c r="AZ62" s="7"/>
      <c r="BA62" s="7"/>
      <c r="BB62" s="11"/>
      <c r="BC62" s="11"/>
      <c r="BD62" s="10"/>
      <c r="BE62" s="11"/>
      <c r="BF62" s="11"/>
      <c r="BG62" s="11"/>
      <c r="BH62" s="11"/>
      <c r="BI62" s="11"/>
      <c r="BJ62" s="11"/>
      <c r="BK62" s="11"/>
      <c r="BL62" s="11"/>
      <c r="BM62" s="7"/>
      <c r="BN62" s="7"/>
      <c r="BO62" s="7"/>
      <c r="BP62" s="7"/>
      <c r="BQ62" s="7"/>
      <c r="BR62" s="7"/>
      <c r="BS62" s="12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ht="12" customHeight="1">
      <c r="A63" s="72">
        <v>5.5</v>
      </c>
      <c r="B63" s="77">
        <v>24.3</v>
      </c>
      <c r="C63" s="81"/>
      <c r="D63" s="80"/>
      <c r="E63" s="75">
        <v>0</v>
      </c>
      <c r="F63" s="76">
        <v>1.25</v>
      </c>
      <c r="G63" s="74">
        <v>0</v>
      </c>
      <c r="H63" s="229">
        <v>1.3</v>
      </c>
      <c r="I63" s="219">
        <f>2+1.4</f>
        <v>3.4</v>
      </c>
      <c r="J63" s="75">
        <v>0.4</v>
      </c>
      <c r="K63" s="75">
        <v>1.8</v>
      </c>
      <c r="L63" s="150">
        <v>10.3</v>
      </c>
      <c r="M63" s="77">
        <v>0</v>
      </c>
      <c r="N63" s="75">
        <v>0</v>
      </c>
      <c r="O63" s="77">
        <v>0</v>
      </c>
      <c r="P63" s="89"/>
      <c r="Q63" s="80"/>
      <c r="R63" s="81"/>
      <c r="S63" s="81"/>
      <c r="T63" s="81"/>
      <c r="U63" s="80"/>
      <c r="V63" s="81"/>
      <c r="W63" s="80"/>
      <c r="X63" s="85"/>
      <c r="Y63" s="85"/>
      <c r="Z63" s="85"/>
      <c r="AA63" s="150"/>
      <c r="AB63" s="141"/>
      <c r="AC63" s="81"/>
      <c r="AD63" s="99"/>
      <c r="AE63" s="12"/>
      <c r="AR63" s="5"/>
      <c r="AS63" s="13"/>
      <c r="AT63" s="7"/>
      <c r="AU63" s="7"/>
      <c r="AV63" s="7"/>
      <c r="AW63" s="7"/>
      <c r="AX63" s="7"/>
      <c r="AY63" s="7"/>
      <c r="AZ63" s="7"/>
      <c r="BA63" s="7"/>
      <c r="BB63" s="11"/>
      <c r="BC63" s="11"/>
      <c r="BD63" s="10"/>
      <c r="BE63" s="11"/>
      <c r="BF63" s="11"/>
      <c r="BG63" s="11"/>
      <c r="BH63" s="11"/>
      <c r="BI63" s="11"/>
      <c r="BJ63" s="11"/>
      <c r="BK63" s="11"/>
      <c r="BL63" s="11"/>
      <c r="BM63" s="7"/>
      <c r="BN63" s="7"/>
      <c r="BO63" s="7"/>
      <c r="BP63" s="7"/>
      <c r="BQ63" s="7"/>
      <c r="BR63" s="7"/>
      <c r="BS63" s="12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</row>
    <row r="64" spans="1:100" ht="12" customHeight="1">
      <c r="A64" s="72"/>
      <c r="B64" s="77"/>
      <c r="C64" s="81"/>
      <c r="D64" s="80"/>
      <c r="E64" s="75"/>
      <c r="F64" s="77"/>
      <c r="G64" s="74"/>
      <c r="H64" s="229"/>
      <c r="I64" s="75"/>
      <c r="J64" s="75"/>
      <c r="K64" s="75"/>
      <c r="L64" s="150"/>
      <c r="M64" s="77"/>
      <c r="N64" s="75"/>
      <c r="O64" s="77"/>
      <c r="P64" s="89">
        <f t="shared" si="0"/>
        <v>40.000000000000036</v>
      </c>
      <c r="Q64" s="80">
        <f>0.5*P64*(B63+B65)</f>
        <v>624.0000000000006</v>
      </c>
      <c r="R64" s="81">
        <v>0</v>
      </c>
      <c r="S64" s="81">
        <f>0.5*P64*(D63+D65)</f>
        <v>0</v>
      </c>
      <c r="T64" s="81">
        <f>0.5*P64*(E63+E65)</f>
        <v>0</v>
      </c>
      <c r="U64" s="80">
        <f>0.5*P64*(F63+F65)</f>
        <v>50.00000000000004</v>
      </c>
      <c r="V64" s="81">
        <f>0.5*P64*(G63+G65)</f>
        <v>0</v>
      </c>
      <c r="W64" s="80">
        <f>0.5*P64*(H63+H65)</f>
        <v>82.00000000000007</v>
      </c>
      <c r="X64" s="85">
        <f>0.5*P64*(I63+I65)</f>
        <v>120.00000000000011</v>
      </c>
      <c r="Y64" s="81">
        <f>0.5*P64*(J63+J65)</f>
        <v>16.000000000000014</v>
      </c>
      <c r="Z64" s="81">
        <f>0.5*P64*(K63+K65)</f>
        <v>70.00000000000006</v>
      </c>
      <c r="AA64" s="150">
        <f>0.5*P64*(L63+L65)</f>
        <v>354.0000000000004</v>
      </c>
      <c r="AB64" s="141">
        <f>0.5*P64*(M63+M65)</f>
        <v>0</v>
      </c>
      <c r="AC64" s="81">
        <f>0.5*P64*(N63+N65)</f>
        <v>0</v>
      </c>
      <c r="AD64" s="99">
        <f>0.5*P64*(O63+O65)</f>
        <v>0</v>
      </c>
      <c r="AE64" s="12"/>
      <c r="AR64" s="5"/>
      <c r="AS64" s="13"/>
      <c r="AT64" s="7"/>
      <c r="AU64" s="7"/>
      <c r="AV64" s="7"/>
      <c r="AW64" s="7"/>
      <c r="AX64" s="7"/>
      <c r="AY64" s="7"/>
      <c r="AZ64" s="7"/>
      <c r="BA64" s="7"/>
      <c r="BB64" s="11"/>
      <c r="BC64" s="11"/>
      <c r="BD64" s="10"/>
      <c r="BE64" s="11"/>
      <c r="BF64" s="11"/>
      <c r="BG64" s="11"/>
      <c r="BH64" s="11"/>
      <c r="BI64" s="11"/>
      <c r="BJ64" s="11"/>
      <c r="BK64" s="11"/>
      <c r="BL64" s="11"/>
      <c r="BM64" s="7"/>
      <c r="BN64" s="7"/>
      <c r="BO64" s="7"/>
      <c r="BP64" s="7"/>
      <c r="BQ64" s="7"/>
      <c r="BR64" s="7"/>
      <c r="BS64" s="12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</row>
    <row r="65" spans="1:100" ht="12" customHeight="1">
      <c r="A65" s="72">
        <v>5.54</v>
      </c>
      <c r="B65" s="77">
        <v>6.9</v>
      </c>
      <c r="C65" s="81"/>
      <c r="D65" s="80"/>
      <c r="E65" s="75">
        <v>0</v>
      </c>
      <c r="F65" s="76">
        <v>1.25</v>
      </c>
      <c r="G65" s="74">
        <v>0</v>
      </c>
      <c r="H65" s="229">
        <v>2.8</v>
      </c>
      <c r="I65" s="75">
        <v>2.6</v>
      </c>
      <c r="J65" s="75">
        <v>0.4</v>
      </c>
      <c r="K65" s="75">
        <v>1.7</v>
      </c>
      <c r="L65" s="150">
        <v>7.4</v>
      </c>
      <c r="M65" s="77">
        <v>0</v>
      </c>
      <c r="N65" s="75">
        <v>0</v>
      </c>
      <c r="O65" s="77">
        <v>0</v>
      </c>
      <c r="P65" s="89"/>
      <c r="Q65" s="80"/>
      <c r="R65" s="81"/>
      <c r="S65" s="81"/>
      <c r="T65" s="81"/>
      <c r="U65" s="80"/>
      <c r="V65" s="81"/>
      <c r="W65" s="80"/>
      <c r="X65" s="85"/>
      <c r="Y65" s="85"/>
      <c r="Z65" s="85"/>
      <c r="AA65" s="150"/>
      <c r="AB65" s="141"/>
      <c r="AC65" s="81"/>
      <c r="AD65" s="99"/>
      <c r="AE65" s="12"/>
      <c r="AR65" s="5"/>
      <c r="AS65" s="13"/>
      <c r="AT65" s="7"/>
      <c r="AU65" s="7"/>
      <c r="AV65" s="7"/>
      <c r="AW65" s="7"/>
      <c r="AX65" s="7"/>
      <c r="AY65" s="7"/>
      <c r="AZ65" s="7"/>
      <c r="BA65" s="7"/>
      <c r="BB65" s="11"/>
      <c r="BC65" s="11"/>
      <c r="BD65" s="10"/>
      <c r="BE65" s="11"/>
      <c r="BF65" s="11"/>
      <c r="BG65" s="11"/>
      <c r="BH65" s="11"/>
      <c r="BI65" s="11"/>
      <c r="BJ65" s="11"/>
      <c r="BK65" s="11"/>
      <c r="BL65" s="11"/>
      <c r="BM65" s="7"/>
      <c r="BN65" s="7"/>
      <c r="BO65" s="7"/>
      <c r="BP65" s="7"/>
      <c r="BQ65" s="7"/>
      <c r="BR65" s="7"/>
      <c r="BS65" s="12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</row>
    <row r="66" spans="1:100" ht="12" customHeight="1">
      <c r="A66" s="72"/>
      <c r="B66" s="77"/>
      <c r="C66" s="81"/>
      <c r="D66" s="80"/>
      <c r="E66" s="75"/>
      <c r="F66" s="77"/>
      <c r="G66" s="74"/>
      <c r="H66" s="229"/>
      <c r="I66" s="75"/>
      <c r="J66" s="75"/>
      <c r="K66" s="75"/>
      <c r="L66" s="150"/>
      <c r="M66" s="77"/>
      <c r="N66" s="75"/>
      <c r="O66" s="77"/>
      <c r="P66" s="89">
        <f t="shared" si="0"/>
        <v>59.99999999999961</v>
      </c>
      <c r="Q66" s="80">
        <f>0.5*P66*(B65+B67)</f>
        <v>233.9999999999985</v>
      </c>
      <c r="R66" s="81">
        <v>0</v>
      </c>
      <c r="S66" s="81">
        <f>0.5*P66*(D65+D67)</f>
        <v>0</v>
      </c>
      <c r="T66" s="81">
        <f>0.5*P66*(E65+E67)</f>
        <v>0</v>
      </c>
      <c r="U66" s="80">
        <f>0.5*P66*(F65+F67)</f>
        <v>74.99999999999952</v>
      </c>
      <c r="V66" s="81">
        <f>0.5*P66*(G65+G67)</f>
        <v>0</v>
      </c>
      <c r="W66" s="80">
        <f>0.5*P66*(H65+H67)</f>
        <v>122.99999999999919</v>
      </c>
      <c r="X66" s="85">
        <f>0.5*P66*(I65+I67)</f>
        <v>149.99999999999903</v>
      </c>
      <c r="Y66" s="81">
        <f>0.5*P66*(J65+J67)</f>
        <v>23.999999999999844</v>
      </c>
      <c r="Z66" s="81">
        <f>0.5*P66*(K65+K67)</f>
        <v>122.99999999999919</v>
      </c>
      <c r="AA66" s="150">
        <f>0.5*P66*(L65+L67)</f>
        <v>539.9999999999965</v>
      </c>
      <c r="AB66" s="141">
        <f>0.5*P66*(M65+M67)</f>
        <v>0</v>
      </c>
      <c r="AC66" s="81">
        <f>0.5*P66*(N65+N67)</f>
        <v>0</v>
      </c>
      <c r="AD66" s="99">
        <f>0.5*P66*(O65+O67)</f>
        <v>0</v>
      </c>
      <c r="AE66" s="12"/>
      <c r="AR66" s="5"/>
      <c r="AS66" s="13"/>
      <c r="AT66" s="7"/>
      <c r="AU66" s="7"/>
      <c r="AV66" s="7"/>
      <c r="AW66" s="7"/>
      <c r="AX66" s="7"/>
      <c r="AY66" s="7"/>
      <c r="AZ66" s="7"/>
      <c r="BA66" s="7"/>
      <c r="BB66" s="11"/>
      <c r="BC66" s="11"/>
      <c r="BD66" s="10"/>
      <c r="BE66" s="11"/>
      <c r="BF66" s="11"/>
      <c r="BG66" s="11"/>
      <c r="BH66" s="11"/>
      <c r="BI66" s="11"/>
      <c r="BJ66" s="11"/>
      <c r="BK66" s="11"/>
      <c r="BL66" s="11"/>
      <c r="BM66" s="7"/>
      <c r="BN66" s="7"/>
      <c r="BO66" s="7"/>
      <c r="BP66" s="7"/>
      <c r="BQ66" s="7"/>
      <c r="BR66" s="7"/>
      <c r="BS66" s="12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</row>
    <row r="67" spans="1:100" ht="12" customHeight="1">
      <c r="A67" s="72">
        <v>5.6</v>
      </c>
      <c r="B67" s="77">
        <v>0.9</v>
      </c>
      <c r="C67" s="81"/>
      <c r="D67" s="80"/>
      <c r="E67" s="75">
        <v>0</v>
      </c>
      <c r="F67" s="76">
        <v>1.25</v>
      </c>
      <c r="G67" s="74">
        <v>0</v>
      </c>
      <c r="H67" s="229">
        <v>1.3</v>
      </c>
      <c r="I67" s="75">
        <v>2.4</v>
      </c>
      <c r="J67" s="75">
        <v>0.4</v>
      </c>
      <c r="K67" s="75">
        <v>2.4</v>
      </c>
      <c r="L67" s="150">
        <v>10.6</v>
      </c>
      <c r="M67" s="77">
        <v>0</v>
      </c>
      <c r="N67" s="75">
        <v>0</v>
      </c>
      <c r="O67" s="77">
        <v>0</v>
      </c>
      <c r="P67" s="89"/>
      <c r="Q67" s="80"/>
      <c r="R67" s="81"/>
      <c r="S67" s="81"/>
      <c r="T67" s="81"/>
      <c r="U67" s="80"/>
      <c r="V67" s="81"/>
      <c r="W67" s="80"/>
      <c r="X67" s="85"/>
      <c r="Y67" s="85"/>
      <c r="Z67" s="85"/>
      <c r="AA67" s="150"/>
      <c r="AB67" s="141"/>
      <c r="AC67" s="81"/>
      <c r="AD67" s="99"/>
      <c r="AE67" s="12"/>
      <c r="AR67" s="5"/>
      <c r="AS67" s="13"/>
      <c r="AT67" s="7"/>
      <c r="AU67" s="7"/>
      <c r="AV67" s="7"/>
      <c r="AW67" s="7"/>
      <c r="AX67" s="7"/>
      <c r="AY67" s="7"/>
      <c r="AZ67" s="7"/>
      <c r="BA67" s="7"/>
      <c r="BB67" s="11"/>
      <c r="BC67" s="11"/>
      <c r="BD67" s="10"/>
      <c r="BE67" s="11"/>
      <c r="BF67" s="11"/>
      <c r="BG67" s="11"/>
      <c r="BH67" s="11"/>
      <c r="BI67" s="11"/>
      <c r="BJ67" s="11"/>
      <c r="BK67" s="11"/>
      <c r="BL67" s="11"/>
      <c r="BM67" s="7"/>
      <c r="BN67" s="7"/>
      <c r="BO67" s="7"/>
      <c r="BP67" s="7"/>
      <c r="BQ67" s="7"/>
      <c r="BR67" s="7"/>
      <c r="BS67" s="12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</row>
    <row r="68" spans="1:100" ht="12" customHeight="1">
      <c r="A68" s="72"/>
      <c r="B68" s="77"/>
      <c r="C68" s="81"/>
      <c r="D68" s="80"/>
      <c r="E68" s="75"/>
      <c r="F68" s="76"/>
      <c r="G68" s="74"/>
      <c r="H68" s="229"/>
      <c r="I68" s="75"/>
      <c r="J68" s="75"/>
      <c r="K68" s="75"/>
      <c r="L68" s="150"/>
      <c r="M68" s="77"/>
      <c r="N68" s="75"/>
      <c r="O68" s="77"/>
      <c r="P68" s="89">
        <f t="shared" si="0"/>
        <v>40.000000000000036</v>
      </c>
      <c r="Q68" s="80">
        <f>0.5*P68*(B67+B69)</f>
        <v>260.0000000000002</v>
      </c>
      <c r="R68" s="81">
        <v>0</v>
      </c>
      <c r="S68" s="81">
        <f>0.5*P68*(D67+D69)</f>
        <v>0</v>
      </c>
      <c r="T68" s="81">
        <f>0.5*P68*(E67+E69)</f>
        <v>0</v>
      </c>
      <c r="U68" s="80">
        <f>0.5*P68*(F67+F69)</f>
        <v>50.00000000000004</v>
      </c>
      <c r="V68" s="81">
        <f>0.5*P68*(G67+G69)</f>
        <v>0</v>
      </c>
      <c r="W68" s="80">
        <f>0.5*P68*(H67+H69)</f>
        <v>42.00000000000004</v>
      </c>
      <c r="X68" s="85">
        <f>0.5*P68*(I67+I69)</f>
        <v>70.00000000000006</v>
      </c>
      <c r="Y68" s="81">
        <f>0.5*P68*(J67+J69)</f>
        <v>16.000000000000014</v>
      </c>
      <c r="Z68" s="81">
        <f>0.5*P68*(K67+K69)</f>
        <v>54.00000000000004</v>
      </c>
      <c r="AA68" s="150">
        <f>0.5*P68*(L67+L69)</f>
        <v>372.00000000000034</v>
      </c>
      <c r="AB68" s="141">
        <f>0.5*P68*(M67+M69)</f>
        <v>0</v>
      </c>
      <c r="AC68" s="81">
        <f>0.5*P68*(N67+N69)</f>
        <v>0</v>
      </c>
      <c r="AD68" s="99">
        <f>0.5*P68*(O67+O69)</f>
        <v>0</v>
      </c>
      <c r="AE68" s="12"/>
      <c r="AR68" s="5"/>
      <c r="AS68" s="13"/>
      <c r="AT68" s="7"/>
      <c r="AU68" s="7"/>
      <c r="AV68" s="7"/>
      <c r="AW68" s="7"/>
      <c r="AX68" s="7"/>
      <c r="AY68" s="7"/>
      <c r="AZ68" s="7"/>
      <c r="BA68" s="7"/>
      <c r="BB68" s="11"/>
      <c r="BC68" s="11"/>
      <c r="BD68" s="10"/>
      <c r="BE68" s="11"/>
      <c r="BF68" s="11"/>
      <c r="BG68" s="11"/>
      <c r="BH68" s="11"/>
      <c r="BI68" s="11"/>
      <c r="BJ68" s="11"/>
      <c r="BK68" s="11"/>
      <c r="BL68" s="11"/>
      <c r="BM68" s="7"/>
      <c r="BN68" s="7"/>
      <c r="BO68" s="7"/>
      <c r="BP68" s="7"/>
      <c r="BQ68" s="7"/>
      <c r="BR68" s="7"/>
      <c r="BS68" s="12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</row>
    <row r="69" spans="1:100" ht="12" customHeight="1">
      <c r="A69" s="72">
        <v>5.64</v>
      </c>
      <c r="B69" s="77">
        <v>12.1</v>
      </c>
      <c r="C69" s="81"/>
      <c r="D69" s="80"/>
      <c r="E69" s="75">
        <v>0</v>
      </c>
      <c r="F69" s="76">
        <v>1.25</v>
      </c>
      <c r="G69" s="74">
        <v>0</v>
      </c>
      <c r="H69" s="229">
        <v>0.8</v>
      </c>
      <c r="I69" s="75">
        <v>1.1</v>
      </c>
      <c r="J69" s="75">
        <v>0.4</v>
      </c>
      <c r="K69" s="75">
        <v>0.3</v>
      </c>
      <c r="L69" s="150">
        <v>8</v>
      </c>
      <c r="M69" s="77">
        <v>0</v>
      </c>
      <c r="N69" s="75">
        <v>0</v>
      </c>
      <c r="O69" s="77">
        <v>0</v>
      </c>
      <c r="P69" s="89"/>
      <c r="Q69" s="80"/>
      <c r="R69" s="81"/>
      <c r="S69" s="81"/>
      <c r="T69" s="81"/>
      <c r="U69" s="80"/>
      <c r="V69" s="81"/>
      <c r="W69" s="80"/>
      <c r="X69" s="85"/>
      <c r="Y69" s="85"/>
      <c r="Z69" s="85"/>
      <c r="AA69" s="150"/>
      <c r="AB69" s="141"/>
      <c r="AC69" s="81"/>
      <c r="AD69" s="99"/>
      <c r="AE69" s="12"/>
      <c r="AR69" s="5"/>
      <c r="AS69" s="13"/>
      <c r="AT69" s="7"/>
      <c r="AU69" s="7"/>
      <c r="AV69" s="7"/>
      <c r="AW69" s="7"/>
      <c r="AX69" s="7"/>
      <c r="AY69" s="7"/>
      <c r="AZ69" s="7"/>
      <c r="BA69" s="7"/>
      <c r="BB69" s="11"/>
      <c r="BC69" s="11"/>
      <c r="BD69" s="10"/>
      <c r="BE69" s="11"/>
      <c r="BF69" s="11"/>
      <c r="BG69" s="11"/>
      <c r="BH69" s="11"/>
      <c r="BI69" s="11"/>
      <c r="BJ69" s="11"/>
      <c r="BK69" s="11"/>
      <c r="BL69" s="11"/>
      <c r="BM69" s="7"/>
      <c r="BN69" s="7"/>
      <c r="BO69" s="7"/>
      <c r="BP69" s="7"/>
      <c r="BQ69" s="7"/>
      <c r="BR69" s="7"/>
      <c r="BS69" s="12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</row>
    <row r="70" spans="1:100" ht="12" customHeight="1">
      <c r="A70" s="72"/>
      <c r="B70" s="77"/>
      <c r="C70" s="81"/>
      <c r="D70" s="80"/>
      <c r="E70" s="75"/>
      <c r="F70" s="77"/>
      <c r="G70" s="74"/>
      <c r="H70" s="229"/>
      <c r="I70" s="75"/>
      <c r="J70" s="75"/>
      <c r="K70" s="75"/>
      <c r="L70" s="150"/>
      <c r="M70" s="77"/>
      <c r="N70" s="75"/>
      <c r="O70" s="77"/>
      <c r="P70" s="89">
        <f t="shared" si="0"/>
        <v>60.0000000000005</v>
      </c>
      <c r="Q70" s="80">
        <f>0.5*P70*(B69+B71)</f>
        <v>435.0000000000036</v>
      </c>
      <c r="R70" s="81">
        <v>0</v>
      </c>
      <c r="S70" s="81">
        <f>0.5*P70*(D69+D71)</f>
        <v>0</v>
      </c>
      <c r="T70" s="81">
        <f>0.5*P70*(E69+E71)</f>
        <v>0</v>
      </c>
      <c r="U70" s="80">
        <f>0.5*P70*(F69+F71)</f>
        <v>75.00000000000063</v>
      </c>
      <c r="V70" s="81">
        <f>0.5*P70*(G69+G71)</f>
        <v>0</v>
      </c>
      <c r="W70" s="80">
        <f>0.5*P70*(H69+H71)</f>
        <v>48.0000000000004</v>
      </c>
      <c r="X70" s="85">
        <f>0.5*P70*(I69+I71)</f>
        <v>63.000000000000526</v>
      </c>
      <c r="Y70" s="81">
        <f>0.5*P70*(J69+J71)</f>
        <v>24.0000000000002</v>
      </c>
      <c r="Z70" s="81">
        <f>0.5*P70*(K69+K71)</f>
        <v>30.00000000000025</v>
      </c>
      <c r="AA70" s="150">
        <f>0.5*P70*(L69+L71)</f>
        <v>375.0000000000031</v>
      </c>
      <c r="AB70" s="141">
        <f>0.5*P70*(M69+M71)</f>
        <v>0</v>
      </c>
      <c r="AC70" s="81">
        <f>0.5*P70*(N69+N71)</f>
        <v>0</v>
      </c>
      <c r="AD70" s="99">
        <f>0.5*P70*(O69+O71)</f>
        <v>0</v>
      </c>
      <c r="AE70" s="12"/>
      <c r="AR70" s="5"/>
      <c r="AS70" s="13"/>
      <c r="AT70" s="7"/>
      <c r="AU70" s="7"/>
      <c r="AV70" s="7"/>
      <c r="AW70" s="7"/>
      <c r="AX70" s="7"/>
      <c r="AY70" s="7"/>
      <c r="AZ70" s="7"/>
      <c r="BA70" s="7"/>
      <c r="BB70" s="11"/>
      <c r="BC70" s="11"/>
      <c r="BD70" s="10"/>
      <c r="BE70" s="11"/>
      <c r="BF70" s="11"/>
      <c r="BG70" s="11"/>
      <c r="BH70" s="11"/>
      <c r="BI70" s="11"/>
      <c r="BJ70" s="11"/>
      <c r="BK70" s="11"/>
      <c r="BL70" s="11"/>
      <c r="BM70" s="7"/>
      <c r="BN70" s="7"/>
      <c r="BO70" s="7"/>
      <c r="BP70" s="7"/>
      <c r="BQ70" s="7"/>
      <c r="BR70" s="7"/>
      <c r="BS70" s="12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</row>
    <row r="71" spans="1:100" ht="12" customHeight="1">
      <c r="A71" s="72">
        <v>5.7</v>
      </c>
      <c r="B71" s="77">
        <v>2.4</v>
      </c>
      <c r="C71" s="81"/>
      <c r="D71" s="80"/>
      <c r="E71" s="75">
        <v>0</v>
      </c>
      <c r="F71" s="76">
        <v>1.25</v>
      </c>
      <c r="G71" s="74">
        <v>0</v>
      </c>
      <c r="H71" s="229">
        <v>0.8</v>
      </c>
      <c r="I71" s="75">
        <v>1</v>
      </c>
      <c r="J71" s="75">
        <v>0.4</v>
      </c>
      <c r="K71" s="75">
        <v>0.7</v>
      </c>
      <c r="L71" s="150">
        <v>4.5</v>
      </c>
      <c r="M71" s="77">
        <v>0</v>
      </c>
      <c r="N71" s="75">
        <v>0</v>
      </c>
      <c r="O71" s="77">
        <v>0</v>
      </c>
      <c r="P71" s="89"/>
      <c r="Q71" s="80"/>
      <c r="R71" s="81"/>
      <c r="S71" s="81"/>
      <c r="T71" s="81"/>
      <c r="U71" s="80"/>
      <c r="V71" s="81"/>
      <c r="W71" s="80"/>
      <c r="X71" s="85"/>
      <c r="Y71" s="85"/>
      <c r="Z71" s="85"/>
      <c r="AA71" s="150"/>
      <c r="AB71" s="141"/>
      <c r="AC71" s="81"/>
      <c r="AD71" s="99"/>
      <c r="AE71" s="12"/>
      <c r="AR71" s="5"/>
      <c r="AS71" s="13"/>
      <c r="AT71" s="7"/>
      <c r="AU71" s="7"/>
      <c r="AV71" s="7"/>
      <c r="AW71" s="7"/>
      <c r="AX71" s="7"/>
      <c r="AY71" s="7"/>
      <c r="AZ71" s="7"/>
      <c r="BA71" s="7"/>
      <c r="BB71" s="11"/>
      <c r="BC71" s="11"/>
      <c r="BD71" s="10"/>
      <c r="BE71" s="11"/>
      <c r="BF71" s="11"/>
      <c r="BG71" s="11"/>
      <c r="BH71" s="11"/>
      <c r="BI71" s="11"/>
      <c r="BJ71" s="11"/>
      <c r="BK71" s="11"/>
      <c r="BL71" s="11"/>
      <c r="BM71" s="7"/>
      <c r="BN71" s="7"/>
      <c r="BO71" s="7"/>
      <c r="BP71" s="7"/>
      <c r="BQ71" s="7"/>
      <c r="BR71" s="7"/>
      <c r="BS71" s="12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</row>
    <row r="72" spans="1:100" ht="12" customHeight="1">
      <c r="A72" s="72"/>
      <c r="B72" s="77"/>
      <c r="C72" s="81"/>
      <c r="D72" s="80"/>
      <c r="E72" s="75"/>
      <c r="F72" s="77"/>
      <c r="G72" s="74"/>
      <c r="H72" s="229"/>
      <c r="I72" s="75"/>
      <c r="J72" s="75"/>
      <c r="K72" s="75"/>
      <c r="L72" s="150"/>
      <c r="M72" s="77"/>
      <c r="N72" s="75"/>
      <c r="O72" s="77"/>
      <c r="P72" s="89">
        <f t="shared" si="0"/>
        <v>40.000000000000036</v>
      </c>
      <c r="Q72" s="80">
        <f>0.5*P72*(B71+B73)</f>
        <v>72.00000000000006</v>
      </c>
      <c r="R72" s="81">
        <v>0</v>
      </c>
      <c r="S72" s="81">
        <f>0.5*P72*(D71+D73)</f>
        <v>0</v>
      </c>
      <c r="T72" s="81">
        <f>0.5*P72*(E71+E73)</f>
        <v>0</v>
      </c>
      <c r="U72" s="80">
        <f>0.5*P72*(F71+F73)</f>
        <v>50.00000000000004</v>
      </c>
      <c r="V72" s="81">
        <f>0.5*P72*(G71+G73)</f>
        <v>0</v>
      </c>
      <c r="W72" s="80">
        <f>0.5*P72*(H71+H73)</f>
        <v>32.00000000000003</v>
      </c>
      <c r="X72" s="85">
        <f>0.5*P72*(I71+I73)</f>
        <v>42.00000000000004</v>
      </c>
      <c r="Y72" s="81">
        <f>0.5*P72*(J71+J73)</f>
        <v>16.000000000000014</v>
      </c>
      <c r="Z72" s="81">
        <f>0.5*P72*(K71+K73)</f>
        <v>30.00000000000003</v>
      </c>
      <c r="AA72" s="150">
        <f>0.5*P72*(L71+L73)</f>
        <v>170.00000000000014</v>
      </c>
      <c r="AB72" s="141">
        <f>0.5*P72*(M71+M73)</f>
        <v>0</v>
      </c>
      <c r="AC72" s="81">
        <f>0.5*P72*(N71+N73)</f>
        <v>0</v>
      </c>
      <c r="AD72" s="99">
        <f>0.5*P72*(O71+O73)</f>
        <v>0</v>
      </c>
      <c r="AE72" s="12"/>
      <c r="AR72" s="5"/>
      <c r="AS72" s="13"/>
      <c r="AT72" s="7"/>
      <c r="AU72" s="7"/>
      <c r="AV72" s="7"/>
      <c r="AW72" s="7"/>
      <c r="AX72" s="7"/>
      <c r="AY72" s="7"/>
      <c r="AZ72" s="7"/>
      <c r="BA72" s="7"/>
      <c r="BB72" s="11"/>
      <c r="BC72" s="11"/>
      <c r="BD72" s="10"/>
      <c r="BE72" s="11"/>
      <c r="BF72" s="11"/>
      <c r="BG72" s="11"/>
      <c r="BH72" s="11"/>
      <c r="BI72" s="11"/>
      <c r="BJ72" s="11"/>
      <c r="BK72" s="11"/>
      <c r="BL72" s="11"/>
      <c r="BM72" s="7"/>
      <c r="BN72" s="7"/>
      <c r="BO72" s="7"/>
      <c r="BP72" s="7"/>
      <c r="BQ72" s="7"/>
      <c r="BR72" s="7"/>
      <c r="BS72" s="12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</row>
    <row r="73" spans="1:100" ht="12" customHeight="1">
      <c r="A73" s="72">
        <v>5.74</v>
      </c>
      <c r="B73" s="77">
        <v>1.2</v>
      </c>
      <c r="C73" s="81"/>
      <c r="D73" s="80"/>
      <c r="E73" s="75">
        <v>0</v>
      </c>
      <c r="F73" s="76">
        <v>1.25</v>
      </c>
      <c r="G73" s="74">
        <v>0</v>
      </c>
      <c r="H73" s="229">
        <v>0.8</v>
      </c>
      <c r="I73" s="75">
        <v>1.1</v>
      </c>
      <c r="J73" s="75">
        <v>0.4</v>
      </c>
      <c r="K73" s="75">
        <v>0.8</v>
      </c>
      <c r="L73" s="150">
        <v>4</v>
      </c>
      <c r="M73" s="77">
        <v>0</v>
      </c>
      <c r="N73" s="75">
        <v>0</v>
      </c>
      <c r="O73" s="77">
        <v>0</v>
      </c>
      <c r="P73" s="89"/>
      <c r="Q73" s="80"/>
      <c r="R73" s="81"/>
      <c r="S73" s="81"/>
      <c r="T73" s="81"/>
      <c r="U73" s="80"/>
      <c r="V73" s="81"/>
      <c r="W73" s="80"/>
      <c r="X73" s="85"/>
      <c r="Y73" s="81">
        <f>0.5*P73*(J72+J74)</f>
        <v>0</v>
      </c>
      <c r="Z73" s="81">
        <f>0.5*P73*(K72+K74)</f>
        <v>0</v>
      </c>
      <c r="AA73" s="150"/>
      <c r="AB73" s="141"/>
      <c r="AC73" s="81"/>
      <c r="AD73" s="99"/>
      <c r="AE73" s="12"/>
      <c r="AR73" s="5"/>
      <c r="AS73" s="13"/>
      <c r="AT73" s="7"/>
      <c r="AU73" s="7"/>
      <c r="AV73" s="7"/>
      <c r="AW73" s="7"/>
      <c r="AX73" s="7"/>
      <c r="AY73" s="7"/>
      <c r="AZ73" s="7"/>
      <c r="BA73" s="7"/>
      <c r="BB73" s="11"/>
      <c r="BC73" s="11"/>
      <c r="BD73" s="10"/>
      <c r="BE73" s="11"/>
      <c r="BF73" s="11"/>
      <c r="BG73" s="11"/>
      <c r="BH73" s="11"/>
      <c r="BI73" s="11"/>
      <c r="BJ73" s="11"/>
      <c r="BK73" s="11"/>
      <c r="BL73" s="11"/>
      <c r="BM73" s="7"/>
      <c r="BN73" s="7"/>
      <c r="BO73" s="7"/>
      <c r="BP73" s="7"/>
      <c r="BQ73" s="7"/>
      <c r="BR73" s="7"/>
      <c r="BS73" s="12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</row>
    <row r="74" spans="1:100" ht="12" customHeight="1">
      <c r="A74" s="72"/>
      <c r="B74" s="77"/>
      <c r="C74" s="81"/>
      <c r="D74" s="80"/>
      <c r="E74" s="75"/>
      <c r="F74" s="76"/>
      <c r="G74" s="74"/>
      <c r="H74" s="229"/>
      <c r="I74" s="75"/>
      <c r="J74" s="75"/>
      <c r="K74" s="75"/>
      <c r="L74" s="150"/>
      <c r="M74" s="77"/>
      <c r="N74" s="75"/>
      <c r="O74" s="77"/>
      <c r="P74" s="89">
        <f t="shared" si="0"/>
        <v>59.99999999999961</v>
      </c>
      <c r="Q74" s="80">
        <f>0.5*P74*(B73+B75)</f>
        <v>206.99999999999866</v>
      </c>
      <c r="R74" s="81">
        <v>0</v>
      </c>
      <c r="S74" s="81">
        <f>0.5*P74*(D73+D75)</f>
        <v>0</v>
      </c>
      <c r="T74" s="81">
        <f>0.5*P74*(E73+E75)</f>
        <v>0</v>
      </c>
      <c r="U74" s="80">
        <f>0.5*P74*(F73+F75)</f>
        <v>74.99999999999952</v>
      </c>
      <c r="V74" s="81">
        <f>0.5*P74*(G73+G75)</f>
        <v>0</v>
      </c>
      <c r="W74" s="80">
        <f>0.5*P74*(H73+H75)</f>
        <v>47.99999999999969</v>
      </c>
      <c r="X74" s="85">
        <f>0.5*P74*(I73+I75)</f>
        <v>65.99999999999957</v>
      </c>
      <c r="Y74" s="81">
        <f>0.5*P74*(J73+J75)</f>
        <v>23.999999999999844</v>
      </c>
      <c r="Z74" s="81">
        <f>0.5*P74*(K73+K75)</f>
        <v>35.99999999999977</v>
      </c>
      <c r="AA74" s="150">
        <f>0.5*P74*(L73+L75)</f>
        <v>305.999999999998</v>
      </c>
      <c r="AB74" s="141">
        <f>0.5*P74*(M73+M75)</f>
        <v>0</v>
      </c>
      <c r="AC74" s="81">
        <f>0.5*P74*(N73+N75)</f>
        <v>0</v>
      </c>
      <c r="AD74" s="99">
        <f>0.5*P74*(O73+O75)</f>
        <v>0</v>
      </c>
      <c r="AE74" s="12"/>
      <c r="AR74" s="5"/>
      <c r="AS74" s="13"/>
      <c r="AT74" s="7"/>
      <c r="AU74" s="7"/>
      <c r="AV74" s="7"/>
      <c r="AW74" s="7"/>
      <c r="AX74" s="7"/>
      <c r="AY74" s="7"/>
      <c r="AZ74" s="7"/>
      <c r="BA74" s="7"/>
      <c r="BB74" s="11"/>
      <c r="BC74" s="11"/>
      <c r="BD74" s="10"/>
      <c r="BE74" s="11"/>
      <c r="BF74" s="11"/>
      <c r="BG74" s="11"/>
      <c r="BH74" s="11"/>
      <c r="BI74" s="11"/>
      <c r="BJ74" s="11"/>
      <c r="BK74" s="11"/>
      <c r="BL74" s="11"/>
      <c r="BM74" s="7"/>
      <c r="BN74" s="7"/>
      <c r="BO74" s="7"/>
      <c r="BP74" s="7"/>
      <c r="BQ74" s="7"/>
      <c r="BR74" s="7"/>
      <c r="BS74" s="12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</row>
    <row r="75" spans="1:100" ht="12" customHeight="1">
      <c r="A75" s="72">
        <v>5.8</v>
      </c>
      <c r="B75" s="77">
        <v>5.7</v>
      </c>
      <c r="C75" s="81"/>
      <c r="D75" s="80"/>
      <c r="E75" s="75">
        <v>0</v>
      </c>
      <c r="F75" s="76">
        <v>1.25</v>
      </c>
      <c r="G75" s="74">
        <v>0</v>
      </c>
      <c r="H75" s="229">
        <v>0.8</v>
      </c>
      <c r="I75" s="75">
        <v>1.1</v>
      </c>
      <c r="J75" s="75">
        <v>0.4</v>
      </c>
      <c r="K75" s="75">
        <v>0.4</v>
      </c>
      <c r="L75" s="150">
        <v>6.2</v>
      </c>
      <c r="M75" s="77">
        <v>0</v>
      </c>
      <c r="N75" s="75">
        <v>0</v>
      </c>
      <c r="O75" s="77">
        <v>0</v>
      </c>
      <c r="P75" s="89"/>
      <c r="Q75" s="80"/>
      <c r="R75" s="81"/>
      <c r="S75" s="81"/>
      <c r="T75" s="81"/>
      <c r="U75" s="80"/>
      <c r="V75" s="81"/>
      <c r="W75" s="80"/>
      <c r="X75" s="85"/>
      <c r="Y75" s="85"/>
      <c r="Z75" s="85"/>
      <c r="AA75" s="150"/>
      <c r="AB75" s="141"/>
      <c r="AC75" s="81"/>
      <c r="AD75" s="99"/>
      <c r="AE75" s="12"/>
      <c r="AR75" s="5"/>
      <c r="AS75" s="13"/>
      <c r="AT75" s="7"/>
      <c r="AU75" s="7"/>
      <c r="AV75" s="7"/>
      <c r="AW75" s="7"/>
      <c r="AX75" s="7"/>
      <c r="AY75" s="7"/>
      <c r="AZ75" s="7"/>
      <c r="BA75" s="7"/>
      <c r="BB75" s="11"/>
      <c r="BC75" s="11"/>
      <c r="BD75" s="10"/>
      <c r="BE75" s="11"/>
      <c r="BF75" s="11"/>
      <c r="BG75" s="11"/>
      <c r="BH75" s="11"/>
      <c r="BI75" s="11"/>
      <c r="BJ75" s="11"/>
      <c r="BK75" s="11"/>
      <c r="BL75" s="11"/>
      <c r="BM75" s="7"/>
      <c r="BN75" s="7"/>
      <c r="BO75" s="7"/>
      <c r="BP75" s="7"/>
      <c r="BQ75" s="7"/>
      <c r="BR75" s="7"/>
      <c r="BS75" s="12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</row>
    <row r="76" spans="1:100" ht="12" customHeight="1">
      <c r="A76" s="72"/>
      <c r="B76" s="77"/>
      <c r="C76" s="81"/>
      <c r="D76" s="80"/>
      <c r="E76" s="75"/>
      <c r="F76" s="77"/>
      <c r="G76" s="74"/>
      <c r="H76" s="229"/>
      <c r="I76" s="75"/>
      <c r="J76" s="97"/>
      <c r="K76" s="97"/>
      <c r="L76" s="239"/>
      <c r="M76" s="77"/>
      <c r="N76" s="97"/>
      <c r="O76" s="77"/>
      <c r="P76" s="89">
        <f t="shared" si="0"/>
        <v>40.000000000000036</v>
      </c>
      <c r="Q76" s="80">
        <f>0.5*P76*(B75+B77)</f>
        <v>410.00000000000034</v>
      </c>
      <c r="R76" s="81">
        <v>0</v>
      </c>
      <c r="S76" s="81">
        <f>0.5*P76*(D75+D77)</f>
        <v>0</v>
      </c>
      <c r="T76" s="81">
        <f>0.5*P76*(E75+E77)</f>
        <v>0</v>
      </c>
      <c r="U76" s="80">
        <f>0.5*P76*(F75+F77)</f>
        <v>50.00000000000004</v>
      </c>
      <c r="V76" s="81">
        <f>0.5*P76*(G75+G77)</f>
        <v>0</v>
      </c>
      <c r="W76" s="80">
        <f>0.5*P76*(H75+H77)</f>
        <v>32.00000000000003</v>
      </c>
      <c r="X76" s="85">
        <f>0.5*P76*(I75+I77)</f>
        <v>44.00000000000004</v>
      </c>
      <c r="Y76" s="81">
        <f>0.5*P76*(J75+J77)</f>
        <v>16.000000000000014</v>
      </c>
      <c r="Z76" s="81">
        <f>0.5*P76*(K75+K77)</f>
        <v>14.00000000000001</v>
      </c>
      <c r="AA76" s="150">
        <f>0.5*P76*(L75+L77)</f>
        <v>420.0000000000004</v>
      </c>
      <c r="AB76" s="141">
        <f>0.5*P76*(M75+M77)</f>
        <v>0</v>
      </c>
      <c r="AC76" s="81">
        <f>0.5*P76*(N75+N77)</f>
        <v>0</v>
      </c>
      <c r="AD76" s="99">
        <f>0.5*P76*(O75+O77)</f>
        <v>0</v>
      </c>
      <c r="AE76" s="12"/>
      <c r="AR76" s="5"/>
      <c r="AS76" s="13"/>
      <c r="AT76" s="7"/>
      <c r="AU76" s="7"/>
      <c r="AV76" s="7"/>
      <c r="AW76" s="7"/>
      <c r="AX76" s="7"/>
      <c r="AY76" s="7"/>
      <c r="AZ76" s="7"/>
      <c r="BA76" s="7"/>
      <c r="BB76" s="11"/>
      <c r="BC76" s="11"/>
      <c r="BD76" s="10"/>
      <c r="BE76" s="11"/>
      <c r="BF76" s="11"/>
      <c r="BG76" s="11"/>
      <c r="BH76" s="11"/>
      <c r="BI76" s="11"/>
      <c r="BJ76" s="11"/>
      <c r="BK76" s="11"/>
      <c r="BL76" s="11"/>
      <c r="BM76" s="7"/>
      <c r="BN76" s="7"/>
      <c r="BO76" s="7"/>
      <c r="BP76" s="7"/>
      <c r="BQ76" s="7"/>
      <c r="BR76" s="7"/>
      <c r="BS76" s="12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</row>
    <row r="77" spans="1:100" ht="12" customHeight="1">
      <c r="A77" s="72">
        <v>5.84</v>
      </c>
      <c r="B77" s="77">
        <v>14.8</v>
      </c>
      <c r="C77" s="81"/>
      <c r="D77" s="80"/>
      <c r="E77" s="75">
        <v>0</v>
      </c>
      <c r="F77" s="76">
        <v>1.25</v>
      </c>
      <c r="G77" s="74">
        <v>0</v>
      </c>
      <c r="H77" s="229">
        <v>0.8</v>
      </c>
      <c r="I77" s="75">
        <v>1.1</v>
      </c>
      <c r="J77" s="75">
        <v>0.4</v>
      </c>
      <c r="K77" s="75">
        <v>0.3</v>
      </c>
      <c r="L77" s="150">
        <v>14.8</v>
      </c>
      <c r="M77" s="77">
        <v>0</v>
      </c>
      <c r="N77" s="75">
        <v>0</v>
      </c>
      <c r="O77" s="77">
        <v>0</v>
      </c>
      <c r="P77" s="89"/>
      <c r="Q77" s="80"/>
      <c r="R77" s="81"/>
      <c r="S77" s="81"/>
      <c r="T77" s="81"/>
      <c r="U77" s="80"/>
      <c r="V77" s="81"/>
      <c r="W77" s="80"/>
      <c r="X77" s="85"/>
      <c r="Y77" s="85"/>
      <c r="Z77" s="85"/>
      <c r="AA77" s="150"/>
      <c r="AB77" s="141"/>
      <c r="AC77" s="81"/>
      <c r="AD77" s="99"/>
      <c r="AE77" s="12"/>
      <c r="AR77" s="5"/>
      <c r="AS77" s="13"/>
      <c r="AT77" s="7"/>
      <c r="AU77" s="7"/>
      <c r="AV77" s="7"/>
      <c r="AW77" s="7"/>
      <c r="AX77" s="7"/>
      <c r="AY77" s="7"/>
      <c r="AZ77" s="7"/>
      <c r="BA77" s="7"/>
      <c r="BB77" s="11"/>
      <c r="BC77" s="11"/>
      <c r="BD77" s="10"/>
      <c r="BE77" s="11"/>
      <c r="BF77" s="11"/>
      <c r="BG77" s="11"/>
      <c r="BH77" s="11"/>
      <c r="BI77" s="11"/>
      <c r="BJ77" s="11"/>
      <c r="BK77" s="11"/>
      <c r="BL77" s="11"/>
      <c r="BM77" s="7"/>
      <c r="BN77" s="7"/>
      <c r="BO77" s="7"/>
      <c r="BP77" s="7"/>
      <c r="BQ77" s="7"/>
      <c r="BR77" s="7"/>
      <c r="BS77" s="12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</row>
    <row r="78" spans="1:100" ht="12" customHeight="1">
      <c r="A78" s="72"/>
      <c r="B78" s="77"/>
      <c r="C78" s="81"/>
      <c r="D78" s="80"/>
      <c r="E78" s="75"/>
      <c r="F78" s="76"/>
      <c r="G78" s="74"/>
      <c r="H78" s="229"/>
      <c r="I78" s="75"/>
      <c r="J78" s="75"/>
      <c r="K78" s="75"/>
      <c r="L78" s="150"/>
      <c r="M78" s="77"/>
      <c r="N78" s="75"/>
      <c r="O78" s="77"/>
      <c r="P78" s="89">
        <f t="shared" si="0"/>
        <v>60.0000000000005</v>
      </c>
      <c r="Q78" s="80">
        <f>0.5*P78*(B77+B79)</f>
        <v>468.0000000000039</v>
      </c>
      <c r="R78" s="81">
        <v>0</v>
      </c>
      <c r="S78" s="81">
        <f>0.5*P78*(D77+D79)</f>
        <v>0</v>
      </c>
      <c r="T78" s="81">
        <f>0.5*P78*(E77+E79)</f>
        <v>0</v>
      </c>
      <c r="U78" s="80">
        <f>0.5*P78*(F77+F79)</f>
        <v>75.00000000000063</v>
      </c>
      <c r="V78" s="81">
        <f>0.5*P78*(G77+G79)</f>
        <v>0</v>
      </c>
      <c r="W78" s="80">
        <f>0.5*P78*(H77+H79)</f>
        <v>48.0000000000004</v>
      </c>
      <c r="X78" s="85">
        <f>0.5*P78*(I77+I79)</f>
        <v>63.000000000000526</v>
      </c>
      <c r="Y78" s="81">
        <f>0.5*P78*(J77+J79)</f>
        <v>24.0000000000002</v>
      </c>
      <c r="Z78" s="81">
        <f>0.5*P78*(K77+K79)</f>
        <v>30.00000000000025</v>
      </c>
      <c r="AA78" s="150">
        <f>0.5*P78*(L77+L79)</f>
        <v>444.0000000000037</v>
      </c>
      <c r="AB78" s="141">
        <f>0.5*P78*(M77+M79)</f>
        <v>0</v>
      </c>
      <c r="AC78" s="81">
        <f>0.5*P78*(N77+N79)</f>
        <v>0</v>
      </c>
      <c r="AD78" s="99">
        <f>0.5*P78*(O77+O79)</f>
        <v>0</v>
      </c>
      <c r="AE78" s="12"/>
      <c r="AR78" s="5"/>
      <c r="AS78" s="13"/>
      <c r="AT78" s="7"/>
      <c r="AU78" s="7"/>
      <c r="AV78" s="7"/>
      <c r="AW78" s="7"/>
      <c r="AX78" s="7"/>
      <c r="AY78" s="7"/>
      <c r="AZ78" s="7"/>
      <c r="BA78" s="7"/>
      <c r="BB78" s="11"/>
      <c r="BC78" s="11"/>
      <c r="BD78" s="10"/>
      <c r="BE78" s="11"/>
      <c r="BF78" s="11"/>
      <c r="BG78" s="11"/>
      <c r="BH78" s="11"/>
      <c r="BI78" s="11"/>
      <c r="BJ78" s="11"/>
      <c r="BK78" s="11"/>
      <c r="BL78" s="11"/>
      <c r="BM78" s="7"/>
      <c r="BN78" s="7"/>
      <c r="BO78" s="7"/>
      <c r="BP78" s="7"/>
      <c r="BQ78" s="7"/>
      <c r="BR78" s="7"/>
      <c r="BS78" s="12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</row>
    <row r="79" spans="1:100" ht="12" customHeight="1">
      <c r="A79" s="72">
        <v>5.9</v>
      </c>
      <c r="B79" s="77">
        <v>0.8</v>
      </c>
      <c r="C79" s="81"/>
      <c r="D79" s="80"/>
      <c r="E79" s="75">
        <v>0</v>
      </c>
      <c r="F79" s="76">
        <v>1.25</v>
      </c>
      <c r="G79" s="74">
        <v>0</v>
      </c>
      <c r="H79" s="229">
        <v>0.8</v>
      </c>
      <c r="I79" s="75">
        <v>1</v>
      </c>
      <c r="J79" s="75">
        <v>0.4</v>
      </c>
      <c r="K79" s="75">
        <v>0.7</v>
      </c>
      <c r="L79" s="150">
        <v>0</v>
      </c>
      <c r="M79" s="77">
        <v>0</v>
      </c>
      <c r="N79" s="75">
        <v>0</v>
      </c>
      <c r="O79" s="77">
        <v>0</v>
      </c>
      <c r="P79" s="89"/>
      <c r="Q79" s="80"/>
      <c r="R79" s="81"/>
      <c r="S79" s="81"/>
      <c r="T79" s="81"/>
      <c r="U79" s="80"/>
      <c r="V79" s="81"/>
      <c r="W79" s="80"/>
      <c r="X79" s="85"/>
      <c r="Y79" s="85"/>
      <c r="Z79" s="85"/>
      <c r="AA79" s="81"/>
      <c r="AB79" s="141"/>
      <c r="AC79" s="81"/>
      <c r="AD79" s="99"/>
      <c r="AE79" s="12"/>
      <c r="AR79" s="5"/>
      <c r="AS79" s="13"/>
      <c r="AT79" s="7"/>
      <c r="AU79" s="7"/>
      <c r="AV79" s="7"/>
      <c r="AW79" s="7"/>
      <c r="AX79" s="7"/>
      <c r="AY79" s="7"/>
      <c r="AZ79" s="7"/>
      <c r="BA79" s="7"/>
      <c r="BB79" s="11"/>
      <c r="BC79" s="11"/>
      <c r="BD79" s="10"/>
      <c r="BE79" s="11"/>
      <c r="BF79" s="11"/>
      <c r="BG79" s="11"/>
      <c r="BH79" s="11"/>
      <c r="BI79" s="11"/>
      <c r="BJ79" s="11"/>
      <c r="BK79" s="11"/>
      <c r="BL79" s="11"/>
      <c r="BM79" s="7"/>
      <c r="BN79" s="7"/>
      <c r="BO79" s="7"/>
      <c r="BP79" s="7"/>
      <c r="BQ79" s="7"/>
      <c r="BR79" s="7"/>
      <c r="BS79" s="12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</row>
    <row r="80" spans="1:100" ht="12" customHeight="1">
      <c r="A80" s="72"/>
      <c r="B80" s="77"/>
      <c r="C80" s="81"/>
      <c r="D80" s="80"/>
      <c r="E80" s="75"/>
      <c r="F80" s="76"/>
      <c r="G80" s="74"/>
      <c r="H80" s="229"/>
      <c r="I80" s="75"/>
      <c r="J80" s="75"/>
      <c r="K80" s="75"/>
      <c r="L80" s="150"/>
      <c r="M80" s="77"/>
      <c r="N80" s="75"/>
      <c r="O80" s="77"/>
      <c r="P80" s="89">
        <f t="shared" si="0"/>
        <v>40.000000000000036</v>
      </c>
      <c r="Q80" s="80">
        <f>0.5*P80*(B79+B81)</f>
        <v>98.00000000000007</v>
      </c>
      <c r="R80" s="81">
        <f>0.5*P80*(C79+C81)</f>
        <v>0</v>
      </c>
      <c r="S80" s="81">
        <f>0.5*P80*(D79+D81)</f>
        <v>0</v>
      </c>
      <c r="T80" s="81">
        <f>0.5*P80*(E79+E81)</f>
        <v>0</v>
      </c>
      <c r="U80" s="80">
        <f>0.5*P80*(F79+F81)</f>
        <v>50.00000000000004</v>
      </c>
      <c r="V80" s="81">
        <f>0.5*P80*(G79+G81)</f>
        <v>0</v>
      </c>
      <c r="W80" s="80">
        <f>0.5*P80*(H79+H81)</f>
        <v>32.00000000000003</v>
      </c>
      <c r="X80" s="85">
        <f>0.5*P80*(I79+I81)</f>
        <v>42.00000000000004</v>
      </c>
      <c r="Y80" s="81">
        <f>0.5*P80*(J79+J81)</f>
        <v>16.000000000000014</v>
      </c>
      <c r="Z80" s="81">
        <f>0.5*P80*(K79+K81)</f>
        <v>32.00000000000003</v>
      </c>
      <c r="AA80" s="81">
        <f>0.5*P80*(L79+L81)</f>
        <v>100.00000000000009</v>
      </c>
      <c r="AB80" s="141">
        <f>0.5*P80*(M79+M81)</f>
        <v>0</v>
      </c>
      <c r="AC80" s="81">
        <f>0.5*P80*(N79+N81)</f>
        <v>0</v>
      </c>
      <c r="AD80" s="99">
        <f>0.5*P80*(O79+O81)</f>
        <v>0</v>
      </c>
      <c r="AE80" s="12"/>
      <c r="AR80" s="5"/>
      <c r="AS80" s="13"/>
      <c r="AT80" s="7"/>
      <c r="AU80" s="7"/>
      <c r="AV80" s="7"/>
      <c r="AW80" s="7"/>
      <c r="AX80" s="7"/>
      <c r="AY80" s="7"/>
      <c r="AZ80" s="7"/>
      <c r="BA80" s="7"/>
      <c r="BB80" s="11"/>
      <c r="BC80" s="11"/>
      <c r="BD80" s="10"/>
      <c r="BE80" s="11"/>
      <c r="BF80" s="11"/>
      <c r="BG80" s="11"/>
      <c r="BH80" s="11"/>
      <c r="BI80" s="11"/>
      <c r="BJ80" s="11"/>
      <c r="BK80" s="11"/>
      <c r="BL80" s="11"/>
      <c r="BM80" s="7"/>
      <c r="BN80" s="7"/>
      <c r="BO80" s="7"/>
      <c r="BP80" s="7"/>
      <c r="BQ80" s="7"/>
      <c r="BR80" s="7"/>
      <c r="BS80" s="12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1:100" ht="12" customHeight="1">
      <c r="A81" s="72">
        <v>5.94</v>
      </c>
      <c r="B81" s="77">
        <v>4.1</v>
      </c>
      <c r="C81" s="81"/>
      <c r="D81" s="80"/>
      <c r="E81" s="75">
        <v>0</v>
      </c>
      <c r="F81" s="76">
        <v>1.25</v>
      </c>
      <c r="G81" s="74">
        <v>0</v>
      </c>
      <c r="H81" s="229">
        <v>0.8</v>
      </c>
      <c r="I81" s="75">
        <v>1.1</v>
      </c>
      <c r="J81" s="75">
        <v>0.4</v>
      </c>
      <c r="K81" s="75">
        <v>0.9</v>
      </c>
      <c r="L81" s="75">
        <v>5</v>
      </c>
      <c r="M81" s="77">
        <v>0</v>
      </c>
      <c r="N81" s="75">
        <v>0</v>
      </c>
      <c r="O81" s="77">
        <v>0</v>
      </c>
      <c r="P81" s="89"/>
      <c r="Q81" s="80"/>
      <c r="R81" s="81"/>
      <c r="S81" s="81"/>
      <c r="T81" s="81"/>
      <c r="U81" s="80"/>
      <c r="V81" s="81"/>
      <c r="W81" s="80"/>
      <c r="X81" s="85"/>
      <c r="Y81" s="85"/>
      <c r="Z81" s="85"/>
      <c r="AA81" s="81"/>
      <c r="AB81" s="141"/>
      <c r="AC81" s="81"/>
      <c r="AD81" s="99"/>
      <c r="AE81" s="12"/>
      <c r="AR81" s="5"/>
      <c r="AS81" s="13"/>
      <c r="AT81" s="7"/>
      <c r="AU81" s="7"/>
      <c r="AV81" s="7"/>
      <c r="AW81" s="7"/>
      <c r="AX81" s="7"/>
      <c r="AY81" s="7"/>
      <c r="AZ81" s="7"/>
      <c r="BA81" s="7"/>
      <c r="BB81" s="11"/>
      <c r="BC81" s="11"/>
      <c r="BD81" s="10"/>
      <c r="BE81" s="11"/>
      <c r="BF81" s="11"/>
      <c r="BG81" s="11"/>
      <c r="BH81" s="11"/>
      <c r="BI81" s="11"/>
      <c r="BJ81" s="11"/>
      <c r="BK81" s="11"/>
      <c r="BL81" s="11"/>
      <c r="BM81" s="7"/>
      <c r="BN81" s="7"/>
      <c r="BO81" s="7"/>
      <c r="BP81" s="7"/>
      <c r="BQ81" s="7"/>
      <c r="BR81" s="7"/>
      <c r="BS81" s="12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</row>
    <row r="82" spans="1:100" ht="12" customHeight="1">
      <c r="A82" s="144">
        <v>5.967</v>
      </c>
      <c r="B82" s="77"/>
      <c r="C82" s="152" t="s">
        <v>27</v>
      </c>
      <c r="D82" s="143"/>
      <c r="E82" s="75"/>
      <c r="F82" s="76"/>
      <c r="G82" s="74"/>
      <c r="H82" s="229"/>
      <c r="I82" s="75"/>
      <c r="J82" s="75"/>
      <c r="K82" s="75"/>
      <c r="L82" s="75"/>
      <c r="M82" s="77"/>
      <c r="N82" s="75"/>
      <c r="O82" s="77"/>
      <c r="P82" s="89">
        <f t="shared" si="0"/>
        <v>40.000000000000036</v>
      </c>
      <c r="Q82" s="80">
        <f>0.5*P82*(B81+B83)</f>
        <v>98.00000000000007</v>
      </c>
      <c r="R82" s="81">
        <f>0.5*P82*(C81+C83)</f>
        <v>0</v>
      </c>
      <c r="S82" s="81">
        <f>0.5*P82*(D81+D83)</f>
        <v>0</v>
      </c>
      <c r="T82" s="150">
        <f>0.5*P82*(E81+E83)</f>
        <v>36.000000000000036</v>
      </c>
      <c r="U82" s="80">
        <f>0.5*P82*(F81+F83)</f>
        <v>80.00000000000007</v>
      </c>
      <c r="V82" s="81">
        <f>0.5*P82*(G81+G83)</f>
        <v>6.600000000000006</v>
      </c>
      <c r="W82" s="80">
        <f>0.5*P82*(H81+H83)</f>
        <v>60.00000000000006</v>
      </c>
      <c r="X82" s="85">
        <f>0.5*P82*(I81+I83)</f>
        <v>72.00000000000007</v>
      </c>
      <c r="Y82" s="81">
        <f>0.5*P82*(J81+J83)</f>
        <v>16.000000000000014</v>
      </c>
      <c r="Z82" s="81">
        <f>0.5*P82*(K81+K83)</f>
        <v>68.00000000000006</v>
      </c>
      <c r="AA82" s="81">
        <f>0.5*P82*(L81+L83)</f>
        <v>112.00000000000009</v>
      </c>
      <c r="AB82" s="141">
        <f>0.5*P82*(M81+M83)</f>
        <v>0</v>
      </c>
      <c r="AC82" s="81">
        <f>0.5*P82*(N81+N83)</f>
        <v>0</v>
      </c>
      <c r="AD82" s="99">
        <f>0.5*P82*(O81+O83)</f>
        <v>2.0000000000000018</v>
      </c>
      <c r="AE82" s="12"/>
      <c r="AR82" s="5"/>
      <c r="AS82" s="13"/>
      <c r="AT82" s="7"/>
      <c r="AU82" s="7"/>
      <c r="AV82" s="7"/>
      <c r="AW82" s="7"/>
      <c r="AX82" s="7"/>
      <c r="AY82" s="7"/>
      <c r="AZ82" s="7"/>
      <c r="BA82" s="7"/>
      <c r="BB82" s="11"/>
      <c r="BC82" s="11"/>
      <c r="BD82" s="10"/>
      <c r="BE82" s="11"/>
      <c r="BF82" s="11"/>
      <c r="BG82" s="11"/>
      <c r="BH82" s="11"/>
      <c r="BI82" s="11"/>
      <c r="BJ82" s="11"/>
      <c r="BK82" s="11"/>
      <c r="BL82" s="11"/>
      <c r="BM82" s="7"/>
      <c r="BN82" s="7"/>
      <c r="BO82" s="7"/>
      <c r="BP82" s="7"/>
      <c r="BQ82" s="7"/>
      <c r="BR82" s="7"/>
      <c r="BS82" s="12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</row>
    <row r="83" spans="1:100" ht="12" customHeight="1">
      <c r="A83" s="72">
        <v>5.98</v>
      </c>
      <c r="B83" s="77">
        <v>0.8</v>
      </c>
      <c r="C83" s="146"/>
      <c r="D83" s="81"/>
      <c r="E83" s="150">
        <v>1.8</v>
      </c>
      <c r="F83" s="76">
        <v>2.75</v>
      </c>
      <c r="G83" s="74">
        <v>0.33</v>
      </c>
      <c r="H83" s="229">
        <v>2.2</v>
      </c>
      <c r="I83" s="75">
        <v>2.5</v>
      </c>
      <c r="J83" s="75">
        <v>0.4</v>
      </c>
      <c r="K83" s="75">
        <v>2.5</v>
      </c>
      <c r="L83" s="75">
        <v>0.6</v>
      </c>
      <c r="M83" s="77">
        <v>0</v>
      </c>
      <c r="N83" s="75">
        <v>0</v>
      </c>
      <c r="O83" s="77">
        <v>0.1</v>
      </c>
      <c r="P83" s="89"/>
      <c r="Q83" s="80"/>
      <c r="R83" s="81"/>
      <c r="S83" s="81"/>
      <c r="T83" s="150"/>
      <c r="U83" s="80"/>
      <c r="V83" s="81"/>
      <c r="W83" s="80"/>
      <c r="X83" s="85"/>
      <c r="Y83" s="85"/>
      <c r="Z83" s="85"/>
      <c r="AA83" s="81"/>
      <c r="AB83" s="141"/>
      <c r="AC83" s="81"/>
      <c r="AD83" s="99"/>
      <c r="AE83" s="12"/>
      <c r="AR83" s="5"/>
      <c r="AS83" s="13"/>
      <c r="AT83" s="7"/>
      <c r="AU83" s="7"/>
      <c r="AV83" s="7"/>
      <c r="AW83" s="7"/>
      <c r="AX83" s="7"/>
      <c r="AY83" s="7"/>
      <c r="AZ83" s="7"/>
      <c r="BA83" s="7"/>
      <c r="BB83" s="11"/>
      <c r="BC83" s="11"/>
      <c r="BD83" s="10"/>
      <c r="BE83" s="11"/>
      <c r="BF83" s="11"/>
      <c r="BG83" s="11"/>
      <c r="BH83" s="11"/>
      <c r="BI83" s="11"/>
      <c r="BJ83" s="11"/>
      <c r="BK83" s="11"/>
      <c r="BL83" s="11"/>
      <c r="BM83" s="7"/>
      <c r="BN83" s="7"/>
      <c r="BO83" s="7"/>
      <c r="BP83" s="7"/>
      <c r="BQ83" s="7"/>
      <c r="BR83" s="7"/>
      <c r="BS83" s="12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</row>
    <row r="84" spans="1:100" ht="12" customHeight="1">
      <c r="A84" s="72"/>
      <c r="B84" s="77"/>
      <c r="C84" s="81"/>
      <c r="D84" s="80"/>
      <c r="E84" s="75"/>
      <c r="F84" s="76"/>
      <c r="G84" s="74"/>
      <c r="H84" s="229"/>
      <c r="I84" s="75"/>
      <c r="J84" s="75"/>
      <c r="K84" s="75"/>
      <c r="L84" s="75"/>
      <c r="M84" s="77"/>
      <c r="N84" s="75"/>
      <c r="O84" s="77"/>
      <c r="P84" s="89">
        <f t="shared" si="0"/>
        <v>59.99999999999961</v>
      </c>
      <c r="Q84" s="80">
        <f>0.5*P84*(B83+B85)</f>
        <v>47.99999999999969</v>
      </c>
      <c r="R84" s="81">
        <f>0.5*P84*(C83+C85)</f>
        <v>0</v>
      </c>
      <c r="S84" s="81">
        <f>0.5*P84*(D83+D85)</f>
        <v>0</v>
      </c>
      <c r="T84" s="150">
        <f>0.5*P84*(E83+E85)</f>
        <v>107.9999999999993</v>
      </c>
      <c r="U84" s="80">
        <f>0.5*P84*(F83+F85)</f>
        <v>164.99999999999892</v>
      </c>
      <c r="V84" s="81">
        <f>0.5*P84*(G83+G85)</f>
        <v>19.799999999999873</v>
      </c>
      <c r="W84" s="80">
        <f>0.5*P84*(H83+H85)</f>
        <v>131.99999999999915</v>
      </c>
      <c r="X84" s="85">
        <f>0.5*P84*(I83+I85)</f>
        <v>149.99999999999903</v>
      </c>
      <c r="Y84" s="81">
        <f>0.5*P84*(J83+J85)</f>
        <v>23.999999999999844</v>
      </c>
      <c r="Z84" s="81">
        <f>0.5*P84*(K83+K85)</f>
        <v>140.9999999999991</v>
      </c>
      <c r="AA84" s="81">
        <f>0.5*P84*(L83+L85)</f>
        <v>47.99999999999969</v>
      </c>
      <c r="AB84" s="141">
        <f>0.5*P84*(M83+M85)</f>
        <v>0</v>
      </c>
      <c r="AC84" s="81">
        <f>0.5*P84*(N83+N85)</f>
        <v>0</v>
      </c>
      <c r="AD84" s="99">
        <f>0.5*P84*(O83+O85)</f>
        <v>44.99999999999971</v>
      </c>
      <c r="AE84" s="12"/>
      <c r="AR84" s="5"/>
      <c r="AS84" s="13"/>
      <c r="AT84" s="7"/>
      <c r="AU84" s="7"/>
      <c r="AV84" s="7"/>
      <c r="AW84" s="7"/>
      <c r="AX84" s="7"/>
      <c r="AY84" s="7"/>
      <c r="AZ84" s="7"/>
      <c r="BA84" s="7"/>
      <c r="BB84" s="11"/>
      <c r="BC84" s="11"/>
      <c r="BD84" s="10"/>
      <c r="BE84" s="11"/>
      <c r="BF84" s="11"/>
      <c r="BG84" s="11"/>
      <c r="BH84" s="11"/>
      <c r="BI84" s="11"/>
      <c r="BJ84" s="11"/>
      <c r="BK84" s="11"/>
      <c r="BL84" s="11"/>
      <c r="BM84" s="7"/>
      <c r="BN84" s="7"/>
      <c r="BO84" s="7"/>
      <c r="BP84" s="7"/>
      <c r="BQ84" s="7"/>
      <c r="BR84" s="7"/>
      <c r="BS84" s="12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</row>
    <row r="85" spans="1:100" ht="12" customHeight="1">
      <c r="A85" s="72">
        <v>6.04</v>
      </c>
      <c r="B85" s="77">
        <v>0.8</v>
      </c>
      <c r="C85" s="146"/>
      <c r="D85" s="81"/>
      <c r="E85" s="150">
        <v>1.8</v>
      </c>
      <c r="F85" s="76">
        <v>2.75</v>
      </c>
      <c r="G85" s="74">
        <v>0.33</v>
      </c>
      <c r="H85" s="229">
        <v>2.2</v>
      </c>
      <c r="I85" s="75">
        <v>2.5</v>
      </c>
      <c r="J85" s="75">
        <v>0.4</v>
      </c>
      <c r="K85" s="75">
        <v>2.2</v>
      </c>
      <c r="L85" s="75">
        <v>1</v>
      </c>
      <c r="M85" s="77">
        <v>0</v>
      </c>
      <c r="N85" s="75">
        <v>0</v>
      </c>
      <c r="O85" s="77">
        <v>1.4</v>
      </c>
      <c r="P85" s="89"/>
      <c r="Q85" s="80"/>
      <c r="R85" s="81"/>
      <c r="S85" s="81"/>
      <c r="T85" s="150"/>
      <c r="U85" s="80"/>
      <c r="V85" s="81"/>
      <c r="W85" s="80"/>
      <c r="X85" s="85"/>
      <c r="Y85" s="85"/>
      <c r="Z85" s="85"/>
      <c r="AA85" s="81"/>
      <c r="AB85" s="141"/>
      <c r="AC85" s="81"/>
      <c r="AD85" s="99"/>
      <c r="AE85" s="12"/>
      <c r="AR85" s="5"/>
      <c r="AS85" s="13"/>
      <c r="AT85" s="7"/>
      <c r="AU85" s="7"/>
      <c r="AV85" s="7"/>
      <c r="AW85" s="7"/>
      <c r="AX85" s="7"/>
      <c r="AY85" s="7"/>
      <c r="AZ85" s="7"/>
      <c r="BA85" s="7"/>
      <c r="BB85" s="11"/>
      <c r="BC85" s="11"/>
      <c r="BD85" s="10"/>
      <c r="BE85" s="11"/>
      <c r="BF85" s="11"/>
      <c r="BG85" s="11"/>
      <c r="BH85" s="11"/>
      <c r="BI85" s="11"/>
      <c r="BJ85" s="11"/>
      <c r="BK85" s="11"/>
      <c r="BL85" s="11"/>
      <c r="BM85" s="7"/>
      <c r="BN85" s="7"/>
      <c r="BO85" s="7"/>
      <c r="BP85" s="7"/>
      <c r="BQ85" s="7"/>
      <c r="BR85" s="7"/>
      <c r="BS85" s="12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</row>
    <row r="86" spans="1:100" ht="12" customHeight="1">
      <c r="A86" s="72"/>
      <c r="B86" s="77"/>
      <c r="C86" s="81"/>
      <c r="D86" s="80"/>
      <c r="E86" s="75"/>
      <c r="F86" s="76"/>
      <c r="G86" s="74"/>
      <c r="H86" s="229"/>
      <c r="I86" s="75"/>
      <c r="J86" s="75"/>
      <c r="K86" s="75"/>
      <c r="L86" s="75"/>
      <c r="M86" s="77"/>
      <c r="N86" s="75"/>
      <c r="O86" s="77"/>
      <c r="P86" s="89">
        <f t="shared" si="0"/>
        <v>59.99999999999961</v>
      </c>
      <c r="Q86" s="80">
        <f>0.5*P86*(B85+B87)</f>
        <v>41.99999999999972</v>
      </c>
      <c r="R86" s="81">
        <f>0.5*P86*(C85+C87)</f>
        <v>0</v>
      </c>
      <c r="S86" s="81">
        <f>0.5*P86*(D85+D87)</f>
        <v>0</v>
      </c>
      <c r="T86" s="150">
        <f>0.5*P86*(E85+E87)</f>
        <v>107.9999999999993</v>
      </c>
      <c r="U86" s="80">
        <f>0.5*P86*(F85+F87)</f>
        <v>157.49999999999898</v>
      </c>
      <c r="V86" s="81">
        <f>0.5*P86*(G85+G87)</f>
        <v>19.799999999999873</v>
      </c>
      <c r="W86" s="80">
        <f>0.5*P86*(H85+H87)</f>
        <v>107.9999999999993</v>
      </c>
      <c r="X86" s="85">
        <f>0.5*P86*(I85+I87)</f>
        <v>119.99999999999922</v>
      </c>
      <c r="Y86" s="81">
        <f>0.5*P86*(J85+J87)</f>
        <v>23.999999999999844</v>
      </c>
      <c r="Z86" s="81">
        <f>0.5*P86*(K85+K87)</f>
        <v>119.99999999999922</v>
      </c>
      <c r="AA86" s="81">
        <f>0.5*P86*(L85+L87)</f>
        <v>89.99999999999942</v>
      </c>
      <c r="AB86" s="141">
        <f>0.5*P86*(M85+M87)</f>
        <v>0</v>
      </c>
      <c r="AC86" s="81">
        <f>0.5*P86*(N85+N87)</f>
        <v>0</v>
      </c>
      <c r="AD86" s="99">
        <f>0.5*P86*(O85+O87)</f>
        <v>56.99999999999962</v>
      </c>
      <c r="AE86" s="12"/>
      <c r="AR86" s="5"/>
      <c r="AS86" s="13"/>
      <c r="AT86" s="7"/>
      <c r="AU86" s="7"/>
      <c r="AV86" s="7"/>
      <c r="AW86" s="7"/>
      <c r="AX86" s="7"/>
      <c r="AY86" s="7"/>
      <c r="AZ86" s="7"/>
      <c r="BA86" s="7"/>
      <c r="BB86" s="11"/>
      <c r="BC86" s="11"/>
      <c r="BD86" s="10"/>
      <c r="BE86" s="11"/>
      <c r="BF86" s="11"/>
      <c r="BG86" s="11"/>
      <c r="BH86" s="11"/>
      <c r="BI86" s="11"/>
      <c r="BJ86" s="11"/>
      <c r="BK86" s="11"/>
      <c r="BL86" s="11"/>
      <c r="BM86" s="7"/>
      <c r="BN86" s="7"/>
      <c r="BO86" s="7"/>
      <c r="BP86" s="7"/>
      <c r="BQ86" s="7"/>
      <c r="BR86" s="7"/>
      <c r="BS86" s="12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</row>
    <row r="87" spans="1:100" ht="12.75">
      <c r="A87" s="72">
        <v>6.1</v>
      </c>
      <c r="B87" s="77">
        <v>0.6</v>
      </c>
      <c r="C87" s="146"/>
      <c r="D87" s="81"/>
      <c r="E87" s="150">
        <v>1.8</v>
      </c>
      <c r="F87" s="76">
        <v>2.5</v>
      </c>
      <c r="G87" s="74">
        <v>0.33</v>
      </c>
      <c r="H87" s="229">
        <v>1.4</v>
      </c>
      <c r="I87" s="75">
        <v>1.5</v>
      </c>
      <c r="J87" s="75">
        <v>0.4</v>
      </c>
      <c r="K87" s="75">
        <v>1.8</v>
      </c>
      <c r="L87" s="75">
        <v>2</v>
      </c>
      <c r="M87" s="77">
        <v>0</v>
      </c>
      <c r="N87" s="75">
        <v>0</v>
      </c>
      <c r="O87" s="77">
        <v>0.5</v>
      </c>
      <c r="P87" s="89"/>
      <c r="Q87" s="80"/>
      <c r="R87" s="81"/>
      <c r="S87" s="81"/>
      <c r="T87" s="150"/>
      <c r="U87" s="80"/>
      <c r="V87" s="81"/>
      <c r="W87" s="80"/>
      <c r="X87" s="85"/>
      <c r="Y87" s="85"/>
      <c r="Z87" s="85"/>
      <c r="AA87" s="81"/>
      <c r="AB87" s="141"/>
      <c r="AC87" s="81"/>
      <c r="AD87" s="99"/>
      <c r="AE87" s="12"/>
      <c r="AR87" s="5"/>
      <c r="AS87" s="13"/>
      <c r="AT87" s="7"/>
      <c r="AU87" s="7"/>
      <c r="AV87" s="7"/>
      <c r="AW87" s="7"/>
      <c r="AX87" s="7"/>
      <c r="AY87" s="7"/>
      <c r="AZ87" s="7"/>
      <c r="BA87" s="7"/>
      <c r="BB87" s="11"/>
      <c r="BC87" s="11"/>
      <c r="BD87" s="10"/>
      <c r="BE87" s="11"/>
      <c r="BF87" s="11"/>
      <c r="BG87" s="11"/>
      <c r="BH87" s="11"/>
      <c r="BI87" s="11"/>
      <c r="BJ87" s="11"/>
      <c r="BK87" s="11"/>
      <c r="BL87" s="11"/>
      <c r="BM87" s="7"/>
      <c r="BN87" s="7"/>
      <c r="BO87" s="7"/>
      <c r="BP87" s="7"/>
      <c r="BQ87" s="7"/>
      <c r="BR87" s="7"/>
      <c r="BS87" s="12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</row>
    <row r="88" spans="1:100" ht="12.75">
      <c r="A88" s="72"/>
      <c r="B88" s="77"/>
      <c r="C88" s="81"/>
      <c r="D88" s="80"/>
      <c r="E88" s="75"/>
      <c r="F88" s="76"/>
      <c r="G88" s="74"/>
      <c r="H88" s="229"/>
      <c r="I88" s="75"/>
      <c r="J88" s="75"/>
      <c r="K88" s="75"/>
      <c r="L88" s="75"/>
      <c r="M88" s="77"/>
      <c r="N88" s="75"/>
      <c r="O88" s="77"/>
      <c r="P88" s="89">
        <f t="shared" si="0"/>
        <v>40.000000000000036</v>
      </c>
      <c r="Q88" s="80">
        <f>0.5*P88*(B87+B89)</f>
        <v>126.00000000000011</v>
      </c>
      <c r="R88" s="81">
        <f>0.5*P88*(C87+C89)</f>
        <v>0</v>
      </c>
      <c r="S88" s="81">
        <f>0.5*P88*(D87+D89)</f>
        <v>0</v>
      </c>
      <c r="T88" s="150">
        <f>0.5*P88*(E87+E89)</f>
        <v>72.00000000000007</v>
      </c>
      <c r="U88" s="80">
        <f>0.5*P88*(F87+F89)</f>
        <v>100.00000000000009</v>
      </c>
      <c r="V88" s="81">
        <f>0.5*P88*(G87+G89)</f>
        <v>13.200000000000012</v>
      </c>
      <c r="W88" s="80">
        <f>0.5*P88*(H87+H89)</f>
        <v>56.00000000000004</v>
      </c>
      <c r="X88" s="85">
        <f>0.5*P88*(I87+I89)</f>
        <v>60.00000000000006</v>
      </c>
      <c r="Y88" s="81">
        <f>0.5*P88*(J87+J89)</f>
        <v>16.000000000000014</v>
      </c>
      <c r="Z88" s="81">
        <f>0.5*P88*(K87+K89)</f>
        <v>72.00000000000007</v>
      </c>
      <c r="AA88" s="81">
        <f>0.5*P88*(L87+L89)</f>
        <v>50.00000000000004</v>
      </c>
      <c r="AB88" s="141">
        <f>0.5*P88*(M87+M89)</f>
        <v>0</v>
      </c>
      <c r="AC88" s="81">
        <f>0.5*P88*(N87+N89)</f>
        <v>0</v>
      </c>
      <c r="AD88" s="99">
        <f>0.5*P88*(O87+O89)</f>
        <v>32.00000000000003</v>
      </c>
      <c r="AE88" s="12"/>
      <c r="AR88" s="5"/>
      <c r="AS88" s="13"/>
      <c r="AT88" s="7"/>
      <c r="AU88" s="7"/>
      <c r="AV88" s="7"/>
      <c r="AW88" s="7"/>
      <c r="AX88" s="7"/>
      <c r="AY88" s="7"/>
      <c r="AZ88" s="7"/>
      <c r="BA88" s="7"/>
      <c r="BB88" s="11"/>
      <c r="BC88" s="11"/>
      <c r="BD88" s="10"/>
      <c r="BE88" s="11"/>
      <c r="BF88" s="11"/>
      <c r="BG88" s="11"/>
      <c r="BH88" s="11"/>
      <c r="BI88" s="11"/>
      <c r="BJ88" s="11"/>
      <c r="BK88" s="11"/>
      <c r="BL88" s="11"/>
      <c r="BM88" s="7"/>
      <c r="BN88" s="7"/>
      <c r="BO88" s="7"/>
      <c r="BP88" s="7"/>
      <c r="BQ88" s="7"/>
      <c r="BR88" s="7"/>
      <c r="BS88" s="12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</row>
    <row r="89" spans="1:100" ht="12.75">
      <c r="A89" s="72">
        <v>6.14</v>
      </c>
      <c r="B89" s="77">
        <v>5.7</v>
      </c>
      <c r="C89" s="146"/>
      <c r="D89" s="81"/>
      <c r="E89" s="150">
        <v>1.8</v>
      </c>
      <c r="F89" s="76">
        <v>2.5</v>
      </c>
      <c r="G89" s="74">
        <v>0.33</v>
      </c>
      <c r="H89" s="229">
        <v>1.4</v>
      </c>
      <c r="I89" s="75">
        <v>1.5</v>
      </c>
      <c r="J89" s="75">
        <v>0.4</v>
      </c>
      <c r="K89" s="75">
        <v>1.8</v>
      </c>
      <c r="L89" s="75">
        <v>0.5</v>
      </c>
      <c r="M89" s="77">
        <v>0</v>
      </c>
      <c r="N89" s="75">
        <v>0</v>
      </c>
      <c r="O89" s="77">
        <v>1.1</v>
      </c>
      <c r="P89" s="89"/>
      <c r="Q89" s="80"/>
      <c r="R89" s="81"/>
      <c r="S89" s="81"/>
      <c r="T89" s="150"/>
      <c r="U89" s="80"/>
      <c r="V89" s="81"/>
      <c r="W89" s="80"/>
      <c r="X89" s="85"/>
      <c r="Y89" s="85"/>
      <c r="Z89" s="85"/>
      <c r="AA89" s="81"/>
      <c r="AB89" s="141"/>
      <c r="AC89" s="81"/>
      <c r="AD89" s="99"/>
      <c r="AE89" s="12"/>
      <c r="AR89" s="5"/>
      <c r="AS89" s="13"/>
      <c r="AT89" s="7"/>
      <c r="AU89" s="7"/>
      <c r="AV89" s="7"/>
      <c r="AW89" s="7"/>
      <c r="AX89" s="7"/>
      <c r="AY89" s="7"/>
      <c r="AZ89" s="7"/>
      <c r="BA89" s="7"/>
      <c r="BB89" s="11"/>
      <c r="BC89" s="11"/>
      <c r="BD89" s="10"/>
      <c r="BE89" s="11"/>
      <c r="BF89" s="11"/>
      <c r="BG89" s="11"/>
      <c r="BH89" s="11"/>
      <c r="BI89" s="11"/>
      <c r="BJ89" s="11"/>
      <c r="BK89" s="11"/>
      <c r="BL89" s="11"/>
      <c r="BM89" s="7"/>
      <c r="BN89" s="7"/>
      <c r="BO89" s="7"/>
      <c r="BP89" s="7"/>
      <c r="BQ89" s="7"/>
      <c r="BR89" s="7"/>
      <c r="BS89" s="12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</row>
    <row r="90" spans="1:100" ht="12.75">
      <c r="A90" s="72"/>
      <c r="B90" s="77"/>
      <c r="C90" s="81"/>
      <c r="D90" s="80"/>
      <c r="E90" s="75"/>
      <c r="F90" s="76"/>
      <c r="G90" s="74"/>
      <c r="H90" s="229"/>
      <c r="I90" s="75"/>
      <c r="J90" s="75"/>
      <c r="K90" s="75"/>
      <c r="L90" s="75"/>
      <c r="M90" s="77"/>
      <c r="N90" s="75"/>
      <c r="O90" s="77"/>
      <c r="P90" s="89">
        <f t="shared" si="0"/>
        <v>60.0000000000005</v>
      </c>
      <c r="Q90" s="80">
        <f>0.5*P90*(B89+B91)</f>
        <v>297.0000000000025</v>
      </c>
      <c r="R90" s="81">
        <f>0.5*P90*(C89+C91)</f>
        <v>0</v>
      </c>
      <c r="S90" s="81">
        <f>0.5*P90*(D89+D91)</f>
        <v>0</v>
      </c>
      <c r="T90" s="150">
        <f>0.5*P90*(E89+E91)</f>
        <v>81.00000000000068</v>
      </c>
      <c r="U90" s="80">
        <f>0.5*P90*(F89+F91)</f>
        <v>150.00000000000125</v>
      </c>
      <c r="V90" s="81">
        <f>0.5*P90*(G89+G91)</f>
        <v>19.800000000000164</v>
      </c>
      <c r="W90" s="80">
        <f>0.5*P90*(H89+H91)</f>
        <v>84.0000000000007</v>
      </c>
      <c r="X90" s="85">
        <f>0.5*P90*(I89+I91)</f>
        <v>90.00000000000074</v>
      </c>
      <c r="Y90" s="81">
        <f>0.5*P90*(J89+J91)</f>
        <v>24.0000000000002</v>
      </c>
      <c r="Z90" s="81">
        <f>0.5*P90*(K89+K91)</f>
        <v>102.00000000000085</v>
      </c>
      <c r="AA90" s="81">
        <f>0.5*P90*(L89+L91)</f>
        <v>15.000000000000124</v>
      </c>
      <c r="AB90" s="141">
        <f>0.5*P90*(M89+M91)</f>
        <v>0</v>
      </c>
      <c r="AC90" s="81">
        <f>0.5*P90*(N89+N91)</f>
        <v>0</v>
      </c>
      <c r="AD90" s="99">
        <f>0.5*P90*(O89+O91)</f>
        <v>51.000000000000426</v>
      </c>
      <c r="AE90" s="12"/>
      <c r="AR90" s="5"/>
      <c r="AS90" s="13"/>
      <c r="AT90" s="7"/>
      <c r="AU90" s="7"/>
      <c r="AV90" s="7"/>
      <c r="AW90" s="7"/>
      <c r="AX90" s="7"/>
      <c r="AY90" s="7"/>
      <c r="AZ90" s="7"/>
      <c r="BA90" s="7"/>
      <c r="BB90" s="11"/>
      <c r="BC90" s="11"/>
      <c r="BD90" s="10"/>
      <c r="BE90" s="11"/>
      <c r="BF90" s="11"/>
      <c r="BG90" s="11"/>
      <c r="BH90" s="11"/>
      <c r="BI90" s="11"/>
      <c r="BJ90" s="11"/>
      <c r="BK90" s="11"/>
      <c r="BL90" s="11"/>
      <c r="BM90" s="7"/>
      <c r="BN90" s="7"/>
      <c r="BO90" s="7"/>
      <c r="BP90" s="7"/>
      <c r="BQ90" s="7"/>
      <c r="BR90" s="7"/>
      <c r="BS90" s="12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</row>
    <row r="91" spans="1:100" ht="12.75">
      <c r="A91" s="72">
        <v>6.2</v>
      </c>
      <c r="B91" s="77">
        <v>4.2</v>
      </c>
      <c r="C91" s="146"/>
      <c r="D91" s="81"/>
      <c r="E91" s="150">
        <v>0.9</v>
      </c>
      <c r="F91" s="76">
        <v>2.5</v>
      </c>
      <c r="G91" s="74">
        <v>0.33</v>
      </c>
      <c r="H91" s="229">
        <v>1.4</v>
      </c>
      <c r="I91" s="75">
        <v>1.5</v>
      </c>
      <c r="J91" s="96">
        <v>0.4</v>
      </c>
      <c r="K91" s="96">
        <v>1.6</v>
      </c>
      <c r="L91" s="96">
        <v>0</v>
      </c>
      <c r="M91" s="77">
        <v>0</v>
      </c>
      <c r="N91" s="75">
        <v>0</v>
      </c>
      <c r="O91" s="77">
        <v>0.6</v>
      </c>
      <c r="P91" s="89"/>
      <c r="Q91" s="80"/>
      <c r="R91" s="81"/>
      <c r="S91" s="81"/>
      <c r="T91" s="150"/>
      <c r="U91" s="80"/>
      <c r="V91" s="81"/>
      <c r="W91" s="80"/>
      <c r="X91" s="85"/>
      <c r="Y91" s="85"/>
      <c r="Z91" s="85"/>
      <c r="AA91" s="81"/>
      <c r="AB91" s="141"/>
      <c r="AC91" s="81"/>
      <c r="AD91" s="99"/>
      <c r="AE91" s="12"/>
      <c r="AR91" s="5"/>
      <c r="AS91" s="13"/>
      <c r="AT91" s="7"/>
      <c r="AU91" s="7"/>
      <c r="AV91" s="7"/>
      <c r="AW91" s="7"/>
      <c r="AX91" s="7"/>
      <c r="AY91" s="7"/>
      <c r="AZ91" s="7"/>
      <c r="BA91" s="7"/>
      <c r="BB91" s="11"/>
      <c r="BC91" s="11"/>
      <c r="BD91" s="10"/>
      <c r="BE91" s="11"/>
      <c r="BF91" s="11"/>
      <c r="BG91" s="11"/>
      <c r="BH91" s="11"/>
      <c r="BI91" s="11"/>
      <c r="BJ91" s="11"/>
      <c r="BK91" s="11"/>
      <c r="BL91" s="11"/>
      <c r="BM91" s="7"/>
      <c r="BN91" s="7"/>
      <c r="BO91" s="7"/>
      <c r="BP91" s="7"/>
      <c r="BQ91" s="7"/>
      <c r="BR91" s="7"/>
      <c r="BS91" s="12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</row>
    <row r="92" spans="1:100" ht="15">
      <c r="A92" s="72"/>
      <c r="B92" s="77"/>
      <c r="C92" s="81"/>
      <c r="D92" s="80"/>
      <c r="E92" s="75"/>
      <c r="F92" s="76"/>
      <c r="G92" s="74"/>
      <c r="H92" s="229"/>
      <c r="I92" s="75"/>
      <c r="J92" s="93"/>
      <c r="K92" s="93"/>
      <c r="L92" s="93"/>
      <c r="M92" s="77"/>
      <c r="N92" s="93"/>
      <c r="O92" s="77"/>
      <c r="P92" s="89">
        <f t="shared" si="0"/>
        <v>40.000000000000036</v>
      </c>
      <c r="Q92" s="80">
        <f>0.5*P92*(B91+B93)</f>
        <v>170.00000000000014</v>
      </c>
      <c r="R92" s="81">
        <f>0.5*P92*(C91+C93)</f>
        <v>0</v>
      </c>
      <c r="S92" s="81">
        <f>0.5*P92*(D91+D93)</f>
        <v>0</v>
      </c>
      <c r="T92" s="150">
        <f>0.5*P92*(E91+E93)</f>
        <v>38.00000000000003</v>
      </c>
      <c r="U92" s="80">
        <f>0.5*P92*(F91+F93)</f>
        <v>100.00000000000009</v>
      </c>
      <c r="V92" s="81">
        <f>0.5*P92*(G91+G93)</f>
        <v>13.200000000000012</v>
      </c>
      <c r="W92" s="80">
        <f>0.5*P92*(H91+H93)</f>
        <v>58.00000000000005</v>
      </c>
      <c r="X92" s="85">
        <f>0.5*P92*(I91+I93)</f>
        <v>60.00000000000006</v>
      </c>
      <c r="Y92" s="81">
        <f>0.5*P92*(J91+J93)</f>
        <v>16.000000000000014</v>
      </c>
      <c r="Z92" s="81">
        <f>0.5*P92*(K91+K93)</f>
        <v>72.00000000000007</v>
      </c>
      <c r="AA92" s="81">
        <f>0.5*P92*(L91+L93)</f>
        <v>0</v>
      </c>
      <c r="AB92" s="141">
        <f>0.5*P92*(M91+M93)</f>
        <v>0</v>
      </c>
      <c r="AC92" s="81">
        <f>0.5*P92*(N91+N93)</f>
        <v>0</v>
      </c>
      <c r="AD92" s="99">
        <f>0.5*P92*(O91+O93)</f>
        <v>18.000000000000014</v>
      </c>
      <c r="AE92" s="12"/>
      <c r="AF92" s="45"/>
      <c r="AR92" s="5"/>
      <c r="AS92" s="13"/>
      <c r="AT92" s="7"/>
      <c r="AU92" s="7"/>
      <c r="AV92" s="7"/>
      <c r="AW92" s="7"/>
      <c r="AX92" s="7"/>
      <c r="AY92" s="7"/>
      <c r="AZ92" s="7"/>
      <c r="BA92" s="7"/>
      <c r="BB92" s="11"/>
      <c r="BC92" s="11"/>
      <c r="BD92" s="10"/>
      <c r="BE92" s="11"/>
      <c r="BF92" s="11"/>
      <c r="BG92" s="11"/>
      <c r="BH92" s="11"/>
      <c r="BI92" s="11"/>
      <c r="BJ92" s="11"/>
      <c r="BK92" s="11"/>
      <c r="BL92" s="11"/>
      <c r="BM92" s="7"/>
      <c r="BN92" s="7"/>
      <c r="BO92" s="7"/>
      <c r="BP92" s="7"/>
      <c r="BQ92" s="7"/>
      <c r="BR92" s="7"/>
      <c r="BS92" s="12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</row>
    <row r="93" spans="1:100" ht="12.75">
      <c r="A93" s="72">
        <v>6.24</v>
      </c>
      <c r="B93" s="77">
        <v>4.3</v>
      </c>
      <c r="C93" s="146"/>
      <c r="D93" s="81"/>
      <c r="E93" s="150">
        <v>1</v>
      </c>
      <c r="F93" s="76">
        <v>2.5</v>
      </c>
      <c r="G93" s="74">
        <v>0.33</v>
      </c>
      <c r="H93" s="229">
        <v>1.5</v>
      </c>
      <c r="I93" s="75">
        <v>1.5</v>
      </c>
      <c r="J93" s="93">
        <v>0.4</v>
      </c>
      <c r="K93" s="93">
        <v>2</v>
      </c>
      <c r="L93" s="93">
        <v>0</v>
      </c>
      <c r="M93" s="77">
        <v>0</v>
      </c>
      <c r="N93" s="75">
        <v>0</v>
      </c>
      <c r="O93" s="77">
        <v>0.3</v>
      </c>
      <c r="P93" s="89"/>
      <c r="Q93" s="80"/>
      <c r="R93" s="81"/>
      <c r="S93" s="81"/>
      <c r="T93" s="150"/>
      <c r="U93" s="80"/>
      <c r="V93" s="81"/>
      <c r="W93" s="80"/>
      <c r="X93" s="85"/>
      <c r="Y93" s="85"/>
      <c r="Z93" s="85"/>
      <c r="AA93" s="81"/>
      <c r="AB93" s="141"/>
      <c r="AC93" s="81"/>
      <c r="AD93" s="99"/>
      <c r="AE93" s="12"/>
      <c r="AR93" s="5"/>
      <c r="AS93" s="13"/>
      <c r="AT93" s="7"/>
      <c r="AU93" s="7"/>
      <c r="AV93" s="7"/>
      <c r="AW93" s="7"/>
      <c r="AX93" s="7"/>
      <c r="AY93" s="7"/>
      <c r="AZ93" s="7"/>
      <c r="BA93" s="7"/>
      <c r="BB93" s="11"/>
      <c r="BC93" s="11"/>
      <c r="BD93" s="10"/>
      <c r="BE93" s="11"/>
      <c r="BF93" s="11"/>
      <c r="BG93" s="11"/>
      <c r="BH93" s="11"/>
      <c r="BI93" s="11"/>
      <c r="BJ93" s="11"/>
      <c r="BK93" s="11"/>
      <c r="BL93" s="11"/>
      <c r="BM93" s="7"/>
      <c r="BN93" s="7"/>
      <c r="BO93" s="7"/>
      <c r="BP93" s="7"/>
      <c r="BQ93" s="7"/>
      <c r="BR93" s="7"/>
      <c r="BS93" s="12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</row>
    <row r="94" spans="1:100" ht="12.75">
      <c r="A94" s="72"/>
      <c r="B94" s="77"/>
      <c r="C94" s="81"/>
      <c r="D94" s="80"/>
      <c r="E94" s="75"/>
      <c r="F94" s="76"/>
      <c r="G94" s="74"/>
      <c r="H94" s="229"/>
      <c r="I94" s="75"/>
      <c r="J94" s="93"/>
      <c r="K94" s="93"/>
      <c r="L94" s="93"/>
      <c r="M94" s="77"/>
      <c r="N94" s="93"/>
      <c r="O94" s="77"/>
      <c r="P94" s="89">
        <f t="shared" si="0"/>
        <v>59.99999999999961</v>
      </c>
      <c r="Q94" s="80">
        <f>0.5*P94*(B93+B95)</f>
        <v>350.99999999999767</v>
      </c>
      <c r="R94" s="81">
        <f>0.5*P94*(C93+C95)</f>
        <v>0</v>
      </c>
      <c r="S94" s="81">
        <f>0.5*P94*(D93+D95)</f>
        <v>0</v>
      </c>
      <c r="T94" s="150">
        <f>0.5*P94*(E93+E95)</f>
        <v>104.99999999999932</v>
      </c>
      <c r="U94" s="80">
        <f>0.5*P94*(F93+F95)</f>
        <v>149.99999999999903</v>
      </c>
      <c r="V94" s="81">
        <f>0.5*P94*(G93+G95)</f>
        <v>19.799999999999873</v>
      </c>
      <c r="W94" s="80">
        <f>0.5*P94*(H93+H95)</f>
        <v>110.99999999999929</v>
      </c>
      <c r="X94" s="85">
        <f>0.5*P94*(I93+I95)</f>
        <v>119.99999999999922</v>
      </c>
      <c r="Y94" s="81">
        <f>0.5*P94*(J93+J95)</f>
        <v>23.999999999999844</v>
      </c>
      <c r="Z94" s="81">
        <f>0.5*P94*(K93+K95)</f>
        <v>131.99999999999915</v>
      </c>
      <c r="AA94" s="81">
        <f>0.5*P94*(L93+L95)</f>
        <v>0</v>
      </c>
      <c r="AB94" s="141">
        <f>0.5*P94*(M93+M95)</f>
        <v>0</v>
      </c>
      <c r="AC94" s="81">
        <f>0.5*P94*(N93+N95)</f>
        <v>0</v>
      </c>
      <c r="AD94" s="99">
        <f>0.5*P94*(O93+O95)</f>
        <v>26.999999999999822</v>
      </c>
      <c r="AE94" s="12"/>
      <c r="AR94" s="5"/>
      <c r="AS94" s="13"/>
      <c r="AT94" s="7"/>
      <c r="AU94" s="7"/>
      <c r="AV94" s="7"/>
      <c r="AW94" s="7"/>
      <c r="AX94" s="7"/>
      <c r="AY94" s="7"/>
      <c r="AZ94" s="7"/>
      <c r="BA94" s="7"/>
      <c r="BB94" s="11"/>
      <c r="BC94" s="11"/>
      <c r="BD94" s="10"/>
      <c r="BE94" s="11"/>
      <c r="BF94" s="11"/>
      <c r="BG94" s="11"/>
      <c r="BH94" s="11"/>
      <c r="BI94" s="11"/>
      <c r="BJ94" s="11"/>
      <c r="BK94" s="11"/>
      <c r="BL94" s="11"/>
      <c r="BM94" s="7"/>
      <c r="BN94" s="7"/>
      <c r="BO94" s="7"/>
      <c r="BP94" s="7"/>
      <c r="BQ94" s="7"/>
      <c r="BR94" s="7"/>
      <c r="BS94" s="12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</row>
    <row r="95" spans="1:100" ht="12.75">
      <c r="A95" s="72">
        <v>6.3</v>
      </c>
      <c r="B95" s="77">
        <v>7.4</v>
      </c>
      <c r="C95" s="146"/>
      <c r="D95" s="81"/>
      <c r="E95" s="150">
        <v>2.5</v>
      </c>
      <c r="F95" s="76">
        <v>2.5</v>
      </c>
      <c r="G95" s="74">
        <v>0.33</v>
      </c>
      <c r="H95" s="229">
        <v>2.2</v>
      </c>
      <c r="I95" s="75">
        <v>2.5</v>
      </c>
      <c r="J95" s="93">
        <v>0.4</v>
      </c>
      <c r="K95" s="93">
        <v>2.4</v>
      </c>
      <c r="L95" s="93">
        <v>0</v>
      </c>
      <c r="M95" s="77">
        <v>0</v>
      </c>
      <c r="N95" s="75">
        <v>0</v>
      </c>
      <c r="O95" s="77">
        <v>0.6</v>
      </c>
      <c r="P95" s="89"/>
      <c r="Q95" s="80"/>
      <c r="R95" s="81"/>
      <c r="S95" s="81"/>
      <c r="T95" s="150"/>
      <c r="U95" s="80"/>
      <c r="V95" s="81"/>
      <c r="W95" s="80"/>
      <c r="X95" s="85"/>
      <c r="Y95" s="85"/>
      <c r="Z95" s="85"/>
      <c r="AA95" s="81"/>
      <c r="AB95" s="141"/>
      <c r="AC95" s="81"/>
      <c r="AD95" s="99"/>
      <c r="AE95" s="12"/>
      <c r="AR95" s="5"/>
      <c r="AS95" s="13"/>
      <c r="AT95" s="7"/>
      <c r="AU95" s="7"/>
      <c r="AV95" s="7"/>
      <c r="AW95" s="7"/>
      <c r="AX95" s="7"/>
      <c r="AY95" s="7"/>
      <c r="AZ95" s="7"/>
      <c r="BA95" s="7"/>
      <c r="BB95" s="11"/>
      <c r="BC95" s="11"/>
      <c r="BD95" s="10"/>
      <c r="BE95" s="11"/>
      <c r="BF95" s="11"/>
      <c r="BG95" s="11"/>
      <c r="BH95" s="11"/>
      <c r="BI95" s="11"/>
      <c r="BJ95" s="11"/>
      <c r="BK95" s="11"/>
      <c r="BL95" s="11"/>
      <c r="BM95" s="7"/>
      <c r="BN95" s="7"/>
      <c r="BO95" s="7"/>
      <c r="BP95" s="7"/>
      <c r="BQ95" s="7"/>
      <c r="BR95" s="7"/>
      <c r="BS95" s="12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</row>
    <row r="96" spans="1:100" ht="12.75">
      <c r="A96" s="72"/>
      <c r="B96" s="77"/>
      <c r="C96" s="81"/>
      <c r="D96" s="80"/>
      <c r="E96" s="75"/>
      <c r="F96" s="76"/>
      <c r="G96" s="74"/>
      <c r="H96" s="229"/>
      <c r="I96" s="75"/>
      <c r="J96" s="93"/>
      <c r="K96" s="93"/>
      <c r="L96" s="93"/>
      <c r="M96" s="77"/>
      <c r="N96" s="93"/>
      <c r="O96" s="77"/>
      <c r="P96" s="89">
        <f t="shared" si="0"/>
        <v>40.000000000000036</v>
      </c>
      <c r="Q96" s="80">
        <f>0.5*P96*(B95+B97)</f>
        <v>274.0000000000002</v>
      </c>
      <c r="R96" s="81">
        <f>0.5*P96*(C95+C97)</f>
        <v>0</v>
      </c>
      <c r="S96" s="81">
        <f>0.5*P96*(D95+D97)</f>
        <v>0</v>
      </c>
      <c r="T96" s="150">
        <f>0.5*P96*(E95+E97)</f>
        <v>78.00000000000007</v>
      </c>
      <c r="U96" s="80">
        <f>0.5*P96*(F95+F97)</f>
        <v>100.00000000000009</v>
      </c>
      <c r="V96" s="81">
        <f>0.5*P96*(G95+G97)</f>
        <v>13.200000000000012</v>
      </c>
      <c r="W96" s="80">
        <f>0.5*P96*(H95+H97)</f>
        <v>88.00000000000009</v>
      </c>
      <c r="X96" s="85">
        <f>0.5*P96*(I95+I97)</f>
        <v>100.00000000000009</v>
      </c>
      <c r="Y96" s="81">
        <f>0.5*P96*(J95+J97)</f>
        <v>16.000000000000014</v>
      </c>
      <c r="Z96" s="81">
        <f>0.5*P96*(K95+K97)</f>
        <v>98.0000000000001</v>
      </c>
      <c r="AA96" s="81">
        <f>0.5*P96*(L95+L97)</f>
        <v>30.00000000000003</v>
      </c>
      <c r="AB96" s="141">
        <f>0.5*P96*(M95+M97)</f>
        <v>0</v>
      </c>
      <c r="AC96" s="81">
        <f>0.5*P96*(N95+N97)</f>
        <v>0</v>
      </c>
      <c r="AD96" s="99">
        <f>0.5*P96*(O95+O97)</f>
        <v>28.00000000000002</v>
      </c>
      <c r="AE96" s="12"/>
      <c r="AR96" s="5"/>
      <c r="AS96" s="13"/>
      <c r="AT96" s="7"/>
      <c r="AU96" s="7"/>
      <c r="AV96" s="7"/>
      <c r="AW96" s="7"/>
      <c r="AX96" s="7"/>
      <c r="AY96" s="7"/>
      <c r="AZ96" s="7"/>
      <c r="BA96" s="7"/>
      <c r="BB96" s="11"/>
      <c r="BC96" s="11"/>
      <c r="BD96" s="10"/>
      <c r="BE96" s="11"/>
      <c r="BF96" s="11"/>
      <c r="BG96" s="11"/>
      <c r="BH96" s="11"/>
      <c r="BI96" s="11"/>
      <c r="BJ96" s="11"/>
      <c r="BK96" s="11"/>
      <c r="BL96" s="11"/>
      <c r="BM96" s="7"/>
      <c r="BN96" s="7"/>
      <c r="BO96" s="7"/>
      <c r="BP96" s="7"/>
      <c r="BQ96" s="7"/>
      <c r="BR96" s="7"/>
      <c r="BS96" s="12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</row>
    <row r="97" spans="1:100" ht="12.75">
      <c r="A97" s="72">
        <v>6.34</v>
      </c>
      <c r="B97" s="77">
        <v>6.3</v>
      </c>
      <c r="C97" s="146"/>
      <c r="D97" s="81"/>
      <c r="E97" s="150">
        <v>1.4</v>
      </c>
      <c r="F97" s="76">
        <v>2.5</v>
      </c>
      <c r="G97" s="74">
        <v>0.33</v>
      </c>
      <c r="H97" s="229">
        <v>2.2</v>
      </c>
      <c r="I97" s="75">
        <v>2.5</v>
      </c>
      <c r="J97" s="93">
        <v>0.4</v>
      </c>
      <c r="K97" s="93">
        <v>2.5</v>
      </c>
      <c r="L97" s="93">
        <v>1.5</v>
      </c>
      <c r="M97" s="77">
        <v>0</v>
      </c>
      <c r="N97" s="75">
        <v>0</v>
      </c>
      <c r="O97" s="77">
        <v>0.8</v>
      </c>
      <c r="P97" s="89"/>
      <c r="Q97" s="80"/>
      <c r="R97" s="81"/>
      <c r="S97" s="81"/>
      <c r="T97" s="150"/>
      <c r="U97" s="80"/>
      <c r="V97" s="81"/>
      <c r="W97" s="80"/>
      <c r="X97" s="85"/>
      <c r="Y97" s="85"/>
      <c r="Z97" s="85"/>
      <c r="AA97" s="81"/>
      <c r="AB97" s="141"/>
      <c r="AC97" s="81"/>
      <c r="AD97" s="99"/>
      <c r="AE97" s="12"/>
      <c r="AR97" s="5"/>
      <c r="AS97" s="13"/>
      <c r="AT97" s="7"/>
      <c r="AU97" s="7"/>
      <c r="AV97" s="7"/>
      <c r="AW97" s="7"/>
      <c r="AX97" s="7"/>
      <c r="AY97" s="7"/>
      <c r="AZ97" s="7"/>
      <c r="BA97" s="7"/>
      <c r="BB97" s="11"/>
      <c r="BC97" s="11"/>
      <c r="BD97" s="10"/>
      <c r="BE97" s="11"/>
      <c r="BF97" s="11"/>
      <c r="BG97" s="11"/>
      <c r="BH97" s="11"/>
      <c r="BI97" s="11"/>
      <c r="BJ97" s="11"/>
      <c r="BK97" s="11"/>
      <c r="BL97" s="11"/>
      <c r="BM97" s="7"/>
      <c r="BN97" s="7"/>
      <c r="BO97" s="7"/>
      <c r="BP97" s="7"/>
      <c r="BQ97" s="7"/>
      <c r="BR97" s="7"/>
      <c r="BS97" s="12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</row>
    <row r="98" spans="1:100" ht="12.75">
      <c r="A98" s="144"/>
      <c r="B98" s="77"/>
      <c r="C98" s="81"/>
      <c r="D98" s="80"/>
      <c r="E98" s="75"/>
      <c r="F98" s="77"/>
      <c r="G98" s="74"/>
      <c r="H98" s="229"/>
      <c r="I98" s="75"/>
      <c r="J98" s="93"/>
      <c r="K98" s="93"/>
      <c r="L98" s="93"/>
      <c r="M98" s="77"/>
      <c r="N98" s="93"/>
      <c r="O98" s="77"/>
      <c r="P98" s="89">
        <f t="shared" si="0"/>
        <v>60.0000000000005</v>
      </c>
      <c r="Q98" s="80">
        <f>0.5*P98*(B97+B99)</f>
        <v>339.00000000000284</v>
      </c>
      <c r="R98" s="81">
        <f>0.5*P98*(C97+C99)</f>
        <v>0</v>
      </c>
      <c r="S98" s="81">
        <f>0.5*P98*(D97+D99)</f>
        <v>0</v>
      </c>
      <c r="T98" s="150">
        <f>0.5*P98*(E97+E99)</f>
        <v>69.00000000000057</v>
      </c>
      <c r="U98" s="80">
        <f>0.5*P98*(F97+F99)</f>
        <v>120.000000000001</v>
      </c>
      <c r="V98" s="81">
        <f>0.5*P98*(G97+G99)</f>
        <v>19.800000000000164</v>
      </c>
      <c r="W98" s="80">
        <f>0.5*P98*(H97+H99)</f>
        <v>108.0000000000009</v>
      </c>
      <c r="X98" s="85">
        <f>0.5*P98*(I97+I99)</f>
        <v>120.000000000001</v>
      </c>
      <c r="Y98" s="81">
        <f>0.5*P98*(J97+J99)</f>
        <v>12.0000000000001</v>
      </c>
      <c r="Z98" s="81">
        <f>0.5*P98*(K97+K99)</f>
        <v>126.00000000000105</v>
      </c>
      <c r="AA98" s="81">
        <f>0.5*P98*(L97+L99)</f>
        <v>45.00000000000037</v>
      </c>
      <c r="AB98" s="141">
        <f>0.5*P98*(M97+M99)</f>
        <v>0</v>
      </c>
      <c r="AC98" s="81">
        <f>0.5*P98*(N97+N99)</f>
        <v>0</v>
      </c>
      <c r="AD98" s="99">
        <f>0.5*P98*(O97+O99)</f>
        <v>45.00000000000037</v>
      </c>
      <c r="AE98" s="12"/>
      <c r="AR98" s="5"/>
      <c r="AS98" s="13"/>
      <c r="AT98" s="7"/>
      <c r="AU98" s="7"/>
      <c r="AV98" s="7"/>
      <c r="AW98" s="7"/>
      <c r="AX98" s="7"/>
      <c r="AY98" s="7"/>
      <c r="AZ98" s="7"/>
      <c r="BA98" s="7"/>
      <c r="BB98" s="11"/>
      <c r="BC98" s="11"/>
      <c r="BD98" s="10"/>
      <c r="BE98" s="11"/>
      <c r="BF98" s="11"/>
      <c r="BG98" s="11"/>
      <c r="BH98" s="11"/>
      <c r="BI98" s="11"/>
      <c r="BJ98" s="11"/>
      <c r="BK98" s="11"/>
      <c r="BL98" s="11"/>
      <c r="BM98" s="7"/>
      <c r="BN98" s="7"/>
      <c r="BO98" s="7"/>
      <c r="BP98" s="7"/>
      <c r="BQ98" s="7"/>
      <c r="BR98" s="7"/>
      <c r="BS98" s="12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</row>
    <row r="99" spans="1:100" ht="12.75">
      <c r="A99" s="72">
        <v>6.4</v>
      </c>
      <c r="B99" s="77">
        <v>5</v>
      </c>
      <c r="C99" s="146"/>
      <c r="D99" s="81"/>
      <c r="E99" s="150">
        <v>0.9</v>
      </c>
      <c r="F99" s="77">
        <v>1.5</v>
      </c>
      <c r="G99" s="74">
        <v>0.33</v>
      </c>
      <c r="H99" s="229">
        <v>1.4</v>
      </c>
      <c r="I99" s="75">
        <v>1.5</v>
      </c>
      <c r="J99" s="93">
        <v>0</v>
      </c>
      <c r="K99" s="93">
        <v>1.7</v>
      </c>
      <c r="L99" s="93">
        <v>0</v>
      </c>
      <c r="M99" s="77">
        <v>0</v>
      </c>
      <c r="N99" s="75">
        <v>0</v>
      </c>
      <c r="O99" s="77">
        <v>0.7</v>
      </c>
      <c r="P99" s="89"/>
      <c r="Q99" s="80"/>
      <c r="R99" s="81"/>
      <c r="S99" s="81"/>
      <c r="T99" s="320"/>
      <c r="U99" s="80"/>
      <c r="V99" s="81"/>
      <c r="W99" s="80"/>
      <c r="X99" s="85"/>
      <c r="Y99" s="85"/>
      <c r="Z99" s="85"/>
      <c r="AA99" s="81"/>
      <c r="AB99" s="141"/>
      <c r="AC99" s="81"/>
      <c r="AD99" s="99"/>
      <c r="AE99" s="12"/>
      <c r="AR99" s="5"/>
      <c r="AS99" s="13"/>
      <c r="AT99" s="7"/>
      <c r="AU99" s="7"/>
      <c r="AV99" s="7"/>
      <c r="AW99" s="7"/>
      <c r="AX99" s="7"/>
      <c r="AY99" s="7"/>
      <c r="AZ99" s="7"/>
      <c r="BA99" s="7"/>
      <c r="BB99" s="11"/>
      <c r="BC99" s="11"/>
      <c r="BD99" s="10"/>
      <c r="BE99" s="11"/>
      <c r="BF99" s="11"/>
      <c r="BG99" s="11"/>
      <c r="BH99" s="11"/>
      <c r="BI99" s="11"/>
      <c r="BJ99" s="11"/>
      <c r="BK99" s="11"/>
      <c r="BL99" s="11"/>
      <c r="BM99" s="7"/>
      <c r="BN99" s="7"/>
      <c r="BO99" s="7"/>
      <c r="BP99" s="7"/>
      <c r="BQ99" s="7"/>
      <c r="BR99" s="7"/>
      <c r="BS99" s="12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</row>
    <row r="100" spans="1:100" ht="12.75">
      <c r="A100" s="144">
        <v>6.415</v>
      </c>
      <c r="B100" s="77"/>
      <c r="C100" s="152" t="s">
        <v>37</v>
      </c>
      <c r="D100" s="143"/>
      <c r="E100" s="322"/>
      <c r="F100" s="77"/>
      <c r="H100" s="229"/>
      <c r="I100" s="75"/>
      <c r="J100" s="93"/>
      <c r="K100" s="93"/>
      <c r="L100" s="93"/>
      <c r="M100" s="77"/>
      <c r="N100" s="93"/>
      <c r="O100" s="77"/>
      <c r="P100" s="89">
        <f>1000*(A101-A99)</f>
        <v>40.000000000000036</v>
      </c>
      <c r="Q100" s="80">
        <f>0.5*P100*(B99+B101)</f>
        <v>104.0000000000001</v>
      </c>
      <c r="R100" s="81">
        <v>0</v>
      </c>
      <c r="S100" s="85">
        <f>0.5*P100*(D99+D101)</f>
        <v>0</v>
      </c>
      <c r="T100" s="24">
        <f>0.5*P100*(E99+E101)</f>
        <v>18.000000000000018</v>
      </c>
      <c r="U100" s="80">
        <f>0.5*P100*(F99+F101)</f>
        <v>60.00000000000006</v>
      </c>
      <c r="V100" s="81">
        <f>0.5*P100*(G99+G102)</f>
        <v>6.600000000000006</v>
      </c>
      <c r="W100" s="80">
        <f>0.5*P100*(H99+H101)</f>
        <v>28.00000000000002</v>
      </c>
      <c r="X100" s="85">
        <f>0.5*P100*(I99+I101)</f>
        <v>30.00000000000003</v>
      </c>
      <c r="Y100" s="81">
        <f>0.5*P100*(J99+J101)</f>
        <v>0</v>
      </c>
      <c r="Z100" s="81">
        <f>0.5*P100*(K99+K101)</f>
        <v>34.00000000000003</v>
      </c>
      <c r="AA100" s="81">
        <f>0.5*P100*(L99+L101)</f>
        <v>0</v>
      </c>
      <c r="AB100" s="141">
        <f>0.5*P100*(M99+M101)</f>
        <v>0</v>
      </c>
      <c r="AC100" s="81">
        <f>0.5*P100*(N99+N101)</f>
        <v>0</v>
      </c>
      <c r="AD100" s="99">
        <f>0.5*P100*(O99+O101)</f>
        <v>14.00000000000001</v>
      </c>
      <c r="AE100" s="12"/>
      <c r="AR100" s="5"/>
      <c r="AS100" s="13"/>
      <c r="AT100" s="7"/>
      <c r="AU100" s="7"/>
      <c r="AV100" s="7"/>
      <c r="AW100" s="7"/>
      <c r="AX100" s="7"/>
      <c r="AY100" s="7"/>
      <c r="AZ100" s="7"/>
      <c r="BA100" s="7"/>
      <c r="BB100" s="11"/>
      <c r="BC100" s="11"/>
      <c r="BD100" s="10"/>
      <c r="BE100" s="11"/>
      <c r="BF100" s="11"/>
      <c r="BG100" s="11"/>
      <c r="BH100" s="11"/>
      <c r="BI100" s="11"/>
      <c r="BJ100" s="11"/>
      <c r="BK100" s="11"/>
      <c r="BL100" s="11"/>
      <c r="BM100" s="7"/>
      <c r="BN100" s="7"/>
      <c r="BO100" s="7"/>
      <c r="BP100" s="7"/>
      <c r="BQ100" s="7"/>
      <c r="BR100" s="7"/>
      <c r="BS100" s="12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</row>
    <row r="101" spans="1:100" ht="12.75">
      <c r="A101" s="72">
        <v>6.44</v>
      </c>
      <c r="B101" s="77">
        <v>0.2</v>
      </c>
      <c r="C101" s="148"/>
      <c r="D101" s="147"/>
      <c r="E101" s="7">
        <v>0</v>
      </c>
      <c r="F101" s="77">
        <v>1.5</v>
      </c>
      <c r="G101" s="74">
        <v>0</v>
      </c>
      <c r="H101" s="229">
        <v>0</v>
      </c>
      <c r="I101" s="75">
        <v>0</v>
      </c>
      <c r="J101" s="93">
        <v>0</v>
      </c>
      <c r="K101" s="93">
        <v>0</v>
      </c>
      <c r="L101" s="93">
        <v>0</v>
      </c>
      <c r="M101" s="77">
        <v>0</v>
      </c>
      <c r="N101" s="75">
        <v>0</v>
      </c>
      <c r="O101" s="77">
        <v>0</v>
      </c>
      <c r="P101" s="89"/>
      <c r="Q101" s="80"/>
      <c r="R101" s="81"/>
      <c r="S101" s="81"/>
      <c r="T101" s="120"/>
      <c r="U101" s="80"/>
      <c r="V101" s="81"/>
      <c r="W101" s="80"/>
      <c r="X101" s="85"/>
      <c r="Y101" s="85"/>
      <c r="Z101" s="85"/>
      <c r="AA101" s="81"/>
      <c r="AB101" s="141"/>
      <c r="AC101" s="81"/>
      <c r="AD101" s="99"/>
      <c r="AE101" s="12"/>
      <c r="AR101" s="5"/>
      <c r="AS101" s="13"/>
      <c r="AT101" s="7"/>
      <c r="AU101" s="7"/>
      <c r="AV101" s="7"/>
      <c r="AW101" s="7"/>
      <c r="AX101" s="7"/>
      <c r="AY101" s="7"/>
      <c r="AZ101" s="7"/>
      <c r="BA101" s="7"/>
      <c r="BB101" s="11"/>
      <c r="BC101" s="11"/>
      <c r="BD101" s="10"/>
      <c r="BE101" s="11"/>
      <c r="BF101" s="11"/>
      <c r="BG101" s="11"/>
      <c r="BH101" s="11"/>
      <c r="BI101" s="11"/>
      <c r="BJ101" s="11"/>
      <c r="BK101" s="11"/>
      <c r="BL101" s="11"/>
      <c r="BM101" s="7"/>
      <c r="BN101" s="7"/>
      <c r="BO101" s="7"/>
      <c r="BP101" s="7"/>
      <c r="BQ101" s="7"/>
      <c r="BR101" s="7"/>
      <c r="BS101" s="12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</row>
    <row r="102" spans="1:100" ht="12.75">
      <c r="A102" s="72"/>
      <c r="B102" s="77"/>
      <c r="C102" s="75"/>
      <c r="D102" s="77"/>
      <c r="E102" s="97"/>
      <c r="F102" s="77"/>
      <c r="G102" s="74"/>
      <c r="H102" s="229"/>
      <c r="I102" s="75"/>
      <c r="J102" s="93" t="s">
        <v>85</v>
      </c>
      <c r="K102" s="93"/>
      <c r="L102" s="93"/>
      <c r="M102" s="77"/>
      <c r="N102" s="93"/>
      <c r="O102" s="77"/>
      <c r="P102" s="89">
        <f>1000*(A103-A101)</f>
        <v>19.999999999999574</v>
      </c>
      <c r="Q102" s="80">
        <f>0.5*P102*(B101+B103)</f>
        <v>4.999999999999893</v>
      </c>
      <c r="R102" s="81">
        <v>0</v>
      </c>
      <c r="S102" s="81">
        <f>0.5*P102*(D101+D103)</f>
        <v>0</v>
      </c>
      <c r="T102" s="81">
        <f>0.5*P102*(E101+E103)</f>
        <v>0</v>
      </c>
      <c r="U102" s="80">
        <f>0.5*P102*(F101+F103)</f>
        <v>47.49999999999899</v>
      </c>
      <c r="V102" s="81">
        <f>0.5*P102*(G102+G104)</f>
        <v>0</v>
      </c>
      <c r="W102" s="80">
        <f>0.5*P102*(H101+H103)</f>
        <v>0</v>
      </c>
      <c r="X102" s="85">
        <f>0.5*P102*(I101+I103)</f>
        <v>0</v>
      </c>
      <c r="Y102" s="81">
        <f>0.5*P102*(J101+J103)</f>
        <v>0</v>
      </c>
      <c r="Z102" s="81">
        <f>0.5*P102*(K101+K103)</f>
        <v>67.99999999999855</v>
      </c>
      <c r="AA102" s="81">
        <f>0.5*P102*(L101+L103)</f>
        <v>0</v>
      </c>
      <c r="AB102" s="141">
        <f>0.5*P102*(M101+M103)</f>
        <v>0</v>
      </c>
      <c r="AC102" s="81">
        <f>0.5*P102*(N101+N103)</f>
        <v>0</v>
      </c>
      <c r="AD102" s="99">
        <f>0.5*P102*(O101+O103)</f>
        <v>0</v>
      </c>
      <c r="AE102" s="12"/>
      <c r="AR102" s="5"/>
      <c r="AS102" s="13"/>
      <c r="AT102" s="7"/>
      <c r="AU102" s="7"/>
      <c r="AV102" s="7"/>
      <c r="AW102" s="7"/>
      <c r="AX102" s="7"/>
      <c r="AY102" s="7"/>
      <c r="AZ102" s="7"/>
      <c r="BA102" s="7"/>
      <c r="BB102" s="11"/>
      <c r="BC102" s="11"/>
      <c r="BD102" s="10"/>
      <c r="BE102" s="11"/>
      <c r="BF102" s="11"/>
      <c r="BG102" s="11"/>
      <c r="BH102" s="11"/>
      <c r="BI102" s="11"/>
      <c r="BJ102" s="11"/>
      <c r="BK102" s="11"/>
      <c r="BL102" s="11"/>
      <c r="BM102" s="7"/>
      <c r="BN102" s="7"/>
      <c r="BO102" s="7"/>
      <c r="BP102" s="7"/>
      <c r="BQ102" s="7"/>
      <c r="BR102" s="7"/>
      <c r="BS102" s="12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</row>
    <row r="103" spans="1:100" ht="12.75">
      <c r="A103" s="72">
        <v>6.46</v>
      </c>
      <c r="B103" s="77">
        <v>0.3</v>
      </c>
      <c r="C103" s="148"/>
      <c r="D103" s="147"/>
      <c r="E103" s="75">
        <v>0</v>
      </c>
      <c r="F103" s="77">
        <f>1.5+1.75</f>
        <v>3.25</v>
      </c>
      <c r="G103" s="74">
        <v>0</v>
      </c>
      <c r="H103" s="229">
        <v>0</v>
      </c>
      <c r="I103" s="75">
        <v>0</v>
      </c>
      <c r="J103" s="93">
        <v>0</v>
      </c>
      <c r="K103" s="93">
        <v>6.8</v>
      </c>
      <c r="L103" s="93">
        <v>0</v>
      </c>
      <c r="M103" s="77">
        <v>0</v>
      </c>
      <c r="N103" s="75">
        <v>0</v>
      </c>
      <c r="O103" s="77">
        <v>0</v>
      </c>
      <c r="P103" s="89"/>
      <c r="Q103" s="80"/>
      <c r="R103" s="81"/>
      <c r="S103" s="81"/>
      <c r="T103" s="81"/>
      <c r="U103" s="80"/>
      <c r="V103" s="81"/>
      <c r="W103" s="80"/>
      <c r="X103" s="85"/>
      <c r="Y103" s="85"/>
      <c r="Z103" s="85"/>
      <c r="AA103" s="81"/>
      <c r="AB103" s="141"/>
      <c r="AC103" s="81"/>
      <c r="AD103" s="99"/>
      <c r="AE103" s="12"/>
      <c r="AR103" s="5"/>
      <c r="AS103" s="13"/>
      <c r="AT103" s="7"/>
      <c r="AU103" s="7"/>
      <c r="AV103" s="7"/>
      <c r="AW103" s="7"/>
      <c r="AX103" s="7"/>
      <c r="AY103" s="7"/>
      <c r="AZ103" s="7"/>
      <c r="BA103" s="7"/>
      <c r="BB103" s="11"/>
      <c r="BC103" s="11"/>
      <c r="BD103" s="10"/>
      <c r="BE103" s="11"/>
      <c r="BF103" s="11"/>
      <c r="BG103" s="11"/>
      <c r="BH103" s="11"/>
      <c r="BI103" s="11"/>
      <c r="BJ103" s="11"/>
      <c r="BK103" s="11"/>
      <c r="BL103" s="11"/>
      <c r="BM103" s="7"/>
      <c r="BN103" s="7"/>
      <c r="BO103" s="7"/>
      <c r="BP103" s="7"/>
      <c r="BQ103" s="7"/>
      <c r="BR103" s="7"/>
      <c r="BS103" s="12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</row>
    <row r="104" spans="1:100" ht="12.75">
      <c r="A104" s="72"/>
      <c r="B104" s="77"/>
      <c r="C104" s="75"/>
      <c r="D104" s="77"/>
      <c r="E104" s="75"/>
      <c r="F104" s="77"/>
      <c r="G104" s="74"/>
      <c r="H104" s="229"/>
      <c r="I104" s="75"/>
      <c r="J104" s="93" t="s">
        <v>85</v>
      </c>
      <c r="K104" s="93"/>
      <c r="L104" s="93"/>
      <c r="M104" s="77"/>
      <c r="N104" s="93"/>
      <c r="O104" s="77"/>
      <c r="P104" s="89">
        <f>1000*(A105-A103)</f>
        <v>20.000000000000462</v>
      </c>
      <c r="Q104" s="80">
        <f>0.5*P104*(B103+B105)</f>
        <v>18.000000000000416</v>
      </c>
      <c r="R104" s="81">
        <v>0</v>
      </c>
      <c r="S104" s="81">
        <f>0.5*P104*(D103+D105)</f>
        <v>0</v>
      </c>
      <c r="T104" s="81">
        <f>0.5*P104*(E103+E105)</f>
        <v>0</v>
      </c>
      <c r="U104" s="80">
        <f>0.5*P104*(F103+F105)</f>
        <v>32.50000000000075</v>
      </c>
      <c r="V104" s="81">
        <f>0.5*P104*(G104+G106)</f>
        <v>0</v>
      </c>
      <c r="W104" s="80">
        <f>0.5*P104*(H103+H105)</f>
        <v>0</v>
      </c>
      <c r="X104" s="85">
        <f>0.5*P104*(I103+I105)</f>
        <v>0</v>
      </c>
      <c r="Y104" s="81">
        <f>0.5*P104*(J103+J105)</f>
        <v>0</v>
      </c>
      <c r="Z104" s="81">
        <f>0.5*P104*(K103+K105)</f>
        <v>144.0000000000033</v>
      </c>
      <c r="AA104" s="81">
        <f>0.5*P104*(L103+L105)</f>
        <v>0</v>
      </c>
      <c r="AB104" s="141">
        <f>0.5*P104*(M103+M105)</f>
        <v>0</v>
      </c>
      <c r="AC104" s="81">
        <f>0.5*P104*(N103+N105)</f>
        <v>0</v>
      </c>
      <c r="AD104" s="99">
        <f>0.5*P104*(O103+O105)</f>
        <v>0</v>
      </c>
      <c r="AE104" s="12"/>
      <c r="AR104" s="5"/>
      <c r="AS104" s="13"/>
      <c r="AT104" s="7"/>
      <c r="AU104" s="7"/>
      <c r="AV104" s="7"/>
      <c r="AW104" s="7"/>
      <c r="AX104" s="7"/>
      <c r="AY104" s="7"/>
      <c r="AZ104" s="7"/>
      <c r="BA104" s="7"/>
      <c r="BB104" s="11"/>
      <c r="BC104" s="11"/>
      <c r="BD104" s="10"/>
      <c r="BE104" s="11"/>
      <c r="BF104" s="11"/>
      <c r="BG104" s="11"/>
      <c r="BH104" s="11"/>
      <c r="BI104" s="11"/>
      <c r="BJ104" s="11"/>
      <c r="BK104" s="11"/>
      <c r="BL104" s="11"/>
      <c r="BM104" s="7"/>
      <c r="BN104" s="7"/>
      <c r="BO104" s="7"/>
      <c r="BP104" s="7"/>
      <c r="BQ104" s="7"/>
      <c r="BR104" s="7"/>
      <c r="BS104" s="12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</row>
    <row r="105" spans="1:100" ht="13.5" thickBot="1">
      <c r="A105" s="72">
        <v>6.48</v>
      </c>
      <c r="B105" s="77">
        <v>1.5</v>
      </c>
      <c r="C105" s="148"/>
      <c r="D105" s="147"/>
      <c r="E105" s="75">
        <v>0</v>
      </c>
      <c r="F105" s="77">
        <v>0</v>
      </c>
      <c r="G105" s="74">
        <v>0</v>
      </c>
      <c r="H105" s="229">
        <v>0</v>
      </c>
      <c r="I105" s="75">
        <v>0</v>
      </c>
      <c r="J105" s="93">
        <v>0</v>
      </c>
      <c r="K105" s="93">
        <v>7.6</v>
      </c>
      <c r="L105" s="93">
        <v>0</v>
      </c>
      <c r="M105" s="77">
        <v>0</v>
      </c>
      <c r="N105" s="75">
        <v>0</v>
      </c>
      <c r="O105" s="77">
        <v>0</v>
      </c>
      <c r="P105" s="89"/>
      <c r="Q105" s="80"/>
      <c r="R105" s="81"/>
      <c r="S105" s="81"/>
      <c r="T105" s="320"/>
      <c r="U105" s="80"/>
      <c r="V105" s="81"/>
      <c r="W105" s="80"/>
      <c r="X105" s="85"/>
      <c r="Y105" s="85"/>
      <c r="Z105" s="85"/>
      <c r="AA105" s="81"/>
      <c r="AB105" s="141"/>
      <c r="AC105" s="81"/>
      <c r="AD105" s="99"/>
      <c r="AE105" s="12"/>
      <c r="AR105" s="5"/>
      <c r="AS105" s="13"/>
      <c r="AT105" s="7"/>
      <c r="AU105" s="7"/>
      <c r="AV105" s="7"/>
      <c r="AW105" s="7"/>
      <c r="AX105" s="7"/>
      <c r="AY105" s="7"/>
      <c r="AZ105" s="7"/>
      <c r="BA105" s="7"/>
      <c r="BB105" s="11"/>
      <c r="BC105" s="11"/>
      <c r="BD105" s="10"/>
      <c r="BE105" s="11"/>
      <c r="BF105" s="11"/>
      <c r="BG105" s="11"/>
      <c r="BH105" s="11"/>
      <c r="BI105" s="11"/>
      <c r="BJ105" s="11"/>
      <c r="BK105" s="11"/>
      <c r="BL105" s="11"/>
      <c r="BM105" s="7"/>
      <c r="BN105" s="7"/>
      <c r="BO105" s="7"/>
      <c r="BP105" s="7"/>
      <c r="BQ105" s="7"/>
      <c r="BR105" s="7"/>
      <c r="BS105" s="12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</row>
    <row r="106" spans="1:100" ht="13.5" thickBot="1">
      <c r="A106" s="72"/>
      <c r="B106" s="77"/>
      <c r="C106" s="75"/>
      <c r="D106" s="77"/>
      <c r="E106" s="75"/>
      <c r="F106" s="77"/>
      <c r="G106" s="74"/>
      <c r="H106" s="229"/>
      <c r="I106" s="75"/>
      <c r="J106" s="93" t="s">
        <v>85</v>
      </c>
      <c r="K106" s="93"/>
      <c r="L106" s="93"/>
      <c r="M106" s="77"/>
      <c r="N106" s="93"/>
      <c r="O106" s="77"/>
      <c r="P106" s="89">
        <f>1000*(A107-A105)</f>
        <v>39.99999999999915</v>
      </c>
      <c r="Q106" s="80">
        <f>0.5*P106*(B105+B107)</f>
        <v>41.999999999999105</v>
      </c>
      <c r="R106" s="81">
        <v>0</v>
      </c>
      <c r="S106" s="85">
        <f>0.5*P106*(D105+D107)</f>
        <v>0</v>
      </c>
      <c r="T106" s="321">
        <v>0</v>
      </c>
      <c r="U106" s="80">
        <f>0.5*P106*(F105+F107)</f>
        <v>29.99999999999936</v>
      </c>
      <c r="V106" s="81">
        <f>0.5*P106*(G106+G108)</f>
        <v>0</v>
      </c>
      <c r="W106" s="80">
        <f>0.5*P106*(H105+H107)</f>
        <v>0</v>
      </c>
      <c r="X106" s="85">
        <f>0.5*P106*(I105+I107)</f>
        <v>0</v>
      </c>
      <c r="Y106" s="81">
        <f>0.5*P106*(J105+J107)</f>
        <v>0</v>
      </c>
      <c r="Z106" s="81">
        <f>0.5*P106*(K105+K107)</f>
        <v>163.99999999999648</v>
      </c>
      <c r="AA106" s="81">
        <f>0.5*P106*(L105+L107)</f>
        <v>0</v>
      </c>
      <c r="AB106" s="141">
        <f>0.5*P106*(M105+M107)</f>
        <v>89.99999999999808</v>
      </c>
      <c r="AC106" s="81">
        <f>0.5*P106*(N105+N107)</f>
        <v>0</v>
      </c>
      <c r="AD106" s="99">
        <f>0.5*P106*(O105+O107)</f>
        <v>0</v>
      </c>
      <c r="AE106" s="12"/>
      <c r="AR106" s="5"/>
      <c r="AS106" s="13"/>
      <c r="AT106" s="7"/>
      <c r="AU106" s="7"/>
      <c r="AV106" s="7"/>
      <c r="AW106" s="7"/>
      <c r="AX106" s="7"/>
      <c r="AY106" s="7"/>
      <c r="AZ106" s="7"/>
      <c r="BA106" s="7"/>
      <c r="BB106" s="11"/>
      <c r="BC106" s="11"/>
      <c r="BD106" s="10"/>
      <c r="BE106" s="11"/>
      <c r="BF106" s="11"/>
      <c r="BG106" s="11"/>
      <c r="BH106" s="11"/>
      <c r="BI106" s="11"/>
      <c r="BJ106" s="11"/>
      <c r="BK106" s="11"/>
      <c r="BL106" s="11"/>
      <c r="BM106" s="7"/>
      <c r="BN106" s="7"/>
      <c r="BO106" s="7"/>
      <c r="BP106" s="7"/>
      <c r="BQ106" s="7"/>
      <c r="BR106" s="7"/>
      <c r="BS106" s="12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</row>
    <row r="107" spans="1:100" ht="12.75">
      <c r="A107" s="72">
        <v>6.52</v>
      </c>
      <c r="B107" s="220">
        <v>0.6</v>
      </c>
      <c r="C107" s="148"/>
      <c r="D107" s="147"/>
      <c r="E107" s="75">
        <v>1.9</v>
      </c>
      <c r="F107" s="77">
        <v>1.5</v>
      </c>
      <c r="G107" s="74">
        <v>0.33</v>
      </c>
      <c r="H107" s="229">
        <v>0</v>
      </c>
      <c r="I107" s="75">
        <v>0</v>
      </c>
      <c r="J107" s="93">
        <v>0</v>
      </c>
      <c r="K107" s="93">
        <v>0.6</v>
      </c>
      <c r="L107" s="93">
        <v>0</v>
      </c>
      <c r="M107" s="77">
        <v>4.5</v>
      </c>
      <c r="N107" s="75">
        <v>0</v>
      </c>
      <c r="O107" s="77">
        <v>0</v>
      </c>
      <c r="P107" s="89"/>
      <c r="Q107" s="80"/>
      <c r="R107" s="81"/>
      <c r="S107" s="81"/>
      <c r="T107" s="323"/>
      <c r="U107" s="80"/>
      <c r="V107" s="81"/>
      <c r="W107" s="80"/>
      <c r="X107" s="85"/>
      <c r="Y107" s="85"/>
      <c r="Z107" s="85"/>
      <c r="AA107" s="81"/>
      <c r="AB107" s="141"/>
      <c r="AC107" s="81"/>
      <c r="AD107" s="99"/>
      <c r="AE107" s="12"/>
      <c r="AR107" s="5"/>
      <c r="AS107" s="13"/>
      <c r="AT107" s="7"/>
      <c r="AU107" s="7"/>
      <c r="AV107" s="7"/>
      <c r="AW107" s="7"/>
      <c r="AX107" s="7"/>
      <c r="AY107" s="7"/>
      <c r="AZ107" s="7"/>
      <c r="BA107" s="7"/>
      <c r="BB107" s="11"/>
      <c r="BC107" s="11"/>
      <c r="BD107" s="10"/>
      <c r="BE107" s="11"/>
      <c r="BF107" s="11"/>
      <c r="BG107" s="11"/>
      <c r="BH107" s="11"/>
      <c r="BI107" s="11"/>
      <c r="BJ107" s="11"/>
      <c r="BK107" s="11"/>
      <c r="BL107" s="11"/>
      <c r="BM107" s="7"/>
      <c r="BN107" s="7"/>
      <c r="BO107" s="7"/>
      <c r="BP107" s="7"/>
      <c r="BQ107" s="7"/>
      <c r="BR107" s="7"/>
      <c r="BS107" s="12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</row>
    <row r="108" spans="1:100" ht="12.75">
      <c r="A108" s="72"/>
      <c r="B108" s="77"/>
      <c r="C108" s="75"/>
      <c r="D108" s="77"/>
      <c r="E108" s="75"/>
      <c r="F108" s="77"/>
      <c r="G108" s="74"/>
      <c r="H108" s="229"/>
      <c r="I108" s="75"/>
      <c r="J108" s="93"/>
      <c r="K108" s="93"/>
      <c r="L108" s="93"/>
      <c r="M108" s="77"/>
      <c r="N108" s="93"/>
      <c r="O108" s="77"/>
      <c r="P108" s="89"/>
      <c r="Q108" s="80"/>
      <c r="R108" s="81"/>
      <c r="S108" s="81"/>
      <c r="T108" s="81"/>
      <c r="U108" s="80"/>
      <c r="V108" s="81"/>
      <c r="W108" s="80"/>
      <c r="X108" s="85"/>
      <c r="Y108" s="85"/>
      <c r="Z108" s="85"/>
      <c r="AA108" s="81"/>
      <c r="AB108" s="141"/>
      <c r="AC108" s="81"/>
      <c r="AD108" s="99"/>
      <c r="AE108" s="12"/>
      <c r="AR108" s="5"/>
      <c r="AS108" s="13"/>
      <c r="AT108" s="7"/>
      <c r="AU108" s="7"/>
      <c r="AV108" s="7"/>
      <c r="AW108" s="7"/>
      <c r="AX108" s="7"/>
      <c r="AY108" s="7"/>
      <c r="AZ108" s="7"/>
      <c r="BA108" s="7"/>
      <c r="BB108" s="11"/>
      <c r="BC108" s="11"/>
      <c r="BD108" s="10"/>
      <c r="BE108" s="11"/>
      <c r="BF108" s="11"/>
      <c r="BG108" s="11"/>
      <c r="BH108" s="11"/>
      <c r="BI108" s="11"/>
      <c r="BJ108" s="11"/>
      <c r="BK108" s="11"/>
      <c r="BL108" s="11"/>
      <c r="BM108" s="7"/>
      <c r="BN108" s="7"/>
      <c r="BO108" s="7"/>
      <c r="BP108" s="7"/>
      <c r="BQ108" s="7"/>
      <c r="BR108" s="7"/>
      <c r="BS108" s="12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</row>
    <row r="109" spans="1:100" ht="12.75">
      <c r="A109" s="72"/>
      <c r="B109" s="77"/>
      <c r="C109" s="75"/>
      <c r="D109" s="77"/>
      <c r="E109" s="75"/>
      <c r="F109" s="77"/>
      <c r="G109" s="74"/>
      <c r="H109" s="229"/>
      <c r="I109" s="75"/>
      <c r="J109" t="s">
        <v>86</v>
      </c>
      <c r="K109" s="93"/>
      <c r="L109" s="93"/>
      <c r="M109" s="77"/>
      <c r="N109" s="93"/>
      <c r="O109" s="77"/>
      <c r="P109" s="89"/>
      <c r="Q109" s="80"/>
      <c r="R109" s="81"/>
      <c r="S109" s="81"/>
      <c r="T109" s="81"/>
      <c r="U109" s="80"/>
      <c r="V109" s="81"/>
      <c r="W109" s="80"/>
      <c r="X109" s="272"/>
      <c r="Y109" s="85"/>
      <c r="Z109" s="272"/>
      <c r="AA109" s="81"/>
      <c r="AB109" s="141"/>
      <c r="AC109" s="81"/>
      <c r="AD109" s="99"/>
      <c r="AE109" s="12"/>
      <c r="AR109" s="5"/>
      <c r="AS109" s="13"/>
      <c r="AT109" s="7"/>
      <c r="AU109" s="7"/>
      <c r="AV109" s="7"/>
      <c r="AW109" s="7"/>
      <c r="AX109" s="7"/>
      <c r="AY109" s="7"/>
      <c r="AZ109" s="7"/>
      <c r="BA109" s="7"/>
      <c r="BB109" s="11"/>
      <c r="BC109" s="11"/>
      <c r="BD109" s="10"/>
      <c r="BE109" s="11"/>
      <c r="BF109" s="11"/>
      <c r="BG109" s="11"/>
      <c r="BH109" s="11"/>
      <c r="BI109" s="11"/>
      <c r="BJ109" s="11"/>
      <c r="BK109" s="11"/>
      <c r="BL109" s="11"/>
      <c r="BM109" s="7"/>
      <c r="BN109" s="7"/>
      <c r="BO109" s="7"/>
      <c r="BP109" s="7"/>
      <c r="BQ109" s="7"/>
      <c r="BR109" s="7"/>
      <c r="BS109" s="12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</row>
    <row r="110" spans="1:100" ht="5.25" customHeight="1" thickBot="1">
      <c r="A110" s="58"/>
      <c r="B110" s="78"/>
      <c r="C110" s="94"/>
      <c r="D110" s="78"/>
      <c r="E110" s="84"/>
      <c r="F110" s="78"/>
      <c r="G110" s="84"/>
      <c r="H110" s="231"/>
      <c r="I110" s="84"/>
      <c r="J110" s="94"/>
      <c r="K110" s="94"/>
      <c r="L110" s="94"/>
      <c r="M110" s="78"/>
      <c r="N110" s="94"/>
      <c r="O110" s="78"/>
      <c r="P110" s="90"/>
      <c r="Q110" s="24"/>
      <c r="R110" s="102"/>
      <c r="S110" s="24"/>
      <c r="T110" s="102"/>
      <c r="U110" s="24"/>
      <c r="V110" s="102"/>
      <c r="W110" s="24"/>
      <c r="X110" s="102"/>
      <c r="Y110" s="137"/>
      <c r="Z110" s="137"/>
      <c r="AA110" s="137"/>
      <c r="AB110" s="113"/>
      <c r="AC110" s="137"/>
      <c r="AD110" s="113"/>
      <c r="AE110" s="12"/>
      <c r="AR110" s="5"/>
      <c r="AS110" s="13"/>
      <c r="AT110" s="7"/>
      <c r="AU110" s="7"/>
      <c r="AV110" s="7"/>
      <c r="AW110" s="7"/>
      <c r="AX110" s="7"/>
      <c r="AY110" s="7"/>
      <c r="AZ110" s="7"/>
      <c r="BA110" s="7"/>
      <c r="BB110" s="11"/>
      <c r="BC110" s="11"/>
      <c r="BD110" s="10"/>
      <c r="BE110" s="11"/>
      <c r="BF110" s="11"/>
      <c r="BG110" s="11"/>
      <c r="BH110" s="11"/>
      <c r="BI110" s="11"/>
      <c r="BJ110" s="11"/>
      <c r="BK110" s="11"/>
      <c r="BL110" s="11"/>
      <c r="BM110" s="7"/>
      <c r="BN110" s="7"/>
      <c r="BO110" s="7"/>
      <c r="BP110" s="7"/>
      <c r="BQ110" s="7"/>
      <c r="BR110" s="7"/>
      <c r="BS110" s="12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</row>
    <row r="111" spans="1:100" s="45" customFormat="1" ht="15.75" customHeight="1" thickBot="1">
      <c r="A111" s="79" t="s">
        <v>11</v>
      </c>
      <c r="B111" s="73"/>
      <c r="C111" s="73"/>
      <c r="D111" s="73"/>
      <c r="E111" s="73"/>
      <c r="F111" s="73"/>
      <c r="G111" s="73"/>
      <c r="H111" s="232"/>
      <c r="I111" s="73"/>
      <c r="J111" s="105"/>
      <c r="K111" s="105"/>
      <c r="L111" s="95"/>
      <c r="M111" s="92"/>
      <c r="N111" s="95"/>
      <c r="O111" s="92"/>
      <c r="P111" s="91"/>
      <c r="Q111" s="138">
        <f aca="true" t="shared" si="1" ref="Q111:AD111">SUM(Q8:Q110)</f>
        <v>9815.800000000003</v>
      </c>
      <c r="R111" s="385">
        <f t="shared" si="1"/>
        <v>3239.500000000006</v>
      </c>
      <c r="S111" s="139">
        <f t="shared" si="1"/>
        <v>2226.0000000000036</v>
      </c>
      <c r="T111" s="325">
        <f t="shared" si="1"/>
        <v>1557.9999999999995</v>
      </c>
      <c r="U111" s="139">
        <f t="shared" si="1"/>
        <v>4861.249999999998</v>
      </c>
      <c r="V111" s="139">
        <f t="shared" si="1"/>
        <v>489.0500000000006</v>
      </c>
      <c r="W111" s="139">
        <f t="shared" si="1"/>
        <v>2152.999999999998</v>
      </c>
      <c r="X111" s="139">
        <f t="shared" si="1"/>
        <v>4071</v>
      </c>
      <c r="Y111" s="139">
        <f t="shared" si="1"/>
        <v>541.9999999999998</v>
      </c>
      <c r="Z111" s="139">
        <f t="shared" si="1"/>
        <v>3913.499999999997</v>
      </c>
      <c r="AA111" s="139">
        <f t="shared" si="1"/>
        <v>6163.999999999995</v>
      </c>
      <c r="AB111" s="140">
        <f t="shared" si="1"/>
        <v>1554.4999999999993</v>
      </c>
      <c r="AC111" s="139">
        <f t="shared" si="1"/>
        <v>4100.000000000006</v>
      </c>
      <c r="AD111" s="140">
        <f t="shared" si="1"/>
        <v>599.4999999999999</v>
      </c>
      <c r="AE111" s="44"/>
      <c r="AF111"/>
      <c r="AR111" s="46"/>
      <c r="AS111" s="47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9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4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</row>
    <row r="112" spans="1:100" ht="13.5" hidden="1" thickBot="1">
      <c r="A112" s="50"/>
      <c r="B112" s="51"/>
      <c r="C112" s="51"/>
      <c r="D112" s="51"/>
      <c r="E112" s="51"/>
      <c r="F112" s="51"/>
      <c r="G112" s="51"/>
      <c r="H112" s="233"/>
      <c r="I112" s="51"/>
      <c r="J112" s="69"/>
      <c r="K112" s="69"/>
      <c r="L112" s="69"/>
      <c r="M112" s="78"/>
      <c r="N112" s="69"/>
      <c r="O112" s="78"/>
      <c r="P112" s="71"/>
      <c r="Q112" s="128"/>
      <c r="R112" s="129"/>
      <c r="S112" s="70"/>
      <c r="T112" s="52"/>
      <c r="U112" s="53"/>
      <c r="V112" s="53"/>
      <c r="W112" s="52"/>
      <c r="X112" s="52"/>
      <c r="Y112" s="53"/>
      <c r="Z112" s="53"/>
      <c r="AA112" s="54"/>
      <c r="AB112" s="78"/>
      <c r="AC112" s="54"/>
      <c r="AD112" s="78"/>
      <c r="AE112" s="12"/>
      <c r="AR112" s="5"/>
      <c r="AS112" s="13"/>
      <c r="AT112" s="7"/>
      <c r="AU112" s="7"/>
      <c r="AV112" s="7"/>
      <c r="AW112" s="7"/>
      <c r="AX112" s="7"/>
      <c r="AY112" s="7"/>
      <c r="AZ112" s="7"/>
      <c r="BA112" s="7"/>
      <c r="BB112" s="11"/>
      <c r="BC112" s="11"/>
      <c r="BD112" s="10"/>
      <c r="BE112" s="11"/>
      <c r="BF112" s="11"/>
      <c r="BG112" s="11"/>
      <c r="BH112" s="11"/>
      <c r="BI112" s="11"/>
      <c r="BJ112" s="11"/>
      <c r="BK112" s="11"/>
      <c r="BL112" s="11"/>
      <c r="BM112" s="7"/>
      <c r="BN112" s="7"/>
      <c r="BO112" s="7"/>
      <c r="BP112" s="7"/>
      <c r="BQ112" s="7"/>
      <c r="BR112" s="7"/>
      <c r="BS112" s="12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</row>
    <row r="113" spans="1:100" ht="12.75">
      <c r="A113" s="59" t="s">
        <v>0</v>
      </c>
      <c r="B113" s="60" t="s">
        <v>1</v>
      </c>
      <c r="C113" s="60" t="s">
        <v>1</v>
      </c>
      <c r="D113" s="104" t="s">
        <v>2</v>
      </c>
      <c r="E113" s="60" t="s">
        <v>2</v>
      </c>
      <c r="F113" s="55" t="s">
        <v>14</v>
      </c>
      <c r="G113" s="55" t="s">
        <v>14</v>
      </c>
      <c r="H113" s="226" t="s">
        <v>3</v>
      </c>
      <c r="I113" s="56" t="s">
        <v>12</v>
      </c>
      <c r="J113" s="106" t="s">
        <v>14</v>
      </c>
      <c r="K113" s="106" t="s">
        <v>16</v>
      </c>
      <c r="L113" s="108" t="s">
        <v>22</v>
      </c>
      <c r="M113" s="100" t="s">
        <v>22</v>
      </c>
      <c r="N113" s="108" t="s">
        <v>23</v>
      </c>
      <c r="O113" s="100" t="s">
        <v>24</v>
      </c>
      <c r="P113" s="86" t="s">
        <v>4</v>
      </c>
      <c r="Q113" s="132" t="s">
        <v>1</v>
      </c>
      <c r="R113" s="60" t="s">
        <v>1</v>
      </c>
      <c r="S113" s="104" t="s">
        <v>2</v>
      </c>
      <c r="T113" s="60" t="s">
        <v>2</v>
      </c>
      <c r="U113" s="56" t="s">
        <v>14</v>
      </c>
      <c r="V113" s="55" t="s">
        <v>14</v>
      </c>
      <c r="W113" s="61" t="s">
        <v>3</v>
      </c>
      <c r="X113" s="56" t="s">
        <v>12</v>
      </c>
      <c r="Y113" s="106" t="s">
        <v>14</v>
      </c>
      <c r="Z113" s="106" t="s">
        <v>16</v>
      </c>
      <c r="AA113" s="108" t="s">
        <v>22</v>
      </c>
      <c r="AB113" s="101" t="s">
        <v>22</v>
      </c>
      <c r="AC113" s="108" t="s">
        <v>23</v>
      </c>
      <c r="AD113" s="101" t="s">
        <v>24</v>
      </c>
      <c r="AE113" s="12"/>
      <c r="AR113" s="5"/>
      <c r="AS113" s="13"/>
      <c r="AT113" s="7"/>
      <c r="AU113" s="7"/>
      <c r="AV113" s="7"/>
      <c r="AW113" s="7"/>
      <c r="AX113" s="7"/>
      <c r="AY113" s="7"/>
      <c r="AZ113" s="7"/>
      <c r="BA113" s="7"/>
      <c r="BB113" s="11"/>
      <c r="BC113" s="11"/>
      <c r="BD113" s="10"/>
      <c r="BE113" s="11"/>
      <c r="BF113" s="11"/>
      <c r="BG113" s="11"/>
      <c r="BH113" s="11"/>
      <c r="BI113" s="11"/>
      <c r="BJ113" s="11"/>
      <c r="BK113" s="11"/>
      <c r="BL113" s="11"/>
      <c r="BM113" s="7"/>
      <c r="BN113" s="7"/>
      <c r="BO113" s="7"/>
      <c r="BP113" s="7"/>
      <c r="BQ113" s="7"/>
      <c r="BR113" s="7"/>
      <c r="BS113" s="12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</row>
    <row r="114" spans="1:100" ht="12.75">
      <c r="A114" s="57"/>
      <c r="B114" s="14"/>
      <c r="C114" s="103" t="s">
        <v>17</v>
      </c>
      <c r="D114" s="103" t="s">
        <v>17</v>
      </c>
      <c r="E114" s="222" t="s">
        <v>84</v>
      </c>
      <c r="F114" s="221" t="s">
        <v>82</v>
      </c>
      <c r="G114" s="15" t="s">
        <v>15</v>
      </c>
      <c r="H114" s="227" t="s">
        <v>25</v>
      </c>
      <c r="I114" s="29" t="s">
        <v>13</v>
      </c>
      <c r="J114" s="107" t="s">
        <v>21</v>
      </c>
      <c r="K114" s="107" t="s">
        <v>18</v>
      </c>
      <c r="L114" s="109" t="s">
        <v>19</v>
      </c>
      <c r="M114" s="110" t="s">
        <v>20</v>
      </c>
      <c r="N114" s="109" t="s">
        <v>5</v>
      </c>
      <c r="O114" s="110"/>
      <c r="P114" s="87" t="s">
        <v>6</v>
      </c>
      <c r="Q114" s="133"/>
      <c r="R114" s="103" t="s">
        <v>17</v>
      </c>
      <c r="S114" s="103" t="s">
        <v>17</v>
      </c>
      <c r="T114" s="222" t="s">
        <v>84</v>
      </c>
      <c r="U114" s="37" t="s">
        <v>5</v>
      </c>
      <c r="V114" s="15" t="s">
        <v>15</v>
      </c>
      <c r="W114" s="38"/>
      <c r="X114" s="29" t="s">
        <v>13</v>
      </c>
      <c r="Y114" s="107" t="s">
        <v>21</v>
      </c>
      <c r="Z114" s="107" t="s">
        <v>18</v>
      </c>
      <c r="AA114" s="109" t="s">
        <v>19</v>
      </c>
      <c r="AB114" s="134" t="s">
        <v>20</v>
      </c>
      <c r="AC114" s="109" t="s">
        <v>5</v>
      </c>
      <c r="AD114" s="134"/>
      <c r="AE114" s="12"/>
      <c r="AR114" s="5"/>
      <c r="AS114" s="13"/>
      <c r="AT114" s="7"/>
      <c r="AU114" s="7"/>
      <c r="AV114" s="7"/>
      <c r="AW114" s="7"/>
      <c r="AX114" s="7"/>
      <c r="AY114" s="7"/>
      <c r="AZ114" s="7"/>
      <c r="BA114" s="7"/>
      <c r="BB114" s="11"/>
      <c r="BC114" s="11"/>
      <c r="BD114" s="10"/>
      <c r="BE114" s="11"/>
      <c r="BF114" s="11"/>
      <c r="BG114" s="11"/>
      <c r="BH114" s="11"/>
      <c r="BI114" s="11"/>
      <c r="BJ114" s="11"/>
      <c r="BK114" s="11"/>
      <c r="BL114" s="11"/>
      <c r="BM114" s="7"/>
      <c r="BN114" s="7"/>
      <c r="BO114" s="7"/>
      <c r="BP114" s="7"/>
      <c r="BQ114" s="7"/>
      <c r="BR114" s="7"/>
      <c r="BS114" s="12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</row>
    <row r="115" spans="1:100" ht="13.5" customHeight="1" thickBot="1">
      <c r="A115" s="62" t="s">
        <v>7</v>
      </c>
      <c r="B115" s="63" t="s">
        <v>8</v>
      </c>
      <c r="C115" s="63" t="s">
        <v>8</v>
      </c>
      <c r="D115" s="63" t="s">
        <v>8</v>
      </c>
      <c r="E115" s="63" t="s">
        <v>8</v>
      </c>
      <c r="F115" s="130" t="s">
        <v>9</v>
      </c>
      <c r="G115" s="64" t="s">
        <v>8</v>
      </c>
      <c r="H115" s="228" t="s">
        <v>8</v>
      </c>
      <c r="I115" s="64" t="s">
        <v>9</v>
      </c>
      <c r="J115" s="125" t="s">
        <v>8</v>
      </c>
      <c r="K115" s="125" t="s">
        <v>9</v>
      </c>
      <c r="L115" s="126" t="s">
        <v>9</v>
      </c>
      <c r="M115" s="127" t="s">
        <v>9</v>
      </c>
      <c r="N115" s="126" t="s">
        <v>9</v>
      </c>
      <c r="O115" s="127" t="s">
        <v>8</v>
      </c>
      <c r="P115" s="88" t="s">
        <v>9</v>
      </c>
      <c r="Q115" s="135" t="s">
        <v>10</v>
      </c>
      <c r="R115" s="68" t="s">
        <v>10</v>
      </c>
      <c r="S115" s="68" t="s">
        <v>10</v>
      </c>
      <c r="T115" s="65" t="s">
        <v>10</v>
      </c>
      <c r="U115" s="131" t="s">
        <v>8</v>
      </c>
      <c r="V115" s="64" t="s">
        <v>10</v>
      </c>
      <c r="W115" s="66" t="s">
        <v>8</v>
      </c>
      <c r="X115" s="67" t="s">
        <v>8</v>
      </c>
      <c r="Y115" s="125" t="s">
        <v>10</v>
      </c>
      <c r="Z115" s="125" t="s">
        <v>8</v>
      </c>
      <c r="AA115" s="126" t="s">
        <v>8</v>
      </c>
      <c r="AB115" s="136" t="s">
        <v>8</v>
      </c>
      <c r="AC115" s="126" t="s">
        <v>8</v>
      </c>
      <c r="AD115" s="136" t="s">
        <v>8</v>
      </c>
      <c r="AE115" s="12"/>
      <c r="AR115" s="5"/>
      <c r="AS115" s="13"/>
      <c r="AT115" s="7"/>
      <c r="AU115" s="7"/>
      <c r="AV115" s="7"/>
      <c r="AW115" s="7"/>
      <c r="AX115" s="7"/>
      <c r="AY115" s="7"/>
      <c r="AZ115" s="7"/>
      <c r="BA115" s="7"/>
      <c r="BB115" s="11"/>
      <c r="BC115" s="11"/>
      <c r="BD115" s="10"/>
      <c r="BE115" s="11"/>
      <c r="BF115" s="11"/>
      <c r="BG115" s="11"/>
      <c r="BH115" s="11"/>
      <c r="BI115" s="11"/>
      <c r="BJ115" s="11"/>
      <c r="BK115" s="11"/>
      <c r="BL115" s="11"/>
      <c r="BM115" s="7"/>
      <c r="BN115" s="7"/>
      <c r="BO115" s="7"/>
      <c r="BP115" s="7"/>
      <c r="BQ115" s="7"/>
      <c r="BR115" s="7"/>
      <c r="BS115" s="12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</row>
    <row r="116" spans="1:100" ht="12.75">
      <c r="A116" s="25"/>
      <c r="B116" s="6"/>
      <c r="C116" s="6"/>
      <c r="D116" s="6"/>
      <c r="E116" s="6"/>
      <c r="F116" s="6"/>
      <c r="G116" s="6"/>
      <c r="H116" s="234"/>
      <c r="I116"/>
      <c r="J116"/>
      <c r="K116"/>
      <c r="L116"/>
      <c r="M116"/>
      <c r="N116"/>
      <c r="O116"/>
      <c r="P116" s="32"/>
      <c r="Q116" s="40"/>
      <c r="R116" s="40"/>
      <c r="S116" s="40"/>
      <c r="T116" s="39"/>
      <c r="U116" s="40"/>
      <c r="V116" s="40"/>
      <c r="W116" s="41"/>
      <c r="X116" s="41"/>
      <c r="Y116" s="41"/>
      <c r="Z116" s="41"/>
      <c r="AA116" s="41"/>
      <c r="AB116"/>
      <c r="AC116" s="41"/>
      <c r="AD116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</row>
    <row r="117" spans="1:100" ht="12.75">
      <c r="A117" s="25"/>
      <c r="B117" s="240" t="s">
        <v>87</v>
      </c>
      <c r="C117" s="6"/>
      <c r="D117" s="6"/>
      <c r="E117" s="6"/>
      <c r="F117" s="6"/>
      <c r="G117" s="6"/>
      <c r="P117" s="378" t="s">
        <v>372</v>
      </c>
      <c r="Q117" s="693" t="s">
        <v>373</v>
      </c>
      <c r="R117" s="694"/>
      <c r="S117" s="40"/>
      <c r="T117" s="324" t="s">
        <v>252</v>
      </c>
      <c r="V117" s="386" t="s">
        <v>371</v>
      </c>
      <c r="W117" s="662">
        <f>W111*0.5</f>
        <v>1076.499999999999</v>
      </c>
      <c r="AA117" s="110" t="s">
        <v>369</v>
      </c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</row>
    <row r="118" spans="1:100" ht="12.75">
      <c r="A118" s="25"/>
      <c r="B118" s="240"/>
      <c r="C118" s="6"/>
      <c r="D118" s="6"/>
      <c r="E118" s="6"/>
      <c r="F118" s="6"/>
      <c r="G118" s="6"/>
      <c r="P118" s="378"/>
      <c r="Q118" s="379"/>
      <c r="R118" s="380"/>
      <c r="S118" s="40"/>
      <c r="T118" s="324" t="s">
        <v>370</v>
      </c>
      <c r="V118" s="324" t="s">
        <v>771</v>
      </c>
      <c r="AA118" s="110" t="s">
        <v>770</v>
      </c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</row>
    <row r="119" spans="1:100" ht="12.75">
      <c r="A119" s="25"/>
      <c r="B119" s="240"/>
      <c r="C119" s="6"/>
      <c r="D119" s="6"/>
      <c r="E119" s="6"/>
      <c r="F119" s="6"/>
      <c r="G119" s="6"/>
      <c r="P119" s="378"/>
      <c r="Q119" s="379"/>
      <c r="R119" s="380"/>
      <c r="S119" s="40"/>
      <c r="T119" s="324"/>
      <c r="V119" s="324"/>
      <c r="AA119" s="110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</row>
    <row r="120" spans="1:100" ht="12.75">
      <c r="A120" s="25"/>
      <c r="B120" s="6"/>
      <c r="C120" s="6"/>
      <c r="D120" s="6"/>
      <c r="E120" s="6"/>
      <c r="F120" s="6"/>
      <c r="G120" s="6"/>
      <c r="H120" s="235"/>
      <c r="I120" s="27"/>
      <c r="J120" s="375" t="s">
        <v>380</v>
      </c>
      <c r="K120" s="16"/>
      <c r="L120" s="16">
        <v>9816</v>
      </c>
      <c r="M120" s="382" t="s">
        <v>10</v>
      </c>
      <c r="N120" s="384" t="s">
        <v>384</v>
      </c>
      <c r="O120" s="27"/>
      <c r="P120" s="381"/>
      <c r="Q120" s="381"/>
      <c r="R120" s="381"/>
      <c r="S120" s="40"/>
      <c r="AB120" s="27"/>
      <c r="AD120" s="27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</row>
    <row r="121" spans="1:100" ht="12.75">
      <c r="A121" s="25"/>
      <c r="B121" s="6"/>
      <c r="C121" s="6"/>
      <c r="D121" s="6"/>
      <c r="E121" s="6"/>
      <c r="F121" s="6"/>
      <c r="G121" s="6"/>
      <c r="H121" s="236"/>
      <c r="I121" s="16"/>
      <c r="J121"/>
      <c r="K121"/>
      <c r="L121"/>
      <c r="N121" s="16"/>
      <c r="O121" s="16"/>
      <c r="P121" s="604" t="s">
        <v>376</v>
      </c>
      <c r="Q121" s="610">
        <f>R111*0.5</f>
        <v>1619.750000000003</v>
      </c>
      <c r="R121" s="676" t="s">
        <v>393</v>
      </c>
      <c r="S121" s="677"/>
      <c r="T121" s="686">
        <f>Q121+Q122</f>
        <v>2882.300000000003</v>
      </c>
      <c r="U121" s="688" t="s">
        <v>10</v>
      </c>
      <c r="AB121" s="16"/>
      <c r="AD121" s="16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</row>
    <row r="122" spans="1:100" ht="12.75">
      <c r="A122" s="25"/>
      <c r="B122" s="6"/>
      <c r="C122" s="6"/>
      <c r="D122" s="6"/>
      <c r="E122" s="6"/>
      <c r="F122" s="6"/>
      <c r="G122" s="6"/>
      <c r="H122" s="236"/>
      <c r="I122" s="16"/>
      <c r="J122" s="375" t="s">
        <v>381</v>
      </c>
      <c r="K122" s="16"/>
      <c r="L122" s="653">
        <v>1242.5</v>
      </c>
      <c r="N122" s="16">
        <v>30</v>
      </c>
      <c r="P122" s="605"/>
      <c r="Q122" s="657">
        <f>L128*0.3</f>
        <v>1262.55</v>
      </c>
      <c r="R122" s="682"/>
      <c r="S122" s="679"/>
      <c r="T122" s="687"/>
      <c r="U122" s="689"/>
      <c r="AB122" s="16"/>
      <c r="AD122" s="16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</row>
    <row r="123" spans="1:100" ht="12.75">
      <c r="A123" s="26"/>
      <c r="B123" s="6"/>
      <c r="C123" s="6"/>
      <c r="D123" s="6"/>
      <c r="E123" s="6"/>
      <c r="F123" s="6"/>
      <c r="G123" s="6"/>
      <c r="H123" s="236"/>
      <c r="I123" s="16"/>
      <c r="J123"/>
      <c r="K123"/>
      <c r="L123"/>
      <c r="N123" s="16"/>
      <c r="P123" s="604" t="s">
        <v>375</v>
      </c>
      <c r="Q123" s="610">
        <f>R111*0.5</f>
        <v>1619.750000000003</v>
      </c>
      <c r="R123" s="676" t="s">
        <v>393</v>
      </c>
      <c r="S123" s="677"/>
      <c r="T123" s="690">
        <f>Q123+Q124+Q125</f>
        <v>4379.650000000002</v>
      </c>
      <c r="U123" s="688" t="s">
        <v>10</v>
      </c>
      <c r="AB123" s="16"/>
      <c r="AD123" s="16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</row>
    <row r="124" spans="1:100" ht="12.75">
      <c r="A124" s="25"/>
      <c r="B124" s="6"/>
      <c r="C124" s="6"/>
      <c r="D124" s="6"/>
      <c r="E124" s="6"/>
      <c r="F124" s="6"/>
      <c r="G124" s="6"/>
      <c r="H124" s="234"/>
      <c r="I124"/>
      <c r="J124" s="382" t="s">
        <v>382</v>
      </c>
      <c r="L124" s="655">
        <v>4365</v>
      </c>
      <c r="N124">
        <v>40</v>
      </c>
      <c r="P124" s="606"/>
      <c r="Q124" s="663">
        <f>L128*0.4</f>
        <v>1683.4</v>
      </c>
      <c r="R124" s="683"/>
      <c r="S124" s="684"/>
      <c r="T124" s="691"/>
      <c r="U124" s="692"/>
      <c r="AB124"/>
      <c r="AD12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</row>
    <row r="125" spans="1:100" ht="12.75">
      <c r="A125" s="25"/>
      <c r="B125" s="6"/>
      <c r="C125" s="6"/>
      <c r="D125" s="6"/>
      <c r="E125" s="6"/>
      <c r="F125" s="6"/>
      <c r="G125" s="6"/>
      <c r="H125" s="234"/>
      <c r="I125"/>
      <c r="J125" s="382"/>
      <c r="N125"/>
      <c r="P125" s="605" t="s">
        <v>385</v>
      </c>
      <c r="Q125" s="661">
        <f>W111*0.5</f>
        <v>1076.499999999999</v>
      </c>
      <c r="R125" s="678" t="s">
        <v>395</v>
      </c>
      <c r="S125" s="679"/>
      <c r="T125" s="687"/>
      <c r="U125" s="689"/>
      <c r="AB125"/>
      <c r="AD12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</row>
    <row r="126" spans="1:100" ht="12.75">
      <c r="A126" s="25"/>
      <c r="B126" s="6"/>
      <c r="C126" s="6"/>
      <c r="D126" s="6"/>
      <c r="E126" s="6"/>
      <c r="F126" s="6"/>
      <c r="G126" s="6"/>
      <c r="H126" s="236"/>
      <c r="I126" s="16"/>
      <c r="N126" s="16"/>
      <c r="P126" s="604" t="s">
        <v>377</v>
      </c>
      <c r="Q126" s="654">
        <f>L122</f>
        <v>1242.5</v>
      </c>
      <c r="R126" s="685">
        <v>1242.5</v>
      </c>
      <c r="S126" s="677"/>
      <c r="T126" s="686">
        <f>Q126+Q127</f>
        <v>2084.2</v>
      </c>
      <c r="U126" s="688" t="s">
        <v>10</v>
      </c>
      <c r="AB126" s="16"/>
      <c r="AD126" s="16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</row>
    <row r="127" spans="8:100" ht="12.75" customHeight="1">
      <c r="H127" s="234"/>
      <c r="I127"/>
      <c r="N127">
        <v>20</v>
      </c>
      <c r="P127" s="605"/>
      <c r="Q127" s="657">
        <f>L128*0.2</f>
        <v>841.7</v>
      </c>
      <c r="R127" s="678" t="s">
        <v>394</v>
      </c>
      <c r="S127" s="679"/>
      <c r="T127" s="687"/>
      <c r="U127" s="689"/>
      <c r="V127" s="28">
        <f>Q111+R111</f>
        <v>13055.300000000008</v>
      </c>
      <c r="AB127"/>
      <c r="AD127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</row>
    <row r="128" spans="10:100" ht="12.75">
      <c r="J128" s="382" t="s">
        <v>383</v>
      </c>
      <c r="L128" s="656">
        <f>L120-L122-L124</f>
        <v>4208.5</v>
      </c>
      <c r="P128" s="604" t="s">
        <v>378</v>
      </c>
      <c r="Q128" s="660">
        <f>4365*0.6</f>
        <v>2619</v>
      </c>
      <c r="R128" s="676" t="s">
        <v>397</v>
      </c>
      <c r="S128" s="677"/>
      <c r="T128" s="686">
        <f>Q128+Q129</f>
        <v>3039.85</v>
      </c>
      <c r="U128" s="688" t="s">
        <v>10</v>
      </c>
      <c r="V128" s="28">
        <f>Q125</f>
        <v>1076.499999999999</v>
      </c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</row>
    <row r="129" spans="1:100" ht="12.75">
      <c r="A129" s="17"/>
      <c r="N129" s="383">
        <v>10</v>
      </c>
      <c r="P129" s="607"/>
      <c r="Q129" s="658">
        <f>L128*0.1</f>
        <v>420.85</v>
      </c>
      <c r="R129" s="678" t="s">
        <v>398</v>
      </c>
      <c r="S129" s="679"/>
      <c r="T129" s="687"/>
      <c r="U129" s="689"/>
      <c r="V129" s="28">
        <f>SUM(V127:V128)</f>
        <v>14131.800000000007</v>
      </c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</row>
    <row r="130" spans="16:100" ht="12.75">
      <c r="P130" s="608" t="s">
        <v>379</v>
      </c>
      <c r="Q130" s="659">
        <f>L124*0.4</f>
        <v>1746</v>
      </c>
      <c r="R130" s="680" t="s">
        <v>396</v>
      </c>
      <c r="S130" s="681"/>
      <c r="T130" s="611">
        <v>1746</v>
      </c>
      <c r="U130" s="609" t="s">
        <v>10</v>
      </c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</row>
    <row r="131" spans="1:100" ht="15" customHeight="1">
      <c r="A131" s="17"/>
      <c r="N131" s="383">
        <f>SUM(N122:N130)</f>
        <v>100</v>
      </c>
      <c r="Q131" s="30"/>
      <c r="R131" s="30"/>
      <c r="S131" s="30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</row>
    <row r="132" spans="12:100" ht="12.75">
      <c r="L132" s="2">
        <f>SUM(L122:L131)</f>
        <v>9816</v>
      </c>
      <c r="Q132" s="30"/>
      <c r="R132" s="30"/>
      <c r="S132" s="30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</row>
    <row r="133" spans="16:100" ht="12.75">
      <c r="P133" s="28" t="s">
        <v>740</v>
      </c>
      <c r="Q133" s="28">
        <f>SUM(Q121:Q132)</f>
        <v>14132.000000000005</v>
      </c>
      <c r="R133" s="30"/>
      <c r="S133" s="30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</row>
    <row r="134" spans="17:100" ht="12.75">
      <c r="Q134" s="30"/>
      <c r="R134" s="30"/>
      <c r="S134" s="30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</row>
    <row r="135" spans="17:100" ht="7.5" customHeight="1">
      <c r="Q135" s="30"/>
      <c r="R135" s="30"/>
      <c r="S135" s="30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</row>
    <row r="136" spans="16:100" ht="12.75">
      <c r="P136" s="33"/>
      <c r="Q136" s="30"/>
      <c r="R136" s="30"/>
      <c r="S136" s="30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</row>
    <row r="137" spans="44:100" ht="12.75"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</row>
    <row r="138" spans="1:100" ht="17.25" customHeight="1">
      <c r="A138"/>
      <c r="B138"/>
      <c r="C138"/>
      <c r="D138"/>
      <c r="E138"/>
      <c r="F138"/>
      <c r="G138"/>
      <c r="H138" s="234"/>
      <c r="I138"/>
      <c r="J138"/>
      <c r="K138"/>
      <c r="L138"/>
      <c r="M138"/>
      <c r="N138"/>
      <c r="O138"/>
      <c r="P138" s="33"/>
      <c r="AB138"/>
      <c r="AD138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</row>
    <row r="139" spans="44:100" ht="12.75"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</row>
    <row r="140" spans="44:100" ht="12.75"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</row>
    <row r="141" spans="44:100" ht="12.75"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</row>
    <row r="142" spans="1:100" ht="12.75">
      <c r="A142" s="17"/>
      <c r="Q142" s="42"/>
      <c r="R142" s="42"/>
      <c r="S142" s="42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</row>
    <row r="143" spans="17:100" ht="12.75">
      <c r="Q143" s="35"/>
      <c r="R143" s="35"/>
      <c r="S143" s="3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</row>
    <row r="144" spans="17:100" ht="12.75">
      <c r="Q144" s="30"/>
      <c r="R144" s="30"/>
      <c r="S144" s="30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</row>
    <row r="145" spans="17:100" ht="12.75">
      <c r="Q145" s="30"/>
      <c r="R145" s="30"/>
      <c r="S145" s="30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</row>
    <row r="146" spans="17:100" ht="12.75">
      <c r="Q146" s="30"/>
      <c r="R146" s="30"/>
      <c r="S146" s="30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</row>
    <row r="147" spans="17:100" ht="12.75">
      <c r="Q147" s="30"/>
      <c r="R147" s="30"/>
      <c r="S147" s="30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</row>
    <row r="148" spans="1:100" ht="12.75">
      <c r="A148" s="17"/>
      <c r="Q148" s="30"/>
      <c r="R148" s="30"/>
      <c r="S148" s="30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</row>
    <row r="149" spans="17:100" ht="12.75">
      <c r="Q149" s="30"/>
      <c r="R149" s="30"/>
      <c r="S149" s="30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</row>
    <row r="150" spans="17:100" ht="12.75">
      <c r="Q150" s="30"/>
      <c r="R150" s="30"/>
      <c r="S150" s="30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</row>
    <row r="151" spans="16:100" ht="12.75">
      <c r="P151" s="33"/>
      <c r="Q151" s="30"/>
      <c r="R151" s="30"/>
      <c r="S151" s="30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</row>
    <row r="152" spans="1:100" ht="12.75">
      <c r="A152" s="17"/>
      <c r="Q152" s="30"/>
      <c r="R152" s="30"/>
      <c r="S152" s="30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</row>
    <row r="153" spans="16:100" ht="12.75">
      <c r="P153" s="34"/>
      <c r="Q153" s="30"/>
      <c r="R153" s="30"/>
      <c r="S153" s="30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</row>
    <row r="154" spans="17:100" ht="12.75">
      <c r="Q154" s="30"/>
      <c r="R154" s="30"/>
      <c r="S154" s="30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</row>
    <row r="155" spans="17:100" ht="12.75">
      <c r="Q155" s="30"/>
      <c r="R155" s="30"/>
      <c r="S155" s="30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</row>
    <row r="156" spans="44:100" ht="12.75"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</row>
    <row r="157" spans="44:100" ht="12.75"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</row>
    <row r="158" spans="44:100" ht="12.75"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</row>
    <row r="159" spans="44:100" ht="12.75"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</row>
    <row r="160" spans="44:100" ht="12.75"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</row>
    <row r="161" spans="44:100" ht="12.75"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</row>
    <row r="162" spans="44:100" ht="12.75"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</row>
    <row r="163" spans="44:100" ht="12.75"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</row>
    <row r="164" spans="44:100" ht="12.75"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</row>
    <row r="165" spans="44:100" ht="12.75"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</row>
    <row r="166" spans="44:100" ht="12.75"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</row>
    <row r="167" spans="44:100" ht="12.75"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</row>
    <row r="168" spans="16:100" ht="12.75">
      <c r="P168" s="30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</row>
    <row r="169" spans="44:100" ht="12.75"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</row>
    <row r="170" spans="44:100" ht="12.75"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</row>
    <row r="171" spans="44:100" ht="12.75"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</row>
    <row r="172" spans="44:100" ht="12.75"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</row>
    <row r="173" spans="32:100" ht="12.75">
      <c r="AF173" s="2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</row>
    <row r="174" spans="44:100" ht="12.75"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</row>
    <row r="175" spans="32:100" ht="12.75">
      <c r="AF175" s="2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</row>
    <row r="176" spans="44:100" ht="12.75"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</row>
    <row r="177" spans="1:100" ht="12.75">
      <c r="A177" s="17"/>
      <c r="P177" s="30"/>
      <c r="AF177" s="2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</row>
    <row r="178" spans="16:100" ht="12.75">
      <c r="P178" s="30"/>
      <c r="AF178" s="2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</row>
    <row r="179" spans="16:100" ht="12.75">
      <c r="P179" s="30"/>
      <c r="AF179" s="2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</row>
    <row r="180" spans="32:100" ht="12.75">
      <c r="AF180" s="2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</row>
    <row r="181" spans="8:100" ht="15.75">
      <c r="H181" s="224"/>
      <c r="I181" s="3"/>
      <c r="J181" s="3"/>
      <c r="K181" s="3"/>
      <c r="L181" s="3"/>
      <c r="M181" s="3"/>
      <c r="N181" s="3"/>
      <c r="O181" s="3"/>
      <c r="AB181" s="3"/>
      <c r="AD181" s="3"/>
      <c r="AF181" s="23"/>
      <c r="AJ181" s="4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</row>
    <row r="182" spans="32:100" ht="16.5" customHeight="1">
      <c r="AF182" s="2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</row>
    <row r="183" spans="32:100" ht="15.75">
      <c r="AF183" s="2"/>
      <c r="AJ183" s="18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</row>
    <row r="184" spans="1:100" ht="12.75">
      <c r="A184" s="19"/>
      <c r="B184" s="20"/>
      <c r="C184" s="20"/>
      <c r="D184" s="20"/>
      <c r="E184" s="20"/>
      <c r="F184" s="20"/>
      <c r="G184" s="20"/>
      <c r="H184" s="237"/>
      <c r="I184" s="20"/>
      <c r="J184" s="20"/>
      <c r="K184" s="20"/>
      <c r="L184" s="20"/>
      <c r="M184" s="20"/>
      <c r="N184" s="20"/>
      <c r="O184" s="20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20"/>
      <c r="AC184" s="31"/>
      <c r="AD184" s="20"/>
      <c r="AE184" s="12"/>
      <c r="AF184" s="2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</row>
    <row r="185" spans="1:100" ht="15.75">
      <c r="A185" s="13"/>
      <c r="B185" s="7"/>
      <c r="C185" s="7"/>
      <c r="D185" s="7"/>
      <c r="E185" s="7"/>
      <c r="F185" s="7"/>
      <c r="G185" s="7"/>
      <c r="H185" s="225"/>
      <c r="I185" s="7"/>
      <c r="J185" s="7"/>
      <c r="K185" s="7"/>
      <c r="L185" s="7"/>
      <c r="M185" s="7"/>
      <c r="N185" s="7"/>
      <c r="O185" s="7"/>
      <c r="P185" s="31"/>
      <c r="Q185" s="24"/>
      <c r="R185" s="24"/>
      <c r="S185" s="24"/>
      <c r="T185" s="24"/>
      <c r="U185" s="24"/>
      <c r="V185" s="24"/>
      <c r="W185" s="41"/>
      <c r="X185" s="41"/>
      <c r="Y185" s="41"/>
      <c r="Z185" s="41"/>
      <c r="AA185" s="41"/>
      <c r="AB185" s="7"/>
      <c r="AC185" s="41"/>
      <c r="AD185" s="7"/>
      <c r="AE185" s="12"/>
      <c r="AF185" s="2"/>
      <c r="AI185" s="22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</row>
    <row r="186" spans="1:100" ht="12.75">
      <c r="A186" s="19"/>
      <c r="B186" s="20"/>
      <c r="C186" s="20"/>
      <c r="D186" s="20"/>
      <c r="E186" s="20"/>
      <c r="F186" s="20"/>
      <c r="G186" s="20"/>
      <c r="H186" s="237"/>
      <c r="I186" s="20"/>
      <c r="J186" s="20"/>
      <c r="K186" s="20"/>
      <c r="L186" s="20"/>
      <c r="M186" s="20"/>
      <c r="N186" s="20"/>
      <c r="O186" s="20"/>
      <c r="P186" s="31"/>
      <c r="Q186" s="31"/>
      <c r="R186" s="31"/>
      <c r="S186" s="31"/>
      <c r="T186" s="31"/>
      <c r="U186" s="31"/>
      <c r="V186" s="31"/>
      <c r="W186" s="43"/>
      <c r="X186" s="43"/>
      <c r="Y186" s="43"/>
      <c r="Z186" s="43"/>
      <c r="AA186" s="43"/>
      <c r="AB186" s="20"/>
      <c r="AC186" s="43"/>
      <c r="AD186" s="20"/>
      <c r="AE186" s="21"/>
      <c r="AF186" s="2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</row>
    <row r="187" spans="1:100" ht="12.75">
      <c r="A187" s="13"/>
      <c r="B187" s="7"/>
      <c r="C187" s="7"/>
      <c r="D187" s="7"/>
      <c r="E187" s="7"/>
      <c r="F187" s="7"/>
      <c r="G187" s="7"/>
      <c r="H187" s="225"/>
      <c r="I187" s="7"/>
      <c r="J187" s="7"/>
      <c r="K187" s="7"/>
      <c r="L187" s="7"/>
      <c r="M187" s="7"/>
      <c r="N187" s="7"/>
      <c r="O187" s="7"/>
      <c r="P187" s="24"/>
      <c r="Q187" s="24"/>
      <c r="R187" s="24"/>
      <c r="S187" s="24"/>
      <c r="T187" s="24"/>
      <c r="U187" s="24"/>
      <c r="V187" s="24"/>
      <c r="W187" s="41"/>
      <c r="X187" s="41"/>
      <c r="Y187" s="41"/>
      <c r="Z187" s="41"/>
      <c r="AA187" s="41"/>
      <c r="AB187" s="7"/>
      <c r="AC187" s="41"/>
      <c r="AD187" s="7"/>
      <c r="AE187" s="5"/>
      <c r="AF187" s="2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</row>
    <row r="188" spans="1:100" ht="12.75">
      <c r="A188" s="13"/>
      <c r="B188" s="7"/>
      <c r="C188" s="7"/>
      <c r="D188" s="7"/>
      <c r="E188" s="7"/>
      <c r="F188" s="7"/>
      <c r="G188" s="7"/>
      <c r="H188" s="225"/>
      <c r="I188" s="7"/>
      <c r="J188" s="7"/>
      <c r="K188" s="7"/>
      <c r="L188" s="7"/>
      <c r="M188" s="7"/>
      <c r="N188" s="7"/>
      <c r="O188" s="7"/>
      <c r="P188" s="24"/>
      <c r="Q188" s="24"/>
      <c r="R188" s="24"/>
      <c r="S188" s="24"/>
      <c r="T188" s="24"/>
      <c r="U188" s="24"/>
      <c r="V188" s="24"/>
      <c r="W188" s="41"/>
      <c r="X188" s="41"/>
      <c r="Y188" s="41"/>
      <c r="Z188" s="41"/>
      <c r="AA188" s="41"/>
      <c r="AB188" s="7"/>
      <c r="AC188" s="41"/>
      <c r="AD188" s="7"/>
      <c r="AE188" s="5"/>
      <c r="AF188" s="2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</row>
    <row r="189" spans="1:100" ht="12.75">
      <c r="A189" s="13"/>
      <c r="B189" s="7"/>
      <c r="C189" s="7"/>
      <c r="D189" s="7"/>
      <c r="E189" s="7"/>
      <c r="F189" s="7"/>
      <c r="G189" s="7"/>
      <c r="H189" s="225"/>
      <c r="I189" s="7"/>
      <c r="J189" s="7"/>
      <c r="K189" s="7"/>
      <c r="L189" s="7"/>
      <c r="M189" s="7"/>
      <c r="N189" s="7"/>
      <c r="O189" s="7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7"/>
      <c r="AC189" s="24"/>
      <c r="AD189" s="7"/>
      <c r="AE189" s="5"/>
      <c r="AF189" s="23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</row>
    <row r="190" spans="1:100" ht="12.75" customHeight="1">
      <c r="A190" s="13"/>
      <c r="B190" s="7"/>
      <c r="C190" s="7"/>
      <c r="D190" s="7"/>
      <c r="E190" s="7"/>
      <c r="F190" s="7"/>
      <c r="G190" s="7"/>
      <c r="H190" s="225"/>
      <c r="I190" s="7"/>
      <c r="J190" s="7"/>
      <c r="K190" s="7"/>
      <c r="L190" s="7"/>
      <c r="M190" s="7"/>
      <c r="N190" s="7"/>
      <c r="O190" s="7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7"/>
      <c r="AC190" s="24"/>
      <c r="AD190" s="7"/>
      <c r="AE190" s="7"/>
      <c r="AF190" s="2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</row>
    <row r="191" spans="1:100" ht="12.75">
      <c r="A191" s="13"/>
      <c r="B191" s="7"/>
      <c r="C191" s="7"/>
      <c r="D191" s="7"/>
      <c r="E191" s="7"/>
      <c r="F191" s="7"/>
      <c r="G191" s="7"/>
      <c r="H191" s="225"/>
      <c r="I191" s="7"/>
      <c r="J191" s="7"/>
      <c r="K191" s="7"/>
      <c r="L191" s="7"/>
      <c r="M191" s="7"/>
      <c r="N191" s="7"/>
      <c r="O191" s="7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7"/>
      <c r="AC191" s="24"/>
      <c r="AD191" s="7"/>
      <c r="AE191" s="12"/>
      <c r="AF191" s="2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</row>
    <row r="192" spans="1:100" ht="12.75">
      <c r="A192" s="13"/>
      <c r="B192" s="7"/>
      <c r="C192" s="7"/>
      <c r="D192" s="7"/>
      <c r="E192" s="7"/>
      <c r="F192" s="7"/>
      <c r="G192" s="7"/>
      <c r="H192" s="225"/>
      <c r="I192" s="7"/>
      <c r="J192" s="7"/>
      <c r="K192" s="7"/>
      <c r="L192" s="7"/>
      <c r="M192" s="7"/>
      <c r="N192" s="7"/>
      <c r="O192" s="7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7"/>
      <c r="AC192" s="24"/>
      <c r="AD192" s="7"/>
      <c r="AE192" s="7"/>
      <c r="AF192" s="2"/>
      <c r="AG192" s="2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</row>
    <row r="193" spans="1:100" ht="12.75">
      <c r="A193" s="13"/>
      <c r="B193" s="7"/>
      <c r="C193" s="7"/>
      <c r="D193" s="7"/>
      <c r="E193" s="7"/>
      <c r="F193" s="7"/>
      <c r="G193" s="7"/>
      <c r="H193" s="225"/>
      <c r="I193" s="7"/>
      <c r="J193" s="7"/>
      <c r="K193" s="7"/>
      <c r="L193" s="7"/>
      <c r="M193" s="7"/>
      <c r="N193" s="7"/>
      <c r="O193" s="7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7"/>
      <c r="AC193" s="24"/>
      <c r="AD193" s="7"/>
      <c r="AE193" s="12"/>
      <c r="AF193" s="23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</row>
    <row r="194" spans="1:100" ht="12.75">
      <c r="A194" s="13"/>
      <c r="B194" s="7"/>
      <c r="C194" s="7"/>
      <c r="D194" s="7"/>
      <c r="E194" s="7"/>
      <c r="F194" s="7"/>
      <c r="G194" s="7"/>
      <c r="H194" s="225"/>
      <c r="I194" s="7"/>
      <c r="J194" s="7"/>
      <c r="K194" s="7"/>
      <c r="L194" s="7"/>
      <c r="M194" s="7"/>
      <c r="N194" s="7"/>
      <c r="O194" s="7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7"/>
      <c r="AC194" s="24"/>
      <c r="AD194" s="7"/>
      <c r="AE194" s="7"/>
      <c r="AF194" s="2"/>
      <c r="AG194" s="2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</row>
    <row r="195" spans="1:100" ht="12.75">
      <c r="A195" s="13"/>
      <c r="B195" s="7"/>
      <c r="C195" s="7"/>
      <c r="D195" s="7"/>
      <c r="E195" s="7"/>
      <c r="F195" s="7"/>
      <c r="G195" s="7"/>
      <c r="H195" s="225"/>
      <c r="I195" s="7"/>
      <c r="J195" s="7"/>
      <c r="K195" s="7"/>
      <c r="L195" s="7"/>
      <c r="M195" s="7"/>
      <c r="N195" s="7"/>
      <c r="O195" s="7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7"/>
      <c r="AC195" s="24"/>
      <c r="AD195" s="7"/>
      <c r="AE195" s="12"/>
      <c r="AF195" s="2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</row>
    <row r="196" spans="1:100" ht="12.75">
      <c r="A196" s="13"/>
      <c r="B196" s="7"/>
      <c r="C196" s="7"/>
      <c r="D196" s="7"/>
      <c r="E196" s="7"/>
      <c r="F196" s="7"/>
      <c r="G196" s="7"/>
      <c r="H196" s="225"/>
      <c r="I196" s="7"/>
      <c r="J196" s="7"/>
      <c r="K196" s="7"/>
      <c r="L196" s="7"/>
      <c r="M196" s="7"/>
      <c r="N196" s="7"/>
      <c r="O196" s="7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7"/>
      <c r="AC196" s="24"/>
      <c r="AD196" s="7"/>
      <c r="AE196" s="7"/>
      <c r="AF196" s="2"/>
      <c r="AG196" s="2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</row>
    <row r="197" spans="1:100" ht="12.75">
      <c r="A197" s="13"/>
      <c r="B197" s="7"/>
      <c r="C197" s="7"/>
      <c r="D197" s="7"/>
      <c r="E197" s="7"/>
      <c r="F197" s="7"/>
      <c r="G197" s="7"/>
      <c r="H197" s="225"/>
      <c r="I197" s="7"/>
      <c r="J197" s="7"/>
      <c r="K197" s="7"/>
      <c r="L197" s="7"/>
      <c r="M197" s="7"/>
      <c r="N197" s="7"/>
      <c r="O197" s="7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7"/>
      <c r="AC197" s="24"/>
      <c r="AD197" s="7"/>
      <c r="AE197" s="12"/>
      <c r="AF197" s="2"/>
      <c r="AG197" s="2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</row>
    <row r="198" spans="1:100" ht="12.75" customHeight="1">
      <c r="A198" s="13"/>
      <c r="B198" s="7"/>
      <c r="C198" s="7"/>
      <c r="D198" s="7"/>
      <c r="E198" s="7"/>
      <c r="F198" s="7"/>
      <c r="G198" s="7"/>
      <c r="H198" s="225"/>
      <c r="I198" s="7"/>
      <c r="J198" s="7"/>
      <c r="K198" s="7"/>
      <c r="L198" s="7"/>
      <c r="M198" s="7"/>
      <c r="N198" s="7"/>
      <c r="O198" s="7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7"/>
      <c r="AC198" s="24"/>
      <c r="AD198" s="7"/>
      <c r="AE198" s="7"/>
      <c r="AF198" s="2"/>
      <c r="AG198" s="2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</row>
    <row r="199" spans="1:100" ht="12.75">
      <c r="A199" s="13"/>
      <c r="B199" s="7"/>
      <c r="C199" s="7"/>
      <c r="D199" s="7"/>
      <c r="E199" s="7"/>
      <c r="F199" s="7"/>
      <c r="G199" s="7"/>
      <c r="H199" s="225"/>
      <c r="I199" s="7"/>
      <c r="J199" s="7"/>
      <c r="K199" s="7"/>
      <c r="L199" s="7"/>
      <c r="M199" s="7"/>
      <c r="N199" s="7"/>
      <c r="O199" s="7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7"/>
      <c r="AC199" s="24"/>
      <c r="AD199" s="7"/>
      <c r="AE199" s="12"/>
      <c r="AF199" s="2"/>
      <c r="AG199" s="2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</row>
    <row r="200" spans="1:100" ht="12.75" customHeight="1">
      <c r="A200" s="13"/>
      <c r="B200" s="7"/>
      <c r="C200" s="7"/>
      <c r="D200" s="7"/>
      <c r="E200" s="7"/>
      <c r="F200" s="7"/>
      <c r="G200" s="7"/>
      <c r="H200" s="225"/>
      <c r="I200" s="7"/>
      <c r="J200" s="7"/>
      <c r="K200" s="7"/>
      <c r="L200" s="7"/>
      <c r="M200" s="7"/>
      <c r="N200" s="7"/>
      <c r="O200" s="7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7"/>
      <c r="AC200" s="24"/>
      <c r="AD200" s="7"/>
      <c r="AE200" s="7"/>
      <c r="AF200" s="2"/>
      <c r="AG200" s="2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</row>
    <row r="201" spans="1:100" ht="12.75">
      <c r="A201" s="13"/>
      <c r="B201" s="7"/>
      <c r="C201" s="7"/>
      <c r="D201" s="7"/>
      <c r="E201" s="7"/>
      <c r="F201" s="7"/>
      <c r="G201" s="7"/>
      <c r="H201" s="225"/>
      <c r="I201" s="7"/>
      <c r="J201" s="7"/>
      <c r="K201" s="7"/>
      <c r="L201" s="7"/>
      <c r="M201" s="7"/>
      <c r="N201" s="7"/>
      <c r="O201" s="7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7"/>
      <c r="AC201" s="24"/>
      <c r="AD201" s="7"/>
      <c r="AE201" s="12"/>
      <c r="AF201" s="2"/>
      <c r="AG201" s="2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</row>
    <row r="202" spans="1:100" ht="12.75">
      <c r="A202" s="13"/>
      <c r="B202" s="7"/>
      <c r="C202" s="7"/>
      <c r="D202" s="7"/>
      <c r="E202" s="7"/>
      <c r="F202" s="7"/>
      <c r="G202" s="7"/>
      <c r="H202" s="225"/>
      <c r="I202" s="7"/>
      <c r="J202" s="7"/>
      <c r="K202" s="7"/>
      <c r="L202" s="7"/>
      <c r="M202" s="7"/>
      <c r="N202" s="7"/>
      <c r="O202" s="7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7"/>
      <c r="AC202" s="24"/>
      <c r="AD202" s="7"/>
      <c r="AE202" s="7"/>
      <c r="AF202" s="2"/>
      <c r="AG202" s="2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</row>
    <row r="203" spans="1:100" ht="12.75">
      <c r="A203" s="13"/>
      <c r="B203" s="7"/>
      <c r="C203" s="7"/>
      <c r="D203" s="7"/>
      <c r="E203" s="7"/>
      <c r="F203" s="7"/>
      <c r="G203" s="7"/>
      <c r="H203" s="225"/>
      <c r="I203" s="7"/>
      <c r="J203" s="7"/>
      <c r="K203" s="7"/>
      <c r="L203" s="7"/>
      <c r="M203" s="7"/>
      <c r="N203" s="7"/>
      <c r="O203" s="7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7"/>
      <c r="AC203" s="24"/>
      <c r="AD203" s="7"/>
      <c r="AE203" s="12"/>
      <c r="AF203" s="2"/>
      <c r="AG203" s="2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</row>
    <row r="204" spans="1:100" ht="12.75">
      <c r="A204" s="13"/>
      <c r="B204" s="7"/>
      <c r="C204" s="7"/>
      <c r="D204" s="7"/>
      <c r="E204" s="7"/>
      <c r="F204" s="7"/>
      <c r="G204" s="7"/>
      <c r="H204" s="225"/>
      <c r="I204" s="7"/>
      <c r="J204" s="7"/>
      <c r="K204" s="7"/>
      <c r="L204" s="7"/>
      <c r="M204" s="7"/>
      <c r="N204" s="7"/>
      <c r="O204" s="7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7"/>
      <c r="AC204" s="24"/>
      <c r="AD204" s="7"/>
      <c r="AE204" s="7"/>
      <c r="AF204" s="2"/>
      <c r="AG204" s="2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</row>
    <row r="205" spans="1:100" ht="12.75">
      <c r="A205" s="13"/>
      <c r="B205" s="7"/>
      <c r="C205" s="7"/>
      <c r="D205" s="7"/>
      <c r="E205" s="7"/>
      <c r="F205" s="7"/>
      <c r="G205" s="7"/>
      <c r="H205" s="225"/>
      <c r="I205" s="7"/>
      <c r="J205" s="7"/>
      <c r="K205" s="7"/>
      <c r="L205" s="7"/>
      <c r="M205" s="7"/>
      <c r="N205" s="7"/>
      <c r="O205" s="7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7"/>
      <c r="AC205" s="24"/>
      <c r="AD205" s="7"/>
      <c r="AE205" s="12"/>
      <c r="AF205" s="23"/>
      <c r="AG205" s="2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</row>
    <row r="206" spans="1:100" ht="12.75">
      <c r="A206" s="13"/>
      <c r="B206" s="7"/>
      <c r="C206" s="7"/>
      <c r="D206" s="7"/>
      <c r="E206" s="7"/>
      <c r="F206" s="7"/>
      <c r="G206" s="7"/>
      <c r="H206" s="225"/>
      <c r="I206" s="7"/>
      <c r="J206" s="7"/>
      <c r="K206" s="7"/>
      <c r="L206" s="7"/>
      <c r="M206" s="7"/>
      <c r="N206" s="7"/>
      <c r="O206" s="7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7"/>
      <c r="AC206" s="24"/>
      <c r="AD206" s="7"/>
      <c r="AE206" s="7"/>
      <c r="AF206" s="2"/>
      <c r="AG206" s="2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</row>
    <row r="207" spans="1:100" ht="12.75">
      <c r="A207" s="13"/>
      <c r="B207" s="7"/>
      <c r="C207" s="7"/>
      <c r="D207" s="7"/>
      <c r="E207" s="7"/>
      <c r="F207" s="7"/>
      <c r="G207" s="7"/>
      <c r="H207" s="225"/>
      <c r="I207" s="7"/>
      <c r="J207" s="7"/>
      <c r="K207" s="7"/>
      <c r="L207" s="7"/>
      <c r="M207" s="7"/>
      <c r="N207" s="7"/>
      <c r="O207" s="7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7"/>
      <c r="AC207" s="24"/>
      <c r="AD207" s="7"/>
      <c r="AE207" s="12"/>
      <c r="AF207" s="2"/>
      <c r="AG207" s="2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</row>
    <row r="208" spans="1:100" ht="12.75">
      <c r="A208" s="13"/>
      <c r="B208" s="7"/>
      <c r="C208" s="7"/>
      <c r="D208" s="7"/>
      <c r="E208" s="7"/>
      <c r="F208" s="7"/>
      <c r="G208" s="7"/>
      <c r="H208" s="225"/>
      <c r="I208" s="7"/>
      <c r="J208" s="7"/>
      <c r="K208" s="7"/>
      <c r="L208" s="7"/>
      <c r="M208" s="7"/>
      <c r="N208" s="7"/>
      <c r="O208" s="7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7"/>
      <c r="AC208" s="24"/>
      <c r="AD208" s="7"/>
      <c r="AE208" s="7"/>
      <c r="AF208" s="2"/>
      <c r="AG208" s="2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</row>
    <row r="209" spans="1:100" ht="12.75">
      <c r="A209" s="13"/>
      <c r="B209" s="7"/>
      <c r="C209" s="7"/>
      <c r="D209" s="7"/>
      <c r="E209" s="7"/>
      <c r="F209" s="7"/>
      <c r="G209" s="7"/>
      <c r="H209" s="225"/>
      <c r="I209" s="7"/>
      <c r="J209" s="7"/>
      <c r="K209" s="7"/>
      <c r="L209" s="7"/>
      <c r="M209" s="7"/>
      <c r="N209" s="7"/>
      <c r="O209" s="7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7"/>
      <c r="AC209" s="24"/>
      <c r="AD209" s="7"/>
      <c r="AE209" s="12"/>
      <c r="AF209" s="2"/>
      <c r="AG209" s="2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</row>
    <row r="210" spans="1:100" ht="12.75">
      <c r="A210" s="13"/>
      <c r="B210" s="7"/>
      <c r="C210" s="7"/>
      <c r="D210" s="7"/>
      <c r="E210" s="7"/>
      <c r="F210" s="7"/>
      <c r="G210" s="7"/>
      <c r="H210" s="225"/>
      <c r="I210" s="7"/>
      <c r="J210" s="7"/>
      <c r="K210" s="7"/>
      <c r="L210" s="7"/>
      <c r="M210" s="7"/>
      <c r="N210" s="7"/>
      <c r="O210" s="7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7"/>
      <c r="AC210" s="24"/>
      <c r="AD210" s="7"/>
      <c r="AE210" s="7"/>
      <c r="AF210" s="2"/>
      <c r="AG210" s="2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</row>
    <row r="211" spans="1:100" ht="12.75">
      <c r="A211" s="13"/>
      <c r="B211" s="7"/>
      <c r="C211" s="7"/>
      <c r="D211" s="7"/>
      <c r="E211" s="7"/>
      <c r="F211" s="7"/>
      <c r="G211" s="7"/>
      <c r="H211" s="225"/>
      <c r="I211" s="7"/>
      <c r="J211" s="7"/>
      <c r="K211" s="7"/>
      <c r="L211" s="7"/>
      <c r="M211" s="7"/>
      <c r="N211" s="7"/>
      <c r="O211" s="7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7"/>
      <c r="AC211" s="24"/>
      <c r="AD211" s="7"/>
      <c r="AE211" s="12"/>
      <c r="AF211" s="2"/>
      <c r="AG211" s="2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</row>
    <row r="212" spans="1:100" ht="12.75">
      <c r="A212" s="13"/>
      <c r="B212" s="7"/>
      <c r="C212" s="7"/>
      <c r="D212" s="7"/>
      <c r="E212" s="7"/>
      <c r="F212" s="7"/>
      <c r="G212" s="7"/>
      <c r="H212" s="225"/>
      <c r="I212" s="7"/>
      <c r="J212" s="7"/>
      <c r="K212" s="7"/>
      <c r="L212" s="7"/>
      <c r="M212" s="7"/>
      <c r="N212" s="7"/>
      <c r="O212" s="7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7"/>
      <c r="AC212" s="24"/>
      <c r="AD212" s="7"/>
      <c r="AE212" s="24"/>
      <c r="AF212" s="2"/>
      <c r="AG212" s="2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</row>
    <row r="213" spans="1:100" ht="12.75">
      <c r="A213" s="13"/>
      <c r="B213" s="7"/>
      <c r="C213" s="7"/>
      <c r="D213" s="7"/>
      <c r="E213" s="7"/>
      <c r="F213" s="7"/>
      <c r="G213" s="7"/>
      <c r="H213" s="225"/>
      <c r="I213" s="7"/>
      <c r="J213" s="7"/>
      <c r="K213" s="7"/>
      <c r="L213" s="7"/>
      <c r="M213" s="7"/>
      <c r="N213" s="7"/>
      <c r="O213" s="7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7"/>
      <c r="AC213" s="24"/>
      <c r="AD213" s="7"/>
      <c r="AE213" s="12"/>
      <c r="AF213" s="2"/>
      <c r="AG213" s="2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</row>
    <row r="214" spans="1:100" ht="12.75">
      <c r="A214" s="13"/>
      <c r="B214" s="7"/>
      <c r="C214" s="7"/>
      <c r="D214" s="7"/>
      <c r="E214" s="7"/>
      <c r="F214" s="7"/>
      <c r="G214" s="7"/>
      <c r="H214" s="225"/>
      <c r="I214" s="7"/>
      <c r="J214" s="7"/>
      <c r="K214" s="7"/>
      <c r="L214" s="7"/>
      <c r="M214" s="7"/>
      <c r="N214" s="7"/>
      <c r="O214" s="7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7"/>
      <c r="AC214" s="24"/>
      <c r="AD214" s="7"/>
      <c r="AE214" s="7"/>
      <c r="AF214" s="2"/>
      <c r="AG214" s="2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</row>
    <row r="215" spans="1:100" ht="12.75">
      <c r="A215" s="13"/>
      <c r="B215" s="7"/>
      <c r="C215" s="7"/>
      <c r="D215" s="7"/>
      <c r="E215" s="7"/>
      <c r="F215" s="7"/>
      <c r="G215" s="7"/>
      <c r="H215" s="225"/>
      <c r="I215" s="7"/>
      <c r="J215" s="7"/>
      <c r="K215" s="7"/>
      <c r="L215" s="7"/>
      <c r="M215" s="7"/>
      <c r="N215" s="7"/>
      <c r="O215" s="7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7"/>
      <c r="AC215" s="24"/>
      <c r="AD215" s="7"/>
      <c r="AE215" s="12"/>
      <c r="AF215" s="2"/>
      <c r="AG215" s="2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</row>
    <row r="216" spans="1:100" ht="12.75">
      <c r="A216" s="13"/>
      <c r="B216" s="7"/>
      <c r="C216" s="7"/>
      <c r="D216" s="7"/>
      <c r="E216" s="7"/>
      <c r="F216" s="7"/>
      <c r="G216" s="7"/>
      <c r="H216" s="225"/>
      <c r="I216" s="7"/>
      <c r="J216" s="7"/>
      <c r="K216" s="7"/>
      <c r="L216" s="7"/>
      <c r="M216" s="7"/>
      <c r="N216" s="7"/>
      <c r="O216" s="7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7"/>
      <c r="AC216" s="24"/>
      <c r="AD216" s="7"/>
      <c r="AE216" s="7"/>
      <c r="AG216" s="2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</row>
    <row r="217" spans="1:100" ht="12.75">
      <c r="A217" s="13"/>
      <c r="B217" s="7"/>
      <c r="C217" s="7"/>
      <c r="D217" s="7"/>
      <c r="E217" s="7"/>
      <c r="F217" s="7"/>
      <c r="G217" s="7"/>
      <c r="H217" s="225"/>
      <c r="I217" s="7"/>
      <c r="J217" s="7"/>
      <c r="K217" s="7"/>
      <c r="L217" s="7"/>
      <c r="M217" s="7"/>
      <c r="N217" s="7"/>
      <c r="O217" s="7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7"/>
      <c r="AC217" s="24"/>
      <c r="AD217" s="7"/>
      <c r="AE217" s="12"/>
      <c r="AF217" s="2"/>
      <c r="AG217" s="2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</row>
    <row r="218" spans="1:100" ht="12.75">
      <c r="A218" s="13"/>
      <c r="B218" s="7"/>
      <c r="C218" s="7"/>
      <c r="D218" s="7"/>
      <c r="E218" s="7"/>
      <c r="F218" s="7"/>
      <c r="G218" s="7"/>
      <c r="H218" s="225"/>
      <c r="I218" s="7"/>
      <c r="J218" s="7"/>
      <c r="K218" s="7"/>
      <c r="L218" s="7"/>
      <c r="M218" s="7"/>
      <c r="N218" s="7"/>
      <c r="O218" s="7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7"/>
      <c r="AC218" s="24"/>
      <c r="AD218" s="7"/>
      <c r="AE218" s="7"/>
      <c r="AG218" s="2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</row>
    <row r="219" spans="1:100" ht="12.75">
      <c r="A219" s="13"/>
      <c r="B219" s="7"/>
      <c r="C219" s="7"/>
      <c r="D219" s="7"/>
      <c r="E219" s="7"/>
      <c r="F219" s="7"/>
      <c r="G219" s="7"/>
      <c r="H219" s="225"/>
      <c r="I219" s="7"/>
      <c r="J219" s="7"/>
      <c r="K219" s="7"/>
      <c r="L219" s="7"/>
      <c r="M219" s="7"/>
      <c r="N219" s="7"/>
      <c r="O219" s="7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7"/>
      <c r="AC219" s="24"/>
      <c r="AD219" s="7"/>
      <c r="AE219" s="12"/>
      <c r="AF219" s="2"/>
      <c r="AG219" s="2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</row>
    <row r="220" spans="1:100" ht="12.75">
      <c r="A220" s="13"/>
      <c r="B220" s="7"/>
      <c r="C220" s="7"/>
      <c r="D220" s="7"/>
      <c r="E220" s="7"/>
      <c r="F220" s="7"/>
      <c r="G220" s="7"/>
      <c r="H220" s="225"/>
      <c r="I220" s="7"/>
      <c r="J220" s="7"/>
      <c r="K220" s="7"/>
      <c r="L220" s="7"/>
      <c r="M220" s="7"/>
      <c r="N220" s="7"/>
      <c r="O220" s="7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7"/>
      <c r="AC220" s="24"/>
      <c r="AD220" s="7"/>
      <c r="AE220" s="7"/>
      <c r="AG220" s="2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</row>
    <row r="221" spans="1:100" ht="12.75">
      <c r="A221" s="13"/>
      <c r="B221" s="7"/>
      <c r="C221" s="7"/>
      <c r="D221" s="7"/>
      <c r="E221" s="7"/>
      <c r="F221" s="7"/>
      <c r="G221" s="7"/>
      <c r="H221" s="225"/>
      <c r="I221" s="7"/>
      <c r="J221" s="7"/>
      <c r="K221" s="7"/>
      <c r="L221" s="7"/>
      <c r="M221" s="7"/>
      <c r="N221" s="7"/>
      <c r="O221" s="7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7"/>
      <c r="AC221" s="24"/>
      <c r="AD221" s="7"/>
      <c r="AE221" s="12"/>
      <c r="AG221" s="2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</row>
    <row r="222" spans="1:100" ht="12.75">
      <c r="A222" s="13"/>
      <c r="B222" s="7"/>
      <c r="C222" s="7"/>
      <c r="D222" s="7"/>
      <c r="E222" s="7"/>
      <c r="F222" s="7"/>
      <c r="G222" s="7"/>
      <c r="H222" s="225"/>
      <c r="I222" s="7"/>
      <c r="J222" s="7"/>
      <c r="K222" s="7"/>
      <c r="L222" s="7"/>
      <c r="M222" s="7"/>
      <c r="N222" s="7"/>
      <c r="O222" s="7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7"/>
      <c r="AC222" s="24"/>
      <c r="AD222" s="7"/>
      <c r="AE222" s="7"/>
      <c r="AG222" s="2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</row>
    <row r="223" spans="1:100" ht="12.75">
      <c r="A223" s="13"/>
      <c r="B223" s="7"/>
      <c r="C223" s="7"/>
      <c r="D223" s="7"/>
      <c r="E223" s="7"/>
      <c r="F223" s="7"/>
      <c r="G223" s="7"/>
      <c r="H223" s="225"/>
      <c r="I223" s="7"/>
      <c r="J223" s="7"/>
      <c r="K223" s="7"/>
      <c r="L223" s="7"/>
      <c r="M223" s="7"/>
      <c r="N223" s="7"/>
      <c r="O223" s="7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7"/>
      <c r="AC223" s="24"/>
      <c r="AD223" s="7"/>
      <c r="AE223" s="12"/>
      <c r="AG223" s="2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</row>
    <row r="224" spans="1:100" ht="12.75">
      <c r="A224" s="13"/>
      <c r="B224" s="7"/>
      <c r="C224" s="7"/>
      <c r="D224" s="7"/>
      <c r="E224" s="7"/>
      <c r="F224" s="7"/>
      <c r="G224" s="7"/>
      <c r="H224" s="225"/>
      <c r="I224" s="7"/>
      <c r="J224" s="7"/>
      <c r="K224" s="7"/>
      <c r="L224" s="7"/>
      <c r="M224" s="7"/>
      <c r="N224" s="7"/>
      <c r="O224" s="7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7"/>
      <c r="AC224" s="24"/>
      <c r="AD224" s="7"/>
      <c r="AE224" s="7"/>
      <c r="AG224" s="2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</row>
    <row r="225" spans="1:100" ht="12.75">
      <c r="A225" s="13"/>
      <c r="B225" s="7"/>
      <c r="C225" s="7"/>
      <c r="D225" s="7"/>
      <c r="E225" s="7"/>
      <c r="F225" s="7"/>
      <c r="G225" s="7"/>
      <c r="H225" s="225"/>
      <c r="I225" s="7"/>
      <c r="J225" s="7"/>
      <c r="K225" s="7"/>
      <c r="L225" s="7"/>
      <c r="M225" s="7"/>
      <c r="N225" s="7"/>
      <c r="O225" s="7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7"/>
      <c r="AC225" s="24"/>
      <c r="AD225" s="7"/>
      <c r="AE225" s="12"/>
      <c r="AG225" s="2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</row>
    <row r="226" spans="1:100" ht="12.75">
      <c r="A226" s="13"/>
      <c r="B226" s="7"/>
      <c r="C226" s="7"/>
      <c r="D226" s="7"/>
      <c r="E226" s="7"/>
      <c r="F226" s="7"/>
      <c r="G226" s="7"/>
      <c r="H226" s="225"/>
      <c r="I226" s="7"/>
      <c r="J226" s="7"/>
      <c r="K226" s="7"/>
      <c r="L226" s="7"/>
      <c r="M226" s="7"/>
      <c r="N226" s="7"/>
      <c r="O226" s="7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7"/>
      <c r="AC226" s="24"/>
      <c r="AD226" s="7"/>
      <c r="AE226" s="7"/>
      <c r="AG226" s="2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</row>
    <row r="227" spans="1:100" ht="12.75">
      <c r="A227" s="13"/>
      <c r="B227" s="7"/>
      <c r="C227" s="7"/>
      <c r="D227" s="7"/>
      <c r="E227" s="7"/>
      <c r="F227" s="7"/>
      <c r="G227" s="7"/>
      <c r="H227" s="225"/>
      <c r="I227" s="7"/>
      <c r="J227" s="7"/>
      <c r="K227" s="7"/>
      <c r="L227" s="7"/>
      <c r="M227" s="7"/>
      <c r="N227" s="7"/>
      <c r="O227" s="7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7"/>
      <c r="AC227" s="24"/>
      <c r="AD227" s="7"/>
      <c r="AE227" s="12"/>
      <c r="AF227" s="6"/>
      <c r="AG227" s="2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</row>
    <row r="228" spans="1:100" ht="12.75">
      <c r="A228" s="13"/>
      <c r="B228" s="7"/>
      <c r="C228" s="7"/>
      <c r="D228" s="7"/>
      <c r="E228" s="7"/>
      <c r="F228" s="7"/>
      <c r="G228" s="7"/>
      <c r="H228" s="225"/>
      <c r="I228" s="7"/>
      <c r="J228" s="7"/>
      <c r="K228" s="7"/>
      <c r="L228" s="7"/>
      <c r="M228" s="7"/>
      <c r="N228" s="7"/>
      <c r="O228" s="7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7"/>
      <c r="AC228" s="24"/>
      <c r="AD228" s="7"/>
      <c r="AE228" s="7"/>
      <c r="AF228" s="5"/>
      <c r="AG228" s="2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</row>
    <row r="229" spans="1:100" ht="12.75">
      <c r="A229" s="13"/>
      <c r="B229" s="7"/>
      <c r="C229" s="7"/>
      <c r="D229" s="7"/>
      <c r="E229" s="7"/>
      <c r="F229" s="7"/>
      <c r="G229" s="7"/>
      <c r="H229" s="225"/>
      <c r="I229" s="7"/>
      <c r="J229" s="7"/>
      <c r="K229" s="7"/>
      <c r="L229" s="7"/>
      <c r="M229" s="7"/>
      <c r="N229" s="7"/>
      <c r="O229" s="7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7"/>
      <c r="AC229" s="24"/>
      <c r="AD229" s="7"/>
      <c r="AE229" s="12"/>
      <c r="AF229" s="6"/>
      <c r="AG229" s="2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</row>
    <row r="230" spans="1:100" ht="12.75">
      <c r="A230" s="13"/>
      <c r="B230" s="7"/>
      <c r="C230" s="7"/>
      <c r="D230" s="7"/>
      <c r="E230" s="7"/>
      <c r="F230" s="7"/>
      <c r="G230" s="7"/>
      <c r="H230" s="225"/>
      <c r="I230" s="7"/>
      <c r="J230" s="7"/>
      <c r="K230" s="7"/>
      <c r="L230" s="7"/>
      <c r="M230" s="7"/>
      <c r="N230" s="7"/>
      <c r="O230" s="7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7"/>
      <c r="AC230" s="24"/>
      <c r="AD230" s="7"/>
      <c r="AE230" s="7"/>
      <c r="AF230" s="5"/>
      <c r="AG230" s="2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</row>
    <row r="231" spans="1:100" ht="12.75">
      <c r="A231" s="13"/>
      <c r="B231" s="7"/>
      <c r="C231" s="7"/>
      <c r="D231" s="7"/>
      <c r="E231" s="7"/>
      <c r="F231" s="7"/>
      <c r="G231" s="7"/>
      <c r="H231" s="225"/>
      <c r="I231" s="7"/>
      <c r="J231" s="7"/>
      <c r="K231" s="7"/>
      <c r="L231" s="7"/>
      <c r="M231" s="7"/>
      <c r="N231" s="7"/>
      <c r="O231" s="7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7"/>
      <c r="AC231" s="24"/>
      <c r="AD231" s="7"/>
      <c r="AE231" s="12"/>
      <c r="AF231" s="6"/>
      <c r="AG231" s="2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</row>
    <row r="232" spans="1:100" ht="12.75">
      <c r="A232" s="13"/>
      <c r="B232" s="7"/>
      <c r="C232" s="7"/>
      <c r="D232" s="7"/>
      <c r="E232" s="7"/>
      <c r="F232" s="7"/>
      <c r="G232" s="7"/>
      <c r="H232" s="225"/>
      <c r="I232" s="7"/>
      <c r="J232" s="7"/>
      <c r="K232" s="7"/>
      <c r="L232" s="7"/>
      <c r="M232" s="7"/>
      <c r="N232" s="7"/>
      <c r="O232" s="7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7"/>
      <c r="AC232" s="24"/>
      <c r="AD232" s="7"/>
      <c r="AE232" s="7"/>
      <c r="AF232" s="5"/>
      <c r="AG232" s="2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</row>
    <row r="233" spans="1:100" ht="12.75">
      <c r="A233" s="13"/>
      <c r="B233" s="7"/>
      <c r="C233" s="7"/>
      <c r="D233" s="7"/>
      <c r="E233" s="7"/>
      <c r="F233" s="7"/>
      <c r="G233" s="7"/>
      <c r="H233" s="225"/>
      <c r="I233" s="7"/>
      <c r="J233" s="7"/>
      <c r="K233" s="7"/>
      <c r="L233" s="7"/>
      <c r="M233" s="7"/>
      <c r="N233" s="7"/>
      <c r="O233" s="7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7"/>
      <c r="AC233" s="24"/>
      <c r="AD233" s="7"/>
      <c r="AE233" s="12"/>
      <c r="AF233" s="6"/>
      <c r="AG233" s="2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</row>
    <row r="234" spans="1:100" ht="12.75">
      <c r="A234" s="13"/>
      <c r="B234" s="7"/>
      <c r="C234" s="7"/>
      <c r="D234" s="7"/>
      <c r="E234" s="7"/>
      <c r="F234" s="7"/>
      <c r="G234" s="7"/>
      <c r="H234" s="225"/>
      <c r="I234" s="7"/>
      <c r="J234" s="7"/>
      <c r="K234" s="7"/>
      <c r="L234" s="7"/>
      <c r="M234" s="7"/>
      <c r="N234" s="7"/>
      <c r="O234" s="7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7"/>
      <c r="AC234" s="24"/>
      <c r="AD234" s="7"/>
      <c r="AE234" s="7"/>
      <c r="AF234" s="5"/>
      <c r="AG234" s="2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</row>
    <row r="235" spans="1:100" ht="12.75">
      <c r="A235" s="13"/>
      <c r="B235" s="7"/>
      <c r="C235" s="7"/>
      <c r="D235" s="7"/>
      <c r="E235" s="7"/>
      <c r="F235" s="7"/>
      <c r="G235" s="7"/>
      <c r="H235" s="225"/>
      <c r="I235" s="7"/>
      <c r="J235" s="7"/>
      <c r="K235" s="7"/>
      <c r="L235" s="7"/>
      <c r="M235" s="7"/>
      <c r="N235" s="7"/>
      <c r="O235" s="7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7"/>
      <c r="AC235" s="24"/>
      <c r="AD235" s="7"/>
      <c r="AE235" s="12"/>
      <c r="AF235" s="6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</row>
    <row r="236" spans="1:100" ht="12.75">
      <c r="A236" s="13"/>
      <c r="B236" s="7"/>
      <c r="C236" s="7"/>
      <c r="D236" s="7"/>
      <c r="E236" s="7"/>
      <c r="F236" s="7"/>
      <c r="G236" s="7"/>
      <c r="H236" s="225"/>
      <c r="I236" s="7"/>
      <c r="J236" s="7"/>
      <c r="K236" s="7"/>
      <c r="L236" s="7"/>
      <c r="M236" s="7"/>
      <c r="N236" s="7"/>
      <c r="O236" s="7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7"/>
      <c r="AC236" s="24"/>
      <c r="AD236" s="7"/>
      <c r="AE236" s="7"/>
      <c r="AF236" s="5"/>
      <c r="AG236" s="2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</row>
    <row r="237" spans="1:100" ht="12.75">
      <c r="A237" s="13"/>
      <c r="B237" s="7"/>
      <c r="C237" s="7"/>
      <c r="D237" s="7"/>
      <c r="E237" s="7"/>
      <c r="F237" s="7"/>
      <c r="G237" s="7"/>
      <c r="H237" s="225"/>
      <c r="I237" s="7"/>
      <c r="J237" s="7"/>
      <c r="K237" s="7"/>
      <c r="L237" s="7"/>
      <c r="M237" s="7"/>
      <c r="N237" s="7"/>
      <c r="O237" s="7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7"/>
      <c r="AC237" s="24"/>
      <c r="AD237" s="7"/>
      <c r="AE237" s="12"/>
      <c r="AF237" s="6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</row>
    <row r="238" spans="1:100" ht="12.75">
      <c r="A238" s="13"/>
      <c r="B238" s="7"/>
      <c r="C238" s="7"/>
      <c r="D238" s="7"/>
      <c r="E238" s="7"/>
      <c r="F238" s="7"/>
      <c r="G238" s="7"/>
      <c r="H238" s="225"/>
      <c r="I238" s="7"/>
      <c r="J238" s="7"/>
      <c r="K238" s="7"/>
      <c r="L238" s="7"/>
      <c r="M238" s="7"/>
      <c r="N238" s="7"/>
      <c r="O238" s="7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7"/>
      <c r="AC238" s="24"/>
      <c r="AD238" s="7"/>
      <c r="AE238" s="7"/>
      <c r="AF238" s="5"/>
      <c r="AG238" s="23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</row>
    <row r="239" spans="1:100" ht="12.75">
      <c r="A239" s="13"/>
      <c r="B239" s="7"/>
      <c r="C239" s="7"/>
      <c r="D239" s="7"/>
      <c r="E239" s="7"/>
      <c r="F239" s="7"/>
      <c r="G239" s="7"/>
      <c r="H239" s="225"/>
      <c r="I239" s="7"/>
      <c r="J239" s="7"/>
      <c r="K239" s="7"/>
      <c r="L239" s="7"/>
      <c r="M239" s="7"/>
      <c r="N239" s="7"/>
      <c r="O239" s="7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7"/>
      <c r="AC239" s="24"/>
      <c r="AD239" s="7"/>
      <c r="AE239" s="12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</row>
    <row r="240" spans="1:100" ht="12.75">
      <c r="A240" s="13"/>
      <c r="B240" s="7"/>
      <c r="C240" s="7"/>
      <c r="D240" s="7"/>
      <c r="E240" s="7"/>
      <c r="F240" s="7"/>
      <c r="G240" s="7"/>
      <c r="H240" s="225"/>
      <c r="I240" s="7"/>
      <c r="J240" s="7"/>
      <c r="K240" s="7"/>
      <c r="L240" s="7"/>
      <c r="M240" s="7"/>
      <c r="N240" s="7"/>
      <c r="O240" s="7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7"/>
      <c r="AC240" s="24"/>
      <c r="AD240" s="7"/>
      <c r="AE240" s="12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</row>
    <row r="241" spans="1:100" ht="12.75">
      <c r="A241" s="13"/>
      <c r="B241" s="7"/>
      <c r="C241" s="7"/>
      <c r="D241" s="7"/>
      <c r="E241" s="7"/>
      <c r="F241" s="7"/>
      <c r="G241" s="7"/>
      <c r="H241" s="225"/>
      <c r="I241" s="7"/>
      <c r="J241" s="7"/>
      <c r="K241" s="7"/>
      <c r="L241" s="7"/>
      <c r="M241" s="7"/>
      <c r="N241" s="7"/>
      <c r="O241" s="7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7"/>
      <c r="AC241" s="24"/>
      <c r="AD241" s="7"/>
      <c r="AE241" s="12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</row>
    <row r="242" spans="1:100" ht="12.75">
      <c r="A242" s="19"/>
      <c r="B242" s="20"/>
      <c r="C242" s="20"/>
      <c r="D242" s="20"/>
      <c r="E242" s="20"/>
      <c r="F242" s="20"/>
      <c r="G242" s="20"/>
      <c r="H242" s="237"/>
      <c r="I242" s="20"/>
      <c r="J242" s="20"/>
      <c r="K242" s="20"/>
      <c r="L242" s="20"/>
      <c r="M242" s="20"/>
      <c r="N242" s="20"/>
      <c r="O242" s="20"/>
      <c r="P242" s="24"/>
      <c r="Q242" s="31"/>
      <c r="R242" s="31"/>
      <c r="S242" s="31"/>
      <c r="T242" s="31"/>
      <c r="U242" s="24"/>
      <c r="V242" s="24"/>
      <c r="W242" s="31"/>
      <c r="X242" s="31"/>
      <c r="Y242" s="31"/>
      <c r="Z242" s="31"/>
      <c r="AA242" s="31"/>
      <c r="AB242" s="20"/>
      <c r="AC242" s="31"/>
      <c r="AD242" s="20"/>
      <c r="AE242" s="12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</row>
    <row r="243" spans="1:100" ht="12.75">
      <c r="A243" s="13"/>
      <c r="B243" s="7"/>
      <c r="C243" s="7"/>
      <c r="D243" s="7"/>
      <c r="E243" s="7"/>
      <c r="F243" s="7"/>
      <c r="G243" s="7"/>
      <c r="H243" s="238"/>
      <c r="I243" s="11"/>
      <c r="J243" s="11"/>
      <c r="K243" s="11"/>
      <c r="L243" s="11"/>
      <c r="M243" s="11"/>
      <c r="N243" s="11"/>
      <c r="O243" s="11"/>
      <c r="P243" s="24"/>
      <c r="Q243" s="36"/>
      <c r="R243" s="36"/>
      <c r="S243" s="36"/>
      <c r="T243" s="36"/>
      <c r="U243" s="36"/>
      <c r="V243" s="36"/>
      <c r="W243" s="24"/>
      <c r="X243" s="24"/>
      <c r="Y243" s="24"/>
      <c r="Z243" s="24"/>
      <c r="AA243" s="24"/>
      <c r="AB243" s="11"/>
      <c r="AC243" s="24"/>
      <c r="AD243" s="11"/>
      <c r="AE243" s="12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</row>
    <row r="244" spans="1:100" ht="12.75">
      <c r="A244" s="13"/>
      <c r="B244" s="7"/>
      <c r="C244" s="7"/>
      <c r="D244" s="7"/>
      <c r="E244" s="7"/>
      <c r="F244" s="7"/>
      <c r="G244" s="7"/>
      <c r="H244" s="225"/>
      <c r="I244" s="7"/>
      <c r="J244" s="7"/>
      <c r="K244" s="7"/>
      <c r="L244" s="7"/>
      <c r="M244" s="7"/>
      <c r="N244" s="7"/>
      <c r="O244" s="7"/>
      <c r="P244" s="24"/>
      <c r="Q244" s="36"/>
      <c r="R244" s="36"/>
      <c r="S244" s="36"/>
      <c r="T244" s="36"/>
      <c r="U244" s="36"/>
      <c r="V244" s="36"/>
      <c r="W244" s="24"/>
      <c r="X244" s="24"/>
      <c r="Y244" s="24"/>
      <c r="Z244" s="24"/>
      <c r="AA244" s="24"/>
      <c r="AB244" s="7"/>
      <c r="AC244" s="24"/>
      <c r="AD244" s="7"/>
      <c r="AE244" s="12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</row>
    <row r="245" spans="1:100" ht="12.75">
      <c r="A245" s="13"/>
      <c r="B245" s="7"/>
      <c r="C245" s="7"/>
      <c r="D245" s="7"/>
      <c r="E245" s="7"/>
      <c r="F245" s="7"/>
      <c r="G245" s="7"/>
      <c r="H245" s="225"/>
      <c r="I245" s="7"/>
      <c r="J245" s="7"/>
      <c r="K245" s="7"/>
      <c r="L245" s="7"/>
      <c r="M245" s="7"/>
      <c r="N245" s="7"/>
      <c r="O245" s="7"/>
      <c r="P245" s="24"/>
      <c r="Q245" s="36"/>
      <c r="R245" s="36"/>
      <c r="S245" s="36"/>
      <c r="T245" s="36"/>
      <c r="U245" s="36"/>
      <c r="V245" s="36"/>
      <c r="W245" s="24"/>
      <c r="X245" s="24"/>
      <c r="Y245" s="24"/>
      <c r="Z245" s="24"/>
      <c r="AA245" s="24"/>
      <c r="AB245" s="7"/>
      <c r="AC245" s="24"/>
      <c r="AD245" s="7"/>
      <c r="AE245" s="12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</row>
    <row r="246" spans="1:100" ht="12.75">
      <c r="A246" s="13"/>
      <c r="B246" s="7"/>
      <c r="C246" s="7"/>
      <c r="D246" s="7"/>
      <c r="E246" s="7"/>
      <c r="F246" s="7"/>
      <c r="G246" s="7"/>
      <c r="H246" s="225"/>
      <c r="I246" s="7"/>
      <c r="J246" s="7"/>
      <c r="K246" s="7"/>
      <c r="L246" s="7"/>
      <c r="M246" s="7"/>
      <c r="N246" s="7"/>
      <c r="O246" s="7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7"/>
      <c r="AC246" s="24"/>
      <c r="AD246" s="7"/>
      <c r="AE246" s="7"/>
      <c r="AG246" s="6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</row>
    <row r="247" spans="1:100" ht="12.75">
      <c r="A247" s="13"/>
      <c r="B247" s="7"/>
      <c r="C247" s="7"/>
      <c r="D247" s="7"/>
      <c r="E247" s="7"/>
      <c r="F247" s="7"/>
      <c r="G247" s="7"/>
      <c r="H247" s="225"/>
      <c r="I247" s="7"/>
      <c r="J247" s="7"/>
      <c r="K247" s="7"/>
      <c r="L247" s="7"/>
      <c r="M247" s="7"/>
      <c r="N247" s="7"/>
      <c r="O247" s="7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7"/>
      <c r="AC247" s="24"/>
      <c r="AD247" s="7"/>
      <c r="AE247" s="12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</row>
    <row r="248" spans="1:100" ht="12.75">
      <c r="A248" s="13"/>
      <c r="B248" s="7"/>
      <c r="C248" s="7"/>
      <c r="D248" s="7"/>
      <c r="E248" s="7"/>
      <c r="F248" s="7"/>
      <c r="G248" s="7"/>
      <c r="H248" s="225"/>
      <c r="I248" s="7"/>
      <c r="J248" s="7"/>
      <c r="K248" s="7"/>
      <c r="L248" s="7"/>
      <c r="M248" s="7"/>
      <c r="N248" s="7"/>
      <c r="O248" s="7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7"/>
      <c r="AC248" s="24"/>
      <c r="AD248" s="7"/>
      <c r="AE248" s="7"/>
      <c r="AG248" s="6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</row>
    <row r="249" spans="1:100" ht="12.75">
      <c r="A249" s="13"/>
      <c r="B249" s="7"/>
      <c r="C249" s="7"/>
      <c r="D249" s="7"/>
      <c r="E249" s="7"/>
      <c r="F249" s="7"/>
      <c r="G249" s="7"/>
      <c r="H249" s="225"/>
      <c r="I249" s="7"/>
      <c r="J249" s="7"/>
      <c r="K249" s="7"/>
      <c r="L249" s="7"/>
      <c r="M249" s="7"/>
      <c r="N249" s="7"/>
      <c r="O249" s="7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7"/>
      <c r="AC249" s="24"/>
      <c r="AD249" s="7"/>
      <c r="AE249" s="12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</row>
    <row r="250" spans="1:100" ht="12.75">
      <c r="A250" s="13"/>
      <c r="B250" s="7"/>
      <c r="C250" s="7"/>
      <c r="D250" s="7"/>
      <c r="E250" s="7"/>
      <c r="F250" s="7"/>
      <c r="G250" s="7"/>
      <c r="H250" s="225"/>
      <c r="I250" s="7"/>
      <c r="J250" s="7"/>
      <c r="K250" s="7"/>
      <c r="L250" s="7"/>
      <c r="M250" s="7"/>
      <c r="N250" s="7"/>
      <c r="O250" s="7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7"/>
      <c r="AC250" s="24"/>
      <c r="AD250" s="7"/>
      <c r="AE250" s="7"/>
      <c r="AG250" s="6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</row>
    <row r="251" spans="1:100" ht="12.75">
      <c r="A251" s="13"/>
      <c r="B251" s="7"/>
      <c r="C251" s="7"/>
      <c r="D251" s="7"/>
      <c r="E251" s="7"/>
      <c r="F251" s="7"/>
      <c r="G251" s="7"/>
      <c r="H251" s="225"/>
      <c r="I251" s="7"/>
      <c r="J251" s="7"/>
      <c r="K251" s="7"/>
      <c r="L251" s="7"/>
      <c r="M251" s="7"/>
      <c r="N251" s="7"/>
      <c r="O251" s="7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7"/>
      <c r="AC251" s="24"/>
      <c r="AD251" s="7"/>
      <c r="AE251" s="12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</row>
    <row r="252" spans="1:100" ht="12.75">
      <c r="A252" s="13"/>
      <c r="B252" s="7"/>
      <c r="C252" s="7"/>
      <c r="D252" s="7"/>
      <c r="E252" s="7"/>
      <c r="F252" s="7"/>
      <c r="G252" s="7"/>
      <c r="H252" s="225"/>
      <c r="I252" s="7"/>
      <c r="J252" s="7"/>
      <c r="K252" s="7"/>
      <c r="L252" s="7"/>
      <c r="M252" s="7"/>
      <c r="N252" s="7"/>
      <c r="O252" s="7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7"/>
      <c r="AC252" s="24"/>
      <c r="AD252" s="7"/>
      <c r="AE252" s="7"/>
      <c r="AG252" s="6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</row>
    <row r="253" spans="1:100" ht="12.75" customHeight="1">
      <c r="A253" s="13"/>
      <c r="B253" s="7"/>
      <c r="C253" s="7"/>
      <c r="D253" s="7"/>
      <c r="E253" s="7"/>
      <c r="F253" s="7"/>
      <c r="G253" s="7"/>
      <c r="H253" s="225"/>
      <c r="I253" s="7"/>
      <c r="J253" s="7"/>
      <c r="K253" s="7"/>
      <c r="L253" s="7"/>
      <c r="M253" s="7"/>
      <c r="N253" s="7"/>
      <c r="O253" s="7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7"/>
      <c r="AC253" s="24"/>
      <c r="AD253" s="7"/>
      <c r="AE253" s="12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</row>
    <row r="254" spans="1:100" ht="12.75">
      <c r="A254" s="13"/>
      <c r="B254" s="7"/>
      <c r="C254" s="7"/>
      <c r="D254" s="7"/>
      <c r="E254" s="7"/>
      <c r="F254" s="7"/>
      <c r="G254" s="7"/>
      <c r="H254" s="225"/>
      <c r="I254" s="7"/>
      <c r="J254" s="7"/>
      <c r="K254" s="7"/>
      <c r="L254" s="7"/>
      <c r="M254" s="7"/>
      <c r="N254" s="7"/>
      <c r="O254" s="7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7"/>
      <c r="AC254" s="24"/>
      <c r="AD254" s="7"/>
      <c r="AE254" s="7"/>
      <c r="AG254" s="6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</row>
    <row r="255" spans="1:100" ht="12.75" customHeight="1">
      <c r="A255" s="13"/>
      <c r="B255" s="7"/>
      <c r="C255" s="7"/>
      <c r="D255" s="7"/>
      <c r="E255" s="7"/>
      <c r="F255" s="7"/>
      <c r="G255" s="7"/>
      <c r="H255" s="225"/>
      <c r="I255" s="7"/>
      <c r="J255" s="7"/>
      <c r="K255" s="7"/>
      <c r="L255" s="7"/>
      <c r="M255" s="7"/>
      <c r="N255" s="7"/>
      <c r="O255" s="7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7"/>
      <c r="AC255" s="24"/>
      <c r="AD255" s="7"/>
      <c r="AE255" s="12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</row>
    <row r="256" spans="1:100" ht="12.75">
      <c r="A256" s="13"/>
      <c r="B256" s="7"/>
      <c r="C256" s="7"/>
      <c r="D256" s="7"/>
      <c r="E256" s="7"/>
      <c r="F256" s="7"/>
      <c r="G256" s="7"/>
      <c r="H256" s="225"/>
      <c r="I256" s="7"/>
      <c r="J256" s="7"/>
      <c r="K256" s="7"/>
      <c r="L256" s="7"/>
      <c r="M256" s="7"/>
      <c r="N256" s="7"/>
      <c r="O256" s="7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7"/>
      <c r="AC256" s="24"/>
      <c r="AD256" s="7"/>
      <c r="AE256" s="7"/>
      <c r="AG256" s="6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</row>
    <row r="257" spans="1:100" ht="12.75" customHeight="1">
      <c r="A257" s="13"/>
      <c r="B257" s="7"/>
      <c r="C257" s="7"/>
      <c r="D257" s="7"/>
      <c r="E257" s="7"/>
      <c r="F257" s="7"/>
      <c r="G257" s="7"/>
      <c r="H257" s="225"/>
      <c r="I257" s="7"/>
      <c r="J257" s="7"/>
      <c r="K257" s="7"/>
      <c r="L257" s="7"/>
      <c r="M257" s="7"/>
      <c r="N257" s="7"/>
      <c r="O257" s="7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7"/>
      <c r="AC257" s="24"/>
      <c r="AD257" s="7"/>
      <c r="AE257" s="12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</row>
  </sheetData>
  <sheetProtection/>
  <mergeCells count="19">
    <mergeCell ref="T128:T129"/>
    <mergeCell ref="U128:U129"/>
    <mergeCell ref="T123:T125"/>
    <mergeCell ref="U123:U125"/>
    <mergeCell ref="Q117:R117"/>
    <mergeCell ref="T121:T122"/>
    <mergeCell ref="U121:U122"/>
    <mergeCell ref="T126:T127"/>
    <mergeCell ref="U126:U127"/>
    <mergeCell ref="R121:S121"/>
    <mergeCell ref="R128:S128"/>
    <mergeCell ref="R129:S129"/>
    <mergeCell ref="R130:S130"/>
    <mergeCell ref="R122:S122"/>
    <mergeCell ref="R123:S123"/>
    <mergeCell ref="R124:S124"/>
    <mergeCell ref="R125:S125"/>
    <mergeCell ref="R126:S126"/>
    <mergeCell ref="R127:S127"/>
  </mergeCells>
  <printOptions horizontalCentered="1" verticalCentered="1"/>
  <pageMargins left="0.5905511811023623" right="0.3937007874015748" top="0.8267716535433072" bottom="0.8267716535433072" header="0.15748031496062992" footer="0.15748031496062992"/>
  <pageSetup fitToHeight="2"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G36"/>
  <sheetViews>
    <sheetView zoomScalePageLayoutView="0" workbookViewId="0" topLeftCell="A1">
      <selection activeCell="H19" sqref="H19"/>
    </sheetView>
  </sheetViews>
  <sheetFormatPr defaultColWidth="9.00390625" defaultRowHeight="15" customHeight="1"/>
  <cols>
    <col min="1" max="1" width="3.75390625" style="0" customWidth="1"/>
    <col min="2" max="2" width="5.75390625" style="0" customWidth="1"/>
    <col min="3" max="3" width="29.25390625" style="0" customWidth="1"/>
    <col min="4" max="4" width="10.625" style="0" customWidth="1"/>
    <col min="5" max="5" width="8.125" style="0" customWidth="1"/>
  </cols>
  <sheetData>
    <row r="1" spans="3:4" ht="15" customHeight="1">
      <c r="C1" s="296" t="s">
        <v>47</v>
      </c>
      <c r="D1" s="271"/>
    </row>
    <row r="2" spans="3:4" ht="15" customHeight="1">
      <c r="C2" s="297" t="s">
        <v>146</v>
      </c>
      <c r="D2" s="271"/>
    </row>
    <row r="4" ht="15" customHeight="1">
      <c r="C4" s="612" t="s">
        <v>750</v>
      </c>
    </row>
    <row r="7" spans="3:5" ht="15" customHeight="1">
      <c r="C7" s="613" t="s">
        <v>751</v>
      </c>
      <c r="D7" s="614"/>
      <c r="E7" s="615"/>
    </row>
    <row r="8" spans="3:5" ht="15" customHeight="1">
      <c r="C8" s="616"/>
      <c r="D8" s="617"/>
      <c r="E8" s="618"/>
    </row>
    <row r="9" spans="3:5" ht="15" customHeight="1">
      <c r="C9" s="616" t="s">
        <v>95</v>
      </c>
      <c r="D9" s="619">
        <f>D10+D11+D12+D13</f>
        <v>15633.605</v>
      </c>
      <c r="E9" s="620" t="s">
        <v>10</v>
      </c>
    </row>
    <row r="10" spans="3:5" ht="15" customHeight="1">
      <c r="C10" s="621" t="s">
        <v>752</v>
      </c>
      <c r="D10" s="622">
        <f>14132-3240</f>
        <v>10892</v>
      </c>
      <c r="E10" s="620" t="s">
        <v>10</v>
      </c>
    </row>
    <row r="11" spans="3:5" ht="15" customHeight="1">
      <c r="C11" s="621" t="s">
        <v>753</v>
      </c>
      <c r="D11" s="623">
        <v>3240</v>
      </c>
      <c r="E11" s="620" t="s">
        <v>10</v>
      </c>
    </row>
    <row r="12" spans="3:5" ht="15" customHeight="1">
      <c r="C12" s="621" t="s">
        <v>754</v>
      </c>
      <c r="D12" s="623">
        <f>295.1+74.029+83.161+220.9+527.6+263.8+37.015</f>
        <v>1501.605</v>
      </c>
      <c r="E12" s="620" t="s">
        <v>10</v>
      </c>
    </row>
    <row r="13" spans="3:5" ht="15" customHeight="1">
      <c r="C13" s="621" t="s">
        <v>755</v>
      </c>
      <c r="D13" s="618">
        <v>0</v>
      </c>
      <c r="E13" s="620" t="s">
        <v>10</v>
      </c>
    </row>
    <row r="14" spans="3:7" ht="15" customHeight="1" thickBot="1">
      <c r="C14" s="624"/>
      <c r="D14" s="625"/>
      <c r="E14" s="626"/>
      <c r="G14" s="2"/>
    </row>
    <row r="15" spans="3:5" ht="15" customHeight="1">
      <c r="C15" s="627" t="s">
        <v>756</v>
      </c>
      <c r="D15" s="628">
        <f>4222.8*0.4</f>
        <v>1689.1200000000001</v>
      </c>
      <c r="E15" s="629" t="s">
        <v>10</v>
      </c>
    </row>
    <row r="16" spans="3:5" ht="15" customHeight="1" thickBot="1">
      <c r="C16" s="630" t="s">
        <v>757</v>
      </c>
      <c r="D16" s="631">
        <f>423.6*0.1+12033*0.1+16514*0.1</f>
        <v>2897.06</v>
      </c>
      <c r="E16" s="632" t="s">
        <v>10</v>
      </c>
    </row>
    <row r="17" spans="3:5" ht="15" customHeight="1" thickBot="1">
      <c r="C17" s="616"/>
      <c r="D17" s="617"/>
      <c r="E17" s="618"/>
    </row>
    <row r="18" spans="3:5" ht="15" customHeight="1">
      <c r="C18" s="649" t="s">
        <v>767</v>
      </c>
      <c r="D18" s="650">
        <v>308.2</v>
      </c>
      <c r="E18" s="629" t="s">
        <v>10</v>
      </c>
    </row>
    <row r="19" spans="3:5" ht="15" customHeight="1" thickBot="1">
      <c r="C19" s="651" t="s">
        <v>768</v>
      </c>
      <c r="D19" s="652">
        <v>104.148</v>
      </c>
      <c r="E19" s="632" t="s">
        <v>10</v>
      </c>
    </row>
    <row r="20" spans="3:5" ht="15" customHeight="1">
      <c r="C20" s="633"/>
      <c r="D20" s="634"/>
      <c r="E20" s="635"/>
    </row>
    <row r="21" spans="3:5" ht="15" customHeight="1">
      <c r="C21" s="616" t="s">
        <v>96</v>
      </c>
      <c r="D21" s="619">
        <f>D22+D23+D24+D25</f>
        <v>3973</v>
      </c>
      <c r="E21" s="620" t="s">
        <v>10</v>
      </c>
    </row>
    <row r="22" spans="3:5" ht="15" customHeight="1">
      <c r="C22" s="636" t="s">
        <v>758</v>
      </c>
      <c r="D22" s="622">
        <v>57</v>
      </c>
      <c r="E22" s="620" t="s">
        <v>10</v>
      </c>
    </row>
    <row r="23" spans="3:5" ht="15" customHeight="1">
      <c r="C23" s="621" t="s">
        <v>759</v>
      </c>
      <c r="D23" s="623">
        <v>2226</v>
      </c>
      <c r="E23" s="620" t="s">
        <v>10</v>
      </c>
    </row>
    <row r="24" spans="3:5" ht="15" customHeight="1">
      <c r="C24" s="621" t="s">
        <v>760</v>
      </c>
      <c r="D24" s="637">
        <v>189</v>
      </c>
      <c r="E24" s="620" t="s">
        <v>10</v>
      </c>
    </row>
    <row r="25" spans="3:5" ht="15" customHeight="1">
      <c r="C25" s="621" t="s">
        <v>761</v>
      </c>
      <c r="D25" s="637">
        <v>1501</v>
      </c>
      <c r="E25" s="620" t="s">
        <v>10</v>
      </c>
    </row>
    <row r="26" spans="3:5" ht="15" customHeight="1" thickBot="1">
      <c r="C26" s="638"/>
      <c r="D26" s="639"/>
      <c r="E26" s="640"/>
    </row>
    <row r="27" spans="3:5" ht="15" customHeight="1">
      <c r="C27" s="641" t="s">
        <v>762</v>
      </c>
      <c r="D27" s="628">
        <f>542+36</f>
        <v>578</v>
      </c>
      <c r="E27" s="629" t="s">
        <v>10</v>
      </c>
    </row>
    <row r="28" spans="3:5" ht="15" customHeight="1">
      <c r="C28" s="665" t="s">
        <v>773</v>
      </c>
      <c r="D28" s="666">
        <f>2574-578</f>
        <v>1996</v>
      </c>
      <c r="E28" s="667" t="s">
        <v>10</v>
      </c>
    </row>
    <row r="29" spans="3:5" ht="15" customHeight="1" thickBot="1">
      <c r="C29" s="630" t="s">
        <v>772</v>
      </c>
      <c r="D29" s="664">
        <v>300</v>
      </c>
      <c r="E29" s="632" t="s">
        <v>10</v>
      </c>
    </row>
    <row r="30" spans="3:5" ht="15" customHeight="1">
      <c r="C30" s="642"/>
      <c r="D30" s="643"/>
      <c r="E30" s="644"/>
    </row>
    <row r="31" spans="3:5" ht="15" customHeight="1">
      <c r="C31" s="616" t="s">
        <v>763</v>
      </c>
      <c r="D31" s="617">
        <v>0</v>
      </c>
      <c r="E31" s="620" t="s">
        <v>10</v>
      </c>
    </row>
    <row r="32" spans="3:5" ht="15" customHeight="1">
      <c r="C32" s="616"/>
      <c r="D32" s="637"/>
      <c r="E32" s="645"/>
    </row>
    <row r="33" spans="3:5" ht="15" customHeight="1">
      <c r="C33" s="616" t="s">
        <v>764</v>
      </c>
      <c r="D33" s="619">
        <f>D34+D35</f>
        <v>124.64999999999999</v>
      </c>
      <c r="E33" s="620" t="s">
        <v>10</v>
      </c>
    </row>
    <row r="34" spans="3:5" ht="15" customHeight="1">
      <c r="C34" s="621" t="s">
        <v>765</v>
      </c>
      <c r="D34" s="643">
        <v>0</v>
      </c>
      <c r="E34" s="620" t="s">
        <v>10</v>
      </c>
    </row>
    <row r="35" spans="3:5" ht="18.75" customHeight="1" thickBot="1">
      <c r="C35" s="646" t="s">
        <v>766</v>
      </c>
      <c r="D35" s="647">
        <f>831*0.15</f>
        <v>124.64999999999999</v>
      </c>
      <c r="E35" s="648" t="s">
        <v>10</v>
      </c>
    </row>
    <row r="36" spans="3:5" ht="15" customHeight="1" thickTop="1">
      <c r="C36" s="642" t="s">
        <v>769</v>
      </c>
      <c r="D36" s="643">
        <v>4600</v>
      </c>
      <c r="E36" s="635" t="s">
        <v>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4">
      <selection activeCell="A48" sqref="A48"/>
    </sheetView>
  </sheetViews>
  <sheetFormatPr defaultColWidth="9.00390625" defaultRowHeight="12.75"/>
  <cols>
    <col min="1" max="1" width="2.875" style="156" customWidth="1"/>
    <col min="2" max="2" width="21.375" style="156" customWidth="1"/>
    <col min="3" max="3" width="17.625" style="183" customWidth="1"/>
    <col min="4" max="4" width="28.375" style="164" customWidth="1"/>
    <col min="5" max="5" width="20.625" style="183" customWidth="1"/>
    <col min="6" max="16384" width="9.125" style="156" customWidth="1"/>
  </cols>
  <sheetData>
    <row r="1" spans="2:11" s="154" customFormat="1" ht="12.75">
      <c r="B1" s="155" t="s">
        <v>47</v>
      </c>
      <c r="C1" s="156"/>
      <c r="D1" s="156"/>
      <c r="E1" s="156"/>
      <c r="J1" s="157"/>
      <c r="K1" s="157"/>
    </row>
    <row r="2" spans="2:11" s="154" customFormat="1" ht="14.25" customHeight="1">
      <c r="B2" s="158" t="s">
        <v>70</v>
      </c>
      <c r="C2" s="156"/>
      <c r="D2" s="159"/>
      <c r="E2" s="156"/>
      <c r="J2" s="157"/>
      <c r="K2" s="157"/>
    </row>
    <row r="3" spans="2:11" s="154" customFormat="1" ht="4.5" customHeight="1">
      <c r="B3" s="158"/>
      <c r="C3" s="156"/>
      <c r="D3" s="160"/>
      <c r="E3" s="156"/>
      <c r="J3" s="157"/>
      <c r="K3" s="157"/>
    </row>
    <row r="4" spans="2:11" s="154" customFormat="1" ht="12.75">
      <c r="B4" s="161" t="s">
        <v>29</v>
      </c>
      <c r="C4" s="162"/>
      <c r="D4" s="156"/>
      <c r="E4" s="162"/>
      <c r="J4" s="157"/>
      <c r="K4" s="157"/>
    </row>
    <row r="5" spans="3:11" s="154" customFormat="1" ht="6.75" customHeight="1" thickBot="1">
      <c r="C5" s="163"/>
      <c r="D5" s="164"/>
      <c r="E5" s="163"/>
      <c r="J5" s="157"/>
      <c r="K5" s="157"/>
    </row>
    <row r="6" spans="2:11" ht="12.75">
      <c r="B6" s="203"/>
      <c r="C6" s="166" t="s">
        <v>53</v>
      </c>
      <c r="D6" s="695"/>
      <c r="E6" s="186" t="s">
        <v>73</v>
      </c>
      <c r="J6" s="157"/>
      <c r="K6" s="157"/>
    </row>
    <row r="7" spans="2:11" ht="12.75">
      <c r="B7" s="204"/>
      <c r="C7" s="168"/>
      <c r="D7" s="696"/>
      <c r="E7" s="187"/>
      <c r="I7" s="161"/>
      <c r="J7" s="157"/>
      <c r="K7" s="157"/>
    </row>
    <row r="8" spans="2:5" ht="15">
      <c r="B8" s="205" t="s">
        <v>30</v>
      </c>
      <c r="C8" s="201" t="s">
        <v>49</v>
      </c>
      <c r="D8" s="696"/>
      <c r="E8" s="218" t="s">
        <v>49</v>
      </c>
    </row>
    <row r="9" spans="1:5" ht="15.75">
      <c r="A9" s="170"/>
      <c r="B9" s="206"/>
      <c r="C9" s="168"/>
      <c r="D9" s="696"/>
      <c r="E9" s="187"/>
    </row>
    <row r="10" spans="1:5" ht="6" customHeight="1" thickBot="1">
      <c r="A10" s="170"/>
      <c r="B10" s="207"/>
      <c r="C10" s="172"/>
      <c r="D10" s="173"/>
      <c r="E10" s="189"/>
    </row>
    <row r="11" spans="2:5" ht="12.75" customHeight="1">
      <c r="B11" s="208" t="s">
        <v>31</v>
      </c>
      <c r="C11" s="202">
        <v>2</v>
      </c>
      <c r="D11" s="697" t="s">
        <v>74</v>
      </c>
      <c r="E11" s="190">
        <v>4</v>
      </c>
    </row>
    <row r="12" spans="2:5" ht="7.5" customHeight="1">
      <c r="B12" s="209"/>
      <c r="C12" s="187"/>
      <c r="D12" s="698"/>
      <c r="E12" s="187"/>
    </row>
    <row r="13" spans="2:5" ht="12.75" customHeight="1">
      <c r="B13" s="210" t="s">
        <v>32</v>
      </c>
      <c r="C13" s="191"/>
      <c r="D13" s="698"/>
      <c r="E13" s="191"/>
    </row>
    <row r="14" spans="2:5" ht="7.5" customHeight="1">
      <c r="B14" s="211"/>
      <c r="C14" s="192"/>
      <c r="D14" s="698"/>
      <c r="E14" s="192"/>
    </row>
    <row r="15" spans="2:5" ht="12.75" customHeight="1">
      <c r="B15" s="212" t="s">
        <v>33</v>
      </c>
      <c r="C15" s="190">
        <v>2</v>
      </c>
      <c r="D15" s="698"/>
      <c r="E15" s="190">
        <v>4</v>
      </c>
    </row>
    <row r="16" spans="2:5" ht="5.25" customHeight="1">
      <c r="B16" s="204"/>
      <c r="C16" s="190"/>
      <c r="D16" s="698"/>
      <c r="E16" s="190"/>
    </row>
    <row r="17" spans="2:5" ht="14.25" customHeight="1">
      <c r="B17" s="204" t="s">
        <v>34</v>
      </c>
      <c r="C17" s="191"/>
      <c r="D17" s="698"/>
      <c r="E17" s="191"/>
    </row>
    <row r="18" spans="2:5" ht="6" customHeight="1">
      <c r="B18" s="212"/>
      <c r="C18" s="190"/>
      <c r="D18" s="698"/>
      <c r="E18" s="190"/>
    </row>
    <row r="19" spans="2:5" ht="12.75" customHeight="1">
      <c r="B19" s="204" t="s">
        <v>35</v>
      </c>
      <c r="C19" s="190">
        <v>2</v>
      </c>
      <c r="D19" s="698"/>
      <c r="E19" s="190">
        <v>4</v>
      </c>
    </row>
    <row r="20" spans="2:5" ht="6.75" customHeight="1">
      <c r="B20" s="204"/>
      <c r="C20" s="190"/>
      <c r="D20" s="698"/>
      <c r="E20" s="190"/>
    </row>
    <row r="21" spans="2:5" ht="12.75" customHeight="1">
      <c r="B21" s="204" t="s">
        <v>36</v>
      </c>
      <c r="C21" s="190">
        <v>2</v>
      </c>
      <c r="D21" s="698"/>
      <c r="E21" s="190">
        <v>4</v>
      </c>
    </row>
    <row r="22" spans="2:5" ht="6.75" customHeight="1">
      <c r="B22" s="204" t="s">
        <v>37</v>
      </c>
      <c r="C22" s="190"/>
      <c r="D22" s="698"/>
      <c r="E22" s="190"/>
    </row>
    <row r="23" spans="2:5" ht="12.75" customHeight="1">
      <c r="B23" s="204" t="s">
        <v>38</v>
      </c>
      <c r="C23" s="190">
        <v>2</v>
      </c>
      <c r="D23" s="698"/>
      <c r="E23" s="190">
        <v>4</v>
      </c>
    </row>
    <row r="24" spans="2:5" ht="6.75" customHeight="1">
      <c r="B24" s="204"/>
      <c r="C24" s="190"/>
      <c r="D24" s="698"/>
      <c r="E24" s="190"/>
    </row>
    <row r="25" spans="2:5" ht="12.75" customHeight="1">
      <c r="B25" s="204" t="s">
        <v>39</v>
      </c>
      <c r="C25" s="190">
        <v>2</v>
      </c>
      <c r="D25" s="698"/>
      <c r="E25" s="190">
        <v>4</v>
      </c>
    </row>
    <row r="26" spans="2:5" ht="6.75" customHeight="1">
      <c r="B26" s="204"/>
      <c r="C26" s="190"/>
      <c r="D26" s="698"/>
      <c r="E26" s="190"/>
    </row>
    <row r="27" spans="2:5" ht="12.75" customHeight="1">
      <c r="B27" s="204" t="s">
        <v>40</v>
      </c>
      <c r="C27" s="190">
        <v>2</v>
      </c>
      <c r="D27" s="698"/>
      <c r="E27" s="190">
        <v>1</v>
      </c>
    </row>
    <row r="28" spans="2:5" ht="6" customHeight="1">
      <c r="B28" s="204"/>
      <c r="C28" s="190"/>
      <c r="D28" s="698"/>
      <c r="E28" s="190"/>
    </row>
    <row r="29" spans="2:5" ht="12.75" customHeight="1">
      <c r="B29" s="204" t="s">
        <v>41</v>
      </c>
      <c r="C29" s="191"/>
      <c r="D29" s="698"/>
      <c r="E29" s="191"/>
    </row>
    <row r="30" spans="2:5" ht="5.25" customHeight="1">
      <c r="B30" s="204"/>
      <c r="C30" s="190"/>
      <c r="D30" s="698"/>
      <c r="E30" s="190"/>
    </row>
    <row r="31" spans="2:5" ht="12.75" customHeight="1">
      <c r="B31" s="204" t="s">
        <v>42</v>
      </c>
      <c r="C31" s="190">
        <v>1</v>
      </c>
      <c r="D31" s="698"/>
      <c r="E31" s="191"/>
    </row>
    <row r="32" spans="2:5" ht="7.5" customHeight="1">
      <c r="B32" s="204"/>
      <c r="C32" s="190"/>
      <c r="D32" s="698"/>
      <c r="E32" s="190"/>
    </row>
    <row r="33" spans="2:5" ht="12.75" customHeight="1">
      <c r="B33" s="204" t="s">
        <v>43</v>
      </c>
      <c r="C33" s="191"/>
      <c r="D33" s="698"/>
      <c r="E33" s="190">
        <v>2</v>
      </c>
    </row>
    <row r="34" spans="2:5" ht="7.5" customHeight="1">
      <c r="B34" s="204"/>
      <c r="C34" s="190"/>
      <c r="D34" s="698"/>
      <c r="E34" s="190"/>
    </row>
    <row r="35" spans="2:5" ht="12.75" customHeight="1">
      <c r="B35" s="204" t="s">
        <v>44</v>
      </c>
      <c r="C35" s="190">
        <v>2</v>
      </c>
      <c r="D35" s="698"/>
      <c r="E35" s="190">
        <v>4</v>
      </c>
    </row>
    <row r="36" spans="2:5" ht="6" customHeight="1">
      <c r="B36" s="213"/>
      <c r="C36" s="193"/>
      <c r="D36" s="698"/>
      <c r="E36" s="193"/>
    </row>
    <row r="37" spans="2:5" ht="12.75" customHeight="1">
      <c r="B37" s="214" t="s">
        <v>72</v>
      </c>
      <c r="C37" s="187">
        <f>SUM(C11:C36)</f>
        <v>17</v>
      </c>
      <c r="D37" s="698"/>
      <c r="E37" s="187">
        <f>SUM(E11:E36)</f>
        <v>31</v>
      </c>
    </row>
    <row r="38" spans="2:5" s="154" customFormat="1" ht="12.75" customHeight="1">
      <c r="B38" s="215"/>
      <c r="C38" s="190"/>
      <c r="D38" s="698"/>
      <c r="E38" s="190"/>
    </row>
    <row r="39" spans="2:5" ht="12.75" customHeight="1">
      <c r="B39" s="216" t="s">
        <v>45</v>
      </c>
      <c r="C39" s="194">
        <v>1</v>
      </c>
      <c r="D39" s="698"/>
      <c r="E39" s="191"/>
    </row>
    <row r="40" spans="2:5" ht="6.75" customHeight="1">
      <c r="B40" s="204"/>
      <c r="C40" s="190"/>
      <c r="D40" s="698"/>
      <c r="E40" s="190"/>
    </row>
    <row r="41" spans="2:5" ht="12.75" customHeight="1">
      <c r="B41" s="217" t="s">
        <v>51</v>
      </c>
      <c r="C41" s="194" t="s">
        <v>52</v>
      </c>
      <c r="D41" s="698"/>
      <c r="E41" s="194" t="s">
        <v>78</v>
      </c>
    </row>
    <row r="42" spans="2:5" ht="6.75" customHeight="1">
      <c r="B42" s="204"/>
      <c r="C42" s="190"/>
      <c r="D42" s="698"/>
      <c r="E42" s="190"/>
    </row>
    <row r="43" spans="2:5" ht="12.75" customHeight="1">
      <c r="B43" s="217" t="s">
        <v>75</v>
      </c>
      <c r="C43" s="195" t="s">
        <v>46</v>
      </c>
      <c r="D43" s="698"/>
      <c r="E43" s="194" t="s">
        <v>76</v>
      </c>
    </row>
    <row r="44" spans="2:5" ht="6.75" customHeight="1">
      <c r="B44" s="204"/>
      <c r="C44" s="196"/>
      <c r="D44" s="698"/>
      <c r="E44" s="196"/>
    </row>
    <row r="45" spans="2:5" ht="12.75" customHeight="1" thickBot="1">
      <c r="B45" s="198" t="s">
        <v>56</v>
      </c>
      <c r="C45" s="197" t="s">
        <v>71</v>
      </c>
      <c r="D45" s="699"/>
      <c r="E45" s="197" t="s">
        <v>77</v>
      </c>
    </row>
    <row r="46" spans="2:5" ht="12.75">
      <c r="B46" s="154"/>
      <c r="C46" s="164"/>
      <c r="E46" s="164"/>
    </row>
    <row r="47" spans="2:5" ht="12.75">
      <c r="B47" s="154"/>
      <c r="C47" s="164"/>
      <c r="E47" s="164"/>
    </row>
    <row r="48" spans="2:5" ht="12.75">
      <c r="B48" s="154"/>
      <c r="C48" s="164"/>
      <c r="E48" s="164"/>
    </row>
    <row r="49" spans="2:5" ht="12.75">
      <c r="B49" s="154"/>
      <c r="C49" s="164"/>
      <c r="E49" s="164"/>
    </row>
    <row r="50" spans="2:5" ht="12.75">
      <c r="B50" s="154"/>
      <c r="C50" s="164"/>
      <c r="E50" s="164"/>
    </row>
    <row r="51" spans="2:5" ht="12.75">
      <c r="B51" s="154"/>
      <c r="C51" s="164"/>
      <c r="E51" s="164"/>
    </row>
    <row r="52" spans="2:5" ht="12.75">
      <c r="B52" s="154"/>
      <c r="C52" s="164"/>
      <c r="E52" s="164"/>
    </row>
    <row r="53" spans="2:5" ht="12.75">
      <c r="B53" s="154"/>
      <c r="C53" s="164"/>
      <c r="E53" s="164"/>
    </row>
    <row r="54" spans="2:5" ht="12.75">
      <c r="B54" s="154"/>
      <c r="C54" s="164"/>
      <c r="E54" s="164"/>
    </row>
    <row r="55" spans="2:5" ht="12.75">
      <c r="B55" s="154"/>
      <c r="C55" s="164"/>
      <c r="E55" s="164"/>
    </row>
    <row r="56" spans="2:5" ht="12.75">
      <c r="B56" s="154"/>
      <c r="C56" s="164"/>
      <c r="E56" s="164"/>
    </row>
  </sheetData>
  <sheetProtection/>
  <mergeCells count="2">
    <mergeCell ref="D6:D9"/>
    <mergeCell ref="D11:D4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M39" sqref="M39"/>
    </sheetView>
  </sheetViews>
  <sheetFormatPr defaultColWidth="9.00390625" defaultRowHeight="12.75"/>
  <cols>
    <col min="1" max="1" width="2.875" style="156" customWidth="1"/>
    <col min="2" max="2" width="22.25390625" style="156" customWidth="1"/>
    <col min="3" max="3" width="17.625" style="183" customWidth="1"/>
    <col min="4" max="4" width="34.125" style="164" customWidth="1"/>
    <col min="5" max="5" width="3.875" style="154" customWidth="1"/>
    <col min="6" max="6" width="2.875" style="156" customWidth="1"/>
    <col min="7" max="7" width="23.00390625" style="156" customWidth="1"/>
    <col min="8" max="8" width="17.625" style="183" customWidth="1"/>
    <col min="9" max="9" width="6.75390625" style="164" customWidth="1"/>
    <col min="10" max="10" width="3.875" style="154" customWidth="1"/>
    <col min="11" max="16384" width="9.125" style="156" customWidth="1"/>
  </cols>
  <sheetData>
    <row r="1" spans="2:10" s="154" customFormat="1" ht="12.75">
      <c r="B1" s="155" t="s">
        <v>47</v>
      </c>
      <c r="C1" s="156"/>
      <c r="D1" s="156"/>
      <c r="E1" s="156"/>
      <c r="G1" s="155" t="s">
        <v>47</v>
      </c>
      <c r="H1" s="156"/>
      <c r="I1" s="156"/>
      <c r="J1" s="156"/>
    </row>
    <row r="2" spans="2:10" s="154" customFormat="1" ht="14.25" customHeight="1">
      <c r="B2" s="158" t="s">
        <v>58</v>
      </c>
      <c r="C2" s="156"/>
      <c r="D2" s="159"/>
      <c r="E2" s="156"/>
      <c r="G2" s="158" t="s">
        <v>48</v>
      </c>
      <c r="H2" s="156"/>
      <c r="I2" s="159"/>
      <c r="J2" s="156"/>
    </row>
    <row r="3" spans="2:10" s="154" customFormat="1" ht="4.5" customHeight="1">
      <c r="B3" s="158"/>
      <c r="C3" s="156"/>
      <c r="D3" s="160"/>
      <c r="E3" s="156"/>
      <c r="G3" s="158"/>
      <c r="H3" s="156"/>
      <c r="I3" s="160"/>
      <c r="J3" s="156"/>
    </row>
    <row r="4" spans="2:10" s="154" customFormat="1" ht="12.75">
      <c r="B4" s="161" t="s">
        <v>29</v>
      </c>
      <c r="C4" s="162"/>
      <c r="D4" s="156"/>
      <c r="E4" s="156"/>
      <c r="G4" s="161" t="s">
        <v>29</v>
      </c>
      <c r="H4" s="162"/>
      <c r="I4" s="156"/>
      <c r="J4" s="156"/>
    </row>
    <row r="5" spans="3:9" s="154" customFormat="1" ht="6.75" customHeight="1" thickBot="1">
      <c r="C5" s="163"/>
      <c r="D5" s="164"/>
      <c r="H5" s="163"/>
      <c r="I5" s="164"/>
    </row>
    <row r="6" spans="2:10" ht="12.75">
      <c r="B6" s="165"/>
      <c r="C6" s="186" t="s">
        <v>59</v>
      </c>
      <c r="D6" s="700" t="s">
        <v>69</v>
      </c>
      <c r="E6" s="156"/>
      <c r="G6" s="165"/>
      <c r="H6" s="186" t="s">
        <v>53</v>
      </c>
      <c r="I6" s="702" t="s">
        <v>54</v>
      </c>
      <c r="J6" s="156"/>
    </row>
    <row r="7" spans="2:10" ht="12.75">
      <c r="B7" s="167"/>
      <c r="C7" s="187"/>
      <c r="D7" s="701"/>
      <c r="E7" s="156"/>
      <c r="G7" s="167"/>
      <c r="H7" s="187"/>
      <c r="I7" s="703"/>
      <c r="J7" s="156"/>
    </row>
    <row r="8" spans="2:10" ht="12.75">
      <c r="B8" s="185" t="s">
        <v>30</v>
      </c>
      <c r="C8" s="188" t="s">
        <v>60</v>
      </c>
      <c r="D8" s="701"/>
      <c r="E8" s="156"/>
      <c r="G8" s="185" t="s">
        <v>30</v>
      </c>
      <c r="H8" s="188" t="s">
        <v>49</v>
      </c>
      <c r="I8" s="703"/>
      <c r="J8" s="156"/>
    </row>
    <row r="9" spans="1:10" ht="12.75">
      <c r="A9" s="170"/>
      <c r="B9" s="184" t="s">
        <v>55</v>
      </c>
      <c r="C9" s="187" t="s">
        <v>61</v>
      </c>
      <c r="D9" s="701"/>
      <c r="E9" s="156"/>
      <c r="F9" s="170"/>
      <c r="G9" s="184" t="s">
        <v>55</v>
      </c>
      <c r="H9" s="187" t="s">
        <v>50</v>
      </c>
      <c r="I9" s="703"/>
      <c r="J9" s="156"/>
    </row>
    <row r="10" spans="1:10" ht="6" customHeight="1">
      <c r="A10" s="170"/>
      <c r="B10" s="171"/>
      <c r="C10" s="189"/>
      <c r="D10" s="189"/>
      <c r="E10" s="156"/>
      <c r="F10" s="170"/>
      <c r="G10" s="171"/>
      <c r="H10" s="189"/>
      <c r="I10" s="704"/>
      <c r="J10" s="156"/>
    </row>
    <row r="11" spans="2:10" ht="12.75">
      <c r="B11" s="174" t="s">
        <v>31</v>
      </c>
      <c r="C11" s="191"/>
      <c r="D11" s="697" t="s">
        <v>68</v>
      </c>
      <c r="E11" s="156"/>
      <c r="G11" s="174" t="s">
        <v>31</v>
      </c>
      <c r="H11" s="190">
        <v>2</v>
      </c>
      <c r="I11" s="704"/>
      <c r="J11" s="156"/>
    </row>
    <row r="12" spans="2:10" ht="7.5" customHeight="1">
      <c r="B12" s="175"/>
      <c r="C12" s="187"/>
      <c r="D12" s="698"/>
      <c r="E12" s="156"/>
      <c r="G12" s="175"/>
      <c r="H12" s="187"/>
      <c r="I12" s="704"/>
      <c r="J12" s="156"/>
    </row>
    <row r="13" spans="2:10" ht="12.75">
      <c r="B13" s="176" t="s">
        <v>32</v>
      </c>
      <c r="C13" s="191"/>
      <c r="D13" s="698"/>
      <c r="E13" s="156"/>
      <c r="G13" s="176" t="s">
        <v>32</v>
      </c>
      <c r="H13" s="191"/>
      <c r="I13" s="704"/>
      <c r="J13" s="156"/>
    </row>
    <row r="14" spans="2:10" ht="7.5" customHeight="1">
      <c r="B14" s="177"/>
      <c r="C14" s="192"/>
      <c r="D14" s="698"/>
      <c r="E14" s="156"/>
      <c r="G14" s="177"/>
      <c r="H14" s="192"/>
      <c r="I14" s="704"/>
      <c r="J14" s="156"/>
    </row>
    <row r="15" spans="2:10" ht="12.75">
      <c r="B15" s="178" t="s">
        <v>33</v>
      </c>
      <c r="C15" s="190">
        <v>2</v>
      </c>
      <c r="D15" s="698"/>
      <c r="E15" s="156"/>
      <c r="G15" s="178" t="s">
        <v>33</v>
      </c>
      <c r="H15" s="190">
        <v>2</v>
      </c>
      <c r="I15" s="704"/>
      <c r="J15" s="156"/>
    </row>
    <row r="16" spans="2:10" ht="5.25" customHeight="1">
      <c r="B16" s="167"/>
      <c r="C16" s="190"/>
      <c r="D16" s="698"/>
      <c r="E16" s="156"/>
      <c r="G16" s="167"/>
      <c r="H16" s="190"/>
      <c r="I16" s="704"/>
      <c r="J16" s="156"/>
    </row>
    <row r="17" spans="2:10" ht="14.25" customHeight="1">
      <c r="B17" s="167" t="s">
        <v>62</v>
      </c>
      <c r="C17" s="190">
        <v>1</v>
      </c>
      <c r="D17" s="698"/>
      <c r="E17" s="156"/>
      <c r="G17" s="167" t="s">
        <v>34</v>
      </c>
      <c r="H17" s="191"/>
      <c r="I17" s="704"/>
      <c r="J17" s="156"/>
    </row>
    <row r="18" spans="2:10" ht="6" customHeight="1">
      <c r="B18" s="178"/>
      <c r="C18" s="190"/>
      <c r="D18" s="698"/>
      <c r="E18" s="156"/>
      <c r="G18" s="178"/>
      <c r="H18" s="190"/>
      <c r="I18" s="704"/>
      <c r="J18" s="156"/>
    </row>
    <row r="19" spans="2:10" ht="12.75">
      <c r="B19" s="167" t="s">
        <v>35</v>
      </c>
      <c r="C19" s="190">
        <v>1</v>
      </c>
      <c r="D19" s="698"/>
      <c r="E19" s="156"/>
      <c r="G19" s="167" t="s">
        <v>35</v>
      </c>
      <c r="H19" s="190">
        <v>2</v>
      </c>
      <c r="I19" s="704"/>
      <c r="J19" s="156"/>
    </row>
    <row r="20" spans="2:10" ht="6.75" customHeight="1">
      <c r="B20" s="167"/>
      <c r="C20" s="190"/>
      <c r="D20" s="698"/>
      <c r="E20" s="156"/>
      <c r="G20" s="167"/>
      <c r="H20" s="190"/>
      <c r="I20" s="704"/>
      <c r="J20" s="156"/>
    </row>
    <row r="21" spans="2:10" ht="12.75">
      <c r="B21" s="167" t="s">
        <v>36</v>
      </c>
      <c r="C21" s="190">
        <v>2</v>
      </c>
      <c r="D21" s="698"/>
      <c r="E21" s="156"/>
      <c r="G21" s="167" t="s">
        <v>36</v>
      </c>
      <c r="H21" s="190">
        <v>2</v>
      </c>
      <c r="I21" s="704"/>
      <c r="J21" s="156"/>
    </row>
    <row r="22" spans="2:10" ht="6.75" customHeight="1">
      <c r="B22" s="167" t="s">
        <v>37</v>
      </c>
      <c r="C22" s="190"/>
      <c r="D22" s="698"/>
      <c r="E22" s="156"/>
      <c r="G22" s="167" t="s">
        <v>37</v>
      </c>
      <c r="H22" s="190"/>
      <c r="I22" s="704"/>
      <c r="J22" s="156"/>
    </row>
    <row r="23" spans="2:10" ht="12.75">
      <c r="B23" s="167" t="s">
        <v>38</v>
      </c>
      <c r="C23" s="190">
        <v>2</v>
      </c>
      <c r="D23" s="698"/>
      <c r="E23" s="156"/>
      <c r="G23" s="167" t="s">
        <v>38</v>
      </c>
      <c r="H23" s="190">
        <v>2</v>
      </c>
      <c r="I23" s="704"/>
      <c r="J23" s="156"/>
    </row>
    <row r="24" spans="2:10" ht="6.75" customHeight="1">
      <c r="B24" s="167"/>
      <c r="C24" s="190"/>
      <c r="D24" s="698"/>
      <c r="E24" s="156"/>
      <c r="G24" s="167"/>
      <c r="H24" s="190"/>
      <c r="I24" s="704"/>
      <c r="J24" s="156"/>
    </row>
    <row r="25" spans="2:10" ht="12.75">
      <c r="B25" s="167" t="s">
        <v>39</v>
      </c>
      <c r="C25" s="190">
        <v>2</v>
      </c>
      <c r="D25" s="698"/>
      <c r="E25" s="156"/>
      <c r="G25" s="167" t="s">
        <v>39</v>
      </c>
      <c r="H25" s="190">
        <v>2</v>
      </c>
      <c r="I25" s="704"/>
      <c r="J25" s="156"/>
    </row>
    <row r="26" spans="2:10" ht="6.75" customHeight="1">
      <c r="B26" s="167"/>
      <c r="C26" s="190"/>
      <c r="D26" s="698"/>
      <c r="E26" s="156"/>
      <c r="G26" s="167"/>
      <c r="H26" s="190"/>
      <c r="I26" s="704"/>
      <c r="J26" s="156"/>
    </row>
    <row r="27" spans="2:10" ht="12.75">
      <c r="B27" s="167" t="s">
        <v>65</v>
      </c>
      <c r="C27" s="190">
        <v>2</v>
      </c>
      <c r="D27" s="698"/>
      <c r="E27" s="156"/>
      <c r="G27" s="167" t="s">
        <v>40</v>
      </c>
      <c r="H27" s="190">
        <v>2</v>
      </c>
      <c r="I27" s="704"/>
      <c r="J27" s="156"/>
    </row>
    <row r="28" spans="2:10" ht="6" customHeight="1">
      <c r="B28" s="167"/>
      <c r="C28" s="190"/>
      <c r="D28" s="698"/>
      <c r="E28" s="156"/>
      <c r="G28" s="167"/>
      <c r="H28" s="190"/>
      <c r="I28" s="704"/>
      <c r="J28" s="156"/>
    </row>
    <row r="29" spans="2:10" ht="12.75">
      <c r="B29" s="167" t="s">
        <v>66</v>
      </c>
      <c r="C29" s="190">
        <v>1</v>
      </c>
      <c r="D29" s="698"/>
      <c r="E29" s="156"/>
      <c r="G29" s="167" t="s">
        <v>41</v>
      </c>
      <c r="H29" s="191"/>
      <c r="I29" s="704"/>
      <c r="J29" s="156"/>
    </row>
    <row r="30" spans="2:10" ht="5.25" customHeight="1">
      <c r="B30" s="167"/>
      <c r="C30" s="190"/>
      <c r="D30" s="698"/>
      <c r="E30" s="156"/>
      <c r="G30" s="167"/>
      <c r="H30" s="190"/>
      <c r="I30" s="704"/>
      <c r="J30" s="156"/>
    </row>
    <row r="31" spans="2:10" ht="12.75">
      <c r="B31" s="167" t="s">
        <v>67</v>
      </c>
      <c r="C31" s="190">
        <v>1</v>
      </c>
      <c r="D31" s="698"/>
      <c r="E31" s="156"/>
      <c r="G31" s="167" t="s">
        <v>42</v>
      </c>
      <c r="H31" s="190">
        <v>1</v>
      </c>
      <c r="I31" s="704"/>
      <c r="J31" s="156"/>
    </row>
    <row r="32" spans="2:10" ht="7.5" customHeight="1">
      <c r="B32" s="167"/>
      <c r="C32" s="190"/>
      <c r="D32" s="698"/>
      <c r="E32" s="156"/>
      <c r="G32" s="167"/>
      <c r="H32" s="190"/>
      <c r="I32" s="704"/>
      <c r="J32" s="156"/>
    </row>
    <row r="33" spans="2:10" ht="12.75">
      <c r="B33" s="167" t="s">
        <v>43</v>
      </c>
      <c r="C33" s="191"/>
      <c r="D33" s="698"/>
      <c r="E33" s="156"/>
      <c r="G33" s="167" t="s">
        <v>43</v>
      </c>
      <c r="H33" s="191"/>
      <c r="I33" s="704"/>
      <c r="J33" s="156"/>
    </row>
    <row r="34" spans="2:10" ht="7.5" customHeight="1">
      <c r="B34" s="167"/>
      <c r="C34" s="190"/>
      <c r="D34" s="698"/>
      <c r="E34" s="156"/>
      <c r="G34" s="167"/>
      <c r="H34" s="190"/>
      <c r="I34" s="704"/>
      <c r="J34" s="156"/>
    </row>
    <row r="35" spans="2:10" ht="12.75">
      <c r="B35" s="167" t="s">
        <v>44</v>
      </c>
      <c r="C35" s="191"/>
      <c r="D35" s="698"/>
      <c r="E35" s="156"/>
      <c r="G35" s="167" t="s">
        <v>44</v>
      </c>
      <c r="H35" s="190">
        <v>2</v>
      </c>
      <c r="I35" s="704"/>
      <c r="J35" s="156"/>
    </row>
    <row r="36" spans="2:10" ht="6" customHeight="1">
      <c r="B36" s="179"/>
      <c r="C36" s="193"/>
      <c r="D36" s="698"/>
      <c r="E36" s="156"/>
      <c r="G36" s="179"/>
      <c r="H36" s="193"/>
      <c r="I36" s="704"/>
      <c r="J36" s="156"/>
    </row>
    <row r="37" spans="2:10" ht="12.75">
      <c r="B37" s="199" t="s">
        <v>63</v>
      </c>
      <c r="C37" s="200">
        <f>SUM(C13:C36)</f>
        <v>14</v>
      </c>
      <c r="D37" s="698"/>
      <c r="E37" s="156"/>
      <c r="G37" s="169" t="s">
        <v>63</v>
      </c>
      <c r="H37" s="187">
        <f>SUM(H11:H36)</f>
        <v>17</v>
      </c>
      <c r="I37" s="704"/>
      <c r="J37" s="156"/>
    </row>
    <row r="38" spans="2:9" s="154" customFormat="1" ht="12.75">
      <c r="B38" s="180"/>
      <c r="C38" s="190"/>
      <c r="D38" s="698"/>
      <c r="G38" s="180"/>
      <c r="H38" s="190"/>
      <c r="I38" s="704"/>
    </row>
    <row r="39" spans="2:10" ht="12.75">
      <c r="B39" s="181" t="s">
        <v>45</v>
      </c>
      <c r="C39" s="195">
        <v>0</v>
      </c>
      <c r="D39" s="698"/>
      <c r="E39" s="156"/>
      <c r="G39" s="181" t="s">
        <v>45</v>
      </c>
      <c r="H39" s="194">
        <v>1</v>
      </c>
      <c r="I39" s="704"/>
      <c r="J39" s="156"/>
    </row>
    <row r="40" spans="2:10" ht="6.75" customHeight="1">
      <c r="B40" s="167"/>
      <c r="C40" s="190"/>
      <c r="D40" s="698"/>
      <c r="E40" s="156"/>
      <c r="G40" s="167"/>
      <c r="H40" s="190"/>
      <c r="I40" s="704"/>
      <c r="J40" s="156"/>
    </row>
    <row r="41" spans="2:10" ht="12.75">
      <c r="B41" s="182" t="s">
        <v>51</v>
      </c>
      <c r="C41" s="194" t="s">
        <v>64</v>
      </c>
      <c r="D41" s="698"/>
      <c r="E41" s="156"/>
      <c r="G41" s="182" t="s">
        <v>51</v>
      </c>
      <c r="H41" s="194" t="s">
        <v>52</v>
      </c>
      <c r="I41" s="704"/>
      <c r="J41" s="156"/>
    </row>
    <row r="42" spans="2:10" ht="6.75" customHeight="1">
      <c r="B42" s="167"/>
      <c r="C42" s="190"/>
      <c r="D42" s="698"/>
      <c r="E42" s="156"/>
      <c r="G42" s="167"/>
      <c r="H42" s="190"/>
      <c r="I42" s="704"/>
      <c r="J42" s="156"/>
    </row>
    <row r="43" spans="2:10" ht="12.75">
      <c r="B43" s="182" t="s">
        <v>80</v>
      </c>
      <c r="C43" s="195">
        <v>0</v>
      </c>
      <c r="D43" s="698"/>
      <c r="E43" s="156"/>
      <c r="G43" s="182" t="s">
        <v>79</v>
      </c>
      <c r="H43" s="195" t="s">
        <v>46</v>
      </c>
      <c r="I43" s="704"/>
      <c r="J43" s="156"/>
    </row>
    <row r="44" spans="2:10" ht="6.75" customHeight="1">
      <c r="B44" s="167"/>
      <c r="C44" s="196"/>
      <c r="D44" s="698"/>
      <c r="E44" s="156"/>
      <c r="G44" s="167"/>
      <c r="H44" s="196"/>
      <c r="I44" s="704"/>
      <c r="J44" s="156"/>
    </row>
    <row r="45" spans="2:10" ht="13.5" thickBot="1">
      <c r="B45" s="198" t="s">
        <v>56</v>
      </c>
      <c r="C45" s="197">
        <v>0</v>
      </c>
      <c r="D45" s="699"/>
      <c r="E45" s="156"/>
      <c r="G45" s="198" t="s">
        <v>56</v>
      </c>
      <c r="H45" s="197" t="s">
        <v>57</v>
      </c>
      <c r="I45" s="705"/>
      <c r="J45" s="156"/>
    </row>
    <row r="46" spans="2:10" ht="12.75">
      <c r="B46" s="154"/>
      <c r="C46" s="164"/>
      <c r="E46" s="156"/>
      <c r="G46" s="154"/>
      <c r="H46" s="164"/>
      <c r="J46" s="156"/>
    </row>
    <row r="47" spans="2:10" ht="12.75">
      <c r="B47" s="154"/>
      <c r="C47" s="164"/>
      <c r="E47" s="156"/>
      <c r="G47" s="154"/>
      <c r="H47" s="164"/>
      <c r="J47" s="156"/>
    </row>
    <row r="48" spans="2:10" ht="12.75">
      <c r="B48" s="154"/>
      <c r="C48" s="164"/>
      <c r="E48" s="156"/>
      <c r="G48" s="154"/>
      <c r="H48" s="164"/>
      <c r="J48" s="156"/>
    </row>
    <row r="49" spans="2:10" ht="12.75">
      <c r="B49" s="154"/>
      <c r="C49" s="164"/>
      <c r="E49" s="156"/>
      <c r="G49" s="164"/>
      <c r="H49" s="164"/>
      <c r="I49" s="156"/>
      <c r="J49" s="156"/>
    </row>
    <row r="50" spans="2:10" ht="12.75">
      <c r="B50" s="154"/>
      <c r="C50" s="164"/>
      <c r="E50" s="156"/>
      <c r="G50" s="154"/>
      <c r="H50" s="164"/>
      <c r="J50" s="156"/>
    </row>
    <row r="51" spans="2:10" ht="12.75">
      <c r="B51" s="154"/>
      <c r="C51" s="164"/>
      <c r="E51" s="156"/>
      <c r="G51" s="154"/>
      <c r="H51" s="164"/>
      <c r="J51" s="156"/>
    </row>
    <row r="52" spans="2:8" ht="12.75">
      <c r="B52" s="154"/>
      <c r="C52" s="164"/>
      <c r="G52" s="154"/>
      <c r="H52" s="164"/>
    </row>
    <row r="53" spans="2:8" ht="12.75">
      <c r="B53" s="154"/>
      <c r="C53" s="164"/>
      <c r="G53" s="154"/>
      <c r="H53" s="164"/>
    </row>
    <row r="54" spans="2:8" ht="12.75">
      <c r="B54" s="154"/>
      <c r="C54" s="164"/>
      <c r="G54" s="154"/>
      <c r="H54" s="164"/>
    </row>
    <row r="55" spans="2:8" ht="12.75">
      <c r="B55" s="154"/>
      <c r="C55" s="164"/>
      <c r="G55" s="154"/>
      <c r="H55" s="164"/>
    </row>
    <row r="56" spans="2:8" ht="12.75">
      <c r="B56" s="154"/>
      <c r="C56" s="164"/>
      <c r="G56" s="154"/>
      <c r="H56" s="164"/>
    </row>
  </sheetData>
  <sheetProtection/>
  <mergeCells count="3">
    <mergeCell ref="D6:D9"/>
    <mergeCell ref="D11:D45"/>
    <mergeCell ref="I6:I4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:F16384"/>
    </sheetView>
  </sheetViews>
  <sheetFormatPr defaultColWidth="9.00390625" defaultRowHeight="12.75"/>
  <cols>
    <col min="1" max="1" width="2.875" style="156" customWidth="1"/>
    <col min="2" max="2" width="23.00390625" style="156" customWidth="1"/>
    <col min="3" max="3" width="17.625" style="183" customWidth="1"/>
    <col min="4" max="4" width="6.75390625" style="164" customWidth="1"/>
    <col min="5" max="5" width="3.875" style="154" customWidth="1"/>
    <col min="6" max="16384" width="9.125" style="156" customWidth="1"/>
  </cols>
  <sheetData>
    <row r="1" spans="2:11" s="154" customFormat="1" ht="12.75">
      <c r="B1" s="155" t="s">
        <v>47</v>
      </c>
      <c r="C1" s="156"/>
      <c r="D1" s="156"/>
      <c r="E1" s="156"/>
      <c r="J1" s="157"/>
      <c r="K1" s="157"/>
    </row>
    <row r="2" spans="2:11" s="154" customFormat="1" ht="14.25" customHeight="1">
      <c r="B2" s="158" t="s">
        <v>48</v>
      </c>
      <c r="C2" s="156"/>
      <c r="D2" s="159"/>
      <c r="E2" s="156"/>
      <c r="J2" s="157"/>
      <c r="K2" s="157"/>
    </row>
    <row r="3" spans="2:11" s="154" customFormat="1" ht="4.5" customHeight="1">
      <c r="B3" s="158"/>
      <c r="C3" s="156"/>
      <c r="D3" s="160"/>
      <c r="E3" s="156"/>
      <c r="J3" s="157"/>
      <c r="K3" s="157"/>
    </row>
    <row r="4" spans="2:11" s="154" customFormat="1" ht="12.75">
      <c r="B4" s="161" t="s">
        <v>29</v>
      </c>
      <c r="C4" s="162"/>
      <c r="D4" s="156"/>
      <c r="E4" s="156"/>
      <c r="J4" s="157"/>
      <c r="K4" s="157"/>
    </row>
    <row r="5" spans="3:11" s="154" customFormat="1" ht="6.75" customHeight="1" thickBot="1">
      <c r="C5" s="163"/>
      <c r="D5" s="164"/>
      <c r="J5" s="157"/>
      <c r="K5" s="157"/>
    </row>
    <row r="6" spans="2:11" ht="12.75">
      <c r="B6" s="165"/>
      <c r="C6" s="186" t="s">
        <v>53</v>
      </c>
      <c r="D6" s="702" t="s">
        <v>54</v>
      </c>
      <c r="E6" s="156"/>
      <c r="J6" s="157"/>
      <c r="K6" s="157"/>
    </row>
    <row r="7" spans="2:11" ht="12.75">
      <c r="B7" s="167"/>
      <c r="C7" s="187"/>
      <c r="D7" s="703"/>
      <c r="E7" s="156"/>
      <c r="I7" s="161"/>
      <c r="J7" s="157"/>
      <c r="K7" s="157"/>
    </row>
    <row r="8" spans="2:5" ht="12.75">
      <c r="B8" s="185" t="s">
        <v>30</v>
      </c>
      <c r="C8" s="188" t="s">
        <v>49</v>
      </c>
      <c r="D8" s="703"/>
      <c r="E8" s="156"/>
    </row>
    <row r="9" spans="1:5" ht="12.75">
      <c r="A9" s="170"/>
      <c r="B9" s="184" t="s">
        <v>55</v>
      </c>
      <c r="C9" s="187" t="s">
        <v>50</v>
      </c>
      <c r="D9" s="703"/>
      <c r="E9" s="156"/>
    </row>
    <row r="10" spans="1:5" ht="6" customHeight="1">
      <c r="A10" s="170"/>
      <c r="B10" s="171"/>
      <c r="C10" s="189"/>
      <c r="D10" s="704"/>
      <c r="E10" s="156"/>
    </row>
    <row r="11" spans="2:5" ht="12.75">
      <c r="B11" s="174" t="s">
        <v>31</v>
      </c>
      <c r="C11" s="190">
        <v>2</v>
      </c>
      <c r="D11" s="704"/>
      <c r="E11" s="156"/>
    </row>
    <row r="12" spans="2:5" ht="7.5" customHeight="1">
      <c r="B12" s="175"/>
      <c r="C12" s="187"/>
      <c r="D12" s="704"/>
      <c r="E12" s="156"/>
    </row>
    <row r="13" spans="2:5" ht="12.75">
      <c r="B13" s="176" t="s">
        <v>32</v>
      </c>
      <c r="C13" s="191"/>
      <c r="D13" s="704"/>
      <c r="E13" s="156"/>
    </row>
    <row r="14" spans="2:5" ht="7.5" customHeight="1">
      <c r="B14" s="177"/>
      <c r="C14" s="192"/>
      <c r="D14" s="704"/>
      <c r="E14" s="156"/>
    </row>
    <row r="15" spans="2:5" ht="12.75">
      <c r="B15" s="178" t="s">
        <v>33</v>
      </c>
      <c r="C15" s="190">
        <v>2</v>
      </c>
      <c r="D15" s="704"/>
      <c r="E15" s="156"/>
    </row>
    <row r="16" spans="2:5" ht="5.25" customHeight="1">
      <c r="B16" s="167"/>
      <c r="C16" s="190"/>
      <c r="D16" s="704"/>
      <c r="E16" s="156"/>
    </row>
    <row r="17" spans="2:5" ht="14.25" customHeight="1">
      <c r="B17" s="167" t="s">
        <v>34</v>
      </c>
      <c r="C17" s="191"/>
      <c r="D17" s="704"/>
      <c r="E17" s="156"/>
    </row>
    <row r="18" spans="2:5" ht="6" customHeight="1">
      <c r="B18" s="178"/>
      <c r="C18" s="190"/>
      <c r="D18" s="704"/>
      <c r="E18" s="156"/>
    </row>
    <row r="19" spans="2:5" ht="12.75">
      <c r="B19" s="167" t="s">
        <v>35</v>
      </c>
      <c r="C19" s="190">
        <v>2</v>
      </c>
      <c r="D19" s="704"/>
      <c r="E19" s="156"/>
    </row>
    <row r="20" spans="2:5" ht="6.75" customHeight="1">
      <c r="B20" s="167"/>
      <c r="C20" s="190"/>
      <c r="D20" s="704"/>
      <c r="E20" s="156"/>
    </row>
    <row r="21" spans="2:5" ht="12.75">
      <c r="B21" s="167" t="s">
        <v>36</v>
      </c>
      <c r="C21" s="190">
        <v>2</v>
      </c>
      <c r="D21" s="704"/>
      <c r="E21" s="156"/>
    </row>
    <row r="22" spans="2:5" ht="6.75" customHeight="1">
      <c r="B22" s="167" t="s">
        <v>37</v>
      </c>
      <c r="C22" s="190"/>
      <c r="D22" s="704"/>
      <c r="E22" s="156"/>
    </row>
    <row r="23" spans="2:5" ht="12.75">
      <c r="B23" s="167" t="s">
        <v>38</v>
      </c>
      <c r="C23" s="190">
        <v>2</v>
      </c>
      <c r="D23" s="704"/>
      <c r="E23" s="156"/>
    </row>
    <row r="24" spans="2:5" ht="6.75" customHeight="1">
      <c r="B24" s="167"/>
      <c r="C24" s="190"/>
      <c r="D24" s="704"/>
      <c r="E24" s="156"/>
    </row>
    <row r="25" spans="2:5" ht="12.75">
      <c r="B25" s="167" t="s">
        <v>39</v>
      </c>
      <c r="C25" s="190">
        <v>2</v>
      </c>
      <c r="D25" s="704"/>
      <c r="E25" s="156"/>
    </row>
    <row r="26" spans="2:5" ht="6.75" customHeight="1">
      <c r="B26" s="167"/>
      <c r="C26" s="190"/>
      <c r="D26" s="704"/>
      <c r="E26" s="156"/>
    </row>
    <row r="27" spans="2:5" ht="12.75">
      <c r="B27" s="167" t="s">
        <v>40</v>
      </c>
      <c r="C27" s="190">
        <v>2</v>
      </c>
      <c r="D27" s="704"/>
      <c r="E27" s="156"/>
    </row>
    <row r="28" spans="2:5" ht="6" customHeight="1">
      <c r="B28" s="167"/>
      <c r="C28" s="190"/>
      <c r="D28" s="704"/>
      <c r="E28" s="156"/>
    </row>
    <row r="29" spans="2:5" ht="12.75">
      <c r="B29" s="167" t="s">
        <v>41</v>
      </c>
      <c r="C29" s="191"/>
      <c r="D29" s="704"/>
      <c r="E29" s="156"/>
    </row>
    <row r="30" spans="2:5" ht="5.25" customHeight="1">
      <c r="B30" s="167"/>
      <c r="C30" s="190"/>
      <c r="D30" s="704"/>
      <c r="E30" s="156"/>
    </row>
    <row r="31" spans="2:5" ht="12.75">
      <c r="B31" s="167" t="s">
        <v>42</v>
      </c>
      <c r="C31" s="190">
        <v>1</v>
      </c>
      <c r="D31" s="704"/>
      <c r="E31" s="156"/>
    </row>
    <row r="32" spans="2:5" ht="7.5" customHeight="1">
      <c r="B32" s="167"/>
      <c r="C32" s="190"/>
      <c r="D32" s="704"/>
      <c r="E32" s="156"/>
    </row>
    <row r="33" spans="2:5" ht="12.75">
      <c r="B33" s="167" t="s">
        <v>43</v>
      </c>
      <c r="C33" s="191"/>
      <c r="D33" s="704"/>
      <c r="E33" s="156"/>
    </row>
    <row r="34" spans="2:5" ht="7.5" customHeight="1">
      <c r="B34" s="167"/>
      <c r="C34" s="190"/>
      <c r="D34" s="704"/>
      <c r="E34" s="156"/>
    </row>
    <row r="35" spans="2:5" ht="12.75">
      <c r="B35" s="167" t="s">
        <v>44</v>
      </c>
      <c r="C35" s="190">
        <v>2</v>
      </c>
      <c r="D35" s="704"/>
      <c r="E35" s="156"/>
    </row>
    <row r="36" spans="2:5" ht="6" customHeight="1">
      <c r="B36" s="179"/>
      <c r="C36" s="193"/>
      <c r="D36" s="704"/>
      <c r="E36" s="156"/>
    </row>
    <row r="37" spans="2:5" ht="12.75">
      <c r="B37" s="169" t="s">
        <v>63</v>
      </c>
      <c r="C37" s="187">
        <f>SUM(C11:C36)</f>
        <v>17</v>
      </c>
      <c r="D37" s="704"/>
      <c r="E37" s="156"/>
    </row>
    <row r="38" spans="2:4" s="154" customFormat="1" ht="12.75">
      <c r="B38" s="180"/>
      <c r="C38" s="190"/>
      <c r="D38" s="704"/>
    </row>
    <row r="39" spans="2:5" ht="12.75">
      <c r="B39" s="181" t="s">
        <v>45</v>
      </c>
      <c r="C39" s="194">
        <v>1</v>
      </c>
      <c r="D39" s="704"/>
      <c r="E39" s="156"/>
    </row>
    <row r="40" spans="2:5" ht="6.75" customHeight="1">
      <c r="B40" s="167"/>
      <c r="C40" s="190"/>
      <c r="D40" s="704"/>
      <c r="E40" s="156"/>
    </row>
    <row r="41" spans="2:5" ht="12.75">
      <c r="B41" s="182" t="s">
        <v>51</v>
      </c>
      <c r="C41" s="194" t="s">
        <v>52</v>
      </c>
      <c r="D41" s="704"/>
      <c r="E41" s="156"/>
    </row>
    <row r="42" spans="2:5" ht="6.75" customHeight="1">
      <c r="B42" s="167"/>
      <c r="C42" s="190"/>
      <c r="D42" s="704"/>
      <c r="E42" s="156"/>
    </row>
    <row r="43" spans="2:5" ht="12.75">
      <c r="B43" s="182" t="s">
        <v>79</v>
      </c>
      <c r="C43" s="195" t="s">
        <v>46</v>
      </c>
      <c r="D43" s="704"/>
      <c r="E43" s="156"/>
    </row>
    <row r="44" spans="2:5" ht="6.75" customHeight="1">
      <c r="B44" s="167"/>
      <c r="C44" s="196"/>
      <c r="D44" s="704"/>
      <c r="E44" s="156"/>
    </row>
    <row r="45" spans="2:5" ht="13.5" thickBot="1">
      <c r="B45" s="198" t="s">
        <v>56</v>
      </c>
      <c r="C45" s="197" t="s">
        <v>57</v>
      </c>
      <c r="D45" s="705"/>
      <c r="E45" s="156"/>
    </row>
    <row r="46" spans="2:5" ht="12.75">
      <c r="B46" s="154"/>
      <c r="C46" s="164"/>
      <c r="E46" s="156"/>
    </row>
    <row r="47" spans="2:5" ht="12.75">
      <c r="B47" s="154"/>
      <c r="C47" s="164"/>
      <c r="E47" s="156"/>
    </row>
    <row r="48" spans="2:5" ht="12.75">
      <c r="B48" s="154"/>
      <c r="C48" s="164"/>
      <c r="E48" s="156"/>
    </row>
    <row r="49" spans="2:5" ht="12.75">
      <c r="B49" s="164"/>
      <c r="C49" s="164"/>
      <c r="D49" s="156"/>
      <c r="E49" s="156"/>
    </row>
    <row r="50" spans="2:5" ht="12.75">
      <c r="B50" s="154"/>
      <c r="C50" s="164"/>
      <c r="E50" s="156"/>
    </row>
    <row r="51" spans="2:5" ht="12.75">
      <c r="B51" s="154"/>
      <c r="C51" s="164"/>
      <c r="E51" s="156"/>
    </row>
    <row r="52" spans="2:3" ht="12.75">
      <c r="B52" s="154"/>
      <c r="C52" s="164"/>
    </row>
    <row r="53" spans="2:3" ht="12.75">
      <c r="B53" s="154"/>
      <c r="C53" s="164"/>
    </row>
    <row r="54" spans="2:3" ht="12.75">
      <c r="B54" s="154"/>
      <c r="C54" s="164"/>
    </row>
    <row r="55" spans="2:3" ht="12.75">
      <c r="B55" s="154"/>
      <c r="C55" s="164"/>
    </row>
    <row r="56" spans="2:3" ht="12.75">
      <c r="B56" s="154"/>
      <c r="C56" s="164"/>
    </row>
  </sheetData>
  <sheetProtection/>
  <mergeCells count="1">
    <mergeCell ref="D6:D45"/>
  </mergeCell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.875" style="156" customWidth="1"/>
    <col min="2" max="2" width="35.75390625" style="156" customWidth="1"/>
    <col min="3" max="3" width="15.00390625" style="281" customWidth="1"/>
    <col min="4" max="4" width="14.75390625" style="329" customWidth="1"/>
    <col min="5" max="5" width="3.875" style="154" customWidth="1"/>
    <col min="6" max="6" width="9.125" style="335" customWidth="1"/>
    <col min="7" max="16384" width="9.125" style="156" customWidth="1"/>
  </cols>
  <sheetData>
    <row r="1" spans="2:11" s="154" customFormat="1" ht="12.75">
      <c r="B1" s="155" t="s">
        <v>47</v>
      </c>
      <c r="C1" s="281"/>
      <c r="D1" s="277"/>
      <c r="E1" s="156"/>
      <c r="F1" s="334"/>
      <c r="J1" s="157"/>
      <c r="K1" s="157"/>
    </row>
    <row r="2" spans="2:11" s="154" customFormat="1" ht="14.25" customHeight="1">
      <c r="B2" s="158" t="s">
        <v>253</v>
      </c>
      <c r="C2" s="281"/>
      <c r="D2" s="330"/>
      <c r="E2" s="156"/>
      <c r="F2" s="334"/>
      <c r="J2" s="157"/>
      <c r="K2" s="157"/>
    </row>
    <row r="3" spans="2:11" s="154" customFormat="1" ht="4.5" customHeight="1">
      <c r="B3" s="158"/>
      <c r="C3" s="281"/>
      <c r="D3" s="331"/>
      <c r="E3" s="156"/>
      <c r="F3" s="334"/>
      <c r="J3" s="157"/>
      <c r="K3" s="157"/>
    </row>
    <row r="4" spans="2:11" s="154" customFormat="1" ht="12.75">
      <c r="B4" s="161" t="s">
        <v>29</v>
      </c>
      <c r="C4" s="326"/>
      <c r="D4" s="277"/>
      <c r="E4" s="156"/>
      <c r="F4" s="334"/>
      <c r="J4" s="157"/>
      <c r="K4" s="157"/>
    </row>
    <row r="5" spans="3:11" s="154" customFormat="1" ht="6.75" customHeight="1">
      <c r="C5" s="327"/>
      <c r="D5" s="329"/>
      <c r="F5" s="334"/>
      <c r="J5" s="157"/>
      <c r="K5" s="157"/>
    </row>
    <row r="6" spans="2:3" ht="12.75">
      <c r="B6" s="154"/>
      <c r="C6" s="328"/>
    </row>
    <row r="7" spans="2:7" ht="12.75">
      <c r="B7" s="154" t="s">
        <v>254</v>
      </c>
      <c r="C7" s="328"/>
      <c r="D7" s="277"/>
      <c r="F7" s="334">
        <v>61</v>
      </c>
      <c r="G7" s="156" t="s">
        <v>9</v>
      </c>
    </row>
    <row r="8" spans="2:7" ht="12.75">
      <c r="B8" s="154" t="s">
        <v>255</v>
      </c>
      <c r="C8" s="328"/>
      <c r="F8" s="335">
        <v>460</v>
      </c>
      <c r="G8" s="156" t="s">
        <v>8</v>
      </c>
    </row>
    <row r="9" spans="2:7" ht="12.75">
      <c r="B9" s="156" t="s">
        <v>257</v>
      </c>
      <c r="C9" s="328" t="s">
        <v>258</v>
      </c>
      <c r="D9" s="329" t="s">
        <v>260</v>
      </c>
      <c r="F9" s="335">
        <v>460</v>
      </c>
      <c r="G9" s="156" t="s">
        <v>8</v>
      </c>
    </row>
    <row r="10" spans="2:7" ht="12.75">
      <c r="B10" s="154"/>
      <c r="C10" s="156" t="s">
        <v>261</v>
      </c>
      <c r="D10" s="277" t="s">
        <v>265</v>
      </c>
      <c r="E10" s="156"/>
      <c r="F10" s="336">
        <v>460</v>
      </c>
      <c r="G10" s="156" t="s">
        <v>8</v>
      </c>
    </row>
    <row r="11" spans="3:7" ht="12.75">
      <c r="C11" s="328" t="s">
        <v>748</v>
      </c>
      <c r="D11" s="329" t="s">
        <v>749</v>
      </c>
      <c r="F11" s="335">
        <f>460-22*8</f>
        <v>284</v>
      </c>
      <c r="G11" s="156" t="s">
        <v>8</v>
      </c>
    </row>
    <row r="13" spans="2:6" ht="12.75">
      <c r="B13" s="154" t="s">
        <v>256</v>
      </c>
      <c r="D13" s="277" t="s">
        <v>264</v>
      </c>
      <c r="E13" s="156"/>
      <c r="F13" s="336"/>
    </row>
    <row r="14" spans="2:4" ht="12.75">
      <c r="B14" s="156" t="s">
        <v>262</v>
      </c>
      <c r="C14" s="281" t="s">
        <v>263</v>
      </c>
      <c r="D14" s="329" t="s">
        <v>266</v>
      </c>
    </row>
    <row r="15" spans="2:7" ht="12.75">
      <c r="B15" s="275" t="s">
        <v>267</v>
      </c>
      <c r="D15" s="329" t="s">
        <v>268</v>
      </c>
      <c r="F15" s="335">
        <f>356*1.7</f>
        <v>605.1999999999999</v>
      </c>
      <c r="G15" s="156" t="s">
        <v>10</v>
      </c>
    </row>
    <row r="17" spans="2:7" ht="12.75">
      <c r="B17" s="156" t="s">
        <v>269</v>
      </c>
      <c r="D17" s="329" t="s">
        <v>271</v>
      </c>
      <c r="F17" s="335">
        <f>107*1.5*0.45</f>
        <v>72.22500000000001</v>
      </c>
      <c r="G17" s="156" t="s">
        <v>10</v>
      </c>
    </row>
    <row r="18" spans="2:7" ht="12.75">
      <c r="B18" s="156" t="s">
        <v>272</v>
      </c>
      <c r="D18" s="329" t="s">
        <v>270</v>
      </c>
      <c r="F18" s="335">
        <f>107*1.5</f>
        <v>160.5</v>
      </c>
      <c r="G18" s="156" t="s">
        <v>8</v>
      </c>
    </row>
    <row r="20" spans="2:7" ht="12.75">
      <c r="B20" s="156" t="s">
        <v>273</v>
      </c>
      <c r="C20" s="281" t="s">
        <v>274</v>
      </c>
      <c r="D20" s="333" t="s">
        <v>275</v>
      </c>
      <c r="F20" s="335">
        <f>2*16</f>
        <v>32</v>
      </c>
      <c r="G20" s="156" t="s">
        <v>9</v>
      </c>
    </row>
    <row r="21" spans="2:4" ht="12.75">
      <c r="B21" s="156" t="s">
        <v>277</v>
      </c>
      <c r="D21" s="277" t="s">
        <v>276</v>
      </c>
    </row>
    <row r="22" ht="12.75">
      <c r="D22" s="333"/>
    </row>
    <row r="23" spans="2:4" ht="12.75">
      <c r="B23" s="156" t="s">
        <v>733</v>
      </c>
      <c r="D23" s="329" t="s">
        <v>259</v>
      </c>
    </row>
    <row r="24" spans="2:4" ht="12.75">
      <c r="B24" s="156" t="s">
        <v>734</v>
      </c>
      <c r="D24" s="329" t="s">
        <v>735</v>
      </c>
    </row>
    <row r="26" spans="2:3" ht="12.75">
      <c r="B26" s="156" t="s">
        <v>736</v>
      </c>
      <c r="C26" s="156" t="s">
        <v>737</v>
      </c>
    </row>
    <row r="28" spans="2:7" ht="12.75">
      <c r="B28" s="156" t="s">
        <v>278</v>
      </c>
      <c r="F28" s="335">
        <f>18*3.3</f>
        <v>59.4</v>
      </c>
      <c r="G28" s="156" t="s">
        <v>10</v>
      </c>
    </row>
    <row r="29" ht="12.75">
      <c r="D29" s="332" t="s">
        <v>279</v>
      </c>
    </row>
    <row r="31" spans="2:7" ht="12.75">
      <c r="B31" s="156" t="s">
        <v>280</v>
      </c>
      <c r="C31" s="281" t="s">
        <v>281</v>
      </c>
      <c r="F31" s="335">
        <v>59</v>
      </c>
      <c r="G31" s="156" t="s">
        <v>10</v>
      </c>
    </row>
    <row r="33" spans="2:7" ht="12.75">
      <c r="B33" s="156" t="s">
        <v>282</v>
      </c>
      <c r="D33" s="329" t="s">
        <v>283</v>
      </c>
      <c r="F33" s="337">
        <f>12*0.3*0.8</f>
        <v>2.88</v>
      </c>
      <c r="G33" s="156" t="s">
        <v>10</v>
      </c>
    </row>
    <row r="34" ht="12.75">
      <c r="B34" s="156" t="s">
        <v>284</v>
      </c>
    </row>
    <row r="37" spans="2:8" ht="12.75">
      <c r="B37" s="275" t="s">
        <v>285</v>
      </c>
      <c r="C37" s="281" t="s">
        <v>286</v>
      </c>
      <c r="D37" s="329" t="s">
        <v>287</v>
      </c>
      <c r="F37" s="335">
        <v>11</v>
      </c>
      <c r="G37" s="156" t="s">
        <v>130</v>
      </c>
      <c r="H37" s="156" t="s">
        <v>289</v>
      </c>
    </row>
    <row r="38" spans="2:7" ht="12.75">
      <c r="B38" s="156" t="s">
        <v>738</v>
      </c>
      <c r="C38" s="281" t="s">
        <v>288</v>
      </c>
      <c r="F38" s="335">
        <v>37</v>
      </c>
      <c r="G38" s="156" t="s">
        <v>8</v>
      </c>
    </row>
    <row r="39" ht="12.75">
      <c r="C39" s="156"/>
    </row>
    <row r="40" ht="12.75">
      <c r="C40" s="156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1"/>
  <sheetViews>
    <sheetView zoomScalePageLayoutView="0" workbookViewId="0" topLeftCell="B340">
      <selection activeCell="H433" sqref="H433"/>
    </sheetView>
  </sheetViews>
  <sheetFormatPr defaultColWidth="9.00390625" defaultRowHeight="12.75"/>
  <cols>
    <col min="1" max="1" width="0.6171875" style="156" customWidth="1"/>
    <col min="2" max="2" width="13.25390625" style="392" customWidth="1"/>
    <col min="3" max="3" width="4.75390625" style="156" customWidth="1"/>
    <col min="4" max="4" width="24.75390625" style="156" customWidth="1"/>
    <col min="5" max="5" width="18.75390625" style="156" customWidth="1"/>
    <col min="6" max="6" width="8.00390625" style="391" customWidth="1"/>
    <col min="7" max="7" width="6.875" style="391" customWidth="1"/>
    <col min="8" max="8" width="11.00390625" style="391" customWidth="1"/>
    <col min="9" max="9" width="10.75390625" style="391" customWidth="1"/>
    <col min="10" max="10" width="11.25390625" style="392" customWidth="1"/>
    <col min="11" max="11" width="9.125" style="392" customWidth="1"/>
    <col min="12" max="12" width="9.125" style="156" customWidth="1"/>
    <col min="13" max="13" width="12.625" style="156" customWidth="1"/>
    <col min="14" max="14" width="9.125" style="154" customWidth="1"/>
    <col min="15" max="15" width="11.375" style="156" bestFit="1" customWidth="1"/>
    <col min="16" max="19" width="9.125" style="156" customWidth="1"/>
    <col min="20" max="20" width="17.625" style="156" customWidth="1"/>
    <col min="21" max="16384" width="9.125" style="156" customWidth="1"/>
  </cols>
  <sheetData>
    <row r="1" spans="2:11" ht="20.25">
      <c r="B1" s="275" t="s">
        <v>399</v>
      </c>
      <c r="E1" s="389"/>
      <c r="F1" s="390"/>
      <c r="G1" s="390"/>
      <c r="H1" s="390"/>
      <c r="K1" s="393"/>
    </row>
    <row r="2" spans="2:23" ht="12.75">
      <c r="B2" s="394" t="s">
        <v>400</v>
      </c>
      <c r="C2" s="394" t="s">
        <v>401</v>
      </c>
      <c r="D2" s="395"/>
      <c r="E2" s="395"/>
      <c r="F2" s="396"/>
      <c r="G2" s="396"/>
      <c r="H2" s="396"/>
      <c r="I2" s="396"/>
      <c r="J2" s="397"/>
      <c r="K2" s="397"/>
      <c r="L2" s="395"/>
      <c r="M2" s="395"/>
      <c r="N2" s="398"/>
      <c r="O2" s="395"/>
      <c r="P2" s="395"/>
      <c r="Q2" s="395"/>
      <c r="R2" s="395"/>
      <c r="S2" s="395"/>
      <c r="T2" s="395"/>
      <c r="U2" s="395"/>
      <c r="V2" s="395"/>
      <c r="W2" s="395"/>
    </row>
    <row r="3" spans="2:23" s="154" customFormat="1" ht="12.75">
      <c r="B3" s="399"/>
      <c r="C3" s="400"/>
      <c r="D3" s="401"/>
      <c r="E3" s="401"/>
      <c r="F3" s="402"/>
      <c r="G3" s="402"/>
      <c r="H3" s="402"/>
      <c r="I3" s="402"/>
      <c r="J3" s="403"/>
      <c r="K3" s="403"/>
      <c r="L3" s="401"/>
      <c r="M3" s="401"/>
      <c r="N3" s="401"/>
      <c r="O3" s="401"/>
      <c r="P3" s="398"/>
      <c r="Q3" s="398"/>
      <c r="R3" s="398"/>
      <c r="S3" s="398"/>
      <c r="T3" s="398"/>
      <c r="U3" s="398"/>
      <c r="V3" s="398"/>
      <c r="W3" s="398"/>
    </row>
    <row r="4" spans="2:23" ht="12.75">
      <c r="B4" s="404" t="s">
        <v>402</v>
      </c>
      <c r="C4" s="398"/>
      <c r="D4" s="398" t="s">
        <v>403</v>
      </c>
      <c r="E4" s="398"/>
      <c r="F4" s="405"/>
      <c r="G4" s="405"/>
      <c r="H4" s="405" t="s">
        <v>404</v>
      </c>
      <c r="I4" s="405"/>
      <c r="J4" s="406"/>
      <c r="K4" s="406"/>
      <c r="L4" s="398"/>
      <c r="M4" s="395"/>
      <c r="N4" s="398"/>
      <c r="O4" s="395"/>
      <c r="P4" s="395"/>
      <c r="Q4" s="395"/>
      <c r="R4" s="395"/>
      <c r="S4" s="395"/>
      <c r="T4" s="395"/>
      <c r="U4" s="395"/>
      <c r="V4" s="395"/>
      <c r="W4" s="395"/>
    </row>
    <row r="5" spans="2:23" ht="12.75">
      <c r="B5" s="407"/>
      <c r="C5" s="398"/>
      <c r="D5" s="398"/>
      <c r="E5" s="398"/>
      <c r="F5" s="405"/>
      <c r="G5" s="405"/>
      <c r="H5" s="405"/>
      <c r="I5" s="405"/>
      <c r="J5" s="406"/>
      <c r="K5" s="406"/>
      <c r="L5" s="398"/>
      <c r="M5" s="395"/>
      <c r="N5" s="398"/>
      <c r="O5" s="395"/>
      <c r="P5" s="395"/>
      <c r="Q5" s="395"/>
      <c r="R5" s="395"/>
      <c r="S5" s="395"/>
      <c r="T5" s="395"/>
      <c r="U5" s="395"/>
      <c r="V5" s="395"/>
      <c r="W5" s="395"/>
    </row>
    <row r="6" spans="2:23" s="154" customFormat="1" ht="12.75">
      <c r="B6" s="408" t="s">
        <v>405</v>
      </c>
      <c r="C6" s="409"/>
      <c r="D6" s="410"/>
      <c r="E6" s="411" t="s">
        <v>124</v>
      </c>
      <c r="F6" s="412">
        <v>11.55</v>
      </c>
      <c r="G6" s="413" t="s">
        <v>9</v>
      </c>
      <c r="H6" s="280">
        <v>5</v>
      </c>
      <c r="I6" s="280" t="s">
        <v>130</v>
      </c>
      <c r="J6" s="414"/>
      <c r="K6" s="415"/>
      <c r="L6" s="416"/>
      <c r="M6" s="398"/>
      <c r="N6" s="398"/>
      <c r="O6" s="417"/>
      <c r="P6" s="409"/>
      <c r="Q6" s="410"/>
      <c r="R6" s="418"/>
      <c r="S6" s="419"/>
      <c r="T6" s="416"/>
      <c r="U6" s="398"/>
      <c r="V6" s="398"/>
      <c r="W6" s="398"/>
    </row>
    <row r="7" spans="2:23" ht="12.75">
      <c r="B7" s="408"/>
      <c r="C7" s="420" t="s">
        <v>406</v>
      </c>
      <c r="D7" s="414"/>
      <c r="E7" s="411"/>
      <c r="F7" s="421">
        <f>2*5</f>
        <v>10</v>
      </c>
      <c r="G7" s="422" t="s">
        <v>130</v>
      </c>
      <c r="H7" s="423"/>
      <c r="I7" s="424"/>
      <c r="J7" s="425" t="s">
        <v>407</v>
      </c>
      <c r="K7" s="415"/>
      <c r="L7" s="414"/>
      <c r="M7" s="395"/>
      <c r="N7" s="398"/>
      <c r="O7" s="417"/>
      <c r="P7" s="426"/>
      <c r="Q7" s="410"/>
      <c r="R7" s="418"/>
      <c r="S7" s="427"/>
      <c r="T7" s="428"/>
      <c r="U7" s="395"/>
      <c r="V7" s="395"/>
      <c r="W7" s="395"/>
    </row>
    <row r="8" spans="2:23" ht="14.25">
      <c r="B8" s="408"/>
      <c r="C8" s="429" t="s">
        <v>408</v>
      </c>
      <c r="D8" s="414"/>
      <c r="E8" s="411" t="s">
        <v>409</v>
      </c>
      <c r="F8" s="430">
        <f>10.5*(1.2*1-3.14*0.4*0.4)</f>
        <v>7.324799999999999</v>
      </c>
      <c r="G8" s="413" t="s">
        <v>410</v>
      </c>
      <c r="H8" s="431"/>
      <c r="I8" s="432"/>
      <c r="J8" s="433" t="s">
        <v>411</v>
      </c>
      <c r="K8" s="415"/>
      <c r="L8" s="414"/>
      <c r="M8" s="395"/>
      <c r="N8" s="398"/>
      <c r="O8" s="417"/>
      <c r="P8" s="409"/>
      <c r="Q8" s="410"/>
      <c r="R8" s="418"/>
      <c r="S8" s="419"/>
      <c r="T8" s="416"/>
      <c r="U8" s="395"/>
      <c r="V8" s="395"/>
      <c r="W8" s="395"/>
    </row>
    <row r="9" spans="2:23" ht="14.25">
      <c r="B9" s="408"/>
      <c r="C9" s="429" t="s">
        <v>412</v>
      </c>
      <c r="D9" s="414"/>
      <c r="E9" s="411" t="s">
        <v>413</v>
      </c>
      <c r="F9" s="412">
        <f>10.45*(2*0.95+1.1)</f>
        <v>31.349999999999998</v>
      </c>
      <c r="G9" s="413" t="s">
        <v>414</v>
      </c>
      <c r="H9" s="434">
        <f>F9*7.9</f>
        <v>247.665</v>
      </c>
      <c r="I9" s="280" t="s">
        <v>415</v>
      </c>
      <c r="J9" s="414" t="s">
        <v>416</v>
      </c>
      <c r="K9" s="433"/>
      <c r="L9" s="414"/>
      <c r="M9" s="395"/>
      <c r="N9" s="398"/>
      <c r="O9" s="417"/>
      <c r="P9" s="409"/>
      <c r="Q9" s="410"/>
      <c r="R9" s="418"/>
      <c r="S9" s="419"/>
      <c r="T9" s="416"/>
      <c r="U9" s="395"/>
      <c r="V9" s="395"/>
      <c r="W9" s="395"/>
    </row>
    <row r="10" spans="2:23" ht="14.25">
      <c r="B10" s="408"/>
      <c r="C10" s="429"/>
      <c r="D10" s="414"/>
      <c r="E10" s="411" t="s">
        <v>417</v>
      </c>
      <c r="F10" s="412">
        <f>2*10*1.1</f>
        <v>22</v>
      </c>
      <c r="G10" s="413" t="s">
        <v>414</v>
      </c>
      <c r="H10" s="434">
        <f>F10*7.9</f>
        <v>173.8</v>
      </c>
      <c r="I10" s="280" t="s">
        <v>415</v>
      </c>
      <c r="J10" s="414" t="s">
        <v>418</v>
      </c>
      <c r="K10" s="433"/>
      <c r="L10" s="414"/>
      <c r="M10" s="395"/>
      <c r="N10" s="398"/>
      <c r="O10" s="417"/>
      <c r="P10" s="409"/>
      <c r="Q10" s="410"/>
      <c r="R10" s="418"/>
      <c r="S10" s="419"/>
      <c r="T10" s="416"/>
      <c r="U10" s="395"/>
      <c r="V10" s="395"/>
      <c r="W10" s="395"/>
    </row>
    <row r="11" spans="2:23" ht="14.25">
      <c r="B11" s="408"/>
      <c r="C11" s="429" t="s">
        <v>419</v>
      </c>
      <c r="D11" s="414"/>
      <c r="E11" s="411" t="s">
        <v>420</v>
      </c>
      <c r="F11" s="412">
        <f>10*1.2*0.3</f>
        <v>3.5999999999999996</v>
      </c>
      <c r="G11" s="413" t="s">
        <v>410</v>
      </c>
      <c r="H11" s="431"/>
      <c r="I11" s="432"/>
      <c r="J11" s="433" t="s">
        <v>421</v>
      </c>
      <c r="K11" s="415"/>
      <c r="L11" s="414"/>
      <c r="M11" s="395"/>
      <c r="N11" s="398"/>
      <c r="O11" s="417"/>
      <c r="P11" s="409"/>
      <c r="Q11" s="410"/>
      <c r="R11" s="418"/>
      <c r="S11" s="419"/>
      <c r="T11" s="416"/>
      <c r="U11" s="395"/>
      <c r="V11" s="395"/>
      <c r="W11" s="395"/>
    </row>
    <row r="12" spans="2:23" ht="14.25">
      <c r="B12" s="408"/>
      <c r="C12" s="429" t="s">
        <v>422</v>
      </c>
      <c r="D12" s="414"/>
      <c r="E12" s="411" t="s">
        <v>99</v>
      </c>
      <c r="F12" s="412">
        <f>10*1.45*0.1</f>
        <v>1.4500000000000002</v>
      </c>
      <c r="G12" s="413" t="s">
        <v>410</v>
      </c>
      <c r="H12" s="431"/>
      <c r="I12" s="432"/>
      <c r="J12" s="433" t="s">
        <v>423</v>
      </c>
      <c r="K12" s="415"/>
      <c r="L12" s="414"/>
      <c r="M12" s="395"/>
      <c r="N12" s="398"/>
      <c r="O12" s="417"/>
      <c r="P12" s="409"/>
      <c r="Q12" s="410"/>
      <c r="R12" s="418"/>
      <c r="S12" s="419"/>
      <c r="T12" s="416"/>
      <c r="U12" s="395"/>
      <c r="V12" s="395"/>
      <c r="W12" s="395"/>
    </row>
    <row r="13" spans="2:23" ht="14.25">
      <c r="B13" s="408"/>
      <c r="C13" s="429" t="s">
        <v>424</v>
      </c>
      <c r="D13" s="414"/>
      <c r="E13" s="411" t="s">
        <v>99</v>
      </c>
      <c r="F13" s="412">
        <f>10*1.65*0.1</f>
        <v>1.6500000000000001</v>
      </c>
      <c r="G13" s="413" t="s">
        <v>410</v>
      </c>
      <c r="H13" s="434">
        <f>10*1.65</f>
        <v>16.5</v>
      </c>
      <c r="I13" s="413" t="s">
        <v>414</v>
      </c>
      <c r="J13" s="433" t="s">
        <v>425</v>
      </c>
      <c r="K13" s="415"/>
      <c r="L13" s="414"/>
      <c r="M13" s="395"/>
      <c r="N13" s="398"/>
      <c r="O13" s="417"/>
      <c r="P13" s="409"/>
      <c r="Q13" s="410"/>
      <c r="R13" s="418"/>
      <c r="S13" s="419"/>
      <c r="T13" s="416"/>
      <c r="U13" s="395"/>
      <c r="V13" s="395"/>
      <c r="W13" s="395"/>
    </row>
    <row r="14" spans="2:23" ht="14.25">
      <c r="B14" s="408"/>
      <c r="C14" s="429" t="s">
        <v>426</v>
      </c>
      <c r="D14" s="414"/>
      <c r="E14" s="411"/>
      <c r="F14" s="412">
        <f>2*10.5*1.3+1.2*1.3</f>
        <v>28.86</v>
      </c>
      <c r="G14" s="413" t="s">
        <v>414</v>
      </c>
      <c r="H14" s="434"/>
      <c r="I14" s="413"/>
      <c r="J14" s="433" t="s">
        <v>427</v>
      </c>
      <c r="K14" s="415"/>
      <c r="L14" s="414"/>
      <c r="M14" s="395"/>
      <c r="N14" s="398"/>
      <c r="O14" s="417"/>
      <c r="P14" s="409"/>
      <c r="Q14" s="410"/>
      <c r="R14" s="418"/>
      <c r="S14" s="419"/>
      <c r="T14" s="416"/>
      <c r="U14" s="395"/>
      <c r="V14" s="395"/>
      <c r="W14" s="395"/>
    </row>
    <row r="15" spans="2:23" ht="6" customHeight="1">
      <c r="B15" s="408"/>
      <c r="C15" s="429"/>
      <c r="D15" s="414"/>
      <c r="E15" s="411"/>
      <c r="F15" s="412"/>
      <c r="G15" s="413"/>
      <c r="H15" s="431"/>
      <c r="I15" s="432"/>
      <c r="J15" s="433"/>
      <c r="K15" s="415"/>
      <c r="L15" s="414"/>
      <c r="M15" s="395"/>
      <c r="N15" s="398"/>
      <c r="O15" s="417"/>
      <c r="P15" s="409"/>
      <c r="Q15" s="410"/>
      <c r="R15" s="418"/>
      <c r="S15" s="419"/>
      <c r="T15" s="416"/>
      <c r="U15" s="395"/>
      <c r="V15" s="395"/>
      <c r="W15" s="395"/>
    </row>
    <row r="16" spans="2:23" ht="13.5" customHeight="1">
      <c r="B16" s="408" t="s">
        <v>428</v>
      </c>
      <c r="C16" s="429" t="s">
        <v>429</v>
      </c>
      <c r="D16" s="414"/>
      <c r="E16" s="411"/>
      <c r="F16" s="412">
        <f>2*0.5*1.1</f>
        <v>1.1</v>
      </c>
      <c r="G16" s="413" t="s">
        <v>410</v>
      </c>
      <c r="H16" s="431"/>
      <c r="I16" s="432"/>
      <c r="J16" s="433" t="s">
        <v>430</v>
      </c>
      <c r="K16" s="415"/>
      <c r="L16" s="414"/>
      <c r="M16" s="395"/>
      <c r="N16" s="398"/>
      <c r="O16" s="417"/>
      <c r="P16" s="409"/>
      <c r="Q16" s="410"/>
      <c r="R16" s="418"/>
      <c r="S16" s="419"/>
      <c r="T16" s="416"/>
      <c r="U16" s="395"/>
      <c r="V16" s="395"/>
      <c r="W16" s="395"/>
    </row>
    <row r="17" spans="2:23" ht="14.25">
      <c r="B17" s="408"/>
      <c r="C17" s="429" t="s">
        <v>424</v>
      </c>
      <c r="D17" s="414"/>
      <c r="E17" s="411" t="s">
        <v>99</v>
      </c>
      <c r="F17" s="412">
        <f>2*0.7*0.1</f>
        <v>0.13999999999999999</v>
      </c>
      <c r="G17" s="413" t="s">
        <v>410</v>
      </c>
      <c r="H17" s="434">
        <f>2*0.7</f>
        <v>1.4</v>
      </c>
      <c r="I17" s="413" t="s">
        <v>414</v>
      </c>
      <c r="J17" s="433" t="s">
        <v>431</v>
      </c>
      <c r="K17" s="415"/>
      <c r="L17" s="414"/>
      <c r="M17" s="395"/>
      <c r="N17" s="398"/>
      <c r="O17" s="417"/>
      <c r="P17" s="409"/>
      <c r="Q17" s="410"/>
      <c r="R17" s="418"/>
      <c r="S17" s="419"/>
      <c r="T17" s="416"/>
      <c r="U17" s="395"/>
      <c r="V17" s="395"/>
      <c r="W17" s="395"/>
    </row>
    <row r="18" spans="2:23" ht="14.25">
      <c r="B18" s="408"/>
      <c r="C18" s="429" t="s">
        <v>426</v>
      </c>
      <c r="D18" s="390"/>
      <c r="E18" s="435"/>
      <c r="F18" s="412">
        <f>2*2*0.8+2*0.5*0.8</f>
        <v>4</v>
      </c>
      <c r="G18" s="413" t="s">
        <v>414</v>
      </c>
      <c r="H18" s="434"/>
      <c r="I18" s="413"/>
      <c r="J18" s="433" t="s">
        <v>432</v>
      </c>
      <c r="K18" s="415"/>
      <c r="L18" s="414"/>
      <c r="M18" s="395"/>
      <c r="N18" s="398"/>
      <c r="O18" s="417"/>
      <c r="P18" s="409"/>
      <c r="Q18" s="410"/>
      <c r="R18" s="418"/>
      <c r="S18" s="419"/>
      <c r="T18" s="416"/>
      <c r="U18" s="395"/>
      <c r="V18" s="395"/>
      <c r="W18" s="395"/>
    </row>
    <row r="19" spans="2:23" ht="6" customHeight="1">
      <c r="B19" s="408"/>
      <c r="C19" s="429"/>
      <c r="D19" s="390"/>
      <c r="E19" s="435"/>
      <c r="F19" s="412"/>
      <c r="G19" s="413"/>
      <c r="H19" s="434"/>
      <c r="I19" s="413"/>
      <c r="J19" s="433"/>
      <c r="K19" s="415"/>
      <c r="L19" s="414"/>
      <c r="M19" s="395"/>
      <c r="N19" s="398"/>
      <c r="O19" s="417"/>
      <c r="P19" s="409"/>
      <c r="Q19" s="410"/>
      <c r="R19" s="418"/>
      <c r="S19" s="419"/>
      <c r="T19" s="416"/>
      <c r="U19" s="395"/>
      <c r="V19" s="395"/>
      <c r="W19" s="395"/>
    </row>
    <row r="20" spans="2:23" ht="14.25">
      <c r="B20" s="408" t="s">
        <v>433</v>
      </c>
      <c r="C20" s="429" t="s">
        <v>434</v>
      </c>
      <c r="D20" s="414"/>
      <c r="E20" s="411"/>
      <c r="F20" s="412">
        <f>1.8*1.95*2.05-1.2*0.6*1.75-1.05*3.14*0.4*0.4</f>
        <v>5.407979999999999</v>
      </c>
      <c r="G20" s="413" t="s">
        <v>410</v>
      </c>
      <c r="H20" s="431"/>
      <c r="I20" s="432"/>
      <c r="J20" s="433" t="s">
        <v>435</v>
      </c>
      <c r="K20" s="415"/>
      <c r="L20" s="414"/>
      <c r="M20" s="395"/>
      <c r="N20" s="398"/>
      <c r="O20" s="417"/>
      <c r="P20" s="409"/>
      <c r="Q20" s="410"/>
      <c r="R20" s="418"/>
      <c r="S20" s="419"/>
      <c r="T20" s="416"/>
      <c r="U20" s="395"/>
      <c r="V20" s="395"/>
      <c r="W20" s="395"/>
    </row>
    <row r="21" spans="2:23" ht="14.25">
      <c r="B21" s="408"/>
      <c r="C21" s="429" t="s">
        <v>412</v>
      </c>
      <c r="D21" s="414"/>
      <c r="E21" s="411" t="s">
        <v>436</v>
      </c>
      <c r="F21" s="412">
        <f>4*1.7*1.95+2*1.85*1.95+2*0.7*1.75+1.7*1.85+1.3*0.7</f>
        <v>26.98</v>
      </c>
      <c r="G21" s="413" t="s">
        <v>414</v>
      </c>
      <c r="H21" s="434">
        <f>F21*7.9</f>
        <v>213.14200000000002</v>
      </c>
      <c r="I21" s="280" t="s">
        <v>415</v>
      </c>
      <c r="J21" s="414" t="s">
        <v>437</v>
      </c>
      <c r="K21" s="415"/>
      <c r="L21" s="414"/>
      <c r="M21" s="395"/>
      <c r="N21" s="398"/>
      <c r="O21" s="417"/>
      <c r="P21" s="409"/>
      <c r="Q21" s="410"/>
      <c r="R21" s="418"/>
      <c r="S21" s="419"/>
      <c r="T21" s="416"/>
      <c r="U21" s="395"/>
      <c r="V21" s="395"/>
      <c r="W21" s="395"/>
    </row>
    <row r="22" spans="2:23" ht="12.75">
      <c r="B22" s="408"/>
      <c r="C22" s="429" t="s">
        <v>422</v>
      </c>
      <c r="D22" s="414"/>
      <c r="E22" s="411" t="s">
        <v>91</v>
      </c>
      <c r="F22" s="412"/>
      <c r="G22" s="413"/>
      <c r="H22" s="431"/>
      <c r="I22" s="432"/>
      <c r="J22" s="433"/>
      <c r="K22" s="415"/>
      <c r="L22" s="414"/>
      <c r="M22" s="395"/>
      <c r="N22" s="398"/>
      <c r="O22" s="417"/>
      <c r="P22" s="409"/>
      <c r="Q22" s="410"/>
      <c r="R22" s="418"/>
      <c r="S22" s="419"/>
      <c r="T22" s="416"/>
      <c r="U22" s="395"/>
      <c r="V22" s="395"/>
      <c r="W22" s="395"/>
    </row>
    <row r="23" spans="2:23" ht="14.25">
      <c r="B23" s="408"/>
      <c r="C23" s="429"/>
      <c r="D23" s="414"/>
      <c r="E23" s="411" t="s">
        <v>438</v>
      </c>
      <c r="F23" s="412">
        <f>2.4*2.6*0.15</f>
        <v>0.9359999999999999</v>
      </c>
      <c r="G23" s="413" t="s">
        <v>410</v>
      </c>
      <c r="H23" s="431"/>
      <c r="I23" s="432"/>
      <c r="J23" s="433" t="s">
        <v>439</v>
      </c>
      <c r="K23" s="415"/>
      <c r="L23" s="414"/>
      <c r="M23" s="395"/>
      <c r="N23" s="398"/>
      <c r="O23" s="417"/>
      <c r="P23" s="409"/>
      <c r="Q23" s="410"/>
      <c r="R23" s="418"/>
      <c r="S23" s="419"/>
      <c r="T23" s="416"/>
      <c r="U23" s="395"/>
      <c r="V23" s="395"/>
      <c r="W23" s="395"/>
    </row>
    <row r="24" spans="2:23" ht="14.25">
      <c r="B24" s="408"/>
      <c r="C24" s="429"/>
      <c r="D24" s="414"/>
      <c r="E24" s="411" t="s">
        <v>440</v>
      </c>
      <c r="F24" s="412">
        <f>1.2*0.6*0.15</f>
        <v>0.108</v>
      </c>
      <c r="G24" s="413" t="s">
        <v>410</v>
      </c>
      <c r="H24" s="431"/>
      <c r="I24" s="432"/>
      <c r="J24" s="433" t="s">
        <v>441</v>
      </c>
      <c r="K24" s="415"/>
      <c r="L24" s="414"/>
      <c r="M24" s="395"/>
      <c r="N24" s="398"/>
      <c r="O24" s="417"/>
      <c r="P24" s="409"/>
      <c r="Q24" s="410"/>
      <c r="R24" s="418"/>
      <c r="S24" s="419"/>
      <c r="T24" s="416"/>
      <c r="U24" s="395"/>
      <c r="V24" s="395"/>
      <c r="W24" s="395"/>
    </row>
    <row r="25" spans="2:23" ht="14.25">
      <c r="B25" s="408"/>
      <c r="C25" s="429" t="s">
        <v>442</v>
      </c>
      <c r="D25" s="414"/>
      <c r="E25" s="411" t="s">
        <v>91</v>
      </c>
      <c r="F25" s="412">
        <f>1.2*0.6</f>
        <v>0.72</v>
      </c>
      <c r="G25" s="413" t="s">
        <v>414</v>
      </c>
      <c r="H25" s="434"/>
      <c r="I25" s="413"/>
      <c r="J25" s="433" t="s">
        <v>443</v>
      </c>
      <c r="K25" s="415"/>
      <c r="L25" s="414"/>
      <c r="M25" s="395"/>
      <c r="N25" s="398"/>
      <c r="O25" s="417"/>
      <c r="P25" s="409"/>
      <c r="Q25" s="410"/>
      <c r="R25" s="418"/>
      <c r="S25" s="419"/>
      <c r="T25" s="416"/>
      <c r="U25" s="395"/>
      <c r="V25" s="395"/>
      <c r="W25" s="395"/>
    </row>
    <row r="26" spans="2:23" ht="14.25">
      <c r="B26" s="408"/>
      <c r="C26" s="429" t="s">
        <v>424</v>
      </c>
      <c r="D26" s="414"/>
      <c r="E26" s="411" t="s">
        <v>99</v>
      </c>
      <c r="F26" s="412">
        <f>2.3*2.3*0.1</f>
        <v>0.5289999999999999</v>
      </c>
      <c r="G26" s="413" t="s">
        <v>410</v>
      </c>
      <c r="H26" s="434">
        <f>2.3*2.3</f>
        <v>5.289999999999999</v>
      </c>
      <c r="I26" s="413" t="s">
        <v>414</v>
      </c>
      <c r="J26" s="433" t="s">
        <v>444</v>
      </c>
      <c r="K26" s="415"/>
      <c r="L26" s="414"/>
      <c r="M26" s="395"/>
      <c r="N26" s="398"/>
      <c r="O26" s="417"/>
      <c r="P26" s="409"/>
      <c r="Q26" s="410"/>
      <c r="R26" s="418"/>
      <c r="S26" s="419"/>
      <c r="T26" s="416"/>
      <c r="U26" s="395"/>
      <c r="V26" s="395"/>
      <c r="W26" s="395"/>
    </row>
    <row r="27" spans="2:23" ht="14.25">
      <c r="B27" s="408"/>
      <c r="C27" s="429" t="s">
        <v>426</v>
      </c>
      <c r="D27" s="390"/>
      <c r="E27" s="435"/>
      <c r="F27" s="412">
        <f>2*((1.8+1.95)*2.05+(1.2+0.6)*1.75)</f>
        <v>21.674999999999997</v>
      </c>
      <c r="G27" s="413" t="s">
        <v>414</v>
      </c>
      <c r="H27" s="434"/>
      <c r="I27" s="413"/>
      <c r="J27" s="433" t="s">
        <v>445</v>
      </c>
      <c r="K27" s="415"/>
      <c r="L27" s="414"/>
      <c r="M27" s="395"/>
      <c r="N27" s="398"/>
      <c r="O27" s="417"/>
      <c r="P27" s="409"/>
      <c r="Q27" s="410"/>
      <c r="R27" s="418"/>
      <c r="S27" s="419"/>
      <c r="T27" s="416"/>
      <c r="U27" s="395"/>
      <c r="V27" s="395"/>
      <c r="W27" s="395"/>
    </row>
    <row r="28" spans="2:23" ht="12.75">
      <c r="B28" s="408"/>
      <c r="C28" s="436" t="s">
        <v>446</v>
      </c>
      <c r="D28" s="390"/>
      <c r="E28" s="435"/>
      <c r="F28" s="437">
        <v>1</v>
      </c>
      <c r="G28" s="413" t="s">
        <v>130</v>
      </c>
      <c r="H28" s="434"/>
      <c r="I28" s="413"/>
      <c r="J28" s="433"/>
      <c r="K28" s="415"/>
      <c r="L28" s="414"/>
      <c r="M28" s="395"/>
      <c r="N28" s="398"/>
      <c r="O28" s="417"/>
      <c r="P28" s="409"/>
      <c r="Q28" s="410"/>
      <c r="R28" s="418"/>
      <c r="S28" s="419"/>
      <c r="T28" s="416"/>
      <c r="U28" s="395"/>
      <c r="V28" s="395"/>
      <c r="W28" s="395"/>
    </row>
    <row r="29" spans="2:23" ht="12.75">
      <c r="B29" s="408"/>
      <c r="C29" s="436" t="s">
        <v>447</v>
      </c>
      <c r="D29" s="390"/>
      <c r="E29" s="435"/>
      <c r="F29" s="437">
        <v>4</v>
      </c>
      <c r="G29" s="413" t="s">
        <v>130</v>
      </c>
      <c r="H29" s="434"/>
      <c r="I29" s="413"/>
      <c r="J29" s="433"/>
      <c r="K29" s="415"/>
      <c r="L29" s="414"/>
      <c r="M29" s="395"/>
      <c r="N29" s="398"/>
      <c r="O29" s="417"/>
      <c r="P29" s="409"/>
      <c r="Q29" s="410"/>
      <c r="R29" s="418"/>
      <c r="S29" s="419"/>
      <c r="T29" s="416"/>
      <c r="U29" s="395"/>
      <c r="V29" s="395"/>
      <c r="W29" s="395"/>
    </row>
    <row r="30" spans="2:23" ht="6" customHeight="1">
      <c r="B30" s="408"/>
      <c r="C30" s="409"/>
      <c r="D30" s="390"/>
      <c r="E30" s="435"/>
      <c r="F30" s="412"/>
      <c r="G30" s="413"/>
      <c r="H30" s="431"/>
      <c r="I30" s="432"/>
      <c r="J30" s="438"/>
      <c r="K30" s="415"/>
      <c r="L30" s="416"/>
      <c r="M30" s="395"/>
      <c r="N30" s="398"/>
      <c r="O30" s="417"/>
      <c r="P30" s="409"/>
      <c r="Q30" s="410"/>
      <c r="R30" s="418"/>
      <c r="S30" s="419"/>
      <c r="T30" s="416"/>
      <c r="U30" s="395"/>
      <c r="V30" s="395"/>
      <c r="W30" s="395"/>
    </row>
    <row r="31" spans="2:23" ht="14.25">
      <c r="B31" s="439" t="s">
        <v>448</v>
      </c>
      <c r="C31" s="398" t="s">
        <v>449</v>
      </c>
      <c r="D31" s="398"/>
      <c r="E31" s="398"/>
      <c r="F31" s="440">
        <f>13*2.2</f>
        <v>28.6</v>
      </c>
      <c r="G31" s="413" t="s">
        <v>414</v>
      </c>
      <c r="H31" s="441"/>
      <c r="I31" s="405"/>
      <c r="J31" s="406" t="s">
        <v>450</v>
      </c>
      <c r="K31" s="406"/>
      <c r="L31" s="406"/>
      <c r="M31" s="395"/>
      <c r="N31" s="398"/>
      <c r="O31" s="395"/>
      <c r="P31" s="395"/>
      <c r="Q31" s="395"/>
      <c r="R31" s="395"/>
      <c r="S31" s="395"/>
      <c r="T31" s="395"/>
      <c r="U31" s="395"/>
      <c r="V31" s="395"/>
      <c r="W31" s="395"/>
    </row>
    <row r="32" spans="2:23" ht="14.25">
      <c r="B32" s="439"/>
      <c r="C32" s="398" t="s">
        <v>451</v>
      </c>
      <c r="D32" s="398"/>
      <c r="E32" s="411" t="s">
        <v>452</v>
      </c>
      <c r="F32" s="440">
        <f>13*2.2*0.35</f>
        <v>10.01</v>
      </c>
      <c r="G32" s="413" t="s">
        <v>410</v>
      </c>
      <c r="H32" s="441"/>
      <c r="I32" s="405"/>
      <c r="J32" s="406" t="s">
        <v>453</v>
      </c>
      <c r="K32" s="406"/>
      <c r="L32" s="406"/>
      <c r="M32" s="395"/>
      <c r="N32" s="398"/>
      <c r="O32" s="395"/>
      <c r="P32" s="395"/>
      <c r="Q32" s="395"/>
      <c r="R32" s="395"/>
      <c r="S32" s="395"/>
      <c r="T32" s="395"/>
      <c r="U32" s="395"/>
      <c r="V32" s="395"/>
      <c r="W32" s="395"/>
    </row>
    <row r="33" spans="2:23" ht="12.75">
      <c r="B33" s="439"/>
      <c r="C33" s="398" t="s">
        <v>454</v>
      </c>
      <c r="D33" s="398"/>
      <c r="E33" s="411" t="s">
        <v>99</v>
      </c>
      <c r="F33" s="440"/>
      <c r="G33" s="413"/>
      <c r="H33" s="434"/>
      <c r="I33" s="413"/>
      <c r="J33" s="406"/>
      <c r="K33" s="406"/>
      <c r="L33" s="406"/>
      <c r="M33" s="395"/>
      <c r="N33" s="398"/>
      <c r="O33" s="395"/>
      <c r="P33" s="395"/>
      <c r="Q33" s="395"/>
      <c r="R33" s="395"/>
      <c r="S33" s="395"/>
      <c r="T33" s="395"/>
      <c r="U33" s="395"/>
      <c r="V33" s="395"/>
      <c r="W33" s="395"/>
    </row>
    <row r="34" spans="2:23" ht="14.25">
      <c r="B34" s="439"/>
      <c r="C34" s="398"/>
      <c r="D34" s="398"/>
      <c r="E34" s="411" t="s">
        <v>455</v>
      </c>
      <c r="F34" s="440">
        <f>13*2.2*0.1</f>
        <v>2.8600000000000003</v>
      </c>
      <c r="G34" s="413" t="s">
        <v>410</v>
      </c>
      <c r="H34" s="434">
        <f>13*2.2</f>
        <v>28.6</v>
      </c>
      <c r="I34" s="413" t="s">
        <v>414</v>
      </c>
      <c r="J34" s="406" t="s">
        <v>456</v>
      </c>
      <c r="K34" s="406"/>
      <c r="L34" s="406"/>
      <c r="M34" s="395"/>
      <c r="N34" s="398"/>
      <c r="O34" s="395"/>
      <c r="P34" s="395"/>
      <c r="Q34" s="395"/>
      <c r="R34" s="395"/>
      <c r="S34" s="395"/>
      <c r="T34" s="395"/>
      <c r="U34" s="395"/>
      <c r="V34" s="395"/>
      <c r="W34" s="395"/>
    </row>
    <row r="35" spans="2:23" ht="14.25">
      <c r="B35" s="439"/>
      <c r="C35" s="398"/>
      <c r="D35" s="398"/>
      <c r="E35" s="411" t="s">
        <v>457</v>
      </c>
      <c r="F35" s="440">
        <f>3*0.7*0.1</f>
        <v>0.20999999999999996</v>
      </c>
      <c r="G35" s="413" t="s">
        <v>410</v>
      </c>
      <c r="H35" s="434">
        <f>3*0.7</f>
        <v>2.0999999999999996</v>
      </c>
      <c r="I35" s="413" t="s">
        <v>414</v>
      </c>
      <c r="J35" s="406" t="s">
        <v>458</v>
      </c>
      <c r="K35" s="406"/>
      <c r="L35" s="406"/>
      <c r="M35" s="395"/>
      <c r="N35" s="398"/>
      <c r="O35" s="395"/>
      <c r="P35" s="395"/>
      <c r="Q35" s="395"/>
      <c r="R35" s="395"/>
      <c r="S35" s="395"/>
      <c r="T35" s="395"/>
      <c r="U35" s="395"/>
      <c r="V35" s="395"/>
      <c r="W35" s="395"/>
    </row>
    <row r="36" spans="2:23" ht="14.25">
      <c r="B36" s="439"/>
      <c r="C36" s="429" t="s">
        <v>429</v>
      </c>
      <c r="D36" s="414"/>
      <c r="E36" s="411"/>
      <c r="F36" s="412">
        <f>3*0.7*1.45</f>
        <v>3.0449999999999995</v>
      </c>
      <c r="G36" s="413" t="s">
        <v>410</v>
      </c>
      <c r="H36" s="431"/>
      <c r="I36" s="432"/>
      <c r="J36" s="433" t="s">
        <v>459</v>
      </c>
      <c r="K36" s="406"/>
      <c r="L36" s="406"/>
      <c r="M36" s="395"/>
      <c r="N36" s="398"/>
      <c r="O36" s="395"/>
      <c r="P36" s="395"/>
      <c r="Q36" s="395"/>
      <c r="R36" s="395"/>
      <c r="S36" s="395"/>
      <c r="T36" s="395"/>
      <c r="U36" s="395"/>
      <c r="V36" s="395"/>
      <c r="W36" s="395"/>
    </row>
    <row r="37" spans="2:23" ht="14.25">
      <c r="B37" s="439"/>
      <c r="C37" s="398" t="s">
        <v>460</v>
      </c>
      <c r="D37" s="398"/>
      <c r="E37" s="398"/>
      <c r="F37" s="440">
        <f>3*3</f>
        <v>9</v>
      </c>
      <c r="G37" s="413" t="s">
        <v>414</v>
      </c>
      <c r="H37" s="441"/>
      <c r="I37" s="405"/>
      <c r="J37" s="406" t="s">
        <v>461</v>
      </c>
      <c r="K37" s="406"/>
      <c r="L37" s="406"/>
      <c r="M37" s="395"/>
      <c r="N37" s="398"/>
      <c r="O37" s="395"/>
      <c r="P37" s="395"/>
      <c r="Q37" s="395"/>
      <c r="R37" s="395"/>
      <c r="S37" s="395"/>
      <c r="T37" s="395"/>
      <c r="U37" s="395"/>
      <c r="V37" s="395"/>
      <c r="W37" s="395"/>
    </row>
    <row r="38" spans="2:23" ht="14.25">
      <c r="B38" s="439"/>
      <c r="C38" s="398" t="s">
        <v>462</v>
      </c>
      <c r="D38" s="398"/>
      <c r="E38" s="398"/>
      <c r="F38" s="440">
        <f>4*3</f>
        <v>12</v>
      </c>
      <c r="G38" s="413" t="s">
        <v>414</v>
      </c>
      <c r="H38" s="441"/>
      <c r="I38" s="405"/>
      <c r="J38" s="406" t="s">
        <v>463</v>
      </c>
      <c r="K38" s="406"/>
      <c r="L38" s="406"/>
      <c r="M38" s="395"/>
      <c r="N38" s="398"/>
      <c r="O38" s="395"/>
      <c r="P38" s="395"/>
      <c r="Q38" s="395"/>
      <c r="R38" s="395"/>
      <c r="S38" s="395"/>
      <c r="T38" s="395"/>
      <c r="U38" s="395"/>
      <c r="V38" s="395"/>
      <c r="W38" s="395"/>
    </row>
    <row r="39" spans="2:23" ht="14.25">
      <c r="B39" s="439"/>
      <c r="C39" s="429" t="s">
        <v>426</v>
      </c>
      <c r="D39" s="390"/>
      <c r="E39" s="435"/>
      <c r="F39" s="412">
        <f>2*3*1.45+2*0.5*1.45</f>
        <v>10.149999999999999</v>
      </c>
      <c r="G39" s="413" t="s">
        <v>414</v>
      </c>
      <c r="H39" s="434"/>
      <c r="I39" s="413"/>
      <c r="J39" s="433" t="s">
        <v>464</v>
      </c>
      <c r="K39" s="415"/>
      <c r="L39" s="414"/>
      <c r="M39" s="395"/>
      <c r="N39" s="398"/>
      <c r="O39" s="395"/>
      <c r="P39" s="395"/>
      <c r="Q39" s="395"/>
      <c r="R39" s="395"/>
      <c r="S39" s="395"/>
      <c r="T39" s="395"/>
      <c r="U39" s="395"/>
      <c r="V39" s="395"/>
      <c r="W39" s="395"/>
    </row>
    <row r="40" spans="2:23" ht="6" customHeight="1">
      <c r="B40" s="439"/>
      <c r="C40" s="429"/>
      <c r="D40" s="390"/>
      <c r="E40" s="435"/>
      <c r="F40" s="412"/>
      <c r="G40" s="413"/>
      <c r="H40" s="434"/>
      <c r="I40" s="413"/>
      <c r="J40" s="433"/>
      <c r="K40" s="415"/>
      <c r="L40" s="414"/>
      <c r="M40" s="395"/>
      <c r="N40" s="398"/>
      <c r="O40" s="395"/>
      <c r="P40" s="395"/>
      <c r="Q40" s="395"/>
      <c r="R40" s="395"/>
      <c r="S40" s="395"/>
      <c r="T40" s="395"/>
      <c r="U40" s="395"/>
      <c r="V40" s="395"/>
      <c r="W40" s="395"/>
    </row>
    <row r="41" spans="2:23" ht="14.25">
      <c r="B41" s="439" t="s">
        <v>465</v>
      </c>
      <c r="C41" s="429" t="s">
        <v>466</v>
      </c>
      <c r="D41" s="390"/>
      <c r="E41" s="435"/>
      <c r="F41" s="412">
        <f>(11.55-2.35)*2.2*1.7</f>
        <v>34.40800000000001</v>
      </c>
      <c r="G41" s="413" t="s">
        <v>410</v>
      </c>
      <c r="H41" s="431"/>
      <c r="I41" s="432"/>
      <c r="J41" s="433" t="s">
        <v>467</v>
      </c>
      <c r="K41" s="415"/>
      <c r="L41" s="416"/>
      <c r="M41" s="395"/>
      <c r="N41" s="398"/>
      <c r="O41" s="395"/>
      <c r="P41" s="395"/>
      <c r="Q41" s="395"/>
      <c r="R41" s="395"/>
      <c r="S41" s="395"/>
      <c r="T41" s="395"/>
      <c r="U41" s="395"/>
      <c r="V41" s="395"/>
      <c r="W41" s="395"/>
    </row>
    <row r="42" spans="2:23" ht="14.25">
      <c r="B42" s="439"/>
      <c r="C42" s="429" t="s">
        <v>468</v>
      </c>
      <c r="D42" s="390"/>
      <c r="E42" s="435"/>
      <c r="F42" s="412">
        <f>2.8*3.75*3.25</f>
        <v>34.125</v>
      </c>
      <c r="G42" s="413" t="s">
        <v>410</v>
      </c>
      <c r="H42" s="431"/>
      <c r="I42" s="432"/>
      <c r="J42" s="392" t="s">
        <v>469</v>
      </c>
      <c r="K42" s="415"/>
      <c r="L42" s="416"/>
      <c r="M42" s="395"/>
      <c r="N42" s="398"/>
      <c r="O42" s="395"/>
      <c r="P42" s="395"/>
      <c r="Q42" s="395"/>
      <c r="R42" s="395"/>
      <c r="S42" s="395"/>
      <c r="T42" s="395"/>
      <c r="U42" s="395"/>
      <c r="V42" s="395"/>
      <c r="W42" s="395"/>
    </row>
    <row r="43" spans="2:23" ht="14.25">
      <c r="B43" s="439"/>
      <c r="C43" s="429" t="s">
        <v>470</v>
      </c>
      <c r="D43" s="390"/>
      <c r="E43" s="435"/>
      <c r="F43" s="412">
        <f>2.4*1.1*1.1</f>
        <v>2.9040000000000004</v>
      </c>
      <c r="G43" s="413" t="s">
        <v>410</v>
      </c>
      <c r="H43" s="431"/>
      <c r="I43" s="432"/>
      <c r="J43" s="433" t="s">
        <v>471</v>
      </c>
      <c r="K43" s="415"/>
      <c r="L43" s="416"/>
      <c r="M43" s="395"/>
      <c r="N43" s="398"/>
      <c r="O43" s="395"/>
      <c r="P43" s="395"/>
      <c r="Q43" s="395"/>
      <c r="R43" s="395"/>
      <c r="S43" s="395"/>
      <c r="T43" s="395"/>
      <c r="U43" s="395"/>
      <c r="V43" s="395"/>
      <c r="W43" s="395"/>
    </row>
    <row r="44" spans="2:23" ht="14.25">
      <c r="B44" s="439"/>
      <c r="C44" s="429" t="s">
        <v>472</v>
      </c>
      <c r="D44" s="398"/>
      <c r="E44" s="398"/>
      <c r="F44" s="440">
        <f>13*2.2*0.75+3*1.3*1.45</f>
        <v>27.105000000000004</v>
      </c>
      <c r="G44" s="413" t="s">
        <v>410</v>
      </c>
      <c r="H44" s="442"/>
      <c r="I44" s="405"/>
      <c r="J44" s="406" t="s">
        <v>473</v>
      </c>
      <c r="K44" s="406"/>
      <c r="L44" s="406"/>
      <c r="M44" s="395"/>
      <c r="N44" s="398"/>
      <c r="O44" s="395"/>
      <c r="P44" s="395"/>
      <c r="Q44" s="395"/>
      <c r="R44" s="395"/>
      <c r="S44" s="395"/>
      <c r="T44" s="395"/>
      <c r="U44" s="395"/>
      <c r="V44" s="395"/>
      <c r="W44" s="395"/>
    </row>
    <row r="45" spans="2:23" ht="6" customHeight="1">
      <c r="B45" s="439"/>
      <c r="C45" s="429"/>
      <c r="D45" s="398"/>
      <c r="E45" s="398"/>
      <c r="F45" s="440"/>
      <c r="G45" s="413"/>
      <c r="H45" s="442"/>
      <c r="I45" s="405"/>
      <c r="J45" s="406"/>
      <c r="K45" s="406"/>
      <c r="L45" s="406"/>
      <c r="M45" s="395"/>
      <c r="N45" s="398"/>
      <c r="O45" s="395"/>
      <c r="P45" s="395"/>
      <c r="Q45" s="395"/>
      <c r="R45" s="395"/>
      <c r="S45" s="395"/>
      <c r="T45" s="395"/>
      <c r="U45" s="395"/>
      <c r="V45" s="395"/>
      <c r="W45" s="395"/>
    </row>
    <row r="46" spans="2:23" ht="14.25">
      <c r="B46" s="443"/>
      <c r="C46" s="444" t="s">
        <v>474</v>
      </c>
      <c r="D46" s="398"/>
      <c r="E46" s="398"/>
      <c r="F46" s="440">
        <f>(11.55-2.35)*(2.2*2.1-1.2*1.5)</f>
        <v>25.944000000000013</v>
      </c>
      <c r="G46" s="413" t="s">
        <v>410</v>
      </c>
      <c r="H46" s="442"/>
      <c r="I46" s="405"/>
      <c r="J46" s="433" t="s">
        <v>475</v>
      </c>
      <c r="K46" s="406"/>
      <c r="L46" s="406"/>
      <c r="M46" s="395"/>
      <c r="N46" s="398"/>
      <c r="O46" s="395"/>
      <c r="P46" s="395"/>
      <c r="Q46" s="395"/>
      <c r="R46" s="395"/>
      <c r="S46" s="395"/>
      <c r="T46" s="395"/>
      <c r="U46" s="395"/>
      <c r="V46" s="395"/>
      <c r="W46" s="395"/>
    </row>
    <row r="47" spans="2:23" ht="14.25">
      <c r="B47" s="443"/>
      <c r="C47" s="429" t="s">
        <v>476</v>
      </c>
      <c r="D47" s="429"/>
      <c r="E47" s="398"/>
      <c r="F47" s="440">
        <f>2.8*3.75*3.25-1.8*1.95*2.95-1.05*3.14*0.4*0.4-1.3*1.2*1.5</f>
        <v>20.90298</v>
      </c>
      <c r="G47" s="413" t="s">
        <v>410</v>
      </c>
      <c r="H47" s="442"/>
      <c r="I47" s="405"/>
      <c r="J47" s="414" t="s">
        <v>477</v>
      </c>
      <c r="K47" s="406"/>
      <c r="L47" s="406"/>
      <c r="M47" s="395"/>
      <c r="N47" s="398"/>
      <c r="O47" s="395"/>
      <c r="P47" s="395"/>
      <c r="Q47" s="395"/>
      <c r="R47" s="395"/>
      <c r="S47" s="395"/>
      <c r="T47" s="395"/>
      <c r="U47" s="395"/>
      <c r="V47" s="395"/>
      <c r="W47" s="395"/>
    </row>
    <row r="48" spans="2:23" ht="12.75">
      <c r="B48" s="443"/>
      <c r="C48" s="429" t="s">
        <v>478</v>
      </c>
      <c r="D48" s="390"/>
      <c r="E48" s="398"/>
      <c r="F48" s="440">
        <f>2.4*1.1*1.1-2*0.5*1.1</f>
        <v>1.8040000000000003</v>
      </c>
      <c r="G48" s="413"/>
      <c r="H48" s="442"/>
      <c r="I48" s="405"/>
      <c r="J48" s="433" t="s">
        <v>479</v>
      </c>
      <c r="K48" s="406"/>
      <c r="L48" s="406"/>
      <c r="M48" s="395"/>
      <c r="N48" s="398"/>
      <c r="O48" s="395"/>
      <c r="P48" s="395"/>
      <c r="Q48" s="395"/>
      <c r="R48" s="395"/>
      <c r="S48" s="395"/>
      <c r="T48" s="395"/>
      <c r="U48" s="395"/>
      <c r="V48" s="395"/>
      <c r="W48" s="395"/>
    </row>
    <row r="49" spans="2:23" ht="14.25">
      <c r="B49" s="443"/>
      <c r="C49" s="429" t="s">
        <v>480</v>
      </c>
      <c r="D49" s="429"/>
      <c r="E49" s="398"/>
      <c r="F49" s="440">
        <f>3*1.3*1.45-3*0.7*1.45</f>
        <v>2.6100000000000008</v>
      </c>
      <c r="G49" s="413" t="s">
        <v>410</v>
      </c>
      <c r="H49" s="442"/>
      <c r="I49" s="405"/>
      <c r="J49" s="406" t="s">
        <v>481</v>
      </c>
      <c r="K49" s="406"/>
      <c r="L49" s="406"/>
      <c r="M49" s="395"/>
      <c r="N49" s="398"/>
      <c r="O49" s="395"/>
      <c r="P49" s="395"/>
      <c r="Q49" s="395"/>
      <c r="R49" s="395"/>
      <c r="S49" s="395"/>
      <c r="T49" s="395"/>
      <c r="U49" s="395"/>
      <c r="V49" s="395"/>
      <c r="W49" s="395"/>
    </row>
    <row r="50" spans="2:23" ht="6" customHeight="1">
      <c r="B50" s="443"/>
      <c r="C50" s="429"/>
      <c r="D50" s="429"/>
      <c r="E50" s="398"/>
      <c r="F50" s="440"/>
      <c r="G50" s="413"/>
      <c r="H50" s="442"/>
      <c r="I50" s="405"/>
      <c r="J50" s="406"/>
      <c r="K50" s="406"/>
      <c r="L50" s="406"/>
      <c r="M50" s="395"/>
      <c r="N50" s="398"/>
      <c r="O50" s="395"/>
      <c r="P50" s="395"/>
      <c r="Q50" s="395"/>
      <c r="R50" s="395"/>
      <c r="S50" s="395"/>
      <c r="T50" s="395"/>
      <c r="U50" s="395"/>
      <c r="V50" s="395"/>
      <c r="W50" s="395"/>
    </row>
    <row r="51" spans="2:23" ht="14.25">
      <c r="B51" s="439" t="s">
        <v>482</v>
      </c>
      <c r="C51" s="429"/>
      <c r="D51" s="390"/>
      <c r="E51" s="435" t="s">
        <v>483</v>
      </c>
      <c r="F51" s="412">
        <f>6.8*3</f>
        <v>20.4</v>
      </c>
      <c r="G51" s="413" t="s">
        <v>414</v>
      </c>
      <c r="H51" s="431"/>
      <c r="I51" s="432"/>
      <c r="J51" s="433" t="s">
        <v>484</v>
      </c>
      <c r="K51" s="406"/>
      <c r="L51" s="406"/>
      <c r="M51" s="395"/>
      <c r="N51" s="398"/>
      <c r="O51" s="395"/>
      <c r="P51" s="395"/>
      <c r="Q51" s="395"/>
      <c r="R51" s="395"/>
      <c r="S51" s="395"/>
      <c r="T51" s="395"/>
      <c r="U51" s="395"/>
      <c r="V51" s="395"/>
      <c r="W51" s="395"/>
    </row>
    <row r="52" spans="2:23" ht="6" customHeight="1">
      <c r="B52" s="439"/>
      <c r="C52" s="429"/>
      <c r="D52" s="390"/>
      <c r="E52" s="435"/>
      <c r="F52" s="412"/>
      <c r="G52" s="413"/>
      <c r="H52" s="431"/>
      <c r="I52" s="432"/>
      <c r="J52" s="433"/>
      <c r="K52" s="406"/>
      <c r="L52" s="406"/>
      <c r="M52" s="395"/>
      <c r="N52" s="398"/>
      <c r="O52" s="395"/>
      <c r="P52" s="395"/>
      <c r="Q52" s="395"/>
      <c r="R52" s="395"/>
      <c r="S52" s="395"/>
      <c r="T52" s="395"/>
      <c r="U52" s="395"/>
      <c r="V52" s="395"/>
      <c r="W52" s="395"/>
    </row>
    <row r="53" spans="2:23" ht="14.25">
      <c r="B53" s="439" t="s">
        <v>485</v>
      </c>
      <c r="C53" s="429"/>
      <c r="D53" s="390" t="s">
        <v>741</v>
      </c>
      <c r="E53" s="435"/>
      <c r="F53" s="412">
        <v>40</v>
      </c>
      <c r="G53" s="413" t="s">
        <v>414</v>
      </c>
      <c r="H53" s="431"/>
      <c r="I53" s="432"/>
      <c r="J53" s="433" t="s">
        <v>742</v>
      </c>
      <c r="K53" s="406"/>
      <c r="L53" s="406"/>
      <c r="M53" s="395"/>
      <c r="N53" s="398"/>
      <c r="O53" s="395"/>
      <c r="P53" s="395"/>
      <c r="Q53" s="395"/>
      <c r="R53" s="395"/>
      <c r="S53" s="395"/>
      <c r="T53" s="395"/>
      <c r="U53" s="395"/>
      <c r="V53" s="395"/>
      <c r="W53" s="395"/>
    </row>
    <row r="54" spans="2:23" ht="12.75">
      <c r="B54" s="443"/>
      <c r="C54" s="429"/>
      <c r="D54" s="429"/>
      <c r="E54" s="398"/>
      <c r="F54" s="440"/>
      <c r="G54" s="413"/>
      <c r="H54" s="442"/>
      <c r="I54" s="405"/>
      <c r="J54" s="406"/>
      <c r="K54" s="406"/>
      <c r="L54" s="406"/>
      <c r="M54" s="395"/>
      <c r="N54" s="398"/>
      <c r="O54" s="395"/>
      <c r="P54" s="395"/>
      <c r="Q54" s="395"/>
      <c r="R54" s="395"/>
      <c r="S54" s="395"/>
      <c r="T54" s="395"/>
      <c r="U54" s="395"/>
      <c r="V54" s="395"/>
      <c r="W54" s="395"/>
    </row>
    <row r="55" spans="2:23" ht="12.75">
      <c r="B55" s="399"/>
      <c r="C55" s="400"/>
      <c r="D55" s="401"/>
      <c r="E55" s="401"/>
      <c r="F55" s="402"/>
      <c r="G55" s="402"/>
      <c r="H55" s="402"/>
      <c r="I55" s="402"/>
      <c r="J55" s="403"/>
      <c r="K55" s="403"/>
      <c r="L55" s="401"/>
      <c r="M55" s="401"/>
      <c r="N55" s="401"/>
      <c r="O55" s="401"/>
      <c r="P55" s="395"/>
      <c r="Q55" s="395"/>
      <c r="R55" s="395"/>
      <c r="S55" s="395"/>
      <c r="T55" s="395"/>
      <c r="U55" s="395"/>
      <c r="V55" s="395"/>
      <c r="W55" s="395"/>
    </row>
    <row r="56" spans="2:23" ht="12.75">
      <c r="B56" s="404" t="s">
        <v>486</v>
      </c>
      <c r="C56" s="398"/>
      <c r="D56" s="395" t="s">
        <v>487</v>
      </c>
      <c r="E56" s="398"/>
      <c r="F56" s="405"/>
      <c r="G56" s="405"/>
      <c r="H56" s="405" t="s">
        <v>488</v>
      </c>
      <c r="I56" s="405"/>
      <c r="J56" s="406"/>
      <c r="K56" s="406"/>
      <c r="L56" s="398"/>
      <c r="M56" s="395"/>
      <c r="N56" s="398"/>
      <c r="O56" s="395"/>
      <c r="P56" s="395"/>
      <c r="Q56" s="395"/>
      <c r="R56" s="395"/>
      <c r="S56" s="395"/>
      <c r="T56" s="395"/>
      <c r="U56" s="395"/>
      <c r="V56" s="395"/>
      <c r="W56" s="395"/>
    </row>
    <row r="57" spans="2:23" ht="12.75">
      <c r="B57" s="407"/>
      <c r="C57" s="398"/>
      <c r="D57" s="398"/>
      <c r="E57" s="398"/>
      <c r="F57" s="405"/>
      <c r="G57" s="405"/>
      <c r="H57" s="405"/>
      <c r="I57" s="405"/>
      <c r="J57" s="406"/>
      <c r="K57" s="406"/>
      <c r="L57" s="398"/>
      <c r="M57" s="395"/>
      <c r="N57" s="398"/>
      <c r="O57" s="395"/>
      <c r="P57" s="395"/>
      <c r="Q57" s="395"/>
      <c r="R57" s="395"/>
      <c r="S57" s="395"/>
      <c r="T57" s="395"/>
      <c r="U57" s="395"/>
      <c r="V57" s="395"/>
      <c r="W57" s="395"/>
    </row>
    <row r="58" spans="2:23" ht="12.75">
      <c r="B58" s="408" t="s">
        <v>405</v>
      </c>
      <c r="C58" s="409"/>
      <c r="D58" s="410"/>
      <c r="E58" s="411" t="s">
        <v>124</v>
      </c>
      <c r="F58" s="412">
        <v>13.3</v>
      </c>
      <c r="G58" s="413" t="s">
        <v>9</v>
      </c>
      <c r="H58" s="280">
        <v>6</v>
      </c>
      <c r="I58" s="280" t="s">
        <v>130</v>
      </c>
      <c r="J58" s="414"/>
      <c r="K58" s="415"/>
      <c r="L58" s="416"/>
      <c r="M58" s="398"/>
      <c r="N58" s="398"/>
      <c r="O58" s="395"/>
      <c r="P58" s="395"/>
      <c r="Q58" s="395"/>
      <c r="R58" s="395"/>
      <c r="S58" s="395"/>
      <c r="T58" s="395"/>
      <c r="U58" s="395"/>
      <c r="V58" s="395"/>
      <c r="W58" s="395"/>
    </row>
    <row r="59" spans="2:23" ht="12.75">
      <c r="B59" s="408"/>
      <c r="C59" s="420" t="s">
        <v>406</v>
      </c>
      <c r="D59" s="415"/>
      <c r="E59" s="445"/>
      <c r="F59" s="421">
        <f>2*6</f>
        <v>12</v>
      </c>
      <c r="G59" s="422" t="s">
        <v>130</v>
      </c>
      <c r="H59" s="423"/>
      <c r="I59" s="424"/>
      <c r="J59" s="425" t="s">
        <v>489</v>
      </c>
      <c r="K59" s="415"/>
      <c r="L59" s="414"/>
      <c r="M59" s="395"/>
      <c r="N59" s="398"/>
      <c r="O59" s="395"/>
      <c r="P59" s="395"/>
      <c r="Q59" s="395"/>
      <c r="R59" s="395"/>
      <c r="S59" s="395"/>
      <c r="T59" s="395"/>
      <c r="U59" s="395"/>
      <c r="V59" s="395"/>
      <c r="W59" s="395"/>
    </row>
    <row r="60" spans="2:23" ht="14.25">
      <c r="B60" s="408"/>
      <c r="C60" s="429" t="s">
        <v>408</v>
      </c>
      <c r="D60" s="414"/>
      <c r="E60" s="411" t="s">
        <v>409</v>
      </c>
      <c r="F60" s="430">
        <f>12.25*(1.2*1-3.14*0.4*0.4)</f>
        <v>8.545599999999999</v>
      </c>
      <c r="G60" s="413" t="s">
        <v>410</v>
      </c>
      <c r="H60" s="431"/>
      <c r="I60" s="432"/>
      <c r="J60" s="433" t="s">
        <v>490</v>
      </c>
      <c r="K60" s="415"/>
      <c r="L60" s="414"/>
      <c r="M60" s="395"/>
      <c r="N60" s="398"/>
      <c r="O60" s="395"/>
      <c r="P60" s="395"/>
      <c r="Q60" s="395"/>
      <c r="R60" s="395"/>
      <c r="S60" s="395"/>
      <c r="T60" s="395"/>
      <c r="U60" s="395"/>
      <c r="V60" s="395"/>
      <c r="W60" s="395"/>
    </row>
    <row r="61" spans="2:23" ht="14.25">
      <c r="B61" s="408"/>
      <c r="C61" s="429" t="s">
        <v>412</v>
      </c>
      <c r="D61" s="414"/>
      <c r="E61" s="411" t="s">
        <v>413</v>
      </c>
      <c r="F61" s="412">
        <f>12.2*(2*0.95+1.1)</f>
        <v>36.599999999999994</v>
      </c>
      <c r="G61" s="413" t="s">
        <v>414</v>
      </c>
      <c r="H61" s="434">
        <f>F61*7.9</f>
        <v>289.14</v>
      </c>
      <c r="I61" s="280" t="s">
        <v>415</v>
      </c>
      <c r="J61" s="414" t="s">
        <v>491</v>
      </c>
      <c r="K61" s="433"/>
      <c r="L61" s="414"/>
      <c r="M61" s="395"/>
      <c r="N61" s="398"/>
      <c r="O61" s="395"/>
      <c r="P61" s="395"/>
      <c r="Q61" s="395"/>
      <c r="R61" s="395"/>
      <c r="S61" s="395"/>
      <c r="T61" s="395"/>
      <c r="U61" s="395"/>
      <c r="V61" s="395"/>
      <c r="W61" s="395"/>
    </row>
    <row r="62" spans="2:23" ht="14.25">
      <c r="B62" s="408"/>
      <c r="C62" s="429"/>
      <c r="D62" s="414"/>
      <c r="E62" s="411" t="s">
        <v>417</v>
      </c>
      <c r="F62" s="412">
        <f>2*12.2*1.1</f>
        <v>26.84</v>
      </c>
      <c r="G62" s="413" t="s">
        <v>414</v>
      </c>
      <c r="H62" s="434">
        <f>F62*7.9</f>
        <v>212.036</v>
      </c>
      <c r="I62" s="280" t="s">
        <v>415</v>
      </c>
      <c r="J62" s="414" t="s">
        <v>492</v>
      </c>
      <c r="K62" s="433"/>
      <c r="L62" s="414"/>
      <c r="M62" s="395"/>
      <c r="N62" s="398"/>
      <c r="O62" s="395"/>
      <c r="P62" s="395"/>
      <c r="Q62" s="395"/>
      <c r="R62" s="395"/>
      <c r="S62" s="395"/>
      <c r="T62" s="395"/>
      <c r="U62" s="395"/>
      <c r="V62" s="395"/>
      <c r="W62" s="395"/>
    </row>
    <row r="63" spans="2:23" ht="14.25">
      <c r="B63" s="408"/>
      <c r="C63" s="429" t="s">
        <v>419</v>
      </c>
      <c r="D63" s="414"/>
      <c r="E63" s="411" t="s">
        <v>420</v>
      </c>
      <c r="F63" s="412">
        <f>12.25*1.2*0.3</f>
        <v>4.409999999999999</v>
      </c>
      <c r="G63" s="413" t="s">
        <v>410</v>
      </c>
      <c r="H63" s="431"/>
      <c r="I63" s="432"/>
      <c r="J63" s="433" t="s">
        <v>493</v>
      </c>
      <c r="K63" s="415"/>
      <c r="L63" s="414"/>
      <c r="M63" s="395"/>
      <c r="N63" s="398"/>
      <c r="O63" s="395"/>
      <c r="P63" s="395"/>
      <c r="Q63" s="395"/>
      <c r="R63" s="395"/>
      <c r="S63" s="395"/>
      <c r="T63" s="395"/>
      <c r="U63" s="395"/>
      <c r="V63" s="395"/>
      <c r="W63" s="395"/>
    </row>
    <row r="64" spans="2:23" ht="14.25">
      <c r="B64" s="408"/>
      <c r="C64" s="429" t="s">
        <v>422</v>
      </c>
      <c r="D64" s="414"/>
      <c r="E64" s="411" t="s">
        <v>99</v>
      </c>
      <c r="F64" s="412">
        <f>12.25*1.45*0.1</f>
        <v>1.77625</v>
      </c>
      <c r="G64" s="413" t="s">
        <v>410</v>
      </c>
      <c r="H64" s="431"/>
      <c r="I64" s="432"/>
      <c r="J64" s="433" t="s">
        <v>494</v>
      </c>
      <c r="K64" s="415"/>
      <c r="L64" s="414"/>
      <c r="M64" s="395"/>
      <c r="N64" s="398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2:23" ht="14.25">
      <c r="B65" s="408"/>
      <c r="C65" s="429" t="s">
        <v>424</v>
      </c>
      <c r="D65" s="414"/>
      <c r="E65" s="411" t="s">
        <v>99</v>
      </c>
      <c r="F65" s="412">
        <f>12.25*1.65*0.1</f>
        <v>2.0212499999999998</v>
      </c>
      <c r="G65" s="413" t="s">
        <v>410</v>
      </c>
      <c r="H65" s="434">
        <f>12.25*1.65</f>
        <v>20.2125</v>
      </c>
      <c r="I65" s="413" t="s">
        <v>414</v>
      </c>
      <c r="J65" s="433" t="s">
        <v>495</v>
      </c>
      <c r="K65" s="415"/>
      <c r="L65" s="414"/>
      <c r="M65" s="395"/>
      <c r="N65" s="398"/>
      <c r="O65" s="398"/>
      <c r="P65" s="395"/>
      <c r="Q65" s="395"/>
      <c r="R65" s="395"/>
      <c r="S65" s="395"/>
      <c r="T65" s="395"/>
      <c r="U65" s="395"/>
      <c r="V65" s="395"/>
      <c r="W65" s="395"/>
    </row>
    <row r="66" spans="2:23" s="154" customFormat="1" ht="12.75" customHeight="1">
      <c r="B66" s="408"/>
      <c r="C66" s="429" t="s">
        <v>426</v>
      </c>
      <c r="D66" s="414"/>
      <c r="E66" s="411"/>
      <c r="F66" s="412">
        <f>2*12.25*1.3+1.2*1.3</f>
        <v>33.410000000000004</v>
      </c>
      <c r="G66" s="413" t="s">
        <v>414</v>
      </c>
      <c r="H66" s="434"/>
      <c r="I66" s="413"/>
      <c r="J66" s="433" t="s">
        <v>496</v>
      </c>
      <c r="K66" s="415"/>
      <c r="L66" s="414"/>
      <c r="M66" s="395"/>
      <c r="N66" s="398"/>
      <c r="O66" s="398"/>
      <c r="P66" s="398"/>
      <c r="Q66" s="398"/>
      <c r="R66" s="398"/>
      <c r="S66" s="398"/>
      <c r="T66" s="398"/>
      <c r="U66" s="398"/>
      <c r="V66" s="398"/>
      <c r="W66" s="398"/>
    </row>
    <row r="67" spans="2:23" s="154" customFormat="1" ht="6" customHeight="1">
      <c r="B67" s="408"/>
      <c r="C67" s="429"/>
      <c r="D67" s="414"/>
      <c r="E67" s="411"/>
      <c r="F67" s="412"/>
      <c r="G67" s="413"/>
      <c r="H67" s="434"/>
      <c r="I67" s="413"/>
      <c r="J67" s="433"/>
      <c r="K67" s="415"/>
      <c r="L67" s="414"/>
      <c r="M67" s="395"/>
      <c r="N67" s="398"/>
      <c r="O67" s="398"/>
      <c r="P67" s="398"/>
      <c r="Q67" s="398"/>
      <c r="R67" s="398"/>
      <c r="S67" s="398"/>
      <c r="T67" s="398"/>
      <c r="U67" s="398"/>
      <c r="V67" s="398"/>
      <c r="W67" s="398"/>
    </row>
    <row r="68" spans="2:23" s="154" customFormat="1" ht="12.75" customHeight="1">
      <c r="B68" s="408" t="s">
        <v>433</v>
      </c>
      <c r="C68" s="429" t="s">
        <v>434</v>
      </c>
      <c r="D68" s="414"/>
      <c r="E68" s="411"/>
      <c r="F68" s="412">
        <f>1.8*1.95*3.45-1.2*0.6*3.15-1.05*3.14*0.4*0.4</f>
        <v>9.313979999999999</v>
      </c>
      <c r="G68" s="413" t="s">
        <v>410</v>
      </c>
      <c r="H68" s="431"/>
      <c r="I68" s="432"/>
      <c r="J68" s="433" t="s">
        <v>497</v>
      </c>
      <c r="K68" s="415"/>
      <c r="L68" s="414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</row>
    <row r="69" spans="2:23" s="154" customFormat="1" ht="12.75" customHeight="1">
      <c r="B69" s="408"/>
      <c r="C69" s="429" t="s">
        <v>412</v>
      </c>
      <c r="D69" s="414"/>
      <c r="E69" s="411" t="s">
        <v>436</v>
      </c>
      <c r="F69" s="412">
        <f>4*1.7*3.35+2*1.85*3.35+2*0.7*3.15+1.7*1.85+1.3*0.7</f>
        <v>43.64</v>
      </c>
      <c r="G69" s="413" t="s">
        <v>414</v>
      </c>
      <c r="H69" s="434">
        <f>F69*7.9</f>
        <v>344.75600000000003</v>
      </c>
      <c r="I69" s="280" t="s">
        <v>415</v>
      </c>
      <c r="J69" s="414" t="s">
        <v>498</v>
      </c>
      <c r="K69" s="415"/>
      <c r="L69" s="414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</row>
    <row r="70" spans="2:23" s="154" customFormat="1" ht="12.75" customHeight="1">
      <c r="B70" s="408"/>
      <c r="C70" s="429" t="s">
        <v>422</v>
      </c>
      <c r="D70" s="414"/>
      <c r="E70" s="411" t="s">
        <v>91</v>
      </c>
      <c r="F70" s="412"/>
      <c r="G70" s="413"/>
      <c r="H70" s="431"/>
      <c r="I70" s="432"/>
      <c r="J70" s="433"/>
      <c r="K70" s="415"/>
      <c r="L70" s="414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</row>
    <row r="71" spans="2:23" s="154" customFormat="1" ht="12.75" customHeight="1">
      <c r="B71" s="408"/>
      <c r="C71" s="429"/>
      <c r="D71" s="414"/>
      <c r="E71" s="411" t="s">
        <v>438</v>
      </c>
      <c r="F71" s="412">
        <f>2.4*2.6*0.15</f>
        <v>0.9359999999999999</v>
      </c>
      <c r="G71" s="413" t="s">
        <v>410</v>
      </c>
      <c r="H71" s="431"/>
      <c r="I71" s="432"/>
      <c r="J71" s="433" t="s">
        <v>439</v>
      </c>
      <c r="K71" s="415"/>
      <c r="L71" s="414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</row>
    <row r="72" spans="2:23" s="154" customFormat="1" ht="12.75" customHeight="1">
      <c r="B72" s="408"/>
      <c r="C72" s="429"/>
      <c r="D72" s="414"/>
      <c r="E72" s="411" t="s">
        <v>440</v>
      </c>
      <c r="F72" s="412">
        <f>1.2*0.6*0.15</f>
        <v>0.108</v>
      </c>
      <c r="G72" s="413" t="s">
        <v>410</v>
      </c>
      <c r="H72" s="431"/>
      <c r="I72" s="432"/>
      <c r="J72" s="433" t="s">
        <v>441</v>
      </c>
      <c r="K72" s="415"/>
      <c r="L72" s="414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</row>
    <row r="73" spans="2:23" s="154" customFormat="1" ht="12.75" customHeight="1">
      <c r="B73" s="408"/>
      <c r="C73" s="429" t="s">
        <v>442</v>
      </c>
      <c r="D73" s="414"/>
      <c r="E73" s="411" t="s">
        <v>91</v>
      </c>
      <c r="F73" s="412">
        <f>1.2*0.6</f>
        <v>0.72</v>
      </c>
      <c r="G73" s="413" t="s">
        <v>414</v>
      </c>
      <c r="H73" s="434"/>
      <c r="I73" s="413"/>
      <c r="J73" s="433" t="s">
        <v>443</v>
      </c>
      <c r="K73" s="415"/>
      <c r="L73" s="414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</row>
    <row r="74" spans="2:23" s="154" customFormat="1" ht="12.75" customHeight="1">
      <c r="B74" s="408"/>
      <c r="C74" s="429" t="s">
        <v>424</v>
      </c>
      <c r="D74" s="414"/>
      <c r="E74" s="411" t="s">
        <v>99</v>
      </c>
      <c r="F74" s="412">
        <f>2.3*2.3*0.1</f>
        <v>0.5289999999999999</v>
      </c>
      <c r="G74" s="413" t="s">
        <v>410</v>
      </c>
      <c r="H74" s="434">
        <f>2.3*2.3</f>
        <v>5.289999999999999</v>
      </c>
      <c r="I74" s="413" t="s">
        <v>414</v>
      </c>
      <c r="J74" s="433" t="s">
        <v>444</v>
      </c>
      <c r="K74" s="415"/>
      <c r="L74" s="414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</row>
    <row r="75" spans="2:23" s="154" customFormat="1" ht="12.75" customHeight="1">
      <c r="B75" s="408"/>
      <c r="C75" s="429" t="s">
        <v>426</v>
      </c>
      <c r="D75" s="390"/>
      <c r="E75" s="435"/>
      <c r="F75" s="412">
        <f>2*((1.8+1.95)*3.45+(1.2+0.6)*3.15)</f>
        <v>37.214999999999996</v>
      </c>
      <c r="G75" s="413" t="s">
        <v>414</v>
      </c>
      <c r="H75" s="434"/>
      <c r="I75" s="413"/>
      <c r="J75" s="433" t="s">
        <v>499</v>
      </c>
      <c r="K75" s="415"/>
      <c r="L75" s="414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</row>
    <row r="76" spans="2:23" s="154" customFormat="1" ht="12.75" customHeight="1">
      <c r="B76" s="408"/>
      <c r="C76" s="436" t="s">
        <v>446</v>
      </c>
      <c r="D76" s="390"/>
      <c r="E76" s="435"/>
      <c r="F76" s="437">
        <v>1</v>
      </c>
      <c r="G76" s="413" t="s">
        <v>130</v>
      </c>
      <c r="H76" s="434"/>
      <c r="I76" s="413"/>
      <c r="J76" s="433"/>
      <c r="K76" s="415"/>
      <c r="L76" s="414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</row>
    <row r="77" spans="2:23" s="154" customFormat="1" ht="12.75" customHeight="1">
      <c r="B77" s="408"/>
      <c r="C77" s="436" t="s">
        <v>447</v>
      </c>
      <c r="D77" s="390"/>
      <c r="E77" s="435"/>
      <c r="F77" s="437">
        <v>9</v>
      </c>
      <c r="G77" s="413" t="s">
        <v>130</v>
      </c>
      <c r="H77" s="434"/>
      <c r="I77" s="413"/>
      <c r="J77" s="433"/>
      <c r="K77" s="415"/>
      <c r="L77" s="414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</row>
    <row r="78" spans="2:23" s="154" customFormat="1" ht="6" customHeight="1">
      <c r="B78" s="408"/>
      <c r="C78" s="429"/>
      <c r="D78" s="414"/>
      <c r="E78" s="411"/>
      <c r="F78" s="412"/>
      <c r="G78" s="413"/>
      <c r="H78" s="434"/>
      <c r="I78" s="413"/>
      <c r="J78" s="433"/>
      <c r="K78" s="415"/>
      <c r="L78" s="414"/>
      <c r="M78" s="395"/>
      <c r="N78" s="398"/>
      <c r="O78" s="398"/>
      <c r="P78" s="398"/>
      <c r="Q78" s="398"/>
      <c r="R78" s="398"/>
      <c r="S78" s="398"/>
      <c r="T78" s="398"/>
      <c r="U78" s="398"/>
      <c r="V78" s="398"/>
      <c r="W78" s="398"/>
    </row>
    <row r="79" spans="2:23" s="154" customFormat="1" ht="12.75" customHeight="1">
      <c r="B79" s="439" t="s">
        <v>500</v>
      </c>
      <c r="C79" s="398" t="s">
        <v>501</v>
      </c>
      <c r="D79" s="398"/>
      <c r="E79" s="411" t="s">
        <v>409</v>
      </c>
      <c r="F79" s="440">
        <f>3.4*2</f>
        <v>6.8</v>
      </c>
      <c r="G79" s="413" t="s">
        <v>414</v>
      </c>
      <c r="H79" s="441"/>
      <c r="I79" s="405"/>
      <c r="J79" s="406" t="s">
        <v>502</v>
      </c>
      <c r="K79" s="406"/>
      <c r="L79" s="406"/>
      <c r="M79" s="395"/>
      <c r="N79" s="398"/>
      <c r="O79" s="398"/>
      <c r="P79" s="398"/>
      <c r="Q79" s="398"/>
      <c r="R79" s="398"/>
      <c r="S79" s="398"/>
      <c r="T79" s="398"/>
      <c r="U79" s="398"/>
      <c r="V79" s="398"/>
      <c r="W79" s="398"/>
    </row>
    <row r="80" spans="2:23" s="154" customFormat="1" ht="12.75" customHeight="1">
      <c r="B80" s="439"/>
      <c r="C80" s="398" t="s">
        <v>451</v>
      </c>
      <c r="D80" s="398"/>
      <c r="E80" s="411" t="s">
        <v>99</v>
      </c>
      <c r="F80" s="434">
        <f>3.4*2*0.1</f>
        <v>0.68</v>
      </c>
      <c r="G80" s="413" t="s">
        <v>410</v>
      </c>
      <c r="H80" s="441"/>
      <c r="I80" s="405"/>
      <c r="J80" s="406" t="s">
        <v>503</v>
      </c>
      <c r="K80" s="406"/>
      <c r="L80" s="406"/>
      <c r="M80" s="395"/>
      <c r="N80" s="398"/>
      <c r="O80" s="398"/>
      <c r="P80" s="398"/>
      <c r="Q80" s="398"/>
      <c r="R80" s="398"/>
      <c r="S80" s="398"/>
      <c r="T80" s="398"/>
      <c r="U80" s="398"/>
      <c r="V80" s="398"/>
      <c r="W80" s="398"/>
    </row>
    <row r="81" spans="2:23" s="154" customFormat="1" ht="12.75" customHeight="1">
      <c r="B81" s="439"/>
      <c r="C81" s="398" t="s">
        <v>454</v>
      </c>
      <c r="D81" s="398"/>
      <c r="E81" s="411" t="s">
        <v>99</v>
      </c>
      <c r="F81" s="440"/>
      <c r="G81" s="413"/>
      <c r="H81" s="440"/>
      <c r="I81" s="413"/>
      <c r="J81" s="406"/>
      <c r="K81" s="406"/>
      <c r="L81" s="406"/>
      <c r="M81" s="395"/>
      <c r="N81" s="398"/>
      <c r="O81" s="398"/>
      <c r="P81" s="398"/>
      <c r="Q81" s="398"/>
      <c r="R81" s="398"/>
      <c r="S81" s="398"/>
      <c r="T81" s="398"/>
      <c r="U81" s="398"/>
      <c r="V81" s="398"/>
      <c r="W81" s="398"/>
    </row>
    <row r="82" spans="2:23" s="154" customFormat="1" ht="12.75" customHeight="1">
      <c r="B82" s="439"/>
      <c r="C82" s="398"/>
      <c r="D82" s="398"/>
      <c r="E82" s="411" t="s">
        <v>504</v>
      </c>
      <c r="F82" s="440">
        <f>3.4*2*0.1</f>
        <v>0.68</v>
      </c>
      <c r="G82" s="413" t="s">
        <v>410</v>
      </c>
      <c r="H82" s="440">
        <f>3.4*2</f>
        <v>6.8</v>
      </c>
      <c r="I82" s="413" t="s">
        <v>414</v>
      </c>
      <c r="J82" s="406" t="s">
        <v>503</v>
      </c>
      <c r="K82" s="406"/>
      <c r="L82" s="406"/>
      <c r="M82" s="395"/>
      <c r="N82" s="398"/>
      <c r="O82" s="398"/>
      <c r="P82" s="398"/>
      <c r="Q82" s="398"/>
      <c r="R82" s="398"/>
      <c r="S82" s="398"/>
      <c r="T82" s="398"/>
      <c r="U82" s="398"/>
      <c r="V82" s="398"/>
      <c r="W82" s="398"/>
    </row>
    <row r="83" spans="2:23" s="154" customFormat="1" ht="12.75" customHeight="1">
      <c r="B83" s="439"/>
      <c r="C83" s="398"/>
      <c r="D83" s="398"/>
      <c r="E83" s="411" t="s">
        <v>505</v>
      </c>
      <c r="F83" s="440">
        <f>2*0.4*0.1</f>
        <v>0.08000000000000002</v>
      </c>
      <c r="G83" s="413" t="s">
        <v>410</v>
      </c>
      <c r="H83" s="440">
        <f>2*0.4</f>
        <v>0.8</v>
      </c>
      <c r="I83" s="413" t="s">
        <v>414</v>
      </c>
      <c r="J83" s="406" t="s">
        <v>506</v>
      </c>
      <c r="K83" s="406"/>
      <c r="L83" s="406"/>
      <c r="M83" s="395"/>
      <c r="N83" s="398"/>
      <c r="O83" s="398"/>
      <c r="P83" s="398"/>
      <c r="Q83" s="398"/>
      <c r="R83" s="398"/>
      <c r="S83" s="398"/>
      <c r="T83" s="398"/>
      <c r="U83" s="398"/>
      <c r="V83" s="398"/>
      <c r="W83" s="398"/>
    </row>
    <row r="84" spans="2:23" s="154" customFormat="1" ht="12.75" customHeight="1">
      <c r="B84" s="439"/>
      <c r="C84" s="429" t="s">
        <v>507</v>
      </c>
      <c r="D84" s="414"/>
      <c r="E84" s="411"/>
      <c r="F84" s="412">
        <f>2*0.4*0.6</f>
        <v>0.48</v>
      </c>
      <c r="G84" s="413" t="s">
        <v>410</v>
      </c>
      <c r="H84" s="431"/>
      <c r="I84" s="432"/>
      <c r="J84" s="433" t="s">
        <v>508</v>
      </c>
      <c r="K84" s="406"/>
      <c r="L84" s="406"/>
      <c r="M84" s="395"/>
      <c r="N84" s="398"/>
      <c r="O84" s="398"/>
      <c r="P84" s="398"/>
      <c r="Q84" s="398"/>
      <c r="R84" s="398"/>
      <c r="S84" s="398"/>
      <c r="T84" s="398"/>
      <c r="U84" s="398"/>
      <c r="V84" s="398"/>
      <c r="W84" s="398"/>
    </row>
    <row r="85" spans="2:23" s="154" customFormat="1" ht="12.75" customHeight="1">
      <c r="B85" s="439"/>
      <c r="C85" s="429"/>
      <c r="D85" s="414"/>
      <c r="E85" s="411"/>
      <c r="F85" s="412"/>
      <c r="G85" s="413"/>
      <c r="H85" s="431"/>
      <c r="I85" s="432"/>
      <c r="J85" s="433"/>
      <c r="K85" s="406"/>
      <c r="L85" s="406"/>
      <c r="M85" s="395"/>
      <c r="N85" s="398"/>
      <c r="O85" s="398"/>
      <c r="P85" s="398"/>
      <c r="Q85" s="398"/>
      <c r="R85" s="398"/>
      <c r="S85" s="398"/>
      <c r="T85" s="398"/>
      <c r="U85" s="398"/>
      <c r="V85" s="398"/>
      <c r="W85" s="398"/>
    </row>
    <row r="86" spans="2:23" s="154" customFormat="1" ht="12.75" customHeight="1">
      <c r="B86" s="439" t="s">
        <v>465</v>
      </c>
      <c r="C86" s="429" t="s">
        <v>509</v>
      </c>
      <c r="D86" s="390"/>
      <c r="E86" s="435"/>
      <c r="F86" s="412">
        <f>2.1*0.7*1.8+2.9*0.7*2.3</f>
        <v>7.3149999999999995</v>
      </c>
      <c r="G86" s="413" t="s">
        <v>410</v>
      </c>
      <c r="H86" s="390"/>
      <c r="I86" s="432" t="s">
        <v>510</v>
      </c>
      <c r="J86" s="414" t="s">
        <v>511</v>
      </c>
      <c r="K86" s="415"/>
      <c r="L86" s="416"/>
      <c r="M86" s="395"/>
      <c r="N86" s="398"/>
      <c r="O86" s="398"/>
      <c r="P86" s="398"/>
      <c r="Q86" s="398"/>
      <c r="R86" s="398"/>
      <c r="S86" s="398"/>
      <c r="T86" s="398"/>
      <c r="U86" s="398"/>
      <c r="V86" s="398"/>
      <c r="W86" s="398"/>
    </row>
    <row r="87" spans="2:23" s="154" customFormat="1" ht="12.75" customHeight="1">
      <c r="B87" s="439"/>
      <c r="C87" s="429" t="s">
        <v>512</v>
      </c>
      <c r="D87" s="390"/>
      <c r="E87" s="435"/>
      <c r="F87" s="412">
        <v>10.5</v>
      </c>
      <c r="G87" s="413" t="s">
        <v>9</v>
      </c>
      <c r="H87" s="390"/>
      <c r="I87" s="432" t="s">
        <v>510</v>
      </c>
      <c r="J87" s="414"/>
      <c r="K87" s="415"/>
      <c r="L87" s="416"/>
      <c r="M87" s="395"/>
      <c r="N87" s="398"/>
      <c r="O87" s="398"/>
      <c r="P87" s="398"/>
      <c r="Q87" s="398"/>
      <c r="R87" s="398"/>
      <c r="S87" s="398"/>
      <c r="T87" s="398"/>
      <c r="U87" s="398"/>
      <c r="V87" s="398"/>
      <c r="W87" s="398"/>
    </row>
    <row r="88" spans="2:23" s="154" customFormat="1" ht="6" customHeight="1">
      <c r="B88" s="439"/>
      <c r="C88" s="429"/>
      <c r="D88" s="390"/>
      <c r="E88" s="435"/>
      <c r="F88" s="412"/>
      <c r="G88" s="413"/>
      <c r="H88" s="390"/>
      <c r="I88" s="432"/>
      <c r="J88" s="414"/>
      <c r="K88" s="415"/>
      <c r="L88" s="416"/>
      <c r="M88" s="395"/>
      <c r="N88" s="398"/>
      <c r="O88" s="398"/>
      <c r="P88" s="398"/>
      <c r="Q88" s="398"/>
      <c r="R88" s="398"/>
      <c r="S88" s="398"/>
      <c r="T88" s="398"/>
      <c r="U88" s="398"/>
      <c r="V88" s="398"/>
      <c r="W88" s="398"/>
    </row>
    <row r="89" spans="2:23" s="154" customFormat="1" ht="12.75" customHeight="1">
      <c r="B89" s="439"/>
      <c r="C89" s="429" t="s">
        <v>466</v>
      </c>
      <c r="D89" s="390"/>
      <c r="E89" s="435"/>
      <c r="F89" s="412">
        <f>(13.3-2.85)*2.6*2.75</f>
        <v>74.71750000000002</v>
      </c>
      <c r="G89" s="413" t="s">
        <v>410</v>
      </c>
      <c r="H89" s="431"/>
      <c r="I89" s="432"/>
      <c r="J89" s="433" t="s">
        <v>513</v>
      </c>
      <c r="K89" s="415"/>
      <c r="L89" s="416"/>
      <c r="M89" s="395"/>
      <c r="N89" s="398"/>
      <c r="O89" s="398"/>
      <c r="P89" s="398"/>
      <c r="Q89" s="398"/>
      <c r="R89" s="398"/>
      <c r="S89" s="398"/>
      <c r="T89" s="398"/>
      <c r="U89" s="398"/>
      <c r="V89" s="398"/>
      <c r="W89" s="398"/>
    </row>
    <row r="90" spans="2:23" s="154" customFormat="1" ht="12.75" customHeight="1">
      <c r="B90" s="439"/>
      <c r="C90" s="429" t="s">
        <v>468</v>
      </c>
      <c r="D90" s="390"/>
      <c r="E90" s="435"/>
      <c r="F90" s="412">
        <f>3*4.35*3.65</f>
        <v>47.63249999999999</v>
      </c>
      <c r="G90" s="413" t="s">
        <v>410</v>
      </c>
      <c r="H90" s="431"/>
      <c r="I90" s="432"/>
      <c r="J90" s="414" t="s">
        <v>514</v>
      </c>
      <c r="K90" s="415"/>
      <c r="L90" s="416"/>
      <c r="M90" s="395"/>
      <c r="N90" s="398"/>
      <c r="O90" s="398"/>
      <c r="P90" s="398"/>
      <c r="Q90" s="398"/>
      <c r="R90" s="398"/>
      <c r="S90" s="398"/>
      <c r="T90" s="398"/>
      <c r="U90" s="398"/>
      <c r="V90" s="398"/>
      <c r="W90" s="398"/>
    </row>
    <row r="91" spans="2:23" s="154" customFormat="1" ht="12.75" customHeight="1">
      <c r="B91" s="439"/>
      <c r="C91" s="429" t="s">
        <v>515</v>
      </c>
      <c r="D91" s="398"/>
      <c r="E91" s="398"/>
      <c r="F91" s="440">
        <f>3.4*2*0.4+2*0.4*0.7</f>
        <v>3.2800000000000002</v>
      </c>
      <c r="G91" s="413" t="s">
        <v>410</v>
      </c>
      <c r="H91" s="442"/>
      <c r="I91" s="405"/>
      <c r="J91" s="406" t="s">
        <v>516</v>
      </c>
      <c r="K91" s="406"/>
      <c r="L91" s="406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</row>
    <row r="92" spans="2:23" s="154" customFormat="1" ht="6" customHeight="1">
      <c r="B92" s="439"/>
      <c r="C92" s="429"/>
      <c r="D92" s="398"/>
      <c r="E92" s="398"/>
      <c r="F92" s="440"/>
      <c r="G92" s="413"/>
      <c r="H92" s="442"/>
      <c r="I92" s="405"/>
      <c r="J92" s="406"/>
      <c r="K92" s="406"/>
      <c r="L92" s="406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</row>
    <row r="93" spans="2:23" s="154" customFormat="1" ht="12.75" customHeight="1">
      <c r="B93" s="443"/>
      <c r="C93" s="398" t="s">
        <v>474</v>
      </c>
      <c r="D93" s="398"/>
      <c r="E93" s="398"/>
      <c r="F93" s="440">
        <f>(13.3-2.85)*(2.6*2.5-1.2*1.5)</f>
        <v>49.11500000000001</v>
      </c>
      <c r="G93" s="413" t="s">
        <v>410</v>
      </c>
      <c r="H93" s="442"/>
      <c r="I93" s="405"/>
      <c r="J93" s="433" t="s">
        <v>517</v>
      </c>
      <c r="K93" s="406"/>
      <c r="L93" s="406"/>
      <c r="M93" s="395"/>
      <c r="N93" s="398"/>
      <c r="O93" s="398"/>
      <c r="P93" s="398"/>
      <c r="Q93" s="398"/>
      <c r="R93" s="398"/>
      <c r="S93" s="398"/>
      <c r="T93" s="398"/>
      <c r="U93" s="398"/>
      <c r="V93" s="398"/>
      <c r="W93" s="398"/>
    </row>
    <row r="94" spans="2:23" s="154" customFormat="1" ht="12.75" customHeight="1">
      <c r="B94" s="443"/>
      <c r="C94" s="429" t="s">
        <v>476</v>
      </c>
      <c r="D94" s="429"/>
      <c r="E94" s="398"/>
      <c r="F94" s="440">
        <f>3*4.35*3.65-1.8*1.95*3.35-1.05*3.14*0.4*0.4-1.8*1.2*1.5</f>
        <v>32.10647999999999</v>
      </c>
      <c r="G94" s="413" t="s">
        <v>410</v>
      </c>
      <c r="H94" s="442"/>
      <c r="I94" s="405"/>
      <c r="J94" s="414" t="s">
        <v>518</v>
      </c>
      <c r="K94" s="406"/>
      <c r="L94" s="406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</row>
    <row r="95" spans="2:23" s="154" customFormat="1" ht="6" customHeight="1">
      <c r="B95" s="443"/>
      <c r="C95" s="429"/>
      <c r="D95" s="429"/>
      <c r="E95" s="398"/>
      <c r="F95" s="440"/>
      <c r="G95" s="413"/>
      <c r="H95" s="442"/>
      <c r="I95" s="405"/>
      <c r="J95" s="414"/>
      <c r="K95" s="406"/>
      <c r="L95" s="406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</row>
    <row r="96" spans="2:23" s="154" customFormat="1" ht="12.75" customHeight="1">
      <c r="B96" s="439" t="s">
        <v>482</v>
      </c>
      <c r="C96" s="429"/>
      <c r="D96" s="390"/>
      <c r="E96" s="435" t="s">
        <v>483</v>
      </c>
      <c r="F96" s="412">
        <f>7.7*3</f>
        <v>23.1</v>
      </c>
      <c r="G96" s="413" t="s">
        <v>414</v>
      </c>
      <c r="H96" s="431"/>
      <c r="I96" s="432"/>
      <c r="J96" s="433" t="s">
        <v>519</v>
      </c>
      <c r="K96" s="406"/>
      <c r="L96" s="406"/>
      <c r="M96" s="395"/>
      <c r="N96" s="398"/>
      <c r="O96" s="398"/>
      <c r="P96" s="398"/>
      <c r="Q96" s="398"/>
      <c r="R96" s="398"/>
      <c r="S96" s="398"/>
      <c r="T96" s="398"/>
      <c r="U96" s="398"/>
      <c r="V96" s="398"/>
      <c r="W96" s="398"/>
    </row>
    <row r="97" spans="2:23" s="154" customFormat="1" ht="6" customHeight="1">
      <c r="B97" s="439"/>
      <c r="C97" s="429"/>
      <c r="D97" s="390"/>
      <c r="E97" s="435"/>
      <c r="F97" s="412"/>
      <c r="G97" s="413"/>
      <c r="H97" s="431"/>
      <c r="I97" s="432"/>
      <c r="J97" s="433"/>
      <c r="K97" s="406"/>
      <c r="L97" s="406"/>
      <c r="M97" s="395"/>
      <c r="N97" s="398"/>
      <c r="O97" s="398"/>
      <c r="P97" s="398"/>
      <c r="Q97" s="398"/>
      <c r="R97" s="398"/>
      <c r="S97" s="398"/>
      <c r="T97" s="398"/>
      <c r="U97" s="398"/>
      <c r="V97" s="398"/>
      <c r="W97" s="398"/>
    </row>
    <row r="98" spans="2:23" s="154" customFormat="1" ht="12.75" customHeight="1">
      <c r="B98" s="439" t="s">
        <v>485</v>
      </c>
      <c r="C98" s="429"/>
      <c r="D98" s="390"/>
      <c r="E98" s="435"/>
      <c r="F98" s="412">
        <v>60</v>
      </c>
      <c r="G98" s="413" t="s">
        <v>414</v>
      </c>
      <c r="H98" s="431"/>
      <c r="I98" s="432"/>
      <c r="J98" s="433" t="s">
        <v>743</v>
      </c>
      <c r="K98" s="406"/>
      <c r="L98" s="406"/>
      <c r="M98" s="395"/>
      <c r="N98" s="398"/>
      <c r="O98" s="398"/>
      <c r="P98" s="398"/>
      <c r="Q98" s="398"/>
      <c r="R98" s="398"/>
      <c r="S98" s="398"/>
      <c r="T98" s="398"/>
      <c r="U98" s="398"/>
      <c r="V98" s="398"/>
      <c r="W98" s="398"/>
    </row>
    <row r="99" spans="2:23" s="154" customFormat="1" ht="12.75" customHeight="1">
      <c r="B99" s="439"/>
      <c r="C99" s="429"/>
      <c r="D99" s="414"/>
      <c r="E99" s="411"/>
      <c r="F99" s="412"/>
      <c r="G99" s="413"/>
      <c r="H99" s="390"/>
      <c r="I99" s="432"/>
      <c r="J99" s="433"/>
      <c r="K99" s="406"/>
      <c r="L99" s="406"/>
      <c r="M99" s="395"/>
      <c r="N99" s="398"/>
      <c r="O99" s="398"/>
      <c r="P99" s="398"/>
      <c r="Q99" s="398"/>
      <c r="R99" s="398"/>
      <c r="S99" s="398"/>
      <c r="T99" s="398"/>
      <c r="U99" s="398"/>
      <c r="V99" s="398"/>
      <c r="W99" s="398"/>
    </row>
    <row r="100" spans="2:23" s="154" customFormat="1" ht="12.75" customHeight="1">
      <c r="B100" s="399"/>
      <c r="C100" s="400"/>
      <c r="D100" s="401"/>
      <c r="E100" s="401"/>
      <c r="F100" s="402"/>
      <c r="G100" s="402"/>
      <c r="H100" s="402"/>
      <c r="I100" s="402"/>
      <c r="J100" s="403"/>
      <c r="K100" s="403"/>
      <c r="L100" s="401"/>
      <c r="M100" s="401"/>
      <c r="N100" s="401"/>
      <c r="O100" s="401"/>
      <c r="P100" s="398"/>
      <c r="Q100" s="398"/>
      <c r="R100" s="398"/>
      <c r="S100" s="398"/>
      <c r="T100" s="398"/>
      <c r="U100" s="398"/>
      <c r="V100" s="398"/>
      <c r="W100" s="398"/>
    </row>
    <row r="101" spans="2:23" s="154" customFormat="1" ht="12.75" customHeight="1">
      <c r="B101" s="404" t="s">
        <v>520</v>
      </c>
      <c r="C101" s="398"/>
      <c r="D101" s="395" t="s">
        <v>487</v>
      </c>
      <c r="E101" s="398"/>
      <c r="F101" s="405"/>
      <c r="G101" s="405"/>
      <c r="H101" s="405" t="s">
        <v>521</v>
      </c>
      <c r="I101" s="405"/>
      <c r="J101" s="406"/>
      <c r="K101" s="406"/>
      <c r="L101" s="398"/>
      <c r="M101" s="395"/>
      <c r="N101" s="398"/>
      <c r="O101" s="395"/>
      <c r="P101" s="398"/>
      <c r="Q101" s="398"/>
      <c r="R101" s="398"/>
      <c r="S101" s="398"/>
      <c r="T101" s="398"/>
      <c r="U101" s="398"/>
      <c r="V101" s="398"/>
      <c r="W101" s="398"/>
    </row>
    <row r="102" spans="2:23" s="154" customFormat="1" ht="12.75" customHeight="1">
      <c r="B102" s="407"/>
      <c r="C102" s="398"/>
      <c r="D102" s="398"/>
      <c r="E102" s="398"/>
      <c r="F102" s="405"/>
      <c r="G102" s="405"/>
      <c r="H102" s="405"/>
      <c r="I102" s="405"/>
      <c r="J102" s="406"/>
      <c r="K102" s="406"/>
      <c r="L102" s="398"/>
      <c r="M102" s="395"/>
      <c r="N102" s="398"/>
      <c r="O102" s="395"/>
      <c r="P102" s="398"/>
      <c r="Q102" s="398"/>
      <c r="R102" s="398"/>
      <c r="S102" s="398"/>
      <c r="T102" s="398"/>
      <c r="U102" s="398"/>
      <c r="V102" s="398"/>
      <c r="W102" s="398"/>
    </row>
    <row r="103" spans="2:23" s="154" customFormat="1" ht="12.75" customHeight="1">
      <c r="B103" s="408" t="s">
        <v>405</v>
      </c>
      <c r="C103" s="409"/>
      <c r="D103" s="410"/>
      <c r="E103" s="411" t="s">
        <v>124</v>
      </c>
      <c r="F103" s="412">
        <v>13</v>
      </c>
      <c r="G103" s="413" t="s">
        <v>9</v>
      </c>
      <c r="H103" s="280">
        <v>6</v>
      </c>
      <c r="I103" s="280" t="s">
        <v>130</v>
      </c>
      <c r="J103" s="414"/>
      <c r="K103" s="415"/>
      <c r="L103" s="416"/>
      <c r="M103" s="398"/>
      <c r="N103" s="398"/>
      <c r="O103" s="395"/>
      <c r="P103" s="398"/>
      <c r="Q103" s="398"/>
      <c r="R103" s="398"/>
      <c r="S103" s="398"/>
      <c r="T103" s="398"/>
      <c r="U103" s="398"/>
      <c r="V103" s="398"/>
      <c r="W103" s="398"/>
    </row>
    <row r="104" spans="2:23" s="154" customFormat="1" ht="12.75" customHeight="1">
      <c r="B104" s="408"/>
      <c r="C104" s="420" t="s">
        <v>406</v>
      </c>
      <c r="D104" s="415"/>
      <c r="E104" s="445"/>
      <c r="F104" s="421">
        <f>2*6</f>
        <v>12</v>
      </c>
      <c r="G104" s="422" t="s">
        <v>130</v>
      </c>
      <c r="H104" s="423"/>
      <c r="I104" s="424"/>
      <c r="J104" s="425" t="s">
        <v>489</v>
      </c>
      <c r="K104" s="415"/>
      <c r="L104" s="414"/>
      <c r="M104" s="395"/>
      <c r="N104" s="398"/>
      <c r="O104" s="395"/>
      <c r="P104" s="398"/>
      <c r="Q104" s="398"/>
      <c r="R104" s="398"/>
      <c r="S104" s="398"/>
      <c r="T104" s="398"/>
      <c r="U104" s="398"/>
      <c r="V104" s="398"/>
      <c r="W104" s="398"/>
    </row>
    <row r="105" spans="2:23" s="154" customFormat="1" ht="12.75" customHeight="1">
      <c r="B105" s="408"/>
      <c r="C105" s="429" t="s">
        <v>408</v>
      </c>
      <c r="D105" s="414"/>
      <c r="E105" s="411" t="s">
        <v>409</v>
      </c>
      <c r="F105" s="430">
        <f>11.95*(1.2*1-3.14*0.4*0.4)</f>
        <v>8.336319999999999</v>
      </c>
      <c r="G105" s="413" t="s">
        <v>410</v>
      </c>
      <c r="H105" s="431"/>
      <c r="I105" s="432"/>
      <c r="J105" s="433" t="s">
        <v>522</v>
      </c>
      <c r="K105" s="415"/>
      <c r="L105" s="414"/>
      <c r="M105" s="395"/>
      <c r="N105" s="398"/>
      <c r="O105" s="395"/>
      <c r="P105" s="398"/>
      <c r="Q105" s="398"/>
      <c r="R105" s="398"/>
      <c r="S105" s="398"/>
      <c r="T105" s="398"/>
      <c r="U105" s="398"/>
      <c r="V105" s="398"/>
      <c r="W105" s="398"/>
    </row>
    <row r="106" spans="2:23" s="154" customFormat="1" ht="12.75" customHeight="1">
      <c r="B106" s="408"/>
      <c r="C106" s="429" t="s">
        <v>412</v>
      </c>
      <c r="D106" s="414"/>
      <c r="E106" s="411" t="s">
        <v>413</v>
      </c>
      <c r="F106" s="412">
        <f>11.9*(2*0.95+1.1)</f>
        <v>35.7</v>
      </c>
      <c r="G106" s="413" t="s">
        <v>414</v>
      </c>
      <c r="H106" s="434">
        <f>F106*7.9</f>
        <v>282.03000000000003</v>
      </c>
      <c r="I106" s="280" t="s">
        <v>415</v>
      </c>
      <c r="J106" s="414" t="s">
        <v>523</v>
      </c>
      <c r="K106" s="433"/>
      <c r="L106" s="414"/>
      <c r="M106" s="395"/>
      <c r="N106" s="398"/>
      <c r="O106" s="395"/>
      <c r="P106" s="398"/>
      <c r="Q106" s="398"/>
      <c r="R106" s="398"/>
      <c r="S106" s="398"/>
      <c r="T106" s="398"/>
      <c r="U106" s="398"/>
      <c r="V106" s="398"/>
      <c r="W106" s="398"/>
    </row>
    <row r="107" spans="2:23" s="154" customFormat="1" ht="12.75" customHeight="1">
      <c r="B107" s="408"/>
      <c r="C107" s="429"/>
      <c r="D107" s="414"/>
      <c r="E107" s="411" t="s">
        <v>417</v>
      </c>
      <c r="F107" s="412">
        <f>2*10.45*1.1</f>
        <v>22.990000000000002</v>
      </c>
      <c r="G107" s="413" t="s">
        <v>414</v>
      </c>
      <c r="H107" s="434">
        <f>F107*7.9</f>
        <v>181.62100000000004</v>
      </c>
      <c r="I107" s="280" t="s">
        <v>415</v>
      </c>
      <c r="J107" s="414" t="s">
        <v>524</v>
      </c>
      <c r="K107" s="433"/>
      <c r="L107" s="414"/>
      <c r="M107" s="395"/>
      <c r="N107" s="398"/>
      <c r="O107" s="395"/>
      <c r="P107" s="398"/>
      <c r="Q107" s="398"/>
      <c r="R107" s="398"/>
      <c r="S107" s="398"/>
      <c r="T107" s="398"/>
      <c r="U107" s="398"/>
      <c r="V107" s="398"/>
      <c r="W107" s="398"/>
    </row>
    <row r="108" spans="2:23" s="154" customFormat="1" ht="12.75" customHeight="1">
      <c r="B108" s="408"/>
      <c r="C108" s="429" t="s">
        <v>419</v>
      </c>
      <c r="D108" s="414"/>
      <c r="E108" s="411" t="s">
        <v>420</v>
      </c>
      <c r="F108" s="412">
        <f>10.45*1.2*0.3</f>
        <v>3.7619999999999996</v>
      </c>
      <c r="G108" s="413" t="s">
        <v>410</v>
      </c>
      <c r="H108" s="431"/>
      <c r="I108" s="432"/>
      <c r="J108" s="433" t="s">
        <v>525</v>
      </c>
      <c r="K108" s="415"/>
      <c r="L108" s="414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</row>
    <row r="109" spans="2:23" s="154" customFormat="1" ht="12.75" customHeight="1">
      <c r="B109" s="408"/>
      <c r="C109" s="429" t="s">
        <v>422</v>
      </c>
      <c r="D109" s="414"/>
      <c r="E109" s="411" t="s">
        <v>99</v>
      </c>
      <c r="F109" s="412">
        <f>10.45*1.45*0.1</f>
        <v>1.51525</v>
      </c>
      <c r="G109" s="413" t="s">
        <v>410</v>
      </c>
      <c r="H109" s="431"/>
      <c r="I109" s="432"/>
      <c r="J109" s="433" t="s">
        <v>526</v>
      </c>
      <c r="K109" s="415"/>
      <c r="L109" s="414"/>
      <c r="M109" s="395"/>
      <c r="N109" s="398"/>
      <c r="O109" s="395"/>
      <c r="P109" s="398"/>
      <c r="Q109" s="398"/>
      <c r="R109" s="398"/>
      <c r="S109" s="398"/>
      <c r="T109" s="398"/>
      <c r="U109" s="398"/>
      <c r="V109" s="398"/>
      <c r="W109" s="398"/>
    </row>
    <row r="110" spans="2:23" s="154" customFormat="1" ht="12.75" customHeight="1">
      <c r="B110" s="408"/>
      <c r="C110" s="429" t="s">
        <v>424</v>
      </c>
      <c r="D110" s="414"/>
      <c r="E110" s="411" t="s">
        <v>99</v>
      </c>
      <c r="F110" s="412">
        <f>10.45*1.65*0.1</f>
        <v>1.7242499999999996</v>
      </c>
      <c r="G110" s="413" t="s">
        <v>410</v>
      </c>
      <c r="H110" s="434">
        <f>10.45*1.65</f>
        <v>17.242499999999996</v>
      </c>
      <c r="I110" s="413" t="s">
        <v>414</v>
      </c>
      <c r="J110" s="433" t="s">
        <v>527</v>
      </c>
      <c r="K110" s="415"/>
      <c r="L110" s="414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</row>
    <row r="111" spans="2:23" s="154" customFormat="1" ht="12.75" customHeight="1">
      <c r="B111" s="408"/>
      <c r="C111" s="429" t="s">
        <v>426</v>
      </c>
      <c r="D111" s="414"/>
      <c r="E111" s="411"/>
      <c r="F111" s="412">
        <f>2*10.45*1.3+1.2*1.3</f>
        <v>28.729999999999997</v>
      </c>
      <c r="G111" s="413" t="s">
        <v>414</v>
      </c>
      <c r="H111" s="434"/>
      <c r="I111" s="413"/>
      <c r="J111" s="433" t="s">
        <v>528</v>
      </c>
      <c r="K111" s="415"/>
      <c r="L111" s="414"/>
      <c r="M111" s="395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</row>
    <row r="112" spans="2:23" s="154" customFormat="1" ht="6" customHeight="1">
      <c r="B112" s="408"/>
      <c r="C112" s="429"/>
      <c r="D112" s="414"/>
      <c r="E112" s="411"/>
      <c r="F112" s="412"/>
      <c r="G112" s="413"/>
      <c r="H112" s="434"/>
      <c r="I112" s="413"/>
      <c r="J112" s="433"/>
      <c r="K112" s="415"/>
      <c r="L112" s="414"/>
      <c r="M112" s="395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</row>
    <row r="113" spans="2:23" s="154" customFormat="1" ht="12.75" customHeight="1">
      <c r="B113" s="408" t="s">
        <v>433</v>
      </c>
      <c r="C113" s="429" t="s">
        <v>434</v>
      </c>
      <c r="D113" s="414"/>
      <c r="E113" s="411"/>
      <c r="F113" s="412">
        <f>1.8*1.95*2.55-1.2*0.6*2.25-1.05*3.14*0.4*0.4</f>
        <v>6.802979999999998</v>
      </c>
      <c r="G113" s="413" t="s">
        <v>410</v>
      </c>
      <c r="H113" s="431"/>
      <c r="I113" s="432"/>
      <c r="J113" s="433" t="s">
        <v>529</v>
      </c>
      <c r="K113" s="415"/>
      <c r="L113" s="414"/>
      <c r="M113" s="395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</row>
    <row r="114" spans="2:23" s="154" customFormat="1" ht="12.75" customHeight="1">
      <c r="B114" s="408"/>
      <c r="C114" s="429" t="s">
        <v>412</v>
      </c>
      <c r="D114" s="414"/>
      <c r="E114" s="411" t="s">
        <v>436</v>
      </c>
      <c r="F114" s="412">
        <f>4*1.7*2.45+2*1.85*2.45+2*0.7*2.25+1.7*1.85+1.3*0.7</f>
        <v>32.93</v>
      </c>
      <c r="G114" s="413" t="s">
        <v>414</v>
      </c>
      <c r="H114" s="434">
        <f>F114*7.9</f>
        <v>260.147</v>
      </c>
      <c r="I114" s="280" t="s">
        <v>415</v>
      </c>
      <c r="J114" s="414" t="s">
        <v>530</v>
      </c>
      <c r="K114" s="415"/>
      <c r="L114" s="414"/>
      <c r="M114" s="395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</row>
    <row r="115" spans="2:23" s="154" customFormat="1" ht="12.75" customHeight="1">
      <c r="B115" s="408"/>
      <c r="C115" s="429" t="s">
        <v>422</v>
      </c>
      <c r="D115" s="414"/>
      <c r="E115" s="411" t="s">
        <v>91</v>
      </c>
      <c r="F115" s="412"/>
      <c r="G115" s="413"/>
      <c r="H115" s="431"/>
      <c r="I115" s="432"/>
      <c r="J115" s="433"/>
      <c r="K115" s="415"/>
      <c r="L115" s="414"/>
      <c r="M115" s="395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</row>
    <row r="116" spans="2:23" s="154" customFormat="1" ht="12.75" customHeight="1">
      <c r="B116" s="408"/>
      <c r="C116" s="429"/>
      <c r="D116" s="414"/>
      <c r="E116" s="411" t="s">
        <v>438</v>
      </c>
      <c r="F116" s="412">
        <f>2.4*2.6*0.15</f>
        <v>0.9359999999999999</v>
      </c>
      <c r="G116" s="413" t="s">
        <v>410</v>
      </c>
      <c r="H116" s="431"/>
      <c r="I116" s="432"/>
      <c r="J116" s="433" t="s">
        <v>439</v>
      </c>
      <c r="K116" s="415"/>
      <c r="L116" s="414"/>
      <c r="M116" s="395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</row>
    <row r="117" spans="2:23" s="154" customFormat="1" ht="12.75" customHeight="1">
      <c r="B117" s="408"/>
      <c r="C117" s="429"/>
      <c r="D117" s="414"/>
      <c r="E117" s="411" t="s">
        <v>440</v>
      </c>
      <c r="F117" s="412">
        <f>1.2*0.6*0.15</f>
        <v>0.108</v>
      </c>
      <c r="G117" s="413" t="s">
        <v>410</v>
      </c>
      <c r="H117" s="431"/>
      <c r="I117" s="432"/>
      <c r="J117" s="433" t="s">
        <v>441</v>
      </c>
      <c r="K117" s="415"/>
      <c r="L117" s="414"/>
      <c r="M117" s="395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</row>
    <row r="118" spans="2:23" s="154" customFormat="1" ht="12.75" customHeight="1">
      <c r="B118" s="408"/>
      <c r="C118" s="429" t="s">
        <v>442</v>
      </c>
      <c r="D118" s="414"/>
      <c r="E118" s="411" t="s">
        <v>91</v>
      </c>
      <c r="F118" s="412">
        <f>1.2*0.6</f>
        <v>0.72</v>
      </c>
      <c r="G118" s="413" t="s">
        <v>414</v>
      </c>
      <c r="H118" s="434"/>
      <c r="I118" s="413"/>
      <c r="J118" s="433" t="s">
        <v>443</v>
      </c>
      <c r="K118" s="415"/>
      <c r="L118" s="414"/>
      <c r="M118" s="395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</row>
    <row r="119" spans="2:23" s="154" customFormat="1" ht="12.75" customHeight="1">
      <c r="B119" s="408"/>
      <c r="C119" s="429" t="s">
        <v>424</v>
      </c>
      <c r="D119" s="414"/>
      <c r="E119" s="411" t="s">
        <v>99</v>
      </c>
      <c r="F119" s="412">
        <f>2.3*2.3*0.1</f>
        <v>0.5289999999999999</v>
      </c>
      <c r="G119" s="413" t="s">
        <v>410</v>
      </c>
      <c r="H119" s="434">
        <f>2.3*2.3</f>
        <v>5.289999999999999</v>
      </c>
      <c r="I119" s="413" t="s">
        <v>414</v>
      </c>
      <c r="J119" s="433" t="s">
        <v>444</v>
      </c>
      <c r="K119" s="415"/>
      <c r="L119" s="414"/>
      <c r="M119" s="395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</row>
    <row r="120" spans="2:23" s="154" customFormat="1" ht="12.75" customHeight="1">
      <c r="B120" s="408"/>
      <c r="C120" s="429" t="s">
        <v>426</v>
      </c>
      <c r="D120" s="390"/>
      <c r="E120" s="435"/>
      <c r="F120" s="412">
        <f>2*((1.8+1.95)*2.55+(1.2+0.6)*2.25)</f>
        <v>27.225</v>
      </c>
      <c r="G120" s="413" t="s">
        <v>414</v>
      </c>
      <c r="H120" s="434"/>
      <c r="I120" s="413"/>
      <c r="J120" s="433" t="s">
        <v>531</v>
      </c>
      <c r="K120" s="415"/>
      <c r="L120" s="414"/>
      <c r="M120" s="395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</row>
    <row r="121" spans="2:23" s="154" customFormat="1" ht="12.75" customHeight="1">
      <c r="B121" s="408"/>
      <c r="C121" s="436" t="s">
        <v>446</v>
      </c>
      <c r="D121" s="390"/>
      <c r="E121" s="435"/>
      <c r="F121" s="437">
        <v>1</v>
      </c>
      <c r="G121" s="413" t="s">
        <v>130</v>
      </c>
      <c r="H121" s="434"/>
      <c r="I121" s="413"/>
      <c r="J121" s="433"/>
      <c r="K121" s="415"/>
      <c r="L121" s="414"/>
      <c r="M121" s="395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</row>
    <row r="122" spans="2:23" s="154" customFormat="1" ht="12.75" customHeight="1">
      <c r="B122" s="408"/>
      <c r="C122" s="436" t="s">
        <v>447</v>
      </c>
      <c r="D122" s="390"/>
      <c r="E122" s="435"/>
      <c r="F122" s="437">
        <v>6</v>
      </c>
      <c r="G122" s="413" t="s">
        <v>130</v>
      </c>
      <c r="H122" s="434"/>
      <c r="I122" s="413"/>
      <c r="J122" s="433"/>
      <c r="K122" s="415"/>
      <c r="L122" s="414"/>
      <c r="M122" s="395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</row>
    <row r="123" spans="2:23" s="154" customFormat="1" ht="6" customHeight="1">
      <c r="B123" s="408"/>
      <c r="C123" s="429"/>
      <c r="D123" s="414"/>
      <c r="E123" s="411"/>
      <c r="F123" s="412"/>
      <c r="G123" s="413"/>
      <c r="H123" s="434"/>
      <c r="I123" s="413"/>
      <c r="J123" s="433"/>
      <c r="K123" s="415"/>
      <c r="L123" s="414"/>
      <c r="M123" s="395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</row>
    <row r="124" spans="2:23" s="154" customFormat="1" ht="12.75" customHeight="1">
      <c r="B124" s="408" t="s">
        <v>532</v>
      </c>
      <c r="C124" s="429" t="s">
        <v>533</v>
      </c>
      <c r="D124" s="414"/>
      <c r="E124" s="411"/>
      <c r="F124" s="412">
        <f>2*1.5*0.8</f>
        <v>2.4000000000000004</v>
      </c>
      <c r="G124" s="413" t="s">
        <v>410</v>
      </c>
      <c r="H124" s="431"/>
      <c r="I124" s="432"/>
      <c r="J124" s="433" t="s">
        <v>534</v>
      </c>
      <c r="K124" s="415"/>
      <c r="L124" s="414"/>
      <c r="M124" s="395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</row>
    <row r="125" spans="2:23" s="154" customFormat="1" ht="12.75" customHeight="1">
      <c r="B125" s="408"/>
      <c r="C125" s="429" t="s">
        <v>422</v>
      </c>
      <c r="D125" s="414"/>
      <c r="E125" s="411" t="s">
        <v>91</v>
      </c>
      <c r="F125" s="412">
        <f>2.6*2.1*0.15</f>
        <v>0.8190000000000001</v>
      </c>
      <c r="G125" s="413" t="s">
        <v>410</v>
      </c>
      <c r="H125" s="431"/>
      <c r="I125" s="432"/>
      <c r="J125" s="433" t="s">
        <v>535</v>
      </c>
      <c r="K125" s="415"/>
      <c r="L125" s="414"/>
      <c r="M125" s="395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</row>
    <row r="126" spans="2:23" s="154" customFormat="1" ht="12.75" customHeight="1">
      <c r="B126" s="408"/>
      <c r="C126" s="429" t="s">
        <v>424</v>
      </c>
      <c r="D126" s="414"/>
      <c r="E126" s="411" t="s">
        <v>99</v>
      </c>
      <c r="F126" s="412">
        <f>2.5*2*0.1</f>
        <v>0.5</v>
      </c>
      <c r="G126" s="413" t="s">
        <v>410</v>
      </c>
      <c r="H126" s="434">
        <f>2.5*2</f>
        <v>5</v>
      </c>
      <c r="I126" s="413" t="s">
        <v>414</v>
      </c>
      <c r="J126" s="433" t="s">
        <v>536</v>
      </c>
      <c r="K126" s="415"/>
      <c r="L126" s="414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</row>
    <row r="127" spans="2:23" s="154" customFormat="1" ht="12.75" customHeight="1">
      <c r="B127" s="408"/>
      <c r="C127" s="398" t="s">
        <v>501</v>
      </c>
      <c r="D127" s="398"/>
      <c r="E127" s="411" t="s">
        <v>409</v>
      </c>
      <c r="F127" s="440">
        <f>3.2*2</f>
        <v>6.4</v>
      </c>
      <c r="G127" s="413" t="s">
        <v>414</v>
      </c>
      <c r="H127" s="441"/>
      <c r="I127" s="405"/>
      <c r="J127" s="406" t="s">
        <v>537</v>
      </c>
      <c r="K127" s="415"/>
      <c r="L127" s="414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</row>
    <row r="128" spans="2:23" s="154" customFormat="1" ht="12.75" customHeight="1">
      <c r="B128" s="408"/>
      <c r="C128" s="398" t="s">
        <v>451</v>
      </c>
      <c r="D128" s="398"/>
      <c r="E128" s="411" t="s">
        <v>99</v>
      </c>
      <c r="F128" s="440">
        <f>3.2*2*0.1</f>
        <v>0.6400000000000001</v>
      </c>
      <c r="G128" s="413" t="s">
        <v>410</v>
      </c>
      <c r="H128" s="441"/>
      <c r="I128" s="405"/>
      <c r="J128" s="406" t="s">
        <v>538</v>
      </c>
      <c r="K128" s="415"/>
      <c r="L128" s="414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</row>
    <row r="129" spans="2:23" s="154" customFormat="1" ht="12.75" customHeight="1">
      <c r="B129" s="408"/>
      <c r="C129" s="429" t="s">
        <v>426</v>
      </c>
      <c r="D129" s="414"/>
      <c r="E129" s="411"/>
      <c r="F129" s="412">
        <f>2*(2*0.8+1.5*0.8)</f>
        <v>5.6000000000000005</v>
      </c>
      <c r="G129" s="413" t="s">
        <v>414</v>
      </c>
      <c r="H129" s="431"/>
      <c r="I129" s="432"/>
      <c r="J129" s="433" t="s">
        <v>539</v>
      </c>
      <c r="K129" s="415"/>
      <c r="L129" s="414"/>
      <c r="M129" s="398"/>
      <c r="N129" s="398"/>
      <c r="O129" s="398"/>
      <c r="P129" s="398"/>
      <c r="Q129" s="398"/>
      <c r="R129" s="398"/>
      <c r="S129" s="398"/>
      <c r="T129" s="398"/>
      <c r="U129" s="398"/>
      <c r="V129" s="398"/>
      <c r="W129" s="398"/>
    </row>
    <row r="130" spans="2:23" s="154" customFormat="1" ht="6" customHeight="1">
      <c r="B130" s="408"/>
      <c r="C130" s="429"/>
      <c r="D130" s="414"/>
      <c r="E130" s="411"/>
      <c r="F130" s="412"/>
      <c r="G130" s="413"/>
      <c r="H130" s="280"/>
      <c r="I130" s="413"/>
      <c r="J130" s="433"/>
      <c r="K130" s="415"/>
      <c r="L130" s="414"/>
      <c r="M130" s="395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</row>
    <row r="131" spans="2:23" s="154" customFormat="1" ht="12.75" customHeight="1">
      <c r="B131" s="439" t="s">
        <v>540</v>
      </c>
      <c r="C131" s="398" t="s">
        <v>501</v>
      </c>
      <c r="D131" s="398"/>
      <c r="E131" s="411" t="s">
        <v>409</v>
      </c>
      <c r="F131" s="440">
        <f>4*(0.6+2*0.45)+10*2</f>
        <v>26</v>
      </c>
      <c r="G131" s="413" t="s">
        <v>414</v>
      </c>
      <c r="H131" s="441"/>
      <c r="I131" s="405"/>
      <c r="J131" s="406" t="s">
        <v>541</v>
      </c>
      <c r="K131" s="406"/>
      <c r="L131" s="406"/>
      <c r="M131" s="395"/>
      <c r="N131" s="398"/>
      <c r="O131" s="398"/>
      <c r="P131" s="398"/>
      <c r="Q131" s="398"/>
      <c r="R131" s="398"/>
      <c r="S131" s="398"/>
      <c r="T131" s="398"/>
      <c r="U131" s="398"/>
      <c r="V131" s="398"/>
      <c r="W131" s="398"/>
    </row>
    <row r="132" spans="2:23" s="154" customFormat="1" ht="12.75" customHeight="1">
      <c r="B132" s="439"/>
      <c r="C132" s="398" t="s">
        <v>451</v>
      </c>
      <c r="D132" s="398"/>
      <c r="E132" s="411" t="s">
        <v>99</v>
      </c>
      <c r="F132" s="440">
        <f>4*(0.6+2*0.45)*0.1+10*2*0.1</f>
        <v>2.6</v>
      </c>
      <c r="G132" s="413" t="s">
        <v>410</v>
      </c>
      <c r="H132" s="441"/>
      <c r="I132" s="405"/>
      <c r="J132" s="406" t="s">
        <v>542</v>
      </c>
      <c r="K132" s="406"/>
      <c r="L132" s="406"/>
      <c r="M132" s="395"/>
      <c r="N132" s="398"/>
      <c r="O132" s="398"/>
      <c r="P132" s="398"/>
      <c r="Q132" s="398"/>
      <c r="R132" s="398"/>
      <c r="S132" s="398"/>
      <c r="T132" s="398"/>
      <c r="U132" s="398"/>
      <c r="V132" s="398"/>
      <c r="W132" s="398"/>
    </row>
    <row r="133" spans="2:23" s="154" customFormat="1" ht="12.75" customHeight="1">
      <c r="B133" s="439"/>
      <c r="C133" s="398" t="s">
        <v>454</v>
      </c>
      <c r="D133" s="398"/>
      <c r="E133" s="411" t="s">
        <v>99</v>
      </c>
      <c r="F133" s="440"/>
      <c r="G133" s="413"/>
      <c r="H133" s="440"/>
      <c r="I133" s="413"/>
      <c r="J133" s="406"/>
      <c r="K133" s="406"/>
      <c r="L133" s="406"/>
      <c r="M133" s="395"/>
      <c r="N133" s="398"/>
      <c r="O133" s="398"/>
      <c r="P133" s="398"/>
      <c r="Q133" s="398"/>
      <c r="R133" s="398"/>
      <c r="S133" s="398"/>
      <c r="T133" s="398"/>
      <c r="U133" s="398"/>
      <c r="V133" s="398"/>
      <c r="W133" s="398"/>
    </row>
    <row r="134" spans="2:23" s="154" customFormat="1" ht="12.75" customHeight="1">
      <c r="B134" s="439"/>
      <c r="C134" s="398"/>
      <c r="D134" s="398"/>
      <c r="E134" s="411" t="s">
        <v>504</v>
      </c>
      <c r="F134" s="440">
        <f>3.4*2*0.1+10*2*0.1</f>
        <v>2.68</v>
      </c>
      <c r="G134" s="413" t="s">
        <v>410</v>
      </c>
      <c r="H134" s="440">
        <f>3.4*2+10*2</f>
        <v>26.8</v>
      </c>
      <c r="I134" s="413" t="s">
        <v>414</v>
      </c>
      <c r="J134" s="406" t="s">
        <v>543</v>
      </c>
      <c r="K134" s="406"/>
      <c r="L134" s="406"/>
      <c r="M134" s="395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</row>
    <row r="135" spans="2:23" s="154" customFormat="1" ht="12.75" customHeight="1">
      <c r="B135" s="439"/>
      <c r="C135" s="398"/>
      <c r="D135" s="398"/>
      <c r="E135" s="411" t="s">
        <v>505</v>
      </c>
      <c r="F135" s="440">
        <f>0.65*0.4*0.1</f>
        <v>0.026000000000000002</v>
      </c>
      <c r="G135" s="413" t="s">
        <v>410</v>
      </c>
      <c r="H135" s="440">
        <f>0.65*0.4</f>
        <v>0.26</v>
      </c>
      <c r="I135" s="413" t="s">
        <v>414</v>
      </c>
      <c r="J135" s="406" t="s">
        <v>544</v>
      </c>
      <c r="K135" s="406"/>
      <c r="L135" s="406"/>
      <c r="M135" s="395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</row>
    <row r="136" spans="2:23" s="154" customFormat="1" ht="12.75" customHeight="1">
      <c r="B136" s="439"/>
      <c r="C136" s="429" t="s">
        <v>507</v>
      </c>
      <c r="D136" s="414"/>
      <c r="E136" s="411"/>
      <c r="F136" s="412">
        <f>0.65*0.4*0.6</f>
        <v>0.156</v>
      </c>
      <c r="G136" s="413" t="s">
        <v>410</v>
      </c>
      <c r="H136" s="431"/>
      <c r="I136" s="432"/>
      <c r="J136" s="433" t="s">
        <v>545</v>
      </c>
      <c r="K136" s="406"/>
      <c r="L136" s="406"/>
      <c r="M136" s="395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</row>
    <row r="137" spans="2:23" s="154" customFormat="1" ht="6" customHeight="1">
      <c r="B137" s="439"/>
      <c r="C137" s="429"/>
      <c r="D137" s="414"/>
      <c r="E137" s="411"/>
      <c r="F137" s="412"/>
      <c r="G137" s="413"/>
      <c r="H137" s="431"/>
      <c r="I137" s="432"/>
      <c r="J137" s="433"/>
      <c r="K137" s="406"/>
      <c r="L137" s="406"/>
      <c r="M137" s="395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</row>
    <row r="138" spans="2:23" s="154" customFormat="1" ht="12.75" customHeight="1">
      <c r="B138" s="439" t="s">
        <v>465</v>
      </c>
      <c r="C138" s="429" t="s">
        <v>509</v>
      </c>
      <c r="D138" s="390"/>
      <c r="E138" s="435"/>
      <c r="F138" s="412">
        <f>2.5*0.7*1.1+3.5*0.7*1.8</f>
        <v>6.334999999999999</v>
      </c>
      <c r="G138" s="413" t="s">
        <v>410</v>
      </c>
      <c r="H138" s="390"/>
      <c r="I138" s="432" t="s">
        <v>510</v>
      </c>
      <c r="J138" s="414" t="s">
        <v>546</v>
      </c>
      <c r="K138" s="415"/>
      <c r="L138" s="416"/>
      <c r="M138" s="398"/>
      <c r="N138" s="398"/>
      <c r="O138" s="398"/>
      <c r="P138" s="398"/>
      <c r="Q138" s="398"/>
      <c r="R138" s="398"/>
      <c r="S138" s="398"/>
      <c r="T138" s="398"/>
      <c r="U138" s="398"/>
      <c r="V138" s="398"/>
      <c r="W138" s="398"/>
    </row>
    <row r="139" spans="2:23" s="154" customFormat="1" ht="12.75" customHeight="1">
      <c r="B139" s="439"/>
      <c r="C139" s="429" t="s">
        <v>512</v>
      </c>
      <c r="D139" s="390"/>
      <c r="E139" s="435"/>
      <c r="F139" s="412">
        <v>10.5</v>
      </c>
      <c r="G139" s="413" t="s">
        <v>9</v>
      </c>
      <c r="H139" s="390"/>
      <c r="I139" s="432" t="s">
        <v>510</v>
      </c>
      <c r="J139" s="414"/>
      <c r="K139" s="415"/>
      <c r="L139" s="416"/>
      <c r="M139" s="398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</row>
    <row r="140" spans="2:23" s="154" customFormat="1" ht="6" customHeight="1">
      <c r="B140" s="439"/>
      <c r="C140" s="429"/>
      <c r="D140" s="390"/>
      <c r="E140" s="435"/>
      <c r="F140" s="412"/>
      <c r="G140" s="413"/>
      <c r="H140" s="390"/>
      <c r="I140" s="432"/>
      <c r="J140" s="414"/>
      <c r="K140" s="415"/>
      <c r="L140" s="416"/>
      <c r="M140" s="398"/>
      <c r="N140" s="398"/>
      <c r="O140" s="398"/>
      <c r="P140" s="398"/>
      <c r="Q140" s="398"/>
      <c r="R140" s="398"/>
      <c r="S140" s="398"/>
      <c r="T140" s="398"/>
      <c r="U140" s="398"/>
      <c r="V140" s="398"/>
      <c r="W140" s="398"/>
    </row>
    <row r="141" spans="2:23" s="154" customFormat="1" ht="12.75" customHeight="1">
      <c r="B141" s="439"/>
      <c r="C141" s="429" t="s">
        <v>466</v>
      </c>
      <c r="D141" s="390"/>
      <c r="E141" s="435"/>
      <c r="F141" s="412">
        <f>(13-2.45)*2.3*1.9</f>
        <v>46.1035</v>
      </c>
      <c r="G141" s="413" t="s">
        <v>410</v>
      </c>
      <c r="H141" s="431"/>
      <c r="I141" s="432"/>
      <c r="J141" s="433" t="s">
        <v>547</v>
      </c>
      <c r="K141" s="415"/>
      <c r="L141" s="416"/>
      <c r="M141" s="395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</row>
    <row r="142" spans="2:23" s="154" customFormat="1" ht="12.75" customHeight="1">
      <c r="B142" s="439"/>
      <c r="C142" s="429" t="s">
        <v>468</v>
      </c>
      <c r="D142" s="390"/>
      <c r="E142" s="435"/>
      <c r="F142" s="412">
        <f>2.8*3.85*2.75</f>
        <v>29.645</v>
      </c>
      <c r="G142" s="413" t="s">
        <v>410</v>
      </c>
      <c r="H142" s="431"/>
      <c r="I142" s="432"/>
      <c r="J142" s="414" t="s">
        <v>548</v>
      </c>
      <c r="K142" s="415"/>
      <c r="L142" s="416"/>
      <c r="M142" s="395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</row>
    <row r="143" spans="2:23" s="154" customFormat="1" ht="12.75" customHeight="1">
      <c r="B143" s="439"/>
      <c r="C143" s="429" t="s">
        <v>549</v>
      </c>
      <c r="D143" s="390"/>
      <c r="E143" s="435"/>
      <c r="F143" s="412">
        <f>2.9*2.4*0.8</f>
        <v>5.5680000000000005</v>
      </c>
      <c r="G143" s="413" t="s">
        <v>410</v>
      </c>
      <c r="H143" s="431"/>
      <c r="I143" s="432"/>
      <c r="J143" s="414" t="s">
        <v>550</v>
      </c>
      <c r="K143" s="415"/>
      <c r="L143" s="416"/>
      <c r="M143" s="395"/>
      <c r="N143" s="398"/>
      <c r="O143" s="398"/>
      <c r="P143" s="398"/>
      <c r="Q143" s="398"/>
      <c r="R143" s="398"/>
      <c r="S143" s="398"/>
      <c r="T143" s="398"/>
      <c r="U143" s="398"/>
      <c r="V143" s="398"/>
      <c r="W143" s="398"/>
    </row>
    <row r="144" spans="2:23" s="154" customFormat="1" ht="12.75" customHeight="1">
      <c r="B144" s="439"/>
      <c r="C144" s="429" t="s">
        <v>515</v>
      </c>
      <c r="D144" s="398"/>
      <c r="E144" s="398"/>
      <c r="F144" s="440">
        <f>4*(0.6+2*0.45)*0.4+0.65*0.4*0.7+10*2*0.4</f>
        <v>10.582</v>
      </c>
      <c r="G144" s="413" t="s">
        <v>410</v>
      </c>
      <c r="H144" s="442"/>
      <c r="I144" s="405"/>
      <c r="J144" s="406" t="s">
        <v>551</v>
      </c>
      <c r="K144" s="406"/>
      <c r="L144" s="406"/>
      <c r="M144" s="395"/>
      <c r="N144" s="398"/>
      <c r="O144" s="398"/>
      <c r="P144" s="398"/>
      <c r="Q144" s="398"/>
      <c r="R144" s="398"/>
      <c r="S144" s="398"/>
      <c r="T144" s="398"/>
      <c r="U144" s="398"/>
      <c r="V144" s="398"/>
      <c r="W144" s="398"/>
    </row>
    <row r="145" spans="2:23" s="154" customFormat="1" ht="6" customHeight="1">
      <c r="B145" s="439"/>
      <c r="C145" s="429"/>
      <c r="D145" s="398"/>
      <c r="E145" s="398"/>
      <c r="F145" s="440"/>
      <c r="G145" s="413"/>
      <c r="H145" s="442"/>
      <c r="I145" s="405"/>
      <c r="J145" s="406"/>
      <c r="K145" s="406"/>
      <c r="L145" s="406"/>
      <c r="M145" s="395"/>
      <c r="N145" s="398"/>
      <c r="O145" s="398"/>
      <c r="P145" s="398"/>
      <c r="Q145" s="398"/>
      <c r="R145" s="398"/>
      <c r="S145" s="398"/>
      <c r="T145" s="398"/>
      <c r="U145" s="398"/>
      <c r="V145" s="398"/>
      <c r="W145" s="398"/>
    </row>
    <row r="146" spans="2:23" s="154" customFormat="1" ht="12.75" customHeight="1">
      <c r="B146" s="443"/>
      <c r="C146" s="444" t="s">
        <v>474</v>
      </c>
      <c r="D146" s="398"/>
      <c r="E146" s="398"/>
      <c r="F146" s="440">
        <f>(13-2.35)*(2.3*1.6-1.2*1.5)</f>
        <v>20.022</v>
      </c>
      <c r="G146" s="413" t="s">
        <v>410</v>
      </c>
      <c r="H146" s="442"/>
      <c r="I146" s="405"/>
      <c r="J146" s="433" t="s">
        <v>552</v>
      </c>
      <c r="K146" s="406"/>
      <c r="L146" s="406"/>
      <c r="M146" s="395"/>
      <c r="N146" s="398"/>
      <c r="O146" s="398"/>
      <c r="P146" s="398"/>
      <c r="Q146" s="398"/>
      <c r="R146" s="398"/>
      <c r="S146" s="398"/>
      <c r="T146" s="398"/>
      <c r="U146" s="398"/>
      <c r="V146" s="398"/>
      <c r="W146" s="398"/>
    </row>
    <row r="147" spans="2:23" s="154" customFormat="1" ht="12.75" customHeight="1">
      <c r="B147" s="443"/>
      <c r="C147" s="429" t="s">
        <v>476</v>
      </c>
      <c r="D147" s="429"/>
      <c r="E147" s="398"/>
      <c r="F147" s="440">
        <f>2.8*3.85*2.75-1.8*1.95*2.45-1.05*3.14*0.4*0.4-1.4*1.2*1.5</f>
        <v>17.99798</v>
      </c>
      <c r="G147" s="413" t="s">
        <v>410</v>
      </c>
      <c r="H147" s="442"/>
      <c r="I147" s="405"/>
      <c r="J147" s="414" t="s">
        <v>553</v>
      </c>
      <c r="K147" s="406"/>
      <c r="L147" s="406"/>
      <c r="M147" s="395"/>
      <c r="N147" s="398"/>
      <c r="O147" s="398"/>
      <c r="P147" s="398"/>
      <c r="Q147" s="398"/>
      <c r="R147" s="398"/>
      <c r="S147" s="398"/>
      <c r="T147" s="398"/>
      <c r="U147" s="398"/>
      <c r="V147" s="398"/>
      <c r="W147" s="398"/>
    </row>
    <row r="148" spans="2:23" s="154" customFormat="1" ht="12.75" customHeight="1">
      <c r="B148" s="443"/>
      <c r="C148" s="429" t="s">
        <v>554</v>
      </c>
      <c r="D148" s="429"/>
      <c r="E148" s="398"/>
      <c r="F148" s="440">
        <f>2.9*2.4*0.8-2*1.5*0.8</f>
        <v>3.168</v>
      </c>
      <c r="G148" s="413" t="s">
        <v>410</v>
      </c>
      <c r="H148" s="442"/>
      <c r="I148" s="405"/>
      <c r="J148" s="414" t="s">
        <v>555</v>
      </c>
      <c r="K148" s="406"/>
      <c r="L148" s="406"/>
      <c r="M148" s="395"/>
      <c r="N148" s="398"/>
      <c r="O148" s="398"/>
      <c r="P148" s="398"/>
      <c r="Q148" s="398"/>
      <c r="R148" s="398"/>
      <c r="S148" s="398"/>
      <c r="T148" s="398"/>
      <c r="U148" s="398"/>
      <c r="V148" s="398"/>
      <c r="W148" s="398"/>
    </row>
    <row r="149" spans="2:23" s="154" customFormat="1" ht="6" customHeight="1">
      <c r="B149" s="443"/>
      <c r="C149" s="429"/>
      <c r="D149" s="429"/>
      <c r="E149" s="398"/>
      <c r="F149" s="440"/>
      <c r="G149" s="413"/>
      <c r="H149" s="442"/>
      <c r="I149" s="405"/>
      <c r="J149" s="414"/>
      <c r="K149" s="406"/>
      <c r="L149" s="406"/>
      <c r="M149" s="395"/>
      <c r="N149" s="398"/>
      <c r="O149" s="398"/>
      <c r="P149" s="398"/>
      <c r="Q149" s="398"/>
      <c r="R149" s="398"/>
      <c r="S149" s="398"/>
      <c r="T149" s="398"/>
      <c r="U149" s="398"/>
      <c r="V149" s="398"/>
      <c r="W149" s="398"/>
    </row>
    <row r="150" spans="2:23" s="154" customFormat="1" ht="12.75" customHeight="1">
      <c r="B150" s="439" t="s">
        <v>482</v>
      </c>
      <c r="C150" s="429"/>
      <c r="D150" s="390"/>
      <c r="E150" s="435" t="s">
        <v>483</v>
      </c>
      <c r="F150" s="412">
        <f>7.6*3</f>
        <v>22.799999999999997</v>
      </c>
      <c r="G150" s="413" t="s">
        <v>414</v>
      </c>
      <c r="H150" s="431"/>
      <c r="I150" s="432"/>
      <c r="J150" s="433" t="s">
        <v>556</v>
      </c>
      <c r="K150" s="406"/>
      <c r="L150" s="406"/>
      <c r="M150" s="395"/>
      <c r="N150" s="398"/>
      <c r="O150" s="398"/>
      <c r="P150" s="398"/>
      <c r="Q150" s="398"/>
      <c r="R150" s="398"/>
      <c r="S150" s="398"/>
      <c r="T150" s="398"/>
      <c r="U150" s="398"/>
      <c r="V150" s="398"/>
      <c r="W150" s="398"/>
    </row>
    <row r="151" spans="2:23" s="154" customFormat="1" ht="6" customHeight="1">
      <c r="B151" s="439"/>
      <c r="C151" s="429"/>
      <c r="D151" s="390"/>
      <c r="E151" s="435"/>
      <c r="F151" s="412"/>
      <c r="G151" s="413"/>
      <c r="H151" s="431"/>
      <c r="I151" s="432"/>
      <c r="J151" s="433"/>
      <c r="K151" s="406"/>
      <c r="L151" s="406"/>
      <c r="M151" s="395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</row>
    <row r="152" spans="2:23" s="154" customFormat="1" ht="12.75" customHeight="1">
      <c r="B152" s="439" t="s">
        <v>485</v>
      </c>
      <c r="C152" s="429"/>
      <c r="D152" s="390"/>
      <c r="E152" s="435"/>
      <c r="F152" s="412">
        <f>2*8*2.5</f>
        <v>40</v>
      </c>
      <c r="G152" s="413" t="s">
        <v>414</v>
      </c>
      <c r="H152" s="431"/>
      <c r="I152" s="432"/>
      <c r="J152" s="433" t="s">
        <v>744</v>
      </c>
      <c r="K152" s="406"/>
      <c r="L152" s="406"/>
      <c r="M152" s="395"/>
      <c r="N152" s="398"/>
      <c r="O152" s="398"/>
      <c r="P152" s="398"/>
      <c r="Q152" s="398"/>
      <c r="R152" s="398"/>
      <c r="S152" s="398"/>
      <c r="T152" s="398"/>
      <c r="U152" s="398"/>
      <c r="V152" s="398"/>
      <c r="W152" s="398"/>
    </row>
    <row r="153" spans="2:23" s="154" customFormat="1" ht="12.75" customHeight="1">
      <c r="B153" s="443"/>
      <c r="C153" s="429"/>
      <c r="D153" s="429"/>
      <c r="E153" s="398"/>
      <c r="F153" s="440"/>
      <c r="G153" s="413"/>
      <c r="H153" s="442"/>
      <c r="I153" s="405"/>
      <c r="J153" s="414"/>
      <c r="K153" s="406"/>
      <c r="L153" s="406"/>
      <c r="M153" s="395"/>
      <c r="N153" s="398"/>
      <c r="O153" s="398"/>
      <c r="P153" s="398"/>
      <c r="Q153" s="398"/>
      <c r="R153" s="398"/>
      <c r="S153" s="398"/>
      <c r="T153" s="398"/>
      <c r="U153" s="398"/>
      <c r="V153" s="398"/>
      <c r="W153" s="398"/>
    </row>
    <row r="154" spans="2:23" s="154" customFormat="1" ht="12.75" customHeight="1">
      <c r="B154" s="399"/>
      <c r="C154" s="400"/>
      <c r="D154" s="401"/>
      <c r="E154" s="401"/>
      <c r="F154" s="402"/>
      <c r="G154" s="402"/>
      <c r="H154" s="402"/>
      <c r="I154" s="402"/>
      <c r="J154" s="403"/>
      <c r="K154" s="403"/>
      <c r="L154" s="401"/>
      <c r="M154" s="401"/>
      <c r="N154" s="401"/>
      <c r="O154" s="401"/>
      <c r="P154" s="398"/>
      <c r="Q154" s="398"/>
      <c r="R154" s="398"/>
      <c r="S154" s="398"/>
      <c r="T154" s="398"/>
      <c r="U154" s="398"/>
      <c r="V154" s="398"/>
      <c r="W154" s="398"/>
    </row>
    <row r="155" spans="2:23" s="154" customFormat="1" ht="12.75" customHeight="1">
      <c r="B155" s="404" t="s">
        <v>557</v>
      </c>
      <c r="C155" s="398"/>
      <c r="D155" s="395" t="s">
        <v>487</v>
      </c>
      <c r="E155" s="398"/>
      <c r="F155" s="405"/>
      <c r="G155" s="405"/>
      <c r="H155" s="405" t="s">
        <v>558</v>
      </c>
      <c r="I155" s="405"/>
      <c r="J155" s="406"/>
      <c r="K155" s="406"/>
      <c r="L155" s="398"/>
      <c r="M155" s="395"/>
      <c r="N155" s="398"/>
      <c r="O155" s="398"/>
      <c r="P155" s="398"/>
      <c r="Q155" s="398"/>
      <c r="R155" s="398"/>
      <c r="S155" s="398"/>
      <c r="T155" s="398"/>
      <c r="U155" s="398"/>
      <c r="V155" s="398"/>
      <c r="W155" s="398"/>
    </row>
    <row r="156" spans="2:23" s="154" customFormat="1" ht="12.75" customHeight="1">
      <c r="B156" s="407"/>
      <c r="C156" s="398"/>
      <c r="D156" s="398"/>
      <c r="E156" s="398"/>
      <c r="F156" s="405"/>
      <c r="G156" s="405"/>
      <c r="H156" s="405"/>
      <c r="I156" s="405"/>
      <c r="J156" s="406"/>
      <c r="K156" s="406"/>
      <c r="L156" s="398"/>
      <c r="M156" s="395"/>
      <c r="N156" s="398"/>
      <c r="O156" s="398"/>
      <c r="P156" s="398"/>
      <c r="Q156" s="398"/>
      <c r="R156" s="398"/>
      <c r="S156" s="398"/>
      <c r="T156" s="398"/>
      <c r="U156" s="398"/>
      <c r="V156" s="398"/>
      <c r="W156" s="398"/>
    </row>
    <row r="157" spans="2:23" s="154" customFormat="1" ht="12.75" customHeight="1">
      <c r="B157" s="408" t="s">
        <v>405</v>
      </c>
      <c r="C157" s="409"/>
      <c r="D157" s="410"/>
      <c r="E157" s="411" t="s">
        <v>124</v>
      </c>
      <c r="F157" s="412">
        <v>9.4</v>
      </c>
      <c r="G157" s="413" t="s">
        <v>9</v>
      </c>
      <c r="H157" s="280">
        <v>4</v>
      </c>
      <c r="I157" s="280" t="s">
        <v>130</v>
      </c>
      <c r="J157" s="414"/>
      <c r="K157" s="415"/>
      <c r="L157" s="416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98"/>
    </row>
    <row r="158" spans="2:23" s="154" customFormat="1" ht="12.75" customHeight="1">
      <c r="B158" s="408"/>
      <c r="C158" s="420" t="s">
        <v>406</v>
      </c>
      <c r="D158" s="415"/>
      <c r="E158" s="445"/>
      <c r="F158" s="421">
        <f>2*4</f>
        <v>8</v>
      </c>
      <c r="G158" s="422" t="s">
        <v>130</v>
      </c>
      <c r="H158" s="423"/>
      <c r="I158" s="424"/>
      <c r="J158" s="425" t="s">
        <v>559</v>
      </c>
      <c r="K158" s="415"/>
      <c r="L158" s="414"/>
      <c r="M158" s="395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</row>
    <row r="159" spans="2:23" s="154" customFormat="1" ht="12.75" customHeight="1">
      <c r="B159" s="408"/>
      <c r="C159" s="429" t="s">
        <v>408</v>
      </c>
      <c r="D159" s="414"/>
      <c r="E159" s="411" t="s">
        <v>409</v>
      </c>
      <c r="F159" s="430">
        <f>7.15*(1.2*1-3.14*0.4*0.4)</f>
        <v>4.987839999999999</v>
      </c>
      <c r="G159" s="413" t="s">
        <v>410</v>
      </c>
      <c r="H159" s="431"/>
      <c r="I159" s="432"/>
      <c r="J159" s="433" t="s">
        <v>560</v>
      </c>
      <c r="K159" s="415"/>
      <c r="L159" s="414"/>
      <c r="M159" s="395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</row>
    <row r="160" spans="2:23" s="154" customFormat="1" ht="12.75" customHeight="1">
      <c r="B160" s="408"/>
      <c r="C160" s="429" t="s">
        <v>412</v>
      </c>
      <c r="D160" s="414"/>
      <c r="E160" s="411" t="s">
        <v>413</v>
      </c>
      <c r="F160" s="412">
        <f>7.15*(2*0.95+1.1)</f>
        <v>21.450000000000003</v>
      </c>
      <c r="G160" s="413" t="s">
        <v>414</v>
      </c>
      <c r="H160" s="434">
        <f>F160*7.9</f>
        <v>169.45500000000004</v>
      </c>
      <c r="I160" s="280" t="s">
        <v>415</v>
      </c>
      <c r="J160" s="414" t="s">
        <v>561</v>
      </c>
      <c r="K160" s="433"/>
      <c r="L160" s="414"/>
      <c r="M160" s="395"/>
      <c r="N160" s="398"/>
      <c r="O160" s="398"/>
      <c r="P160" s="398"/>
      <c r="Q160" s="398"/>
      <c r="R160" s="398"/>
      <c r="S160" s="398"/>
      <c r="T160" s="398"/>
      <c r="U160" s="398"/>
      <c r="V160" s="398"/>
      <c r="W160" s="398"/>
    </row>
    <row r="161" spans="2:23" s="154" customFormat="1" ht="12.75" customHeight="1">
      <c r="B161" s="408"/>
      <c r="C161" s="429"/>
      <c r="D161" s="414"/>
      <c r="E161" s="411" t="s">
        <v>417</v>
      </c>
      <c r="F161" s="412">
        <f>2*7.15*1.1</f>
        <v>15.730000000000002</v>
      </c>
      <c r="G161" s="413" t="s">
        <v>414</v>
      </c>
      <c r="H161" s="434">
        <f>F161*7.9</f>
        <v>124.26700000000002</v>
      </c>
      <c r="I161" s="280" t="s">
        <v>415</v>
      </c>
      <c r="J161" s="414" t="s">
        <v>562</v>
      </c>
      <c r="K161" s="433"/>
      <c r="L161" s="414"/>
      <c r="M161" s="395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</row>
    <row r="162" spans="2:23" s="154" customFormat="1" ht="12.75" customHeight="1">
      <c r="B162" s="408"/>
      <c r="C162" s="429" t="s">
        <v>419</v>
      </c>
      <c r="D162" s="414"/>
      <c r="E162" s="411" t="s">
        <v>420</v>
      </c>
      <c r="F162" s="412">
        <f>7.15*1.2*0.3</f>
        <v>2.574</v>
      </c>
      <c r="G162" s="413" t="s">
        <v>410</v>
      </c>
      <c r="H162" s="431"/>
      <c r="I162" s="432"/>
      <c r="J162" s="433" t="s">
        <v>563</v>
      </c>
      <c r="K162" s="415"/>
      <c r="L162" s="414"/>
      <c r="M162" s="395"/>
      <c r="N162" s="398"/>
      <c r="O162" s="398"/>
      <c r="P162" s="398"/>
      <c r="Q162" s="398"/>
      <c r="R162" s="398"/>
      <c r="S162" s="398"/>
      <c r="T162" s="398"/>
      <c r="U162" s="398"/>
      <c r="V162" s="398"/>
      <c r="W162" s="398"/>
    </row>
    <row r="163" spans="2:23" s="154" customFormat="1" ht="12.75" customHeight="1">
      <c r="B163" s="408"/>
      <c r="C163" s="429" t="s">
        <v>422</v>
      </c>
      <c r="D163" s="414"/>
      <c r="E163" s="411" t="s">
        <v>99</v>
      </c>
      <c r="F163" s="412">
        <f>7.15*1.45*0.1</f>
        <v>1.03675</v>
      </c>
      <c r="G163" s="413" t="s">
        <v>410</v>
      </c>
      <c r="H163" s="431"/>
      <c r="I163" s="432"/>
      <c r="J163" s="433" t="s">
        <v>564</v>
      </c>
      <c r="K163" s="415"/>
      <c r="L163" s="414"/>
      <c r="M163" s="395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</row>
    <row r="164" spans="2:23" s="154" customFormat="1" ht="12.75" customHeight="1">
      <c r="B164" s="408"/>
      <c r="C164" s="429" t="s">
        <v>424</v>
      </c>
      <c r="D164" s="414"/>
      <c r="E164" s="411" t="s">
        <v>99</v>
      </c>
      <c r="F164" s="412">
        <f>7.15*1.65*0.1</f>
        <v>1.17975</v>
      </c>
      <c r="G164" s="413" t="s">
        <v>410</v>
      </c>
      <c r="H164" s="434">
        <f>7.15*1.65</f>
        <v>11.7975</v>
      </c>
      <c r="I164" s="413" t="s">
        <v>414</v>
      </c>
      <c r="J164" s="433" t="s">
        <v>565</v>
      </c>
      <c r="K164" s="415"/>
      <c r="L164" s="414"/>
      <c r="M164" s="395"/>
      <c r="N164" s="398"/>
      <c r="O164" s="398"/>
      <c r="P164" s="398"/>
      <c r="Q164" s="398"/>
      <c r="R164" s="398"/>
      <c r="S164" s="398"/>
      <c r="T164" s="398"/>
      <c r="U164" s="398"/>
      <c r="V164" s="398"/>
      <c r="W164" s="398"/>
    </row>
    <row r="165" spans="2:23" s="154" customFormat="1" ht="12.75" customHeight="1">
      <c r="B165" s="408"/>
      <c r="C165" s="429" t="s">
        <v>426</v>
      </c>
      <c r="D165" s="414"/>
      <c r="E165" s="411"/>
      <c r="F165" s="412">
        <f>2*7.15*1.3+1.2*1.3</f>
        <v>20.15</v>
      </c>
      <c r="G165" s="413" t="s">
        <v>414</v>
      </c>
      <c r="H165" s="434"/>
      <c r="I165" s="413"/>
      <c r="J165" s="433" t="s">
        <v>566</v>
      </c>
      <c r="K165" s="415"/>
      <c r="L165" s="414"/>
      <c r="M165" s="395"/>
      <c r="N165" s="398"/>
      <c r="O165" s="398"/>
      <c r="P165" s="398"/>
      <c r="Q165" s="398"/>
      <c r="R165" s="398"/>
      <c r="S165" s="398"/>
      <c r="T165" s="398"/>
      <c r="U165" s="398"/>
      <c r="V165" s="398"/>
      <c r="W165" s="398"/>
    </row>
    <row r="166" spans="2:23" s="154" customFormat="1" ht="6" customHeight="1">
      <c r="B166" s="443"/>
      <c r="C166" s="429"/>
      <c r="D166" s="429"/>
      <c r="E166" s="398"/>
      <c r="F166" s="440"/>
      <c r="G166" s="413"/>
      <c r="H166" s="442"/>
      <c r="I166" s="405"/>
      <c r="J166" s="414"/>
      <c r="K166" s="406"/>
      <c r="L166" s="406"/>
      <c r="M166" s="395"/>
      <c r="N166" s="398"/>
      <c r="O166" s="398"/>
      <c r="P166" s="398"/>
      <c r="Q166" s="398"/>
      <c r="R166" s="398"/>
      <c r="S166" s="398"/>
      <c r="T166" s="398"/>
      <c r="U166" s="398"/>
      <c r="V166" s="398"/>
      <c r="W166" s="398"/>
    </row>
    <row r="167" spans="2:23" s="154" customFormat="1" ht="12.75" customHeight="1">
      <c r="B167" s="408" t="s">
        <v>433</v>
      </c>
      <c r="C167" s="429" t="s">
        <v>434</v>
      </c>
      <c r="D167" s="414"/>
      <c r="E167" s="411"/>
      <c r="F167" s="412">
        <f>1.8*1.95*2.35-1.2*0.6*2.05-1.05*3.14*0.4*0.4</f>
        <v>6.24498</v>
      </c>
      <c r="G167" s="413" t="s">
        <v>410</v>
      </c>
      <c r="H167" s="431"/>
      <c r="I167" s="432"/>
      <c r="J167" s="433" t="s">
        <v>567</v>
      </c>
      <c r="K167" s="415"/>
      <c r="L167" s="414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</row>
    <row r="168" spans="2:23" s="154" customFormat="1" ht="12.75" customHeight="1">
      <c r="B168" s="408"/>
      <c r="C168" s="429" t="s">
        <v>412</v>
      </c>
      <c r="D168" s="414"/>
      <c r="E168" s="411" t="s">
        <v>436</v>
      </c>
      <c r="F168" s="412">
        <f>4*1.7*2.25+2*1.85*2.25+2*0.7*2.05+1.7*1.85+1.3*0.7</f>
        <v>30.55</v>
      </c>
      <c r="G168" s="413" t="s">
        <v>414</v>
      </c>
      <c r="H168" s="434">
        <f>F168*7.9</f>
        <v>241.34500000000003</v>
      </c>
      <c r="I168" s="280" t="s">
        <v>415</v>
      </c>
      <c r="J168" s="414" t="s">
        <v>568</v>
      </c>
      <c r="K168" s="415"/>
      <c r="L168" s="414"/>
      <c r="M168" s="398"/>
      <c r="N168" s="398"/>
      <c r="O168" s="398"/>
      <c r="P168" s="398"/>
      <c r="Q168" s="398"/>
      <c r="R168" s="398"/>
      <c r="S168" s="398"/>
      <c r="T168" s="398"/>
      <c r="U168" s="398"/>
      <c r="V168" s="398"/>
      <c r="W168" s="398"/>
    </row>
    <row r="169" spans="2:23" s="154" customFormat="1" ht="12.75" customHeight="1">
      <c r="B169" s="408"/>
      <c r="C169" s="429" t="s">
        <v>422</v>
      </c>
      <c r="D169" s="414"/>
      <c r="E169" s="411" t="s">
        <v>91</v>
      </c>
      <c r="F169" s="412"/>
      <c r="G169" s="413"/>
      <c r="H169" s="431"/>
      <c r="I169" s="432"/>
      <c r="J169" s="433"/>
      <c r="K169" s="415"/>
      <c r="L169" s="414"/>
      <c r="M169" s="395"/>
      <c r="N169" s="398"/>
      <c r="O169" s="398"/>
      <c r="P169" s="398"/>
      <c r="Q169" s="398"/>
      <c r="R169" s="398"/>
      <c r="S169" s="398"/>
      <c r="T169" s="398"/>
      <c r="U169" s="398"/>
      <c r="V169" s="398"/>
      <c r="W169" s="398"/>
    </row>
    <row r="170" spans="2:23" s="154" customFormat="1" ht="12.75" customHeight="1">
      <c r="B170" s="408"/>
      <c r="C170" s="429"/>
      <c r="D170" s="414"/>
      <c r="E170" s="411" t="s">
        <v>438</v>
      </c>
      <c r="F170" s="412">
        <f>2.4*2.6*0.15</f>
        <v>0.9359999999999999</v>
      </c>
      <c r="G170" s="413" t="s">
        <v>410</v>
      </c>
      <c r="H170" s="431"/>
      <c r="I170" s="432"/>
      <c r="J170" s="433" t="s">
        <v>439</v>
      </c>
      <c r="K170" s="415"/>
      <c r="L170" s="414"/>
      <c r="M170" s="395"/>
      <c r="N170" s="398"/>
      <c r="O170" s="398"/>
      <c r="P170" s="398"/>
      <c r="Q170" s="398"/>
      <c r="R170" s="398"/>
      <c r="S170" s="398"/>
      <c r="T170" s="398"/>
      <c r="U170" s="398"/>
      <c r="V170" s="398"/>
      <c r="W170" s="398"/>
    </row>
    <row r="171" spans="2:23" s="154" customFormat="1" ht="12.75" customHeight="1">
      <c r="B171" s="408"/>
      <c r="C171" s="429"/>
      <c r="D171" s="414"/>
      <c r="E171" s="411" t="s">
        <v>440</v>
      </c>
      <c r="F171" s="412">
        <f>1.2*0.6*0.15</f>
        <v>0.108</v>
      </c>
      <c r="G171" s="413" t="s">
        <v>410</v>
      </c>
      <c r="H171" s="431"/>
      <c r="I171" s="432"/>
      <c r="J171" s="433" t="s">
        <v>441</v>
      </c>
      <c r="K171" s="415"/>
      <c r="L171" s="414"/>
      <c r="M171" s="395"/>
      <c r="N171" s="398"/>
      <c r="O171" s="398"/>
      <c r="P171" s="398"/>
      <c r="Q171" s="398"/>
      <c r="R171" s="398"/>
      <c r="S171" s="398"/>
      <c r="T171" s="398"/>
      <c r="U171" s="398"/>
      <c r="V171" s="398"/>
      <c r="W171" s="398"/>
    </row>
    <row r="172" spans="2:23" s="154" customFormat="1" ht="12.75" customHeight="1">
      <c r="B172" s="408"/>
      <c r="C172" s="429" t="s">
        <v>442</v>
      </c>
      <c r="D172" s="414"/>
      <c r="E172" s="411" t="s">
        <v>91</v>
      </c>
      <c r="F172" s="412">
        <f>1.2*0.6</f>
        <v>0.72</v>
      </c>
      <c r="G172" s="413" t="s">
        <v>414</v>
      </c>
      <c r="H172" s="434"/>
      <c r="I172" s="413"/>
      <c r="J172" s="433" t="s">
        <v>443</v>
      </c>
      <c r="K172" s="415"/>
      <c r="L172" s="414"/>
      <c r="M172" s="395"/>
      <c r="N172" s="398"/>
      <c r="O172" s="398"/>
      <c r="P172" s="398"/>
      <c r="Q172" s="398"/>
      <c r="R172" s="398"/>
      <c r="S172" s="398"/>
      <c r="T172" s="398"/>
      <c r="U172" s="398"/>
      <c r="V172" s="398"/>
      <c r="W172" s="398"/>
    </row>
    <row r="173" spans="2:23" s="154" customFormat="1" ht="12.75" customHeight="1">
      <c r="B173" s="408"/>
      <c r="C173" s="429" t="s">
        <v>424</v>
      </c>
      <c r="D173" s="414"/>
      <c r="E173" s="411" t="s">
        <v>99</v>
      </c>
      <c r="F173" s="412">
        <f>2.3*2.3*0.1</f>
        <v>0.5289999999999999</v>
      </c>
      <c r="G173" s="413" t="s">
        <v>410</v>
      </c>
      <c r="H173" s="434">
        <f>2.3*2.3</f>
        <v>5.289999999999999</v>
      </c>
      <c r="I173" s="413" t="s">
        <v>414</v>
      </c>
      <c r="J173" s="433" t="s">
        <v>444</v>
      </c>
      <c r="K173" s="415"/>
      <c r="L173" s="414"/>
      <c r="M173" s="395"/>
      <c r="N173" s="398"/>
      <c r="O173" s="398"/>
      <c r="P173" s="398"/>
      <c r="Q173" s="398"/>
      <c r="R173" s="398"/>
      <c r="S173" s="398"/>
      <c r="T173" s="398"/>
      <c r="U173" s="398"/>
      <c r="V173" s="398"/>
      <c r="W173" s="398"/>
    </row>
    <row r="174" spans="2:23" s="154" customFormat="1" ht="12.75" customHeight="1">
      <c r="B174" s="408"/>
      <c r="C174" s="429" t="s">
        <v>426</v>
      </c>
      <c r="D174" s="390"/>
      <c r="E174" s="435"/>
      <c r="F174" s="412">
        <f>2*((1.8+1.95)*2.35+(1.2+0.6)*2.05)</f>
        <v>25.005</v>
      </c>
      <c r="G174" s="413" t="s">
        <v>414</v>
      </c>
      <c r="H174" s="434"/>
      <c r="I174" s="413"/>
      <c r="J174" s="433" t="s">
        <v>569</v>
      </c>
      <c r="K174" s="415"/>
      <c r="L174" s="414"/>
      <c r="M174" s="395"/>
      <c r="N174" s="398"/>
      <c r="O174" s="398"/>
      <c r="P174" s="398"/>
      <c r="Q174" s="398"/>
      <c r="R174" s="398"/>
      <c r="S174" s="398"/>
      <c r="T174" s="398"/>
      <c r="U174" s="398"/>
      <c r="V174" s="398"/>
      <c r="W174" s="398"/>
    </row>
    <row r="175" spans="2:23" s="154" customFormat="1" ht="12.75" customHeight="1">
      <c r="B175" s="408"/>
      <c r="C175" s="436" t="s">
        <v>446</v>
      </c>
      <c r="D175" s="390"/>
      <c r="E175" s="435"/>
      <c r="F175" s="437">
        <v>1</v>
      </c>
      <c r="G175" s="413" t="s">
        <v>130</v>
      </c>
      <c r="H175" s="434"/>
      <c r="I175" s="413"/>
      <c r="J175" s="433"/>
      <c r="K175" s="415"/>
      <c r="L175" s="414"/>
      <c r="M175" s="395"/>
      <c r="N175" s="398"/>
      <c r="O175" s="398"/>
      <c r="P175" s="398"/>
      <c r="Q175" s="398"/>
      <c r="R175" s="398"/>
      <c r="S175" s="398"/>
      <c r="T175" s="398"/>
      <c r="U175" s="398"/>
      <c r="V175" s="398"/>
      <c r="W175" s="398"/>
    </row>
    <row r="176" spans="2:23" s="154" customFormat="1" ht="12.75" customHeight="1">
      <c r="B176" s="408"/>
      <c r="C176" s="436" t="s">
        <v>447</v>
      </c>
      <c r="D176" s="390"/>
      <c r="E176" s="435"/>
      <c r="F176" s="437">
        <v>5</v>
      </c>
      <c r="G176" s="413" t="s">
        <v>130</v>
      </c>
      <c r="H176" s="434"/>
      <c r="I176" s="413"/>
      <c r="J176" s="433"/>
      <c r="K176" s="415"/>
      <c r="L176" s="414"/>
      <c r="M176" s="395"/>
      <c r="N176" s="398"/>
      <c r="O176" s="398"/>
      <c r="P176" s="398"/>
      <c r="Q176" s="398"/>
      <c r="R176" s="398"/>
      <c r="S176" s="398"/>
      <c r="T176" s="398"/>
      <c r="U176" s="398"/>
      <c r="V176" s="398"/>
      <c r="W176" s="398"/>
    </row>
    <row r="177" spans="2:23" s="154" customFormat="1" ht="6" customHeight="1">
      <c r="B177" s="443"/>
      <c r="C177" s="429"/>
      <c r="D177" s="429"/>
      <c r="E177" s="398"/>
      <c r="F177" s="440"/>
      <c r="G177" s="413"/>
      <c r="H177" s="442"/>
      <c r="I177" s="405"/>
      <c r="J177" s="414"/>
      <c r="K177" s="406"/>
      <c r="L177" s="406"/>
      <c r="M177" s="395"/>
      <c r="N177" s="398"/>
      <c r="O177" s="398"/>
      <c r="P177" s="398"/>
      <c r="Q177" s="398"/>
      <c r="R177" s="398"/>
      <c r="S177" s="398"/>
      <c r="T177" s="398"/>
      <c r="U177" s="398"/>
      <c r="V177" s="398"/>
      <c r="W177" s="398"/>
    </row>
    <row r="178" spans="2:23" s="154" customFormat="1" ht="12.75" customHeight="1">
      <c r="B178" s="439" t="s">
        <v>465</v>
      </c>
      <c r="C178" s="429" t="s">
        <v>570</v>
      </c>
      <c r="D178" s="390"/>
      <c r="E178" s="435"/>
      <c r="F178" s="446">
        <f>1.8*1.2*2.35-1.2*0.6*2.05</f>
        <v>3.6000000000000005</v>
      </c>
      <c r="G178" s="447" t="s">
        <v>410</v>
      </c>
      <c r="H178" s="390"/>
      <c r="I178" s="432" t="s">
        <v>510</v>
      </c>
      <c r="J178" s="448" t="s">
        <v>571</v>
      </c>
      <c r="K178" s="449"/>
      <c r="L178" s="416"/>
      <c r="M178" s="398"/>
      <c r="N178" s="398"/>
      <c r="O178" s="398"/>
      <c r="P178" s="398"/>
      <c r="Q178" s="398"/>
      <c r="R178" s="398"/>
      <c r="S178" s="398"/>
      <c r="T178" s="398"/>
      <c r="U178" s="398"/>
      <c r="V178" s="398"/>
      <c r="W178" s="398"/>
    </row>
    <row r="179" spans="2:23" s="154" customFormat="1" ht="12.75" customHeight="1">
      <c r="B179" s="439"/>
      <c r="C179" s="429" t="s">
        <v>512</v>
      </c>
      <c r="D179" s="390"/>
      <c r="E179" s="435"/>
      <c r="F179" s="412">
        <v>8.5</v>
      </c>
      <c r="G179" s="413" t="s">
        <v>9</v>
      </c>
      <c r="H179" s="390"/>
      <c r="I179" s="432" t="s">
        <v>510</v>
      </c>
      <c r="J179" s="414"/>
      <c r="K179" s="415"/>
      <c r="L179" s="416"/>
      <c r="M179" s="398"/>
      <c r="N179" s="398"/>
      <c r="O179" s="398"/>
      <c r="P179" s="398"/>
      <c r="Q179" s="398"/>
      <c r="R179" s="398"/>
      <c r="S179" s="398"/>
      <c r="T179" s="398"/>
      <c r="U179" s="398"/>
      <c r="V179" s="398"/>
      <c r="W179" s="398"/>
    </row>
    <row r="180" spans="2:23" s="154" customFormat="1" ht="12.75" customHeight="1">
      <c r="B180" s="439"/>
      <c r="C180" s="429" t="s">
        <v>572</v>
      </c>
      <c r="D180" s="390"/>
      <c r="E180" s="435"/>
      <c r="F180" s="412">
        <f>1*0.9*0.9</f>
        <v>0.81</v>
      </c>
      <c r="G180" s="413" t="s">
        <v>410</v>
      </c>
      <c r="H180" s="390"/>
      <c r="I180" s="432" t="s">
        <v>510</v>
      </c>
      <c r="J180" s="414" t="s">
        <v>573</v>
      </c>
      <c r="K180" s="415"/>
      <c r="L180" s="416"/>
      <c r="M180" s="398"/>
      <c r="N180" s="398"/>
      <c r="O180" s="398"/>
      <c r="P180" s="398"/>
      <c r="Q180" s="398"/>
      <c r="R180" s="398"/>
      <c r="S180" s="398"/>
      <c r="T180" s="398"/>
      <c r="U180" s="398"/>
      <c r="V180" s="398"/>
      <c r="W180" s="398"/>
    </row>
    <row r="181" spans="2:23" s="154" customFormat="1" ht="6" customHeight="1">
      <c r="B181" s="439"/>
      <c r="C181" s="429"/>
      <c r="D181" s="390"/>
      <c r="E181" s="435"/>
      <c r="F181" s="412"/>
      <c r="G181" s="413"/>
      <c r="H181" s="390"/>
      <c r="I181" s="432"/>
      <c r="J181" s="414"/>
      <c r="K181" s="415"/>
      <c r="L181" s="416"/>
      <c r="M181" s="398"/>
      <c r="N181" s="398"/>
      <c r="O181" s="398"/>
      <c r="P181" s="398"/>
      <c r="Q181" s="398"/>
      <c r="R181" s="398"/>
      <c r="S181" s="398"/>
      <c r="T181" s="398"/>
      <c r="U181" s="398"/>
      <c r="V181" s="398"/>
      <c r="W181" s="398"/>
    </row>
    <row r="182" spans="2:23" s="154" customFormat="1" ht="12.75" customHeight="1">
      <c r="B182" s="439"/>
      <c r="C182" s="429" t="s">
        <v>466</v>
      </c>
      <c r="D182" s="390"/>
      <c r="E182" s="435"/>
      <c r="F182" s="412">
        <f>(9.4-1.2-2.35)*2.3*1.75</f>
        <v>23.546250000000004</v>
      </c>
      <c r="G182" s="413" t="s">
        <v>410</v>
      </c>
      <c r="H182" s="431"/>
      <c r="I182" s="432"/>
      <c r="J182" s="433" t="s">
        <v>574</v>
      </c>
      <c r="K182" s="415"/>
      <c r="L182" s="416"/>
      <c r="M182" s="398"/>
      <c r="N182" s="398"/>
      <c r="O182" s="398"/>
      <c r="P182" s="398"/>
      <c r="Q182" s="398"/>
      <c r="R182" s="398"/>
      <c r="S182" s="398"/>
      <c r="T182" s="398"/>
      <c r="U182" s="398"/>
      <c r="V182" s="398"/>
      <c r="W182" s="398"/>
    </row>
    <row r="183" spans="2:23" s="154" customFormat="1" ht="12.75" customHeight="1">
      <c r="B183" s="439"/>
      <c r="C183" s="429" t="s">
        <v>468</v>
      </c>
      <c r="D183" s="390"/>
      <c r="E183" s="435"/>
      <c r="F183" s="412">
        <f>2.8*3.85*2.55</f>
        <v>27.488999999999997</v>
      </c>
      <c r="G183" s="413" t="s">
        <v>410</v>
      </c>
      <c r="H183" s="431"/>
      <c r="I183" s="432"/>
      <c r="J183" s="414" t="s">
        <v>575</v>
      </c>
      <c r="K183" s="415"/>
      <c r="L183" s="416"/>
      <c r="M183" s="398"/>
      <c r="N183" s="398"/>
      <c r="O183" s="398"/>
      <c r="P183" s="398"/>
      <c r="Q183" s="398"/>
      <c r="R183" s="398"/>
      <c r="S183" s="398"/>
      <c r="T183" s="398"/>
      <c r="U183" s="398"/>
      <c r="V183" s="398"/>
      <c r="W183" s="398"/>
    </row>
    <row r="184" spans="2:23" s="154" customFormat="1" ht="6" customHeight="1">
      <c r="B184" s="439"/>
      <c r="C184" s="429"/>
      <c r="D184" s="398"/>
      <c r="E184" s="398"/>
      <c r="F184" s="440"/>
      <c r="G184" s="413"/>
      <c r="H184" s="442"/>
      <c r="I184" s="405"/>
      <c r="J184" s="406"/>
      <c r="K184" s="406"/>
      <c r="L184" s="406"/>
      <c r="M184" s="398"/>
      <c r="N184" s="398"/>
      <c r="O184" s="398"/>
      <c r="P184" s="398"/>
      <c r="Q184" s="398"/>
      <c r="R184" s="398"/>
      <c r="S184" s="398"/>
      <c r="T184" s="398"/>
      <c r="U184" s="398"/>
      <c r="V184" s="398"/>
      <c r="W184" s="398"/>
    </row>
    <row r="185" spans="2:23" s="154" customFormat="1" ht="12.75" customHeight="1">
      <c r="B185" s="443"/>
      <c r="C185" s="398" t="s">
        <v>474</v>
      </c>
      <c r="D185" s="398"/>
      <c r="E185" s="398"/>
      <c r="F185" s="440">
        <f>(9.4-1.2-2.35)*(2.3*1.4-1.2*1.5)</f>
        <v>8.307000000000002</v>
      </c>
      <c r="G185" s="413" t="s">
        <v>410</v>
      </c>
      <c r="H185" s="442"/>
      <c r="I185" s="405"/>
      <c r="J185" s="433" t="s">
        <v>576</v>
      </c>
      <c r="K185" s="406"/>
      <c r="L185" s="406"/>
      <c r="M185" s="398"/>
      <c r="N185" s="398"/>
      <c r="O185" s="398"/>
      <c r="P185" s="398"/>
      <c r="Q185" s="398"/>
      <c r="R185" s="398"/>
      <c r="S185" s="398"/>
      <c r="T185" s="398"/>
      <c r="U185" s="398"/>
      <c r="V185" s="398"/>
      <c r="W185" s="398"/>
    </row>
    <row r="186" spans="2:23" s="154" customFormat="1" ht="12.75" customHeight="1">
      <c r="B186" s="443"/>
      <c r="C186" s="429" t="s">
        <v>476</v>
      </c>
      <c r="D186" s="429"/>
      <c r="E186" s="398"/>
      <c r="F186" s="440">
        <f>2.8*3.85*2.55-1.8*1.95*2.25-1.05*3.14*0.4*0.4-1.3*1.2*1.5</f>
        <v>16.723979999999997</v>
      </c>
      <c r="G186" s="413" t="s">
        <v>410</v>
      </c>
      <c r="H186" s="442"/>
      <c r="I186" s="405"/>
      <c r="J186" s="414" t="s">
        <v>577</v>
      </c>
      <c r="K186" s="406"/>
      <c r="L186" s="406"/>
      <c r="M186" s="398"/>
      <c r="N186" s="398"/>
      <c r="O186" s="398"/>
      <c r="P186" s="398"/>
      <c r="Q186" s="398"/>
      <c r="R186" s="398"/>
      <c r="S186" s="398"/>
      <c r="T186" s="398"/>
      <c r="U186" s="398"/>
      <c r="V186" s="398"/>
      <c r="W186" s="398"/>
    </row>
    <row r="187" spans="2:23" s="154" customFormat="1" ht="6" customHeight="1">
      <c r="B187" s="443"/>
      <c r="C187" s="429"/>
      <c r="D187" s="429"/>
      <c r="E187" s="398"/>
      <c r="F187" s="440"/>
      <c r="G187" s="413"/>
      <c r="H187" s="442"/>
      <c r="I187" s="405"/>
      <c r="J187" s="414"/>
      <c r="K187" s="406"/>
      <c r="L187" s="406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</row>
    <row r="188" spans="2:23" s="154" customFormat="1" ht="12.75" customHeight="1">
      <c r="B188" s="439" t="s">
        <v>482</v>
      </c>
      <c r="C188" s="429"/>
      <c r="D188" s="390"/>
      <c r="E188" s="435" t="s">
        <v>483</v>
      </c>
      <c r="F188" s="412">
        <f>7.8*3</f>
        <v>23.4</v>
      </c>
      <c r="G188" s="413" t="s">
        <v>414</v>
      </c>
      <c r="H188" s="431"/>
      <c r="I188" s="432"/>
      <c r="J188" s="433" t="s">
        <v>578</v>
      </c>
      <c r="K188" s="406"/>
      <c r="L188" s="406"/>
      <c r="M188" s="395"/>
      <c r="N188" s="398"/>
      <c r="O188" s="398"/>
      <c r="P188" s="398"/>
      <c r="Q188" s="398"/>
      <c r="R188" s="398"/>
      <c r="S188" s="398"/>
      <c r="T188" s="398"/>
      <c r="U188" s="398"/>
      <c r="V188" s="398"/>
      <c r="W188" s="398"/>
    </row>
    <row r="189" spans="2:23" s="154" customFormat="1" ht="6" customHeight="1">
      <c r="B189" s="439"/>
      <c r="C189" s="429"/>
      <c r="D189" s="390"/>
      <c r="E189" s="435"/>
      <c r="F189" s="412"/>
      <c r="G189" s="413"/>
      <c r="H189" s="431"/>
      <c r="I189" s="432"/>
      <c r="J189" s="433"/>
      <c r="K189" s="406"/>
      <c r="L189" s="406"/>
      <c r="M189" s="395"/>
      <c r="N189" s="398"/>
      <c r="O189" s="398"/>
      <c r="P189" s="398"/>
      <c r="Q189" s="398"/>
      <c r="R189" s="398"/>
      <c r="S189" s="398"/>
      <c r="T189" s="398"/>
      <c r="U189" s="398"/>
      <c r="V189" s="398"/>
      <c r="W189" s="398"/>
    </row>
    <row r="190" spans="2:23" s="154" customFormat="1" ht="12.75" customHeight="1">
      <c r="B190" s="439" t="s">
        <v>485</v>
      </c>
      <c r="C190" s="429"/>
      <c r="D190" s="390"/>
      <c r="E190" s="435"/>
      <c r="F190" s="412">
        <v>40</v>
      </c>
      <c r="G190" s="413" t="s">
        <v>414</v>
      </c>
      <c r="H190" s="431"/>
      <c r="I190" s="432"/>
      <c r="J190" s="433" t="s">
        <v>742</v>
      </c>
      <c r="K190" s="406"/>
      <c r="L190" s="406"/>
      <c r="M190" s="395"/>
      <c r="N190" s="398"/>
      <c r="O190" s="398"/>
      <c r="P190" s="398"/>
      <c r="Q190" s="398"/>
      <c r="R190" s="398"/>
      <c r="S190" s="398"/>
      <c r="T190" s="398"/>
      <c r="U190" s="398"/>
      <c r="V190" s="398"/>
      <c r="W190" s="398"/>
    </row>
    <row r="191" spans="2:23" s="154" customFormat="1" ht="12.75" customHeight="1">
      <c r="B191" s="439"/>
      <c r="C191" s="429"/>
      <c r="D191" s="390"/>
      <c r="E191" s="435"/>
      <c r="F191" s="412"/>
      <c r="G191" s="413"/>
      <c r="H191" s="431"/>
      <c r="I191" s="432"/>
      <c r="J191" s="433"/>
      <c r="K191" s="406"/>
      <c r="L191" s="406"/>
      <c r="M191" s="395"/>
      <c r="N191" s="398"/>
      <c r="O191" s="398"/>
      <c r="P191" s="398"/>
      <c r="Q191" s="398"/>
      <c r="R191" s="398"/>
      <c r="S191" s="398"/>
      <c r="T191" s="398"/>
      <c r="U191" s="398"/>
      <c r="V191" s="398"/>
      <c r="W191" s="398"/>
    </row>
    <row r="192" spans="2:23" s="154" customFormat="1" ht="12.75" customHeight="1">
      <c r="B192" s="399"/>
      <c r="C192" s="400"/>
      <c r="D192" s="401"/>
      <c r="E192" s="401"/>
      <c r="F192" s="402"/>
      <c r="G192" s="402"/>
      <c r="H192" s="402"/>
      <c r="I192" s="402"/>
      <c r="J192" s="403"/>
      <c r="K192" s="403"/>
      <c r="L192" s="401"/>
      <c r="M192" s="401"/>
      <c r="N192" s="401"/>
      <c r="O192" s="401"/>
      <c r="P192" s="398"/>
      <c r="Q192" s="398"/>
      <c r="R192" s="398"/>
      <c r="S192" s="398"/>
      <c r="T192" s="398"/>
      <c r="U192" s="398"/>
      <c r="V192" s="398"/>
      <c r="W192" s="398"/>
    </row>
    <row r="193" spans="2:23" s="154" customFormat="1" ht="12.75" customHeight="1">
      <c r="B193" s="404" t="s">
        <v>579</v>
      </c>
      <c r="C193" s="398"/>
      <c r="D193" s="395" t="s">
        <v>487</v>
      </c>
      <c r="E193" s="398"/>
      <c r="F193" s="405"/>
      <c r="G193" s="405"/>
      <c r="H193" s="405" t="s">
        <v>558</v>
      </c>
      <c r="I193" s="405"/>
      <c r="J193" s="406"/>
      <c r="K193" s="406"/>
      <c r="L193" s="398"/>
      <c r="M193" s="395"/>
      <c r="N193" s="398"/>
      <c r="O193" s="398"/>
      <c r="P193" s="398"/>
      <c r="Q193" s="398"/>
      <c r="R193" s="398"/>
      <c r="S193" s="398"/>
      <c r="T193" s="398"/>
      <c r="U193" s="398"/>
      <c r="V193" s="398"/>
      <c r="W193" s="398"/>
    </row>
    <row r="194" spans="2:23" s="154" customFormat="1" ht="12.75" customHeight="1">
      <c r="B194" s="407"/>
      <c r="C194" s="398"/>
      <c r="D194" s="398"/>
      <c r="E194" s="398"/>
      <c r="F194" s="405"/>
      <c r="G194" s="405"/>
      <c r="H194" s="405"/>
      <c r="I194" s="405"/>
      <c r="J194" s="406"/>
      <c r="K194" s="406"/>
      <c r="L194" s="398"/>
      <c r="M194" s="395"/>
      <c r="N194" s="398"/>
      <c r="O194" s="398"/>
      <c r="P194" s="398"/>
      <c r="Q194" s="398"/>
      <c r="R194" s="398"/>
      <c r="S194" s="398"/>
      <c r="T194" s="398"/>
      <c r="U194" s="398"/>
      <c r="V194" s="398"/>
      <c r="W194" s="398"/>
    </row>
    <row r="195" spans="2:23" s="154" customFormat="1" ht="12.75" customHeight="1">
      <c r="B195" s="408" t="s">
        <v>405</v>
      </c>
      <c r="C195" s="409"/>
      <c r="D195" s="410"/>
      <c r="E195" s="411" t="s">
        <v>124</v>
      </c>
      <c r="F195" s="412">
        <v>9.7</v>
      </c>
      <c r="G195" s="413" t="s">
        <v>9</v>
      </c>
      <c r="H195" s="280">
        <v>4</v>
      </c>
      <c r="I195" s="280" t="s">
        <v>130</v>
      </c>
      <c r="J195" s="414"/>
      <c r="K195" s="415"/>
      <c r="L195" s="416"/>
      <c r="M195" s="398"/>
      <c r="N195" s="398"/>
      <c r="O195" s="398"/>
      <c r="P195" s="398"/>
      <c r="Q195" s="398"/>
      <c r="R195" s="398"/>
      <c r="S195" s="398"/>
      <c r="T195" s="398"/>
      <c r="U195" s="398"/>
      <c r="V195" s="398"/>
      <c r="W195" s="398"/>
    </row>
    <row r="196" spans="2:23" s="154" customFormat="1" ht="12.75" customHeight="1">
      <c r="B196" s="408"/>
      <c r="C196" s="420" t="s">
        <v>406</v>
      </c>
      <c r="D196" s="415"/>
      <c r="E196" s="445"/>
      <c r="F196" s="421">
        <f>2*4</f>
        <v>8</v>
      </c>
      <c r="G196" s="422" t="s">
        <v>130</v>
      </c>
      <c r="H196" s="423"/>
      <c r="I196" s="424"/>
      <c r="J196" s="425" t="s">
        <v>559</v>
      </c>
      <c r="K196" s="415"/>
      <c r="L196" s="414"/>
      <c r="M196" s="395"/>
      <c r="N196" s="398"/>
      <c r="O196" s="398"/>
      <c r="P196" s="398"/>
      <c r="Q196" s="398"/>
      <c r="R196" s="398"/>
      <c r="S196" s="398"/>
      <c r="T196" s="398"/>
      <c r="U196" s="398"/>
      <c r="V196" s="398"/>
      <c r="W196" s="398"/>
    </row>
    <row r="197" spans="2:23" s="154" customFormat="1" ht="12.75" customHeight="1">
      <c r="B197" s="408"/>
      <c r="C197" s="429" t="s">
        <v>408</v>
      </c>
      <c r="D197" s="414"/>
      <c r="E197" s="411" t="s">
        <v>409</v>
      </c>
      <c r="F197" s="430">
        <f>6*(1.2*1-3.14*0.4*0.4)</f>
        <v>4.185599999999999</v>
      </c>
      <c r="G197" s="413" t="s">
        <v>410</v>
      </c>
      <c r="H197" s="431"/>
      <c r="I197" s="432"/>
      <c r="J197" s="433" t="s">
        <v>580</v>
      </c>
      <c r="K197" s="415"/>
      <c r="L197" s="414"/>
      <c r="M197" s="395"/>
      <c r="N197" s="398"/>
      <c r="O197" s="398"/>
      <c r="P197" s="398"/>
      <c r="Q197" s="398"/>
      <c r="R197" s="398"/>
      <c r="S197" s="398"/>
      <c r="T197" s="398"/>
      <c r="U197" s="398"/>
      <c r="V197" s="398"/>
      <c r="W197" s="398"/>
    </row>
    <row r="198" spans="2:23" s="154" customFormat="1" ht="12.75" customHeight="1">
      <c r="B198" s="408"/>
      <c r="C198" s="429" t="s">
        <v>412</v>
      </c>
      <c r="D198" s="414"/>
      <c r="E198" s="411" t="s">
        <v>413</v>
      </c>
      <c r="F198" s="412">
        <f>6*(2*0.95+1.1)</f>
        <v>18</v>
      </c>
      <c r="G198" s="413" t="s">
        <v>414</v>
      </c>
      <c r="H198" s="434">
        <f>F198*7.9</f>
        <v>142.20000000000002</v>
      </c>
      <c r="I198" s="280" t="s">
        <v>415</v>
      </c>
      <c r="J198" s="414" t="s">
        <v>581</v>
      </c>
      <c r="K198" s="433"/>
      <c r="L198" s="414"/>
      <c r="M198" s="395"/>
      <c r="N198" s="398"/>
      <c r="O198" s="398"/>
      <c r="P198" s="398"/>
      <c r="Q198" s="398"/>
      <c r="R198" s="398"/>
      <c r="S198" s="398"/>
      <c r="T198" s="398"/>
      <c r="U198" s="398"/>
      <c r="V198" s="398"/>
      <c r="W198" s="398"/>
    </row>
    <row r="199" spans="2:23" s="154" customFormat="1" ht="12.75" customHeight="1">
      <c r="B199" s="408"/>
      <c r="C199" s="429"/>
      <c r="D199" s="414"/>
      <c r="E199" s="411" t="s">
        <v>417</v>
      </c>
      <c r="F199" s="412">
        <f>2*6*1.1</f>
        <v>13.200000000000001</v>
      </c>
      <c r="G199" s="413" t="s">
        <v>414</v>
      </c>
      <c r="H199" s="434">
        <f>F199*7.9</f>
        <v>104.28000000000002</v>
      </c>
      <c r="I199" s="280" t="s">
        <v>415</v>
      </c>
      <c r="J199" s="414" t="s">
        <v>582</v>
      </c>
      <c r="K199" s="433"/>
      <c r="L199" s="414"/>
      <c r="M199" s="395"/>
      <c r="N199" s="398"/>
      <c r="O199" s="398"/>
      <c r="P199" s="398"/>
      <c r="Q199" s="398"/>
      <c r="R199" s="398"/>
      <c r="S199" s="398"/>
      <c r="T199" s="398"/>
      <c r="U199" s="398"/>
      <c r="V199" s="398"/>
      <c r="W199" s="398"/>
    </row>
    <row r="200" spans="2:23" s="154" customFormat="1" ht="12.75" customHeight="1">
      <c r="B200" s="408"/>
      <c r="C200" s="429" t="s">
        <v>419</v>
      </c>
      <c r="D200" s="414"/>
      <c r="E200" s="411" t="s">
        <v>420</v>
      </c>
      <c r="F200" s="412">
        <f>6*1.2*0.3</f>
        <v>2.1599999999999997</v>
      </c>
      <c r="G200" s="413" t="s">
        <v>410</v>
      </c>
      <c r="H200" s="431"/>
      <c r="I200" s="432"/>
      <c r="J200" s="433" t="s">
        <v>583</v>
      </c>
      <c r="K200" s="415"/>
      <c r="L200" s="414"/>
      <c r="M200" s="395"/>
      <c r="N200" s="398"/>
      <c r="O200" s="398"/>
      <c r="P200" s="398"/>
      <c r="Q200" s="398"/>
      <c r="R200" s="398"/>
      <c r="S200" s="398"/>
      <c r="T200" s="398"/>
      <c r="U200" s="398"/>
      <c r="V200" s="398"/>
      <c r="W200" s="398"/>
    </row>
    <row r="201" spans="2:23" s="154" customFormat="1" ht="12.75" customHeight="1">
      <c r="B201" s="408"/>
      <c r="C201" s="429" t="s">
        <v>422</v>
      </c>
      <c r="D201" s="414"/>
      <c r="E201" s="411" t="s">
        <v>99</v>
      </c>
      <c r="F201" s="412">
        <f>6*1.45*0.1</f>
        <v>0.87</v>
      </c>
      <c r="G201" s="413" t="s">
        <v>410</v>
      </c>
      <c r="H201" s="431"/>
      <c r="I201" s="432"/>
      <c r="J201" s="433" t="s">
        <v>584</v>
      </c>
      <c r="K201" s="415"/>
      <c r="L201" s="414"/>
      <c r="M201" s="395"/>
      <c r="N201" s="398"/>
      <c r="O201" s="398"/>
      <c r="P201" s="398"/>
      <c r="Q201" s="398"/>
      <c r="R201" s="398"/>
      <c r="S201" s="398"/>
      <c r="T201" s="398"/>
      <c r="U201" s="398"/>
      <c r="V201" s="398"/>
      <c r="W201" s="398"/>
    </row>
    <row r="202" spans="2:23" s="154" customFormat="1" ht="12.75" customHeight="1">
      <c r="B202" s="408"/>
      <c r="C202" s="429" t="s">
        <v>424</v>
      </c>
      <c r="D202" s="414"/>
      <c r="E202" s="411" t="s">
        <v>99</v>
      </c>
      <c r="F202" s="412">
        <f>6*1.65*0.1</f>
        <v>0.9899999999999999</v>
      </c>
      <c r="G202" s="413" t="s">
        <v>410</v>
      </c>
      <c r="H202" s="434">
        <f>6*1.65</f>
        <v>9.899999999999999</v>
      </c>
      <c r="I202" s="413" t="s">
        <v>414</v>
      </c>
      <c r="J202" s="433" t="s">
        <v>585</v>
      </c>
      <c r="K202" s="415"/>
      <c r="L202" s="414"/>
      <c r="M202" s="395"/>
      <c r="N202" s="398"/>
      <c r="O202" s="398"/>
      <c r="P202" s="398"/>
      <c r="Q202" s="398"/>
      <c r="R202" s="398"/>
      <c r="S202" s="398"/>
      <c r="T202" s="398"/>
      <c r="U202" s="398"/>
      <c r="V202" s="398"/>
      <c r="W202" s="398"/>
    </row>
    <row r="203" spans="2:23" s="154" customFormat="1" ht="12.75" customHeight="1">
      <c r="B203" s="408"/>
      <c r="C203" s="429" t="s">
        <v>426</v>
      </c>
      <c r="D203" s="414"/>
      <c r="E203" s="411"/>
      <c r="F203" s="412">
        <f>2*6*1.3+1.2*1.3</f>
        <v>17.16</v>
      </c>
      <c r="G203" s="413" t="s">
        <v>414</v>
      </c>
      <c r="H203" s="434"/>
      <c r="I203" s="413"/>
      <c r="J203" s="433" t="s">
        <v>586</v>
      </c>
      <c r="K203" s="415"/>
      <c r="L203" s="414"/>
      <c r="M203" s="395"/>
      <c r="N203" s="398"/>
      <c r="O203" s="398"/>
      <c r="P203" s="398"/>
      <c r="Q203" s="398"/>
      <c r="R203" s="398"/>
      <c r="S203" s="398"/>
      <c r="T203" s="398"/>
      <c r="U203" s="398"/>
      <c r="V203" s="398"/>
      <c r="W203" s="398"/>
    </row>
    <row r="204" spans="2:23" s="154" customFormat="1" ht="6" customHeight="1">
      <c r="B204" s="439"/>
      <c r="C204" s="429"/>
      <c r="D204" s="390"/>
      <c r="E204" s="435"/>
      <c r="F204" s="412"/>
      <c r="G204" s="413"/>
      <c r="H204" s="431"/>
      <c r="I204" s="432"/>
      <c r="J204" s="433"/>
      <c r="K204" s="406"/>
      <c r="L204" s="406"/>
      <c r="M204" s="395"/>
      <c r="N204" s="398"/>
      <c r="O204" s="398"/>
      <c r="P204" s="398"/>
      <c r="Q204" s="398"/>
      <c r="R204" s="398"/>
      <c r="S204" s="398"/>
      <c r="T204" s="398"/>
      <c r="U204" s="398"/>
      <c r="V204" s="398"/>
      <c r="W204" s="398"/>
    </row>
    <row r="205" spans="2:23" s="154" customFormat="1" ht="12.75" customHeight="1">
      <c r="B205" s="408" t="s">
        <v>433</v>
      </c>
      <c r="C205" s="429" t="s">
        <v>434</v>
      </c>
      <c r="D205" s="414"/>
      <c r="E205" s="411"/>
      <c r="F205" s="412">
        <f>1.8*1.95*2.25-1.2*0.6*1.95-1.05*3.14*0.4*0.4</f>
        <v>5.965979999999999</v>
      </c>
      <c r="G205" s="413" t="s">
        <v>410</v>
      </c>
      <c r="H205" s="431"/>
      <c r="I205" s="432"/>
      <c r="J205" s="433" t="s">
        <v>587</v>
      </c>
      <c r="K205" s="415"/>
      <c r="L205" s="414"/>
      <c r="M205" s="398"/>
      <c r="N205" s="398"/>
      <c r="O205" s="398"/>
      <c r="P205" s="398"/>
      <c r="Q205" s="398"/>
      <c r="R205" s="398"/>
      <c r="S205" s="398"/>
      <c r="T205" s="398"/>
      <c r="U205" s="398"/>
      <c r="V205" s="398"/>
      <c r="W205" s="398"/>
    </row>
    <row r="206" spans="2:23" s="154" customFormat="1" ht="12.75" customHeight="1">
      <c r="B206" s="408"/>
      <c r="C206" s="429" t="s">
        <v>412</v>
      </c>
      <c r="D206" s="414"/>
      <c r="E206" s="411" t="s">
        <v>436</v>
      </c>
      <c r="F206" s="412">
        <f>4*1.7*2.15+2*1.85*2.15+2*0.7*1.95+1.7*1.85+1.3*0.7</f>
        <v>29.36</v>
      </c>
      <c r="G206" s="413" t="s">
        <v>414</v>
      </c>
      <c r="H206" s="434">
        <f>F206*7.9</f>
        <v>231.94400000000002</v>
      </c>
      <c r="I206" s="280" t="s">
        <v>415</v>
      </c>
      <c r="J206" s="414" t="s">
        <v>588</v>
      </c>
      <c r="K206" s="415"/>
      <c r="L206" s="414"/>
      <c r="M206" s="398"/>
      <c r="N206" s="398"/>
      <c r="O206" s="398"/>
      <c r="P206" s="398"/>
      <c r="Q206" s="398"/>
      <c r="R206" s="398"/>
      <c r="S206" s="398"/>
      <c r="T206" s="398"/>
      <c r="U206" s="398"/>
      <c r="V206" s="398"/>
      <c r="W206" s="398"/>
    </row>
    <row r="207" spans="2:23" s="154" customFormat="1" ht="12.75" customHeight="1">
      <c r="B207" s="408"/>
      <c r="C207" s="429" t="s">
        <v>422</v>
      </c>
      <c r="D207" s="414"/>
      <c r="E207" s="411" t="s">
        <v>91</v>
      </c>
      <c r="F207" s="412"/>
      <c r="G207" s="413"/>
      <c r="H207" s="431"/>
      <c r="I207" s="432"/>
      <c r="J207" s="433"/>
      <c r="K207" s="415"/>
      <c r="L207" s="414"/>
      <c r="M207" s="398"/>
      <c r="N207" s="398"/>
      <c r="O207" s="398"/>
      <c r="P207" s="398"/>
      <c r="Q207" s="398"/>
      <c r="R207" s="398"/>
      <c r="S207" s="398"/>
      <c r="T207" s="398"/>
      <c r="U207" s="398"/>
      <c r="V207" s="398"/>
      <c r="W207" s="398"/>
    </row>
    <row r="208" spans="2:23" s="154" customFormat="1" ht="12.75" customHeight="1">
      <c r="B208" s="408"/>
      <c r="C208" s="429"/>
      <c r="D208" s="414"/>
      <c r="E208" s="411" t="s">
        <v>438</v>
      </c>
      <c r="F208" s="412">
        <f>2.4*2.6*0.15</f>
        <v>0.9359999999999999</v>
      </c>
      <c r="G208" s="413" t="s">
        <v>410</v>
      </c>
      <c r="H208" s="431"/>
      <c r="I208" s="432"/>
      <c r="J208" s="433" t="s">
        <v>439</v>
      </c>
      <c r="K208" s="415"/>
      <c r="L208" s="414"/>
      <c r="M208" s="398"/>
      <c r="N208" s="398"/>
      <c r="O208" s="398"/>
      <c r="P208" s="398"/>
      <c r="Q208" s="398"/>
      <c r="R208" s="398"/>
      <c r="S208" s="398"/>
      <c r="T208" s="398"/>
      <c r="U208" s="398"/>
      <c r="V208" s="398"/>
      <c r="W208" s="398"/>
    </row>
    <row r="209" spans="2:23" s="154" customFormat="1" ht="12.75" customHeight="1">
      <c r="B209" s="408"/>
      <c r="C209" s="429"/>
      <c r="D209" s="414"/>
      <c r="E209" s="411" t="s">
        <v>440</v>
      </c>
      <c r="F209" s="412">
        <f>1.2*0.6*0.15</f>
        <v>0.108</v>
      </c>
      <c r="G209" s="413" t="s">
        <v>410</v>
      </c>
      <c r="H209" s="431"/>
      <c r="I209" s="432"/>
      <c r="J209" s="433" t="s">
        <v>441</v>
      </c>
      <c r="K209" s="415"/>
      <c r="L209" s="414"/>
      <c r="M209" s="398"/>
      <c r="N209" s="398"/>
      <c r="O209" s="398"/>
      <c r="P209" s="398"/>
      <c r="Q209" s="398"/>
      <c r="R209" s="398"/>
      <c r="S209" s="398"/>
      <c r="T209" s="398"/>
      <c r="U209" s="398"/>
      <c r="V209" s="398"/>
      <c r="W209" s="398"/>
    </row>
    <row r="210" spans="2:23" s="154" customFormat="1" ht="12.75" customHeight="1">
      <c r="B210" s="408"/>
      <c r="C210" s="429" t="s">
        <v>442</v>
      </c>
      <c r="D210" s="414"/>
      <c r="E210" s="411" t="s">
        <v>91</v>
      </c>
      <c r="F210" s="412">
        <f>1.2*0.6</f>
        <v>0.72</v>
      </c>
      <c r="G210" s="413" t="s">
        <v>414</v>
      </c>
      <c r="H210" s="434"/>
      <c r="I210" s="413"/>
      <c r="J210" s="433" t="s">
        <v>443</v>
      </c>
      <c r="K210" s="415"/>
      <c r="L210" s="414"/>
      <c r="M210" s="398"/>
      <c r="N210" s="398"/>
      <c r="O210" s="398"/>
      <c r="P210" s="398"/>
      <c r="Q210" s="398"/>
      <c r="R210" s="398"/>
      <c r="S210" s="398"/>
      <c r="T210" s="398"/>
      <c r="U210" s="398"/>
      <c r="V210" s="398"/>
      <c r="W210" s="398"/>
    </row>
    <row r="211" spans="2:23" s="154" customFormat="1" ht="12.75" customHeight="1">
      <c r="B211" s="408"/>
      <c r="C211" s="429" t="s">
        <v>424</v>
      </c>
      <c r="D211" s="414"/>
      <c r="E211" s="411" t="s">
        <v>99</v>
      </c>
      <c r="F211" s="412">
        <f>2.3*2.3*0.1</f>
        <v>0.5289999999999999</v>
      </c>
      <c r="G211" s="413" t="s">
        <v>410</v>
      </c>
      <c r="H211" s="434">
        <f>2.3*2.3</f>
        <v>5.289999999999999</v>
      </c>
      <c r="I211" s="413" t="s">
        <v>414</v>
      </c>
      <c r="J211" s="433" t="s">
        <v>444</v>
      </c>
      <c r="K211" s="415"/>
      <c r="L211" s="414"/>
      <c r="M211" s="398"/>
      <c r="N211" s="398"/>
      <c r="O211" s="398"/>
      <c r="P211" s="398"/>
      <c r="Q211" s="398"/>
      <c r="R211" s="398"/>
      <c r="S211" s="398"/>
      <c r="T211" s="398"/>
      <c r="U211" s="398"/>
      <c r="V211" s="398"/>
      <c r="W211" s="398"/>
    </row>
    <row r="212" spans="2:23" s="154" customFormat="1" ht="12.75" customHeight="1">
      <c r="B212" s="408"/>
      <c r="C212" s="429" t="s">
        <v>426</v>
      </c>
      <c r="D212" s="390"/>
      <c r="E212" s="435"/>
      <c r="F212" s="412">
        <f>2*((1.8+1.95)*2.25+(1.2+0.6)*1.95)</f>
        <v>23.895</v>
      </c>
      <c r="G212" s="413" t="s">
        <v>414</v>
      </c>
      <c r="H212" s="434"/>
      <c r="I212" s="413"/>
      <c r="J212" s="433" t="s">
        <v>589</v>
      </c>
      <c r="K212" s="415"/>
      <c r="L212" s="414"/>
      <c r="M212" s="398"/>
      <c r="N212" s="398"/>
      <c r="O212" s="398"/>
      <c r="P212" s="398"/>
      <c r="Q212" s="398"/>
      <c r="R212" s="398"/>
      <c r="S212" s="398"/>
      <c r="T212" s="398"/>
      <c r="U212" s="398"/>
      <c r="V212" s="398"/>
      <c r="W212" s="398"/>
    </row>
    <row r="213" spans="2:23" s="154" customFormat="1" ht="12.75" customHeight="1">
      <c r="B213" s="408"/>
      <c r="C213" s="436" t="s">
        <v>446</v>
      </c>
      <c r="D213" s="390"/>
      <c r="E213" s="435"/>
      <c r="F213" s="437">
        <v>1</v>
      </c>
      <c r="G213" s="413" t="s">
        <v>130</v>
      </c>
      <c r="H213" s="434"/>
      <c r="I213" s="413"/>
      <c r="J213" s="433"/>
      <c r="K213" s="415"/>
      <c r="L213" s="414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</row>
    <row r="214" spans="2:23" s="154" customFormat="1" ht="12.75" customHeight="1">
      <c r="B214" s="408"/>
      <c r="C214" s="436" t="s">
        <v>447</v>
      </c>
      <c r="D214" s="390"/>
      <c r="E214" s="435"/>
      <c r="F214" s="437">
        <v>5</v>
      </c>
      <c r="G214" s="413" t="s">
        <v>130</v>
      </c>
      <c r="H214" s="434"/>
      <c r="I214" s="413"/>
      <c r="J214" s="433"/>
      <c r="K214" s="415"/>
      <c r="L214" s="414"/>
      <c r="M214" s="398"/>
      <c r="N214" s="398"/>
      <c r="O214" s="398"/>
      <c r="P214" s="398"/>
      <c r="Q214" s="398"/>
      <c r="R214" s="398"/>
      <c r="S214" s="398"/>
      <c r="T214" s="398"/>
      <c r="U214" s="398"/>
      <c r="V214" s="398"/>
      <c r="W214" s="398"/>
    </row>
    <row r="215" spans="2:23" s="154" customFormat="1" ht="6" customHeight="1">
      <c r="B215" s="408"/>
      <c r="C215" s="436"/>
      <c r="D215" s="390"/>
      <c r="E215" s="435"/>
      <c r="F215" s="437"/>
      <c r="G215" s="413"/>
      <c r="H215" s="434"/>
      <c r="I215" s="413"/>
      <c r="J215" s="433"/>
      <c r="K215" s="415"/>
      <c r="L215" s="414"/>
      <c r="M215" s="395"/>
      <c r="N215" s="398"/>
      <c r="O215" s="398"/>
      <c r="P215" s="398"/>
      <c r="Q215" s="398"/>
      <c r="R215" s="398"/>
      <c r="S215" s="398"/>
      <c r="T215" s="398"/>
      <c r="U215" s="398"/>
      <c r="V215" s="398"/>
      <c r="W215" s="398"/>
    </row>
    <row r="216" spans="2:23" s="154" customFormat="1" ht="12.75" customHeight="1">
      <c r="B216" s="439" t="s">
        <v>465</v>
      </c>
      <c r="C216" s="429" t="s">
        <v>590</v>
      </c>
      <c r="D216" s="390"/>
      <c r="E216" s="435"/>
      <c r="F216" s="412">
        <f>8.9*(1.4*1.4-0.8*0.8)</f>
        <v>11.747999999999998</v>
      </c>
      <c r="G216" s="413" t="s">
        <v>410</v>
      </c>
      <c r="H216" s="390"/>
      <c r="I216" s="432" t="s">
        <v>510</v>
      </c>
      <c r="J216" s="414" t="s">
        <v>591</v>
      </c>
      <c r="K216" s="415"/>
      <c r="L216" s="416"/>
      <c r="M216" s="395"/>
      <c r="N216" s="398"/>
      <c r="O216" s="398"/>
      <c r="P216" s="398"/>
      <c r="Q216" s="398"/>
      <c r="R216" s="398"/>
      <c r="S216" s="398"/>
      <c r="T216" s="398"/>
      <c r="U216" s="398"/>
      <c r="V216" s="398"/>
      <c r="W216" s="398"/>
    </row>
    <row r="217" spans="2:23" s="154" customFormat="1" ht="12.75" customHeight="1">
      <c r="B217" s="439"/>
      <c r="C217" s="429" t="s">
        <v>592</v>
      </c>
      <c r="D217" s="390"/>
      <c r="E217" s="435"/>
      <c r="F217" s="412">
        <f>8.9*1.4</f>
        <v>12.459999999999999</v>
      </c>
      <c r="G217" s="413" t="s">
        <v>414</v>
      </c>
      <c r="H217" s="390"/>
      <c r="I217" s="432" t="s">
        <v>510</v>
      </c>
      <c r="J217" s="414" t="s">
        <v>593</v>
      </c>
      <c r="K217" s="415"/>
      <c r="L217" s="416"/>
      <c r="M217" s="395"/>
      <c r="N217" s="398"/>
      <c r="O217" s="398"/>
      <c r="P217" s="398"/>
      <c r="Q217" s="398"/>
      <c r="R217" s="398"/>
      <c r="S217" s="398"/>
      <c r="T217" s="398"/>
      <c r="U217" s="398"/>
      <c r="V217" s="398"/>
      <c r="W217" s="398"/>
    </row>
    <row r="218" spans="2:23" s="154" customFormat="1" ht="12.75" customHeight="1">
      <c r="B218" s="439"/>
      <c r="C218" s="429" t="s">
        <v>572</v>
      </c>
      <c r="D218" s="390"/>
      <c r="E218" s="435"/>
      <c r="F218" s="412">
        <f>1*0.9*0.9</f>
        <v>0.81</v>
      </c>
      <c r="G218" s="413" t="s">
        <v>410</v>
      </c>
      <c r="H218" s="390"/>
      <c r="I218" s="432" t="s">
        <v>510</v>
      </c>
      <c r="J218" s="414" t="s">
        <v>573</v>
      </c>
      <c r="K218" s="415"/>
      <c r="L218" s="416"/>
      <c r="M218" s="395"/>
      <c r="N218" s="398"/>
      <c r="O218" s="398"/>
      <c r="P218" s="398"/>
      <c r="Q218" s="398"/>
      <c r="R218" s="398"/>
      <c r="S218" s="398"/>
      <c r="T218" s="398"/>
      <c r="U218" s="398"/>
      <c r="V218" s="398"/>
      <c r="W218" s="398"/>
    </row>
    <row r="219" spans="2:23" s="154" customFormat="1" ht="6" customHeight="1">
      <c r="B219" s="439"/>
      <c r="C219" s="429"/>
      <c r="D219" s="390"/>
      <c r="E219" s="435"/>
      <c r="F219" s="412"/>
      <c r="G219" s="413"/>
      <c r="H219" s="390"/>
      <c r="I219" s="432"/>
      <c r="J219" s="414"/>
      <c r="K219" s="415"/>
      <c r="L219" s="416"/>
      <c r="M219" s="398"/>
      <c r="N219" s="398"/>
      <c r="O219" s="398"/>
      <c r="P219" s="398"/>
      <c r="Q219" s="398"/>
      <c r="R219" s="398"/>
      <c r="S219" s="398"/>
      <c r="T219" s="398"/>
      <c r="U219" s="398"/>
      <c r="V219" s="398"/>
      <c r="W219" s="398"/>
    </row>
    <row r="220" spans="2:23" s="154" customFormat="1" ht="12.75" customHeight="1">
      <c r="B220" s="439"/>
      <c r="C220" s="429" t="s">
        <v>466</v>
      </c>
      <c r="D220" s="390"/>
      <c r="E220" s="435"/>
      <c r="F220" s="412">
        <f>(9.7-2.6-2.35)*2.3*1.65</f>
        <v>18.026249999999997</v>
      </c>
      <c r="G220" s="413" t="s">
        <v>410</v>
      </c>
      <c r="H220" s="431"/>
      <c r="I220" s="432"/>
      <c r="J220" s="433" t="s">
        <v>594</v>
      </c>
      <c r="K220" s="415"/>
      <c r="L220" s="416"/>
      <c r="M220" s="395"/>
      <c r="N220" s="398"/>
      <c r="O220" s="398"/>
      <c r="P220" s="398"/>
      <c r="Q220" s="398"/>
      <c r="R220" s="398"/>
      <c r="S220" s="398"/>
      <c r="T220" s="398"/>
      <c r="U220" s="398"/>
      <c r="V220" s="398"/>
      <c r="W220" s="398"/>
    </row>
    <row r="221" spans="2:23" s="154" customFormat="1" ht="12.75" customHeight="1">
      <c r="B221" s="439"/>
      <c r="C221" s="429" t="s">
        <v>468</v>
      </c>
      <c r="D221" s="390"/>
      <c r="E221" s="435"/>
      <c r="F221" s="412">
        <f>2.8*3.75*2.45</f>
        <v>25.725</v>
      </c>
      <c r="G221" s="413" t="s">
        <v>410</v>
      </c>
      <c r="H221" s="431"/>
      <c r="I221" s="432"/>
      <c r="J221" s="414" t="s">
        <v>595</v>
      </c>
      <c r="K221" s="415"/>
      <c r="L221" s="416"/>
      <c r="M221" s="398"/>
      <c r="N221" s="398"/>
      <c r="O221" s="398"/>
      <c r="P221" s="398"/>
      <c r="Q221" s="398"/>
      <c r="R221" s="398"/>
      <c r="S221" s="398"/>
      <c r="T221" s="398"/>
      <c r="U221" s="398"/>
      <c r="V221" s="398"/>
      <c r="W221" s="398"/>
    </row>
    <row r="222" spans="2:23" s="154" customFormat="1" ht="6" customHeight="1">
      <c r="B222" s="439"/>
      <c r="C222" s="429"/>
      <c r="D222" s="398"/>
      <c r="E222" s="398"/>
      <c r="F222" s="440"/>
      <c r="G222" s="413"/>
      <c r="H222" s="442"/>
      <c r="I222" s="405"/>
      <c r="J222" s="406"/>
      <c r="K222" s="406"/>
      <c r="L222" s="406"/>
      <c r="M222" s="398"/>
      <c r="N222" s="398"/>
      <c r="O222" s="398"/>
      <c r="P222" s="398"/>
      <c r="Q222" s="398"/>
      <c r="R222" s="398"/>
      <c r="S222" s="398"/>
      <c r="T222" s="398"/>
      <c r="U222" s="398"/>
      <c r="V222" s="398"/>
      <c r="W222" s="398"/>
    </row>
    <row r="223" spans="2:23" s="154" customFormat="1" ht="12.75" customHeight="1">
      <c r="B223" s="443"/>
      <c r="C223" s="398" t="s">
        <v>474</v>
      </c>
      <c r="D223" s="398"/>
      <c r="E223" s="398"/>
      <c r="F223" s="440">
        <f>(9.7-2.6-2.35)*(2.3*1.3-1.2*1.5)</f>
        <v>5.6525</v>
      </c>
      <c r="G223" s="413" t="s">
        <v>410</v>
      </c>
      <c r="H223" s="442"/>
      <c r="I223" s="405"/>
      <c r="J223" s="433" t="s">
        <v>596</v>
      </c>
      <c r="K223" s="406"/>
      <c r="L223" s="406"/>
      <c r="M223" s="398"/>
      <c r="N223" s="398"/>
      <c r="O223" s="398"/>
      <c r="P223" s="398"/>
      <c r="Q223" s="398"/>
      <c r="R223" s="398"/>
      <c r="S223" s="398"/>
      <c r="T223" s="398"/>
      <c r="U223" s="398"/>
      <c r="V223" s="398"/>
      <c r="W223" s="398"/>
    </row>
    <row r="224" spans="2:23" s="154" customFormat="1" ht="12.75" customHeight="1">
      <c r="B224" s="443"/>
      <c r="C224" s="429" t="s">
        <v>476</v>
      </c>
      <c r="D224" s="429"/>
      <c r="E224" s="398"/>
      <c r="F224" s="440">
        <f>2.8*3.75*2.45-1.8*1.95*2.15-1.05*3.14*0.4*0.4-1.3*1.2*1.5</f>
        <v>15.310980000000004</v>
      </c>
      <c r="G224" s="413" t="s">
        <v>410</v>
      </c>
      <c r="H224" s="442"/>
      <c r="I224" s="405"/>
      <c r="J224" s="414" t="s">
        <v>597</v>
      </c>
      <c r="K224" s="406"/>
      <c r="L224" s="406"/>
      <c r="M224" s="398"/>
      <c r="N224" s="398"/>
      <c r="O224" s="398"/>
      <c r="P224" s="398"/>
      <c r="Q224" s="398"/>
      <c r="R224" s="398"/>
      <c r="S224" s="398"/>
      <c r="T224" s="398"/>
      <c r="U224" s="398"/>
      <c r="V224" s="398"/>
      <c r="W224" s="398"/>
    </row>
    <row r="225" spans="2:23" s="154" customFormat="1" ht="6" customHeight="1">
      <c r="B225" s="443"/>
      <c r="C225" s="429"/>
      <c r="D225" s="429"/>
      <c r="E225" s="398"/>
      <c r="F225" s="440"/>
      <c r="G225" s="413"/>
      <c r="H225" s="442"/>
      <c r="I225" s="405"/>
      <c r="J225" s="414"/>
      <c r="K225" s="406"/>
      <c r="L225" s="406"/>
      <c r="M225" s="395"/>
      <c r="N225" s="398"/>
      <c r="O225" s="398"/>
      <c r="P225" s="398"/>
      <c r="Q225" s="398"/>
      <c r="R225" s="398"/>
      <c r="S225" s="398"/>
      <c r="T225" s="398"/>
      <c r="U225" s="398"/>
      <c r="V225" s="398"/>
      <c r="W225" s="398"/>
    </row>
    <row r="226" spans="2:23" s="154" customFormat="1" ht="12.75" customHeight="1">
      <c r="B226" s="439" t="s">
        <v>482</v>
      </c>
      <c r="C226" s="429"/>
      <c r="D226" s="390"/>
      <c r="E226" s="435" t="s">
        <v>483</v>
      </c>
      <c r="F226" s="412">
        <f>6.8*3</f>
        <v>20.4</v>
      </c>
      <c r="G226" s="413" t="s">
        <v>414</v>
      </c>
      <c r="H226" s="431"/>
      <c r="I226" s="432"/>
      <c r="J226" s="433" t="s">
        <v>484</v>
      </c>
      <c r="K226" s="406"/>
      <c r="L226" s="406"/>
      <c r="M226" s="395"/>
      <c r="N226" s="398"/>
      <c r="O226" s="398"/>
      <c r="P226" s="398"/>
      <c r="Q226" s="398"/>
      <c r="R226" s="398"/>
      <c r="S226" s="398"/>
      <c r="T226" s="398"/>
      <c r="U226" s="398"/>
      <c r="V226" s="398"/>
      <c r="W226" s="398"/>
    </row>
    <row r="227" spans="2:23" s="154" customFormat="1" ht="6" customHeight="1">
      <c r="B227" s="439"/>
      <c r="C227" s="429"/>
      <c r="D227" s="390"/>
      <c r="E227" s="435"/>
      <c r="F227" s="412"/>
      <c r="G227" s="413"/>
      <c r="H227" s="431"/>
      <c r="I227" s="432"/>
      <c r="J227" s="433"/>
      <c r="K227" s="406"/>
      <c r="L227" s="406"/>
      <c r="M227" s="395"/>
      <c r="N227" s="398"/>
      <c r="O227" s="398"/>
      <c r="P227" s="398"/>
      <c r="Q227" s="398"/>
      <c r="R227" s="398"/>
      <c r="S227" s="398"/>
      <c r="T227" s="398"/>
      <c r="U227" s="398"/>
      <c r="V227" s="398"/>
      <c r="W227" s="398"/>
    </row>
    <row r="228" spans="2:23" s="154" customFormat="1" ht="12.75" customHeight="1">
      <c r="B228" s="439" t="s">
        <v>485</v>
      </c>
      <c r="C228" s="429"/>
      <c r="D228" s="390"/>
      <c r="E228" s="435"/>
      <c r="F228" s="412">
        <v>40</v>
      </c>
      <c r="G228" s="413" t="s">
        <v>414</v>
      </c>
      <c r="H228" s="431"/>
      <c r="I228" s="432"/>
      <c r="J228" s="433" t="s">
        <v>742</v>
      </c>
      <c r="K228" s="406"/>
      <c r="L228" s="406"/>
      <c r="M228" s="395"/>
      <c r="N228" s="398"/>
      <c r="O228" s="398"/>
      <c r="P228" s="398"/>
      <c r="Q228" s="398"/>
      <c r="R228" s="398"/>
      <c r="S228" s="398"/>
      <c r="T228" s="398"/>
      <c r="U228" s="398"/>
      <c r="V228" s="398"/>
      <c r="W228" s="398"/>
    </row>
    <row r="229" spans="2:23" s="154" customFormat="1" ht="12.75" customHeight="1">
      <c r="B229" s="439"/>
      <c r="C229" s="429"/>
      <c r="D229" s="390"/>
      <c r="E229" s="435"/>
      <c r="F229" s="412"/>
      <c r="G229" s="413"/>
      <c r="H229" s="431"/>
      <c r="I229" s="432"/>
      <c r="J229" s="433"/>
      <c r="K229" s="406"/>
      <c r="L229" s="406"/>
      <c r="M229" s="395"/>
      <c r="N229" s="398"/>
      <c r="O229" s="398"/>
      <c r="P229" s="398"/>
      <c r="Q229" s="398"/>
      <c r="R229" s="398"/>
      <c r="S229" s="398"/>
      <c r="T229" s="398"/>
      <c r="U229" s="398"/>
      <c r="V229" s="398"/>
      <c r="W229" s="398"/>
    </row>
    <row r="230" spans="2:23" s="154" customFormat="1" ht="12.75" customHeight="1">
      <c r="B230" s="399"/>
      <c r="C230" s="400"/>
      <c r="D230" s="401"/>
      <c r="E230" s="401"/>
      <c r="F230" s="402"/>
      <c r="G230" s="402"/>
      <c r="H230" s="402"/>
      <c r="I230" s="402"/>
      <c r="J230" s="403"/>
      <c r="K230" s="403"/>
      <c r="L230" s="401"/>
      <c r="M230" s="401"/>
      <c r="N230" s="401"/>
      <c r="O230" s="401"/>
      <c r="P230" s="398"/>
      <c r="Q230" s="398"/>
      <c r="R230" s="398"/>
      <c r="S230" s="398"/>
      <c r="T230" s="398"/>
      <c r="U230" s="398"/>
      <c r="V230" s="398"/>
      <c r="W230" s="398"/>
    </row>
    <row r="231" spans="2:23" s="154" customFormat="1" ht="12.75" customHeight="1">
      <c r="B231" s="404" t="s">
        <v>598</v>
      </c>
      <c r="C231" s="398"/>
      <c r="D231" s="395" t="s">
        <v>487</v>
      </c>
      <c r="E231" s="398"/>
      <c r="F231" s="405"/>
      <c r="G231" s="405"/>
      <c r="H231" s="405" t="s">
        <v>558</v>
      </c>
      <c r="I231" s="405"/>
      <c r="J231" s="406"/>
      <c r="K231" s="406"/>
      <c r="L231" s="398"/>
      <c r="M231" s="395"/>
      <c r="N231" s="398"/>
      <c r="O231" s="398"/>
      <c r="P231" s="398"/>
      <c r="Q231" s="398"/>
      <c r="R231" s="398"/>
      <c r="S231" s="398"/>
      <c r="T231" s="398"/>
      <c r="U231" s="398"/>
      <c r="V231" s="398"/>
      <c r="W231" s="398"/>
    </row>
    <row r="232" spans="2:23" s="154" customFormat="1" ht="12.75" customHeight="1">
      <c r="B232" s="407"/>
      <c r="C232" s="398"/>
      <c r="D232" s="398"/>
      <c r="E232" s="398"/>
      <c r="F232" s="405"/>
      <c r="G232" s="405"/>
      <c r="H232" s="405"/>
      <c r="I232" s="405"/>
      <c r="J232" s="406"/>
      <c r="K232" s="406"/>
      <c r="L232" s="398"/>
      <c r="M232" s="395"/>
      <c r="N232" s="398"/>
      <c r="O232" s="398"/>
      <c r="P232" s="398"/>
      <c r="Q232" s="398"/>
      <c r="R232" s="398"/>
      <c r="S232" s="398"/>
      <c r="T232" s="398"/>
      <c r="U232" s="398"/>
      <c r="V232" s="398"/>
      <c r="W232" s="398"/>
    </row>
    <row r="233" spans="2:23" s="154" customFormat="1" ht="12.75" customHeight="1">
      <c r="B233" s="408" t="s">
        <v>405</v>
      </c>
      <c r="C233" s="409"/>
      <c r="D233" s="410"/>
      <c r="E233" s="411" t="s">
        <v>124</v>
      </c>
      <c r="F233" s="412">
        <v>8.5</v>
      </c>
      <c r="G233" s="413" t="s">
        <v>9</v>
      </c>
      <c r="H233" s="280">
        <v>4</v>
      </c>
      <c r="I233" s="280" t="s">
        <v>130</v>
      </c>
      <c r="J233" s="414"/>
      <c r="K233" s="415"/>
      <c r="L233" s="416"/>
      <c r="M233" s="398"/>
      <c r="N233" s="398"/>
      <c r="O233" s="398"/>
      <c r="P233" s="398"/>
      <c r="Q233" s="398"/>
      <c r="R233" s="398"/>
      <c r="S233" s="398"/>
      <c r="T233" s="398"/>
      <c r="U233" s="398"/>
      <c r="V233" s="398"/>
      <c r="W233" s="398"/>
    </row>
    <row r="234" spans="2:23" s="154" customFormat="1" ht="12.75" customHeight="1">
      <c r="B234" s="408"/>
      <c r="C234" s="420" t="s">
        <v>406</v>
      </c>
      <c r="D234" s="415"/>
      <c r="E234" s="445"/>
      <c r="F234" s="421">
        <f>2*4</f>
        <v>8</v>
      </c>
      <c r="G234" s="422" t="s">
        <v>130</v>
      </c>
      <c r="H234" s="423"/>
      <c r="I234" s="424"/>
      <c r="J234" s="425" t="s">
        <v>559</v>
      </c>
      <c r="K234" s="415"/>
      <c r="L234" s="414"/>
      <c r="M234" s="395"/>
      <c r="N234" s="398"/>
      <c r="O234" s="398"/>
      <c r="P234" s="398"/>
      <c r="Q234" s="398"/>
      <c r="R234" s="398"/>
      <c r="S234" s="398"/>
      <c r="T234" s="398"/>
      <c r="U234" s="398"/>
      <c r="V234" s="398"/>
      <c r="W234" s="398"/>
    </row>
    <row r="235" spans="2:23" s="154" customFormat="1" ht="12.75" customHeight="1">
      <c r="B235" s="408"/>
      <c r="C235" s="429" t="s">
        <v>408</v>
      </c>
      <c r="D235" s="414"/>
      <c r="E235" s="411" t="s">
        <v>409</v>
      </c>
      <c r="F235" s="430">
        <f>6.15*(1.2*1-3.14*0.4*0.4)</f>
        <v>4.29024</v>
      </c>
      <c r="G235" s="413" t="s">
        <v>410</v>
      </c>
      <c r="H235" s="431"/>
      <c r="I235" s="432"/>
      <c r="J235" s="433" t="s">
        <v>599</v>
      </c>
      <c r="K235" s="415"/>
      <c r="L235" s="414"/>
      <c r="M235" s="398"/>
      <c r="N235" s="398"/>
      <c r="O235" s="398"/>
      <c r="P235" s="398"/>
      <c r="Q235" s="398"/>
      <c r="R235" s="398"/>
      <c r="S235" s="398"/>
      <c r="T235" s="398"/>
      <c r="U235" s="398"/>
      <c r="V235" s="398"/>
      <c r="W235" s="398"/>
    </row>
    <row r="236" spans="2:23" s="154" customFormat="1" ht="12.75" customHeight="1">
      <c r="B236" s="408"/>
      <c r="C236" s="429" t="s">
        <v>412</v>
      </c>
      <c r="D236" s="414"/>
      <c r="E236" s="411" t="s">
        <v>413</v>
      </c>
      <c r="F236" s="412">
        <f>6.15*(2*0.95+1.1)</f>
        <v>18.450000000000003</v>
      </c>
      <c r="G236" s="413" t="s">
        <v>414</v>
      </c>
      <c r="H236" s="434">
        <f>F236*7.9</f>
        <v>145.75500000000002</v>
      </c>
      <c r="I236" s="280" t="s">
        <v>415</v>
      </c>
      <c r="J236" s="414" t="s">
        <v>600</v>
      </c>
      <c r="K236" s="433"/>
      <c r="L236" s="414"/>
      <c r="M236" s="395"/>
      <c r="N236" s="398"/>
      <c r="O236" s="398"/>
      <c r="P236" s="398"/>
      <c r="Q236" s="398"/>
      <c r="R236" s="398"/>
      <c r="S236" s="398"/>
      <c r="T236" s="398"/>
      <c r="U236" s="398"/>
      <c r="V236" s="398"/>
      <c r="W236" s="398"/>
    </row>
    <row r="237" spans="2:23" s="154" customFormat="1" ht="12.75" customHeight="1">
      <c r="B237" s="408"/>
      <c r="C237" s="429"/>
      <c r="D237" s="414"/>
      <c r="E237" s="411" t="s">
        <v>417</v>
      </c>
      <c r="F237" s="412">
        <f>2*6.15*1.1</f>
        <v>13.530000000000001</v>
      </c>
      <c r="G237" s="413" t="s">
        <v>414</v>
      </c>
      <c r="H237" s="434">
        <f>F237*7.9</f>
        <v>106.88700000000001</v>
      </c>
      <c r="I237" s="280" t="s">
        <v>415</v>
      </c>
      <c r="J237" s="414" t="s">
        <v>601</v>
      </c>
      <c r="K237" s="433"/>
      <c r="L237" s="414"/>
      <c r="M237" s="395"/>
      <c r="N237" s="398"/>
      <c r="O237" s="398"/>
      <c r="P237" s="398"/>
      <c r="Q237" s="398"/>
      <c r="R237" s="398"/>
      <c r="S237" s="398"/>
      <c r="T237" s="398"/>
      <c r="U237" s="398"/>
      <c r="V237" s="398"/>
      <c r="W237" s="398"/>
    </row>
    <row r="238" spans="2:23" s="154" customFormat="1" ht="12.75" customHeight="1">
      <c r="B238" s="408"/>
      <c r="C238" s="429" t="s">
        <v>419</v>
      </c>
      <c r="D238" s="414"/>
      <c r="E238" s="411" t="s">
        <v>420</v>
      </c>
      <c r="F238" s="412">
        <f>6.15*1.2*0.3</f>
        <v>2.214</v>
      </c>
      <c r="G238" s="413" t="s">
        <v>410</v>
      </c>
      <c r="H238" s="431"/>
      <c r="I238" s="432"/>
      <c r="J238" s="433" t="s">
        <v>602</v>
      </c>
      <c r="K238" s="415"/>
      <c r="L238" s="414"/>
      <c r="M238" s="395"/>
      <c r="N238" s="398"/>
      <c r="O238" s="398"/>
      <c r="P238" s="398"/>
      <c r="Q238" s="398"/>
      <c r="R238" s="398"/>
      <c r="S238" s="398"/>
      <c r="T238" s="398"/>
      <c r="U238" s="398"/>
      <c r="V238" s="398"/>
      <c r="W238" s="398"/>
    </row>
    <row r="239" spans="2:23" s="154" customFormat="1" ht="12.75" customHeight="1">
      <c r="B239" s="408"/>
      <c r="C239" s="429" t="s">
        <v>422</v>
      </c>
      <c r="D239" s="414"/>
      <c r="E239" s="411" t="s">
        <v>99</v>
      </c>
      <c r="F239" s="412">
        <f>6.15*1.45*0.1</f>
        <v>0.89175</v>
      </c>
      <c r="G239" s="413" t="s">
        <v>410</v>
      </c>
      <c r="H239" s="431"/>
      <c r="I239" s="432"/>
      <c r="J239" s="433" t="s">
        <v>603</v>
      </c>
      <c r="K239" s="415"/>
      <c r="L239" s="414"/>
      <c r="M239" s="395"/>
      <c r="N239" s="398"/>
      <c r="O239" s="398"/>
      <c r="P239" s="398"/>
      <c r="Q239" s="398"/>
      <c r="R239" s="398"/>
      <c r="S239" s="398"/>
      <c r="T239" s="398"/>
      <c r="U239" s="398"/>
      <c r="V239" s="398"/>
      <c r="W239" s="398"/>
    </row>
    <row r="240" spans="2:23" s="154" customFormat="1" ht="12.75" customHeight="1">
      <c r="B240" s="408"/>
      <c r="C240" s="429" t="s">
        <v>424</v>
      </c>
      <c r="D240" s="414"/>
      <c r="E240" s="411" t="s">
        <v>99</v>
      </c>
      <c r="F240" s="412">
        <f>6.15*1.65*0.1</f>
        <v>1.01475</v>
      </c>
      <c r="G240" s="413" t="s">
        <v>410</v>
      </c>
      <c r="H240" s="434">
        <f>6.15*1.65</f>
        <v>10.1475</v>
      </c>
      <c r="I240" s="413" t="s">
        <v>414</v>
      </c>
      <c r="J240" s="433" t="s">
        <v>604</v>
      </c>
      <c r="K240" s="415"/>
      <c r="L240" s="414"/>
      <c r="M240" s="395"/>
      <c r="N240" s="398"/>
      <c r="O240" s="398"/>
      <c r="P240" s="398"/>
      <c r="Q240" s="398"/>
      <c r="R240" s="398"/>
      <c r="S240" s="398"/>
      <c r="T240" s="398"/>
      <c r="U240" s="398"/>
      <c r="V240" s="398"/>
      <c r="W240" s="398"/>
    </row>
    <row r="241" spans="2:23" s="154" customFormat="1" ht="12.75" customHeight="1">
      <c r="B241" s="408"/>
      <c r="C241" s="429" t="s">
        <v>426</v>
      </c>
      <c r="D241" s="414"/>
      <c r="E241" s="411"/>
      <c r="F241" s="412">
        <f>2*6.15*1.3+1.2*1.3</f>
        <v>17.55</v>
      </c>
      <c r="G241" s="413" t="s">
        <v>414</v>
      </c>
      <c r="H241" s="434"/>
      <c r="I241" s="413"/>
      <c r="J241" s="433" t="s">
        <v>605</v>
      </c>
      <c r="K241" s="415"/>
      <c r="L241" s="414"/>
      <c r="M241" s="395"/>
      <c r="N241" s="398"/>
      <c r="O241" s="398"/>
      <c r="P241" s="398"/>
      <c r="Q241" s="398"/>
      <c r="R241" s="398"/>
      <c r="S241" s="398"/>
      <c r="T241" s="398"/>
      <c r="U241" s="398"/>
      <c r="V241" s="398"/>
      <c r="W241" s="398"/>
    </row>
    <row r="242" spans="2:23" s="154" customFormat="1" ht="6" customHeight="1">
      <c r="B242" s="439"/>
      <c r="C242" s="429"/>
      <c r="D242" s="390"/>
      <c r="E242" s="435"/>
      <c r="F242" s="412"/>
      <c r="G242" s="413"/>
      <c r="H242" s="431"/>
      <c r="I242" s="432"/>
      <c r="J242" s="433"/>
      <c r="K242" s="406"/>
      <c r="L242" s="406"/>
      <c r="M242" s="395"/>
      <c r="N242" s="398"/>
      <c r="O242" s="398"/>
      <c r="P242" s="398"/>
      <c r="Q242" s="398"/>
      <c r="R242" s="398"/>
      <c r="S242" s="398"/>
      <c r="T242" s="398"/>
      <c r="U242" s="398"/>
      <c r="V242" s="398"/>
      <c r="W242" s="398"/>
    </row>
    <row r="243" spans="2:23" s="154" customFormat="1" ht="12.75" customHeight="1">
      <c r="B243" s="408" t="s">
        <v>433</v>
      </c>
      <c r="C243" s="429" t="s">
        <v>434</v>
      </c>
      <c r="D243" s="414"/>
      <c r="E243" s="411"/>
      <c r="F243" s="412">
        <f>1.8*1.95*3.65-1.2*0.6*3.35-1.05*3.14*0.4*0.4</f>
        <v>9.871979999999999</v>
      </c>
      <c r="G243" s="413" t="s">
        <v>410</v>
      </c>
      <c r="H243" s="431"/>
      <c r="I243" s="432"/>
      <c r="J243" s="433" t="s">
        <v>606</v>
      </c>
      <c r="K243" s="415"/>
      <c r="L243" s="406"/>
      <c r="M243" s="395"/>
      <c r="N243" s="398"/>
      <c r="O243" s="398"/>
      <c r="P243" s="398"/>
      <c r="Q243" s="398"/>
      <c r="R243" s="398"/>
      <c r="S243" s="398"/>
      <c r="T243" s="398"/>
      <c r="U243" s="398"/>
      <c r="V243" s="398"/>
      <c r="W243" s="398"/>
    </row>
    <row r="244" spans="2:23" s="154" customFormat="1" ht="12.75" customHeight="1">
      <c r="B244" s="408"/>
      <c r="C244" s="429" t="s">
        <v>412</v>
      </c>
      <c r="D244" s="414"/>
      <c r="E244" s="411" t="s">
        <v>436</v>
      </c>
      <c r="F244" s="412">
        <f>4*1.7*3.55+2*1.85*3.55+2*0.7*3.35+1.7*1.85+1.3*0.7</f>
        <v>46.019999999999996</v>
      </c>
      <c r="G244" s="413" t="s">
        <v>414</v>
      </c>
      <c r="H244" s="434">
        <f>F244*7.9</f>
        <v>363.558</v>
      </c>
      <c r="I244" s="280" t="s">
        <v>415</v>
      </c>
      <c r="J244" s="414" t="s">
        <v>607</v>
      </c>
      <c r="K244" s="415"/>
      <c r="L244" s="406"/>
      <c r="M244" s="395"/>
      <c r="N244" s="398"/>
      <c r="O244" s="398"/>
      <c r="P244" s="398"/>
      <c r="Q244" s="398"/>
      <c r="R244" s="398"/>
      <c r="S244" s="398"/>
      <c r="T244" s="398"/>
      <c r="U244" s="398"/>
      <c r="V244" s="398"/>
      <c r="W244" s="398"/>
    </row>
    <row r="245" spans="2:23" s="154" customFormat="1" ht="12.75" customHeight="1">
      <c r="B245" s="408"/>
      <c r="C245" s="429" t="s">
        <v>422</v>
      </c>
      <c r="D245" s="414"/>
      <c r="E245" s="411" t="s">
        <v>91</v>
      </c>
      <c r="F245" s="412"/>
      <c r="G245" s="413"/>
      <c r="H245" s="431"/>
      <c r="I245" s="432"/>
      <c r="J245" s="433"/>
      <c r="K245" s="415"/>
      <c r="L245" s="406"/>
      <c r="M245" s="395"/>
      <c r="N245" s="398"/>
      <c r="O245" s="398"/>
      <c r="P245" s="398"/>
      <c r="Q245" s="398"/>
      <c r="R245" s="398"/>
      <c r="S245" s="398"/>
      <c r="T245" s="398"/>
      <c r="U245" s="398"/>
      <c r="V245" s="398"/>
      <c r="W245" s="398"/>
    </row>
    <row r="246" spans="2:23" s="154" customFormat="1" ht="12.75" customHeight="1">
      <c r="B246" s="408"/>
      <c r="C246" s="429"/>
      <c r="D246" s="414"/>
      <c r="E246" s="411" t="s">
        <v>438</v>
      </c>
      <c r="F246" s="412">
        <f>2.4*2.6*0.15</f>
        <v>0.9359999999999999</v>
      </c>
      <c r="G246" s="413" t="s">
        <v>410</v>
      </c>
      <c r="H246" s="431"/>
      <c r="I246" s="432"/>
      <c r="J246" s="433" t="s">
        <v>439</v>
      </c>
      <c r="K246" s="415"/>
      <c r="L246" s="406"/>
      <c r="M246" s="395"/>
      <c r="N246" s="398"/>
      <c r="O246" s="398"/>
      <c r="P246" s="398"/>
      <c r="Q246" s="398"/>
      <c r="R246" s="398"/>
      <c r="S246" s="398"/>
      <c r="T246" s="398"/>
      <c r="U246" s="398"/>
      <c r="V246" s="398"/>
      <c r="W246" s="398"/>
    </row>
    <row r="247" spans="2:23" s="154" customFormat="1" ht="12.75" customHeight="1">
      <c r="B247" s="408"/>
      <c r="C247" s="429"/>
      <c r="D247" s="414"/>
      <c r="E247" s="411" t="s">
        <v>440</v>
      </c>
      <c r="F247" s="412">
        <f>1.2*0.6*0.15</f>
        <v>0.108</v>
      </c>
      <c r="G247" s="413" t="s">
        <v>410</v>
      </c>
      <c r="H247" s="431"/>
      <c r="I247" s="432"/>
      <c r="J247" s="433" t="s">
        <v>441</v>
      </c>
      <c r="K247" s="415"/>
      <c r="L247" s="406"/>
      <c r="M247" s="395"/>
      <c r="N247" s="398"/>
      <c r="O247" s="398"/>
      <c r="P247" s="398"/>
      <c r="Q247" s="398"/>
      <c r="R247" s="398"/>
      <c r="S247" s="398"/>
      <c r="T247" s="398"/>
      <c r="U247" s="398"/>
      <c r="V247" s="398"/>
      <c r="W247" s="398"/>
    </row>
    <row r="248" spans="2:23" s="154" customFormat="1" ht="12.75" customHeight="1">
      <c r="B248" s="408"/>
      <c r="C248" s="429" t="s">
        <v>442</v>
      </c>
      <c r="D248" s="414"/>
      <c r="E248" s="411" t="s">
        <v>91</v>
      </c>
      <c r="F248" s="412">
        <f>1.2*0.6</f>
        <v>0.72</v>
      </c>
      <c r="G248" s="413" t="s">
        <v>414</v>
      </c>
      <c r="H248" s="434"/>
      <c r="I248" s="413"/>
      <c r="J248" s="433" t="s">
        <v>443</v>
      </c>
      <c r="K248" s="415"/>
      <c r="L248" s="406"/>
      <c r="M248" s="395"/>
      <c r="N248" s="398"/>
      <c r="O248" s="398"/>
      <c r="P248" s="398"/>
      <c r="Q248" s="398"/>
      <c r="R248" s="398"/>
      <c r="S248" s="398"/>
      <c r="T248" s="398"/>
      <c r="U248" s="398"/>
      <c r="V248" s="398"/>
      <c r="W248" s="398"/>
    </row>
    <row r="249" spans="2:23" s="154" customFormat="1" ht="12.75" customHeight="1">
      <c r="B249" s="408"/>
      <c r="C249" s="429" t="s">
        <v>424</v>
      </c>
      <c r="D249" s="414"/>
      <c r="E249" s="411" t="s">
        <v>99</v>
      </c>
      <c r="F249" s="412">
        <f>2.3*2.3*0.1</f>
        <v>0.5289999999999999</v>
      </c>
      <c r="G249" s="413" t="s">
        <v>410</v>
      </c>
      <c r="H249" s="434">
        <f>2.3*2.3</f>
        <v>5.289999999999999</v>
      </c>
      <c r="I249" s="413" t="s">
        <v>414</v>
      </c>
      <c r="J249" s="433" t="s">
        <v>444</v>
      </c>
      <c r="K249" s="415"/>
      <c r="L249" s="406"/>
      <c r="M249" s="395"/>
      <c r="N249" s="398"/>
      <c r="O249" s="398"/>
      <c r="P249" s="398"/>
      <c r="Q249" s="398"/>
      <c r="R249" s="398"/>
      <c r="S249" s="398"/>
      <c r="T249" s="398"/>
      <c r="U249" s="398"/>
      <c r="V249" s="398"/>
      <c r="W249" s="398"/>
    </row>
    <row r="250" spans="2:23" s="154" customFormat="1" ht="12.75" customHeight="1">
      <c r="B250" s="408"/>
      <c r="C250" s="429" t="s">
        <v>426</v>
      </c>
      <c r="D250" s="390"/>
      <c r="E250" s="435"/>
      <c r="F250" s="412">
        <f>2*((1.8+1.95)*3.65+(1.2+0.6)*3.35)</f>
        <v>39.435</v>
      </c>
      <c r="G250" s="413" t="s">
        <v>414</v>
      </c>
      <c r="H250" s="434"/>
      <c r="I250" s="413"/>
      <c r="J250" s="433" t="s">
        <v>608</v>
      </c>
      <c r="K250" s="415"/>
      <c r="L250" s="406"/>
      <c r="M250" s="395"/>
      <c r="N250" s="398"/>
      <c r="O250" s="398"/>
      <c r="P250" s="398"/>
      <c r="Q250" s="398"/>
      <c r="R250" s="398"/>
      <c r="S250" s="398"/>
      <c r="T250" s="398"/>
      <c r="U250" s="398"/>
      <c r="V250" s="398"/>
      <c r="W250" s="398"/>
    </row>
    <row r="251" spans="2:23" s="154" customFormat="1" ht="12.75" customHeight="1">
      <c r="B251" s="408"/>
      <c r="C251" s="436" t="s">
        <v>446</v>
      </c>
      <c r="D251" s="390"/>
      <c r="E251" s="435"/>
      <c r="F251" s="437">
        <v>1</v>
      </c>
      <c r="G251" s="413" t="s">
        <v>130</v>
      </c>
      <c r="H251" s="434"/>
      <c r="I251" s="413"/>
      <c r="J251" s="433"/>
      <c r="K251" s="415"/>
      <c r="L251" s="406"/>
      <c r="M251" s="395"/>
      <c r="N251" s="398"/>
      <c r="O251" s="398"/>
      <c r="P251" s="398"/>
      <c r="Q251" s="398"/>
      <c r="R251" s="398"/>
      <c r="S251" s="398"/>
      <c r="T251" s="398"/>
      <c r="U251" s="398"/>
      <c r="V251" s="398"/>
      <c r="W251" s="398"/>
    </row>
    <row r="252" spans="2:23" s="154" customFormat="1" ht="12.75" customHeight="1">
      <c r="B252" s="408"/>
      <c r="C252" s="436" t="s">
        <v>447</v>
      </c>
      <c r="D252" s="390"/>
      <c r="E252" s="435"/>
      <c r="F252" s="437">
        <v>9</v>
      </c>
      <c r="G252" s="413" t="s">
        <v>130</v>
      </c>
      <c r="H252" s="434"/>
      <c r="I252" s="413"/>
      <c r="J252" s="433"/>
      <c r="K252" s="415"/>
      <c r="L252" s="406"/>
      <c r="M252" s="395"/>
      <c r="N252" s="398"/>
      <c r="O252" s="398"/>
      <c r="P252" s="398"/>
      <c r="Q252" s="398"/>
      <c r="R252" s="398"/>
      <c r="S252" s="398"/>
      <c r="T252" s="398"/>
      <c r="U252" s="398"/>
      <c r="V252" s="398"/>
      <c r="W252" s="398"/>
    </row>
    <row r="253" spans="2:23" s="154" customFormat="1" ht="6" customHeight="1">
      <c r="B253" s="439"/>
      <c r="C253" s="429"/>
      <c r="D253" s="390"/>
      <c r="E253" s="435"/>
      <c r="F253" s="412"/>
      <c r="G253" s="413"/>
      <c r="H253" s="431"/>
      <c r="I253" s="432"/>
      <c r="J253" s="433"/>
      <c r="K253" s="406"/>
      <c r="L253" s="406"/>
      <c r="M253" s="395"/>
      <c r="N253" s="398"/>
      <c r="O253" s="398"/>
      <c r="P253" s="398"/>
      <c r="Q253" s="398"/>
      <c r="R253" s="398"/>
      <c r="S253" s="398"/>
      <c r="T253" s="398"/>
      <c r="U253" s="398"/>
      <c r="V253" s="398"/>
      <c r="W253" s="398"/>
    </row>
    <row r="254" spans="2:23" s="154" customFormat="1" ht="12.75" customHeight="1">
      <c r="B254" s="439" t="s">
        <v>465</v>
      </c>
      <c r="C254" s="429" t="s">
        <v>570</v>
      </c>
      <c r="D254" s="390"/>
      <c r="E254" s="435"/>
      <c r="F254" s="446">
        <f>1.8*1.2*2-1.2*0.6*1.75</f>
        <v>3.0600000000000005</v>
      </c>
      <c r="G254" s="447" t="s">
        <v>410</v>
      </c>
      <c r="H254" s="390"/>
      <c r="I254" s="432" t="s">
        <v>510</v>
      </c>
      <c r="J254" s="448" t="s">
        <v>609</v>
      </c>
      <c r="K254" s="449"/>
      <c r="L254" s="416"/>
      <c r="M254" s="395"/>
      <c r="N254" s="398"/>
      <c r="O254" s="398"/>
      <c r="P254" s="398"/>
      <c r="Q254" s="398"/>
      <c r="R254" s="398"/>
      <c r="S254" s="398"/>
      <c r="T254" s="398"/>
      <c r="U254" s="398"/>
      <c r="V254" s="398"/>
      <c r="W254" s="398"/>
    </row>
    <row r="255" spans="2:23" s="154" customFormat="1" ht="12.75" customHeight="1">
      <c r="B255" s="439"/>
      <c r="C255" s="429" t="s">
        <v>512</v>
      </c>
      <c r="D255" s="390"/>
      <c r="E255" s="435"/>
      <c r="F255" s="412">
        <v>7.8</v>
      </c>
      <c r="G255" s="413" t="s">
        <v>9</v>
      </c>
      <c r="H255" s="390"/>
      <c r="I255" s="432" t="s">
        <v>510</v>
      </c>
      <c r="J255" s="414"/>
      <c r="K255" s="415"/>
      <c r="L255" s="416"/>
      <c r="M255" s="395"/>
      <c r="N255" s="398"/>
      <c r="O255" s="398"/>
      <c r="P255" s="398"/>
      <c r="Q255" s="398"/>
      <c r="R255" s="398"/>
      <c r="S255" s="398"/>
      <c r="T255" s="398"/>
      <c r="U255" s="398"/>
      <c r="V255" s="398"/>
      <c r="W255" s="398"/>
    </row>
    <row r="256" spans="2:23" s="154" customFormat="1" ht="12.75" customHeight="1">
      <c r="B256" s="439"/>
      <c r="C256" s="429" t="s">
        <v>572</v>
      </c>
      <c r="D256" s="390"/>
      <c r="E256" s="435"/>
      <c r="F256" s="412">
        <f>1*0.9*0.9</f>
        <v>0.81</v>
      </c>
      <c r="G256" s="413" t="s">
        <v>410</v>
      </c>
      <c r="H256" s="390"/>
      <c r="I256" s="432" t="s">
        <v>510</v>
      </c>
      <c r="J256" s="414" t="s">
        <v>573</v>
      </c>
      <c r="K256" s="415"/>
      <c r="L256" s="416"/>
      <c r="M256" s="395"/>
      <c r="N256" s="398"/>
      <c r="O256" s="398"/>
      <c r="P256" s="398"/>
      <c r="Q256" s="398"/>
      <c r="R256" s="398"/>
      <c r="S256" s="398"/>
      <c r="T256" s="398"/>
      <c r="U256" s="398"/>
      <c r="V256" s="398"/>
      <c r="W256" s="398"/>
    </row>
    <row r="257" spans="2:23" s="154" customFormat="1" ht="6" customHeight="1">
      <c r="B257" s="439"/>
      <c r="C257" s="429"/>
      <c r="D257" s="390"/>
      <c r="E257" s="435"/>
      <c r="F257" s="412"/>
      <c r="G257" s="413"/>
      <c r="H257" s="390"/>
      <c r="I257" s="432"/>
      <c r="J257" s="414"/>
      <c r="K257" s="415"/>
      <c r="L257" s="416"/>
      <c r="M257" s="398"/>
      <c r="N257" s="398"/>
      <c r="O257" s="398"/>
      <c r="P257" s="398"/>
      <c r="Q257" s="398"/>
      <c r="R257" s="398"/>
      <c r="S257" s="398"/>
      <c r="T257" s="398"/>
      <c r="U257" s="398"/>
      <c r="V257" s="398"/>
      <c r="W257" s="398"/>
    </row>
    <row r="258" spans="2:23" s="154" customFormat="1" ht="12.75" customHeight="1">
      <c r="B258" s="439"/>
      <c r="C258" s="429" t="s">
        <v>466</v>
      </c>
      <c r="D258" s="390"/>
      <c r="E258" s="435"/>
      <c r="F258" s="412">
        <f>(8.5-1.3-3)*2.7*3.05</f>
        <v>34.587</v>
      </c>
      <c r="G258" s="413" t="s">
        <v>410</v>
      </c>
      <c r="H258" s="431"/>
      <c r="I258" s="432"/>
      <c r="J258" s="433" t="s">
        <v>610</v>
      </c>
      <c r="K258" s="415"/>
      <c r="L258" s="416"/>
      <c r="M258" s="395"/>
      <c r="N258" s="398"/>
      <c r="O258" s="398"/>
      <c r="P258" s="398"/>
      <c r="Q258" s="398"/>
      <c r="R258" s="398"/>
      <c r="S258" s="398"/>
      <c r="T258" s="398"/>
      <c r="U258" s="398"/>
      <c r="V258" s="398"/>
      <c r="W258" s="398"/>
    </row>
    <row r="259" spans="2:23" s="154" customFormat="1" ht="12.75" customHeight="1">
      <c r="B259" s="439"/>
      <c r="C259" s="429" t="s">
        <v>468</v>
      </c>
      <c r="D259" s="390"/>
      <c r="E259" s="435"/>
      <c r="F259" s="412">
        <f>4.5*3*3.85</f>
        <v>51.975</v>
      </c>
      <c r="G259" s="413" t="s">
        <v>410</v>
      </c>
      <c r="H259" s="431"/>
      <c r="I259" s="432"/>
      <c r="J259" s="414" t="s">
        <v>611</v>
      </c>
      <c r="K259" s="415"/>
      <c r="L259" s="416"/>
      <c r="M259" s="398"/>
      <c r="N259" s="398"/>
      <c r="O259" s="398"/>
      <c r="P259" s="398"/>
      <c r="Q259" s="398"/>
      <c r="R259" s="398"/>
      <c r="S259" s="398"/>
      <c r="T259" s="398"/>
      <c r="U259" s="398"/>
      <c r="V259" s="398"/>
      <c r="W259" s="398"/>
    </row>
    <row r="260" spans="2:23" s="154" customFormat="1" ht="6" customHeight="1">
      <c r="B260" s="439"/>
      <c r="C260" s="429"/>
      <c r="D260" s="398"/>
      <c r="E260" s="398"/>
      <c r="F260" s="440"/>
      <c r="G260" s="413"/>
      <c r="H260" s="442"/>
      <c r="I260" s="405"/>
      <c r="J260" s="406"/>
      <c r="K260" s="406"/>
      <c r="L260" s="406"/>
      <c r="M260" s="398"/>
      <c r="N260" s="398"/>
      <c r="O260" s="398"/>
      <c r="P260" s="398"/>
      <c r="Q260" s="398"/>
      <c r="R260" s="398"/>
      <c r="S260" s="398"/>
      <c r="T260" s="398"/>
      <c r="U260" s="398"/>
      <c r="V260" s="398"/>
      <c r="W260" s="398"/>
    </row>
    <row r="261" spans="2:23" s="154" customFormat="1" ht="12.75" customHeight="1">
      <c r="B261" s="443"/>
      <c r="C261" s="398" t="s">
        <v>474</v>
      </c>
      <c r="D261" s="398"/>
      <c r="E261" s="398"/>
      <c r="F261" s="440">
        <f>(8.5-1.3-3)*(2.7*2.7-1.2*1.5)</f>
        <v>23.058000000000007</v>
      </c>
      <c r="G261" s="413" t="s">
        <v>410</v>
      </c>
      <c r="H261" s="442"/>
      <c r="I261" s="405"/>
      <c r="J261" s="433" t="s">
        <v>612</v>
      </c>
      <c r="K261" s="406"/>
      <c r="L261" s="406"/>
      <c r="M261" s="398"/>
      <c r="N261" s="398"/>
      <c r="O261" s="398"/>
      <c r="P261" s="398"/>
      <c r="Q261" s="398"/>
      <c r="R261" s="398"/>
      <c r="S261" s="398"/>
      <c r="T261" s="398"/>
      <c r="U261" s="398"/>
      <c r="V261" s="398"/>
      <c r="W261" s="398"/>
    </row>
    <row r="262" spans="2:23" s="154" customFormat="1" ht="12.75" customHeight="1">
      <c r="B262" s="443"/>
      <c r="C262" s="429" t="s">
        <v>476</v>
      </c>
      <c r="D262" s="429"/>
      <c r="E262" s="398"/>
      <c r="F262" s="440">
        <f>3*4.5*3.85-1.8*1.95*3.55-1.05*3.14*0.4*0.4-1.95*1.2*1.5</f>
        <v>35.476980000000005</v>
      </c>
      <c r="G262" s="413" t="s">
        <v>410</v>
      </c>
      <c r="H262" s="442"/>
      <c r="I262" s="405"/>
      <c r="J262" s="414" t="s">
        <v>613</v>
      </c>
      <c r="K262" s="406"/>
      <c r="L262" s="406"/>
      <c r="M262" s="398"/>
      <c r="N262" s="398"/>
      <c r="O262" s="398"/>
      <c r="P262" s="398"/>
      <c r="Q262" s="398"/>
      <c r="R262" s="398"/>
      <c r="S262" s="398"/>
      <c r="T262" s="398"/>
      <c r="U262" s="398"/>
      <c r="V262" s="398"/>
      <c r="W262" s="398"/>
    </row>
    <row r="263" spans="2:23" s="154" customFormat="1" ht="6" customHeight="1">
      <c r="B263" s="443"/>
      <c r="C263" s="429"/>
      <c r="D263" s="429"/>
      <c r="E263" s="398"/>
      <c r="F263" s="440"/>
      <c r="G263" s="413"/>
      <c r="H263" s="442"/>
      <c r="I263" s="405"/>
      <c r="J263" s="414"/>
      <c r="K263" s="406"/>
      <c r="L263" s="406"/>
      <c r="M263" s="395"/>
      <c r="N263" s="398"/>
      <c r="O263" s="398"/>
      <c r="P263" s="398"/>
      <c r="Q263" s="398"/>
      <c r="R263" s="398"/>
      <c r="S263" s="398"/>
      <c r="T263" s="398"/>
      <c r="U263" s="398"/>
      <c r="V263" s="398"/>
      <c r="W263" s="398"/>
    </row>
    <row r="264" spans="2:23" s="154" customFormat="1" ht="12.75" customHeight="1">
      <c r="B264" s="439" t="s">
        <v>482</v>
      </c>
      <c r="C264" s="429"/>
      <c r="D264" s="390"/>
      <c r="E264" s="435" t="s">
        <v>483</v>
      </c>
      <c r="F264" s="412">
        <f>6.8*3</f>
        <v>20.4</v>
      </c>
      <c r="G264" s="413" t="s">
        <v>414</v>
      </c>
      <c r="H264" s="431"/>
      <c r="I264" s="432"/>
      <c r="J264" s="433" t="s">
        <v>484</v>
      </c>
      <c r="K264" s="406"/>
      <c r="L264" s="406"/>
      <c r="M264" s="395"/>
      <c r="N264" s="398"/>
      <c r="O264" s="398"/>
      <c r="P264" s="398"/>
      <c r="Q264" s="398"/>
      <c r="R264" s="398"/>
      <c r="S264" s="398"/>
      <c r="T264" s="398"/>
      <c r="U264" s="398"/>
      <c r="V264" s="398"/>
      <c r="W264" s="398"/>
    </row>
    <row r="265" spans="2:23" s="154" customFormat="1" ht="6" customHeight="1">
      <c r="B265" s="439"/>
      <c r="C265" s="429"/>
      <c r="D265" s="390"/>
      <c r="E265" s="435"/>
      <c r="F265" s="412"/>
      <c r="G265" s="413"/>
      <c r="H265" s="431"/>
      <c r="I265" s="432"/>
      <c r="J265" s="433"/>
      <c r="K265" s="406"/>
      <c r="L265" s="406"/>
      <c r="M265" s="395"/>
      <c r="N265" s="398"/>
      <c r="O265" s="398"/>
      <c r="P265" s="398"/>
      <c r="Q265" s="398"/>
      <c r="R265" s="398"/>
      <c r="S265" s="398"/>
      <c r="T265" s="398"/>
      <c r="U265" s="398"/>
      <c r="V265" s="398"/>
      <c r="W265" s="398"/>
    </row>
    <row r="266" spans="2:23" s="154" customFormat="1" ht="12.75" customHeight="1">
      <c r="B266" s="439" t="s">
        <v>485</v>
      </c>
      <c r="C266" s="429"/>
      <c r="D266" s="390"/>
      <c r="E266" s="435"/>
      <c r="F266" s="412">
        <f>2*10*3.6</f>
        <v>72</v>
      </c>
      <c r="G266" s="413" t="s">
        <v>414</v>
      </c>
      <c r="H266" s="431"/>
      <c r="I266" s="432"/>
      <c r="J266" s="433" t="s">
        <v>745</v>
      </c>
      <c r="K266" s="406"/>
      <c r="L266" s="406"/>
      <c r="M266" s="395"/>
      <c r="N266" s="398"/>
      <c r="O266" s="398"/>
      <c r="P266" s="398"/>
      <c r="Q266" s="398"/>
      <c r="R266" s="398"/>
      <c r="S266" s="398"/>
      <c r="T266" s="398"/>
      <c r="U266" s="398"/>
      <c r="V266" s="398"/>
      <c r="W266" s="398"/>
    </row>
    <row r="267" spans="2:23" s="154" customFormat="1" ht="12.75" customHeight="1">
      <c r="B267" s="439"/>
      <c r="C267" s="429"/>
      <c r="D267" s="390"/>
      <c r="E267" s="435"/>
      <c r="F267" s="412"/>
      <c r="G267" s="413"/>
      <c r="H267" s="431"/>
      <c r="I267" s="432"/>
      <c r="J267" s="433"/>
      <c r="K267" s="406"/>
      <c r="L267" s="406"/>
      <c r="M267" s="395"/>
      <c r="N267" s="398"/>
      <c r="O267" s="398"/>
      <c r="P267" s="398"/>
      <c r="Q267" s="398"/>
      <c r="R267" s="398"/>
      <c r="S267" s="398"/>
      <c r="T267" s="398"/>
      <c r="U267" s="398"/>
      <c r="V267" s="398"/>
      <c r="W267" s="398"/>
    </row>
    <row r="268" spans="2:23" s="154" customFormat="1" ht="12.75" customHeight="1">
      <c r="B268" s="399"/>
      <c r="C268" s="400"/>
      <c r="D268" s="401"/>
      <c r="E268" s="401"/>
      <c r="F268" s="402"/>
      <c r="G268" s="402"/>
      <c r="H268" s="402"/>
      <c r="I268" s="402"/>
      <c r="J268" s="403"/>
      <c r="K268" s="403"/>
      <c r="L268" s="401"/>
      <c r="M268" s="401"/>
      <c r="N268" s="401"/>
      <c r="O268" s="401"/>
      <c r="P268" s="398"/>
      <c r="Q268" s="398"/>
      <c r="R268" s="398"/>
      <c r="S268" s="398"/>
      <c r="T268" s="398"/>
      <c r="U268" s="398"/>
      <c r="V268" s="398"/>
      <c r="W268" s="398"/>
    </row>
    <row r="269" spans="2:23" s="154" customFormat="1" ht="12.75" customHeight="1">
      <c r="B269" s="404" t="s">
        <v>614</v>
      </c>
      <c r="C269" s="398"/>
      <c r="D269" s="395" t="s">
        <v>487</v>
      </c>
      <c r="E269" s="398"/>
      <c r="F269" s="405"/>
      <c r="G269" s="405"/>
      <c r="H269" s="405" t="s">
        <v>558</v>
      </c>
      <c r="I269" s="405"/>
      <c r="J269" s="406"/>
      <c r="K269" s="406"/>
      <c r="L269" s="398"/>
      <c r="M269" s="395"/>
      <c r="N269" s="398"/>
      <c r="O269" s="398"/>
      <c r="P269" s="398"/>
      <c r="Q269" s="398"/>
      <c r="R269" s="398"/>
      <c r="S269" s="398"/>
      <c r="T269" s="398"/>
      <c r="U269" s="398"/>
      <c r="V269" s="398"/>
      <c r="W269" s="398"/>
    </row>
    <row r="270" spans="2:23" s="154" customFormat="1" ht="12.75" customHeight="1">
      <c r="B270" s="407"/>
      <c r="C270" s="398"/>
      <c r="D270" s="398"/>
      <c r="E270" s="398"/>
      <c r="F270" s="405"/>
      <c r="G270" s="405"/>
      <c r="H270" s="405"/>
      <c r="I270" s="405"/>
      <c r="J270" s="406"/>
      <c r="K270" s="406"/>
      <c r="L270" s="398"/>
      <c r="M270" s="395"/>
      <c r="N270" s="398"/>
      <c r="O270" s="398"/>
      <c r="P270" s="398"/>
      <c r="Q270" s="398"/>
      <c r="R270" s="398"/>
      <c r="S270" s="398"/>
      <c r="T270" s="398"/>
      <c r="U270" s="398"/>
      <c r="V270" s="398"/>
      <c r="W270" s="398"/>
    </row>
    <row r="271" spans="2:23" s="154" customFormat="1" ht="12.75" customHeight="1">
      <c r="B271" s="408" t="s">
        <v>405</v>
      </c>
      <c r="C271" s="409"/>
      <c r="D271" s="410"/>
      <c r="E271" s="411" t="s">
        <v>124</v>
      </c>
      <c r="F271" s="412">
        <v>9.5</v>
      </c>
      <c r="G271" s="413" t="s">
        <v>9</v>
      </c>
      <c r="H271" s="280">
        <v>4</v>
      </c>
      <c r="I271" s="280" t="s">
        <v>130</v>
      </c>
      <c r="J271" s="414"/>
      <c r="K271" s="415"/>
      <c r="L271" s="416"/>
      <c r="M271" s="395"/>
      <c r="N271" s="398"/>
      <c r="O271" s="398"/>
      <c r="P271" s="398"/>
      <c r="Q271" s="398"/>
      <c r="R271" s="398"/>
      <c r="S271" s="398"/>
      <c r="T271" s="398"/>
      <c r="U271" s="398"/>
      <c r="V271" s="398"/>
      <c r="W271" s="398"/>
    </row>
    <row r="272" spans="2:23" s="154" customFormat="1" ht="12.75" customHeight="1">
      <c r="B272" s="408"/>
      <c r="C272" s="420" t="s">
        <v>406</v>
      </c>
      <c r="D272" s="415"/>
      <c r="E272" s="445"/>
      <c r="F272" s="421">
        <f>2*4</f>
        <v>8</v>
      </c>
      <c r="G272" s="422" t="s">
        <v>130</v>
      </c>
      <c r="H272" s="423"/>
      <c r="I272" s="424"/>
      <c r="J272" s="425" t="s">
        <v>559</v>
      </c>
      <c r="K272" s="415"/>
      <c r="L272" s="414"/>
      <c r="M272" s="395"/>
      <c r="N272" s="398"/>
      <c r="O272" s="398"/>
      <c r="P272" s="398"/>
      <c r="Q272" s="398"/>
      <c r="R272" s="398"/>
      <c r="S272" s="398"/>
      <c r="T272" s="398"/>
      <c r="U272" s="398"/>
      <c r="V272" s="398"/>
      <c r="W272" s="398"/>
    </row>
    <row r="273" spans="2:23" s="154" customFormat="1" ht="12.75" customHeight="1">
      <c r="B273" s="408"/>
      <c r="C273" s="429" t="s">
        <v>408</v>
      </c>
      <c r="D273" s="414"/>
      <c r="E273" s="411" t="s">
        <v>409</v>
      </c>
      <c r="F273" s="430">
        <f>6.05*(1.2*1-3.14*0.4*0.4)</f>
        <v>4.220479999999999</v>
      </c>
      <c r="G273" s="413" t="s">
        <v>410</v>
      </c>
      <c r="H273" s="431"/>
      <c r="I273" s="432"/>
      <c r="J273" s="433" t="s">
        <v>615</v>
      </c>
      <c r="K273" s="415"/>
      <c r="L273" s="414"/>
      <c r="M273" s="398"/>
      <c r="N273" s="398"/>
      <c r="O273" s="398"/>
      <c r="P273" s="398"/>
      <c r="Q273" s="398"/>
      <c r="R273" s="398"/>
      <c r="S273" s="398"/>
      <c r="T273" s="398"/>
      <c r="U273" s="398"/>
      <c r="V273" s="398"/>
      <c r="W273" s="398"/>
    </row>
    <row r="274" spans="2:23" s="154" customFormat="1" ht="12.75" customHeight="1">
      <c r="B274" s="408"/>
      <c r="C274" s="429" t="s">
        <v>412</v>
      </c>
      <c r="D274" s="414"/>
      <c r="E274" s="411" t="s">
        <v>413</v>
      </c>
      <c r="F274" s="412">
        <f>6.05*(2*0.95+1.1)</f>
        <v>18.15</v>
      </c>
      <c r="G274" s="413" t="s">
        <v>414</v>
      </c>
      <c r="H274" s="434">
        <f>F274*7.9</f>
        <v>143.385</v>
      </c>
      <c r="I274" s="280" t="s">
        <v>415</v>
      </c>
      <c r="J274" s="414" t="s">
        <v>616</v>
      </c>
      <c r="K274" s="433"/>
      <c r="L274" s="414"/>
      <c r="M274" s="398"/>
      <c r="N274" s="398"/>
      <c r="O274" s="398"/>
      <c r="P274" s="398"/>
      <c r="Q274" s="398"/>
      <c r="R274" s="398"/>
      <c r="S274" s="398"/>
      <c r="T274" s="398"/>
      <c r="U274" s="398"/>
      <c r="V274" s="398"/>
      <c r="W274" s="398"/>
    </row>
    <row r="275" spans="2:23" s="154" customFormat="1" ht="12.75" customHeight="1">
      <c r="B275" s="408"/>
      <c r="C275" s="429"/>
      <c r="D275" s="414"/>
      <c r="E275" s="411" t="s">
        <v>417</v>
      </c>
      <c r="F275" s="412">
        <f>2*6.05*1.1</f>
        <v>13.31</v>
      </c>
      <c r="G275" s="413" t="s">
        <v>414</v>
      </c>
      <c r="H275" s="434">
        <f>F275*7.9</f>
        <v>105.14900000000002</v>
      </c>
      <c r="I275" s="280" t="s">
        <v>415</v>
      </c>
      <c r="J275" s="414" t="s">
        <v>617</v>
      </c>
      <c r="K275" s="433"/>
      <c r="L275" s="414"/>
      <c r="M275" s="398"/>
      <c r="N275" s="398"/>
      <c r="O275" s="398"/>
      <c r="P275" s="398"/>
      <c r="Q275" s="398"/>
      <c r="R275" s="398"/>
      <c r="S275" s="398"/>
      <c r="T275" s="398"/>
      <c r="U275" s="398"/>
      <c r="V275" s="398"/>
      <c r="W275" s="398"/>
    </row>
    <row r="276" spans="2:23" s="154" customFormat="1" ht="12.75" customHeight="1">
      <c r="B276" s="408"/>
      <c r="C276" s="429" t="s">
        <v>419</v>
      </c>
      <c r="D276" s="414"/>
      <c r="E276" s="411" t="s">
        <v>420</v>
      </c>
      <c r="F276" s="412">
        <f>6.05*1.2*0.3</f>
        <v>2.178</v>
      </c>
      <c r="G276" s="413" t="s">
        <v>410</v>
      </c>
      <c r="H276" s="431"/>
      <c r="I276" s="432"/>
      <c r="J276" s="433" t="s">
        <v>618</v>
      </c>
      <c r="K276" s="415"/>
      <c r="L276" s="414"/>
      <c r="M276" s="398"/>
      <c r="N276" s="398"/>
      <c r="O276" s="398"/>
      <c r="P276" s="398"/>
      <c r="Q276" s="398"/>
      <c r="R276" s="398"/>
      <c r="S276" s="398"/>
      <c r="T276" s="398"/>
      <c r="U276" s="398"/>
      <c r="V276" s="398"/>
      <c r="W276" s="398"/>
    </row>
    <row r="277" spans="2:23" s="154" customFormat="1" ht="12.75" customHeight="1">
      <c r="B277" s="408"/>
      <c r="C277" s="429" t="s">
        <v>422</v>
      </c>
      <c r="D277" s="414"/>
      <c r="E277" s="411" t="s">
        <v>99</v>
      </c>
      <c r="F277" s="412">
        <f>6.05*1.45*0.1</f>
        <v>0.87725</v>
      </c>
      <c r="G277" s="413" t="s">
        <v>410</v>
      </c>
      <c r="H277" s="431"/>
      <c r="I277" s="432"/>
      <c r="J277" s="433" t="s">
        <v>619</v>
      </c>
      <c r="K277" s="415"/>
      <c r="L277" s="414"/>
      <c r="M277" s="398"/>
      <c r="N277" s="398"/>
      <c r="O277" s="398"/>
      <c r="P277" s="398"/>
      <c r="Q277" s="398"/>
      <c r="R277" s="398"/>
      <c r="S277" s="398"/>
      <c r="T277" s="398"/>
      <c r="U277" s="398"/>
      <c r="V277" s="398"/>
      <c r="W277" s="398"/>
    </row>
    <row r="278" spans="2:23" s="154" customFormat="1" ht="12.75" customHeight="1">
      <c r="B278" s="408"/>
      <c r="C278" s="429" t="s">
        <v>424</v>
      </c>
      <c r="D278" s="414"/>
      <c r="E278" s="411" t="s">
        <v>99</v>
      </c>
      <c r="F278" s="412">
        <f>6.05*1.65*0.1</f>
        <v>0.9982500000000001</v>
      </c>
      <c r="G278" s="413" t="s">
        <v>410</v>
      </c>
      <c r="H278" s="434">
        <f>6.05*1.65</f>
        <v>9.9825</v>
      </c>
      <c r="I278" s="413" t="s">
        <v>414</v>
      </c>
      <c r="J278" s="433" t="s">
        <v>620</v>
      </c>
      <c r="K278" s="415"/>
      <c r="L278" s="414"/>
      <c r="M278" s="398"/>
      <c r="N278" s="398"/>
      <c r="O278" s="398"/>
      <c r="P278" s="398"/>
      <c r="Q278" s="398"/>
      <c r="R278" s="398"/>
      <c r="S278" s="398"/>
      <c r="T278" s="398"/>
      <c r="U278" s="398"/>
      <c r="V278" s="398"/>
      <c r="W278" s="398"/>
    </row>
    <row r="279" spans="2:23" s="154" customFormat="1" ht="12.75" customHeight="1">
      <c r="B279" s="408"/>
      <c r="C279" s="429" t="s">
        <v>426</v>
      </c>
      <c r="D279" s="414"/>
      <c r="E279" s="411"/>
      <c r="F279" s="412">
        <f>2*6.05*1.3+1.2*1.3</f>
        <v>17.29</v>
      </c>
      <c r="G279" s="413" t="s">
        <v>414</v>
      </c>
      <c r="H279" s="434"/>
      <c r="I279" s="413"/>
      <c r="J279" s="433" t="s">
        <v>621</v>
      </c>
      <c r="K279" s="415"/>
      <c r="L279" s="414"/>
      <c r="M279" s="398"/>
      <c r="N279" s="398"/>
      <c r="O279" s="398"/>
      <c r="P279" s="398"/>
      <c r="Q279" s="398"/>
      <c r="R279" s="398"/>
      <c r="S279" s="398"/>
      <c r="T279" s="398"/>
      <c r="U279" s="398"/>
      <c r="V279" s="398"/>
      <c r="W279" s="398"/>
    </row>
    <row r="280" spans="2:23" s="154" customFormat="1" ht="6" customHeight="1">
      <c r="B280" s="408"/>
      <c r="C280" s="429"/>
      <c r="D280" s="414"/>
      <c r="E280" s="411"/>
      <c r="F280" s="412"/>
      <c r="G280" s="413"/>
      <c r="H280" s="434"/>
      <c r="I280" s="413"/>
      <c r="J280" s="433"/>
      <c r="K280" s="415"/>
      <c r="L280" s="414"/>
      <c r="M280" s="398"/>
      <c r="N280" s="398"/>
      <c r="O280" s="398"/>
      <c r="P280" s="398"/>
      <c r="Q280" s="398"/>
      <c r="R280" s="398"/>
      <c r="S280" s="398"/>
      <c r="T280" s="398"/>
      <c r="U280" s="398"/>
      <c r="V280" s="398"/>
      <c r="W280" s="398"/>
    </row>
    <row r="281" spans="2:23" s="154" customFormat="1" ht="12.75" customHeight="1">
      <c r="B281" s="408" t="s">
        <v>433</v>
      </c>
      <c r="C281" s="429" t="s">
        <v>434</v>
      </c>
      <c r="D281" s="414"/>
      <c r="E281" s="411"/>
      <c r="F281" s="412">
        <f>1.8*1.95*2.95-1.2*0.6*2.65-1.05*3.14*0.4*0.4</f>
        <v>7.91898</v>
      </c>
      <c r="G281" s="413" t="s">
        <v>410</v>
      </c>
      <c r="H281" s="431"/>
      <c r="I281" s="432"/>
      <c r="J281" s="433" t="s">
        <v>622</v>
      </c>
      <c r="K281" s="415"/>
      <c r="L281" s="414"/>
      <c r="M281" s="395"/>
      <c r="N281" s="398"/>
      <c r="O281" s="398"/>
      <c r="P281" s="398"/>
      <c r="Q281" s="398"/>
      <c r="R281" s="398"/>
      <c r="S281" s="398"/>
      <c r="T281" s="398"/>
      <c r="U281" s="398"/>
      <c r="V281" s="398"/>
      <c r="W281" s="398"/>
    </row>
    <row r="282" spans="2:23" s="154" customFormat="1" ht="12.75" customHeight="1">
      <c r="B282" s="408"/>
      <c r="C282" s="429" t="s">
        <v>412</v>
      </c>
      <c r="D282" s="414"/>
      <c r="E282" s="411" t="s">
        <v>436</v>
      </c>
      <c r="F282" s="412">
        <f>4*1.7*2.85+2*1.85*2.85+2*0.7*2.65+1.7*1.85+1.3*0.7</f>
        <v>37.69</v>
      </c>
      <c r="G282" s="413" t="s">
        <v>414</v>
      </c>
      <c r="H282" s="434">
        <f>F282*7.9</f>
        <v>297.751</v>
      </c>
      <c r="I282" s="280" t="s">
        <v>415</v>
      </c>
      <c r="J282" s="414" t="s">
        <v>623</v>
      </c>
      <c r="K282" s="415"/>
      <c r="L282" s="414"/>
      <c r="M282" s="398"/>
      <c r="N282" s="398"/>
      <c r="O282" s="398"/>
      <c r="P282" s="398"/>
      <c r="Q282" s="398"/>
      <c r="R282" s="398"/>
      <c r="S282" s="398"/>
      <c r="T282" s="398"/>
      <c r="U282" s="398"/>
      <c r="V282" s="398"/>
      <c r="W282" s="398"/>
    </row>
    <row r="283" spans="2:23" s="154" customFormat="1" ht="12.75" customHeight="1">
      <c r="B283" s="408"/>
      <c r="C283" s="429" t="s">
        <v>422</v>
      </c>
      <c r="D283" s="414"/>
      <c r="E283" s="411" t="s">
        <v>91</v>
      </c>
      <c r="F283" s="412"/>
      <c r="G283" s="413"/>
      <c r="H283" s="431"/>
      <c r="I283" s="432"/>
      <c r="J283" s="433"/>
      <c r="K283" s="415"/>
      <c r="L283" s="414"/>
      <c r="M283" s="398"/>
      <c r="N283" s="398"/>
      <c r="O283" s="398"/>
      <c r="P283" s="398"/>
      <c r="Q283" s="398"/>
      <c r="R283" s="398"/>
      <c r="S283" s="398"/>
      <c r="T283" s="398"/>
      <c r="U283" s="398"/>
      <c r="V283" s="398"/>
      <c r="W283" s="398"/>
    </row>
    <row r="284" spans="2:23" s="154" customFormat="1" ht="12.75" customHeight="1">
      <c r="B284" s="408"/>
      <c r="C284" s="429"/>
      <c r="D284" s="414"/>
      <c r="E284" s="411" t="s">
        <v>438</v>
      </c>
      <c r="F284" s="412">
        <f>2.4*2.6*0.15</f>
        <v>0.9359999999999999</v>
      </c>
      <c r="G284" s="413" t="s">
        <v>410</v>
      </c>
      <c r="H284" s="431"/>
      <c r="I284" s="432"/>
      <c r="J284" s="433" t="s">
        <v>439</v>
      </c>
      <c r="K284" s="415"/>
      <c r="L284" s="414"/>
      <c r="M284" s="398"/>
      <c r="N284" s="398"/>
      <c r="O284" s="398"/>
      <c r="P284" s="398"/>
      <c r="Q284" s="398"/>
      <c r="R284" s="398"/>
      <c r="S284" s="398"/>
      <c r="T284" s="398"/>
      <c r="U284" s="398"/>
      <c r="V284" s="398"/>
      <c r="W284" s="398"/>
    </row>
    <row r="285" spans="2:23" s="154" customFormat="1" ht="12.75" customHeight="1">
      <c r="B285" s="408"/>
      <c r="C285" s="429"/>
      <c r="D285" s="414"/>
      <c r="E285" s="411" t="s">
        <v>440</v>
      </c>
      <c r="F285" s="412">
        <f>1.2*0.6*0.15</f>
        <v>0.108</v>
      </c>
      <c r="G285" s="413" t="s">
        <v>410</v>
      </c>
      <c r="H285" s="431"/>
      <c r="I285" s="432"/>
      <c r="J285" s="433" t="s">
        <v>441</v>
      </c>
      <c r="K285" s="415"/>
      <c r="L285" s="414"/>
      <c r="M285" s="398"/>
      <c r="N285" s="398"/>
      <c r="O285" s="398"/>
      <c r="P285" s="398"/>
      <c r="Q285" s="398"/>
      <c r="R285" s="398"/>
      <c r="S285" s="398"/>
      <c r="T285" s="398"/>
      <c r="U285" s="398"/>
      <c r="V285" s="398"/>
      <c r="W285" s="398"/>
    </row>
    <row r="286" spans="2:23" s="154" customFormat="1" ht="12.75" customHeight="1">
      <c r="B286" s="408"/>
      <c r="C286" s="429" t="s">
        <v>442</v>
      </c>
      <c r="D286" s="414"/>
      <c r="E286" s="411" t="s">
        <v>91</v>
      </c>
      <c r="F286" s="412">
        <f>1.2*0.6</f>
        <v>0.72</v>
      </c>
      <c r="G286" s="413" t="s">
        <v>414</v>
      </c>
      <c r="H286" s="434"/>
      <c r="I286" s="413"/>
      <c r="J286" s="433" t="s">
        <v>443</v>
      </c>
      <c r="K286" s="415"/>
      <c r="L286" s="414"/>
      <c r="M286" s="398"/>
      <c r="N286" s="398"/>
      <c r="O286" s="398"/>
      <c r="P286" s="398"/>
      <c r="Q286" s="398"/>
      <c r="R286" s="398"/>
      <c r="S286" s="398"/>
      <c r="T286" s="398"/>
      <c r="U286" s="398"/>
      <c r="V286" s="398"/>
      <c r="W286" s="398"/>
    </row>
    <row r="287" spans="2:23" s="154" customFormat="1" ht="12.75" customHeight="1">
      <c r="B287" s="408"/>
      <c r="C287" s="429" t="s">
        <v>424</v>
      </c>
      <c r="D287" s="414"/>
      <c r="E287" s="411" t="s">
        <v>99</v>
      </c>
      <c r="F287" s="412">
        <f>2.3*2.3*0.1</f>
        <v>0.5289999999999999</v>
      </c>
      <c r="G287" s="413" t="s">
        <v>410</v>
      </c>
      <c r="H287" s="434">
        <f>2.3*2.3</f>
        <v>5.289999999999999</v>
      </c>
      <c r="I287" s="413" t="s">
        <v>414</v>
      </c>
      <c r="J287" s="433" t="s">
        <v>444</v>
      </c>
      <c r="K287" s="415"/>
      <c r="L287" s="414"/>
      <c r="M287" s="398"/>
      <c r="N287" s="398"/>
      <c r="O287" s="398"/>
      <c r="P287" s="398"/>
      <c r="Q287" s="398"/>
      <c r="R287" s="398"/>
      <c r="S287" s="398"/>
      <c r="T287" s="398"/>
      <c r="U287" s="398"/>
      <c r="V287" s="398"/>
      <c r="W287" s="398"/>
    </row>
    <row r="288" spans="2:23" s="154" customFormat="1" ht="12.75" customHeight="1">
      <c r="B288" s="408"/>
      <c r="C288" s="429" t="s">
        <v>426</v>
      </c>
      <c r="D288" s="390"/>
      <c r="E288" s="435"/>
      <c r="F288" s="412">
        <f>2*((1.8+1.95)*2.95+(1.2+0.6)*2.65)</f>
        <v>31.665</v>
      </c>
      <c r="G288" s="413" t="s">
        <v>414</v>
      </c>
      <c r="H288" s="434"/>
      <c r="I288" s="413"/>
      <c r="J288" s="433" t="s">
        <v>624</v>
      </c>
      <c r="K288" s="415"/>
      <c r="L288" s="414"/>
      <c r="M288" s="398"/>
      <c r="N288" s="398"/>
      <c r="O288" s="398"/>
      <c r="P288" s="398"/>
      <c r="Q288" s="398"/>
      <c r="R288" s="398"/>
      <c r="S288" s="398"/>
      <c r="T288" s="398"/>
      <c r="U288" s="398"/>
      <c r="V288" s="398"/>
      <c r="W288" s="398"/>
    </row>
    <row r="289" spans="2:23" s="154" customFormat="1" ht="12.75" customHeight="1">
      <c r="B289" s="408"/>
      <c r="C289" s="436" t="s">
        <v>446</v>
      </c>
      <c r="D289" s="390"/>
      <c r="E289" s="435"/>
      <c r="F289" s="437">
        <v>1</v>
      </c>
      <c r="G289" s="413" t="s">
        <v>130</v>
      </c>
      <c r="H289" s="434"/>
      <c r="I289" s="413"/>
      <c r="J289" s="433"/>
      <c r="K289" s="415"/>
      <c r="L289" s="414"/>
      <c r="M289" s="398"/>
      <c r="N289" s="398"/>
      <c r="O289" s="398"/>
      <c r="P289" s="398"/>
      <c r="Q289" s="398"/>
      <c r="R289" s="398"/>
      <c r="S289" s="398"/>
      <c r="T289" s="398"/>
      <c r="U289" s="398"/>
      <c r="V289" s="398"/>
      <c r="W289" s="398"/>
    </row>
    <row r="290" spans="2:23" s="154" customFormat="1" ht="12.75" customHeight="1">
      <c r="B290" s="408"/>
      <c r="C290" s="436" t="s">
        <v>447</v>
      </c>
      <c r="D290" s="390"/>
      <c r="E290" s="435"/>
      <c r="F290" s="437">
        <v>7</v>
      </c>
      <c r="G290" s="413" t="s">
        <v>130</v>
      </c>
      <c r="H290" s="434"/>
      <c r="I290" s="413"/>
      <c r="J290" s="433"/>
      <c r="K290" s="415"/>
      <c r="L290" s="414"/>
      <c r="M290" s="398"/>
      <c r="N290" s="398"/>
      <c r="O290" s="398"/>
      <c r="P290" s="398"/>
      <c r="Q290" s="398"/>
      <c r="R290" s="398"/>
      <c r="S290" s="398"/>
      <c r="T290" s="398"/>
      <c r="U290" s="398"/>
      <c r="V290" s="398"/>
      <c r="W290" s="398"/>
    </row>
    <row r="291" spans="2:23" s="154" customFormat="1" ht="6" customHeight="1">
      <c r="B291" s="408"/>
      <c r="C291" s="429"/>
      <c r="D291" s="414"/>
      <c r="E291" s="411"/>
      <c r="F291" s="412"/>
      <c r="G291" s="413"/>
      <c r="H291" s="434"/>
      <c r="I291" s="413"/>
      <c r="J291" s="433"/>
      <c r="K291" s="415"/>
      <c r="L291" s="414"/>
      <c r="M291" s="398"/>
      <c r="N291" s="398"/>
      <c r="O291" s="398"/>
      <c r="P291" s="398"/>
      <c r="Q291" s="398"/>
      <c r="R291" s="398"/>
      <c r="S291" s="398"/>
      <c r="T291" s="398"/>
      <c r="U291" s="398"/>
      <c r="V291" s="398"/>
      <c r="W291" s="398"/>
    </row>
    <row r="292" spans="2:23" s="154" customFormat="1" ht="12.75" customHeight="1">
      <c r="B292" s="439" t="s">
        <v>465</v>
      </c>
      <c r="C292" s="429" t="s">
        <v>509</v>
      </c>
      <c r="D292" s="390"/>
      <c r="E292" s="435"/>
      <c r="F292" s="412">
        <f>2.8*0.7*1.7</f>
        <v>3.3319999999999994</v>
      </c>
      <c r="G292" s="413" t="s">
        <v>410</v>
      </c>
      <c r="H292" s="390"/>
      <c r="I292" s="432" t="s">
        <v>510</v>
      </c>
      <c r="J292" s="414" t="s">
        <v>625</v>
      </c>
      <c r="K292" s="415"/>
      <c r="L292" s="416"/>
      <c r="M292" s="398"/>
      <c r="N292" s="398"/>
      <c r="O292" s="398"/>
      <c r="P292" s="398"/>
      <c r="Q292" s="398"/>
      <c r="R292" s="398"/>
      <c r="S292" s="398"/>
      <c r="T292" s="398"/>
      <c r="U292" s="398"/>
      <c r="V292" s="398"/>
      <c r="W292" s="398"/>
    </row>
    <row r="293" spans="2:23" s="154" customFormat="1" ht="12.75" customHeight="1">
      <c r="B293" s="439"/>
      <c r="C293" s="429" t="s">
        <v>512</v>
      </c>
      <c r="D293" s="390"/>
      <c r="E293" s="435"/>
      <c r="F293" s="412">
        <v>9.5</v>
      </c>
      <c r="G293" s="413" t="s">
        <v>9</v>
      </c>
      <c r="H293" s="390"/>
      <c r="I293" s="432" t="s">
        <v>510</v>
      </c>
      <c r="J293" s="414"/>
      <c r="K293" s="415"/>
      <c r="L293" s="416"/>
      <c r="M293" s="398"/>
      <c r="N293" s="398"/>
      <c r="O293" s="398"/>
      <c r="P293" s="398"/>
      <c r="Q293" s="398"/>
      <c r="R293" s="398"/>
      <c r="S293" s="398"/>
      <c r="T293" s="398"/>
      <c r="U293" s="398"/>
      <c r="V293" s="398"/>
      <c r="W293" s="398"/>
    </row>
    <row r="294" spans="2:23" s="154" customFormat="1" ht="12.75" customHeight="1">
      <c r="B294" s="439"/>
      <c r="C294" s="429" t="s">
        <v>572</v>
      </c>
      <c r="D294" s="390"/>
      <c r="E294" s="435"/>
      <c r="F294" s="412">
        <f>1*0.9*0.9</f>
        <v>0.81</v>
      </c>
      <c r="G294" s="413" t="s">
        <v>410</v>
      </c>
      <c r="H294" s="390"/>
      <c r="I294" s="432" t="s">
        <v>510</v>
      </c>
      <c r="J294" s="414" t="s">
        <v>573</v>
      </c>
      <c r="K294" s="415" t="s">
        <v>37</v>
      </c>
      <c r="L294" s="416"/>
      <c r="M294" s="398"/>
      <c r="N294" s="398"/>
      <c r="O294" s="398"/>
      <c r="P294" s="398"/>
      <c r="Q294" s="398"/>
      <c r="R294" s="398"/>
      <c r="S294" s="398"/>
      <c r="T294" s="398"/>
      <c r="U294" s="398"/>
      <c r="V294" s="398"/>
      <c r="W294" s="398"/>
    </row>
    <row r="295" spans="2:23" s="154" customFormat="1" ht="6" customHeight="1">
      <c r="B295" s="439"/>
      <c r="C295" s="429"/>
      <c r="D295" s="390"/>
      <c r="E295" s="435"/>
      <c r="F295" s="412"/>
      <c r="G295" s="413"/>
      <c r="H295" s="390"/>
      <c r="I295" s="432"/>
      <c r="J295" s="414"/>
      <c r="K295" s="415"/>
      <c r="L295" s="416"/>
      <c r="M295" s="398"/>
      <c r="N295" s="398"/>
      <c r="O295" s="398"/>
      <c r="P295" s="398"/>
      <c r="Q295" s="398"/>
      <c r="R295" s="398"/>
      <c r="S295" s="398"/>
      <c r="T295" s="398"/>
      <c r="U295" s="398"/>
      <c r="V295" s="398"/>
      <c r="W295" s="398"/>
    </row>
    <row r="296" spans="2:23" s="154" customFormat="1" ht="12.75" customHeight="1">
      <c r="B296" s="439"/>
      <c r="C296" s="429" t="s">
        <v>466</v>
      </c>
      <c r="D296" s="390"/>
      <c r="E296" s="435"/>
      <c r="F296" s="412">
        <f>(9.5-2.4-2.6)*2.4*2.25</f>
        <v>24.299999999999997</v>
      </c>
      <c r="G296" s="413" t="s">
        <v>410</v>
      </c>
      <c r="H296" s="431"/>
      <c r="I296" s="432"/>
      <c r="J296" s="433" t="s">
        <v>626</v>
      </c>
      <c r="K296" s="415"/>
      <c r="L296" s="416"/>
      <c r="M296" s="398"/>
      <c r="N296" s="398"/>
      <c r="O296" s="398"/>
      <c r="P296" s="398"/>
      <c r="Q296" s="398"/>
      <c r="R296" s="398"/>
      <c r="S296" s="398"/>
      <c r="T296" s="398"/>
      <c r="U296" s="398"/>
      <c r="V296" s="398"/>
      <c r="W296" s="398"/>
    </row>
    <row r="297" spans="2:23" s="154" customFormat="1" ht="12.75" customHeight="1">
      <c r="B297" s="439"/>
      <c r="C297" s="429" t="s">
        <v>468</v>
      </c>
      <c r="D297" s="390"/>
      <c r="E297" s="435"/>
      <c r="F297" s="412">
        <f>3.05*4.05*3.15</f>
        <v>38.910374999999995</v>
      </c>
      <c r="G297" s="413" t="s">
        <v>410</v>
      </c>
      <c r="H297" s="431"/>
      <c r="I297" s="432"/>
      <c r="J297" s="414" t="s">
        <v>627</v>
      </c>
      <c r="K297" s="415"/>
      <c r="L297" s="416"/>
      <c r="M297" s="398"/>
      <c r="N297" s="398"/>
      <c r="O297" s="398"/>
      <c r="P297" s="398"/>
      <c r="Q297" s="398"/>
      <c r="R297" s="398"/>
      <c r="S297" s="398"/>
      <c r="T297" s="398"/>
      <c r="U297" s="398"/>
      <c r="V297" s="398"/>
      <c r="W297" s="398"/>
    </row>
    <row r="298" spans="2:23" s="154" customFormat="1" ht="6" customHeight="1">
      <c r="B298" s="439"/>
      <c r="C298" s="429"/>
      <c r="D298" s="398"/>
      <c r="E298" s="398"/>
      <c r="F298" s="440"/>
      <c r="G298" s="413"/>
      <c r="H298" s="442"/>
      <c r="I298" s="405"/>
      <c r="J298" s="406"/>
      <c r="K298" s="406"/>
      <c r="L298" s="406"/>
      <c r="M298" s="398"/>
      <c r="N298" s="398"/>
      <c r="O298" s="398"/>
      <c r="P298" s="398"/>
      <c r="Q298" s="398"/>
      <c r="R298" s="398"/>
      <c r="S298" s="398"/>
      <c r="T298" s="398"/>
      <c r="U298" s="398"/>
      <c r="V298" s="398"/>
      <c r="W298" s="398"/>
    </row>
    <row r="299" spans="2:23" s="154" customFormat="1" ht="12.75" customHeight="1">
      <c r="B299" s="443"/>
      <c r="C299" s="444" t="s">
        <v>474</v>
      </c>
      <c r="D299" s="398"/>
      <c r="E299" s="398"/>
      <c r="F299" s="440">
        <f>(9.5-2.4-2.6)*(2.4*2-1.2*1.5)</f>
        <v>13.5</v>
      </c>
      <c r="G299" s="413" t="s">
        <v>410</v>
      </c>
      <c r="H299" s="442"/>
      <c r="I299" s="405"/>
      <c r="J299" s="433" t="s">
        <v>628</v>
      </c>
      <c r="K299" s="406"/>
      <c r="L299" s="406"/>
      <c r="M299" s="398"/>
      <c r="N299" s="398"/>
      <c r="O299" s="398"/>
      <c r="P299" s="398"/>
      <c r="Q299" s="398"/>
      <c r="R299" s="398"/>
      <c r="S299" s="398"/>
      <c r="T299" s="398"/>
      <c r="U299" s="398"/>
      <c r="V299" s="398"/>
      <c r="W299" s="398"/>
    </row>
    <row r="300" spans="2:23" s="154" customFormat="1" ht="12.75" customHeight="1">
      <c r="B300" s="443"/>
      <c r="C300" s="429" t="s">
        <v>476</v>
      </c>
      <c r="D300" s="429"/>
      <c r="E300" s="398"/>
      <c r="F300" s="440">
        <f>3.05*4.05*3.15-1.8*1.95*2.85-1.05*3.14*0.4*0.4-1.55*1.2*1.5</f>
        <v>25.589354999999998</v>
      </c>
      <c r="G300" s="413" t="s">
        <v>410</v>
      </c>
      <c r="H300" s="442"/>
      <c r="I300" s="405"/>
      <c r="J300" s="414" t="s">
        <v>629</v>
      </c>
      <c r="K300" s="406"/>
      <c r="L300" s="406"/>
      <c r="M300" s="398"/>
      <c r="N300" s="398"/>
      <c r="O300" s="398"/>
      <c r="P300" s="398"/>
      <c r="Q300" s="398"/>
      <c r="R300" s="398"/>
      <c r="S300" s="398"/>
      <c r="T300" s="398"/>
      <c r="U300" s="398"/>
      <c r="V300" s="398"/>
      <c r="W300" s="398"/>
    </row>
    <row r="301" spans="2:23" s="154" customFormat="1" ht="6" customHeight="1">
      <c r="B301" s="443"/>
      <c r="C301" s="429"/>
      <c r="D301" s="429"/>
      <c r="E301" s="398"/>
      <c r="F301" s="440"/>
      <c r="G301" s="413"/>
      <c r="H301" s="442"/>
      <c r="I301" s="405"/>
      <c r="J301" s="414"/>
      <c r="K301" s="406"/>
      <c r="L301" s="406"/>
      <c r="M301" s="398"/>
      <c r="N301" s="398"/>
      <c r="O301" s="398"/>
      <c r="P301" s="398"/>
      <c r="Q301" s="398"/>
      <c r="R301" s="398"/>
      <c r="S301" s="398"/>
      <c r="T301" s="398"/>
      <c r="U301" s="398"/>
      <c r="V301" s="398"/>
      <c r="W301" s="398"/>
    </row>
    <row r="302" spans="2:23" s="154" customFormat="1" ht="12.75" customHeight="1">
      <c r="B302" s="439" t="s">
        <v>482</v>
      </c>
      <c r="C302" s="429"/>
      <c r="D302" s="390"/>
      <c r="E302" s="435" t="s">
        <v>483</v>
      </c>
      <c r="F302" s="412">
        <f>6.8*3</f>
        <v>20.4</v>
      </c>
      <c r="G302" s="413" t="s">
        <v>414</v>
      </c>
      <c r="H302" s="431"/>
      <c r="I302" s="432"/>
      <c r="J302" s="433" t="s">
        <v>484</v>
      </c>
      <c r="K302" s="406"/>
      <c r="L302" s="406"/>
      <c r="M302" s="398"/>
      <c r="N302" s="398"/>
      <c r="O302" s="398"/>
      <c r="P302" s="398"/>
      <c r="Q302" s="398"/>
      <c r="R302" s="398"/>
      <c r="S302" s="398"/>
      <c r="T302" s="398"/>
      <c r="U302" s="398"/>
      <c r="V302" s="398"/>
      <c r="W302" s="398"/>
    </row>
    <row r="303" spans="2:23" s="154" customFormat="1" ht="6" customHeight="1">
      <c r="B303" s="439"/>
      <c r="C303" s="429"/>
      <c r="D303" s="390"/>
      <c r="E303" s="435"/>
      <c r="F303" s="412"/>
      <c r="G303" s="413"/>
      <c r="H303" s="431"/>
      <c r="I303" s="432"/>
      <c r="J303" s="433"/>
      <c r="K303" s="406"/>
      <c r="L303" s="406"/>
      <c r="M303" s="398"/>
      <c r="N303" s="398"/>
      <c r="O303" s="398"/>
      <c r="P303" s="398"/>
      <c r="Q303" s="398"/>
      <c r="R303" s="398"/>
      <c r="S303" s="398"/>
      <c r="T303" s="398"/>
      <c r="U303" s="398"/>
      <c r="V303" s="398"/>
      <c r="W303" s="398"/>
    </row>
    <row r="304" spans="2:23" s="154" customFormat="1" ht="12.75" customHeight="1">
      <c r="B304" s="439" t="s">
        <v>485</v>
      </c>
      <c r="C304" s="429"/>
      <c r="D304" s="390"/>
      <c r="E304" s="435"/>
      <c r="F304" s="412">
        <f>2*10*2.8</f>
        <v>56</v>
      </c>
      <c r="G304" s="413" t="s">
        <v>414</v>
      </c>
      <c r="H304" s="431"/>
      <c r="I304" s="432"/>
      <c r="J304" s="433" t="s">
        <v>746</v>
      </c>
      <c r="K304" s="406"/>
      <c r="L304" s="406"/>
      <c r="M304" s="398"/>
      <c r="N304" s="398"/>
      <c r="O304" s="398"/>
      <c r="P304" s="398"/>
      <c r="Q304" s="398"/>
      <c r="R304" s="398"/>
      <c r="S304" s="398"/>
      <c r="T304" s="398"/>
      <c r="U304" s="398"/>
      <c r="V304" s="398"/>
      <c r="W304" s="398"/>
    </row>
    <row r="305" spans="2:23" s="154" customFormat="1" ht="12.75" customHeight="1">
      <c r="B305" s="408"/>
      <c r="C305" s="429"/>
      <c r="D305" s="414"/>
      <c r="E305" s="411"/>
      <c r="F305" s="412"/>
      <c r="G305" s="413"/>
      <c r="H305" s="434"/>
      <c r="I305" s="413"/>
      <c r="J305" s="433"/>
      <c r="K305" s="415"/>
      <c r="L305" s="414"/>
      <c r="M305" s="398"/>
      <c r="N305" s="398"/>
      <c r="O305" s="398"/>
      <c r="P305" s="398"/>
      <c r="Q305" s="398"/>
      <c r="R305" s="398"/>
      <c r="S305" s="398"/>
      <c r="T305" s="398"/>
      <c r="U305" s="398"/>
      <c r="V305" s="398"/>
      <c r="W305" s="398"/>
    </row>
    <row r="306" spans="2:23" s="154" customFormat="1" ht="12.75" customHeight="1">
      <c r="B306" s="399"/>
      <c r="C306" s="400"/>
      <c r="D306" s="401"/>
      <c r="E306" s="401"/>
      <c r="F306" s="402"/>
      <c r="G306" s="402"/>
      <c r="H306" s="402"/>
      <c r="I306" s="402"/>
      <c r="J306" s="403"/>
      <c r="K306" s="403"/>
      <c r="L306" s="401"/>
      <c r="M306" s="401"/>
      <c r="N306" s="401"/>
      <c r="O306" s="398"/>
      <c r="P306" s="398"/>
      <c r="Q306" s="398"/>
      <c r="R306" s="398"/>
      <c r="S306" s="398"/>
      <c r="T306" s="398"/>
      <c r="U306" s="398"/>
      <c r="V306" s="398"/>
      <c r="W306" s="398"/>
    </row>
    <row r="307" spans="2:23" s="154" customFormat="1" ht="12.75" customHeight="1">
      <c r="B307" s="404" t="s">
        <v>630</v>
      </c>
      <c r="C307" s="398"/>
      <c r="D307" s="395" t="s">
        <v>487</v>
      </c>
      <c r="E307" s="398"/>
      <c r="F307" s="405"/>
      <c r="G307" s="405"/>
      <c r="H307" s="405" t="s">
        <v>488</v>
      </c>
      <c r="I307" s="405"/>
      <c r="J307" s="406"/>
      <c r="K307" s="406"/>
      <c r="L307" s="398"/>
      <c r="M307" s="395"/>
      <c r="N307" s="398"/>
      <c r="O307" s="398"/>
      <c r="P307" s="398"/>
      <c r="Q307" s="398"/>
      <c r="R307" s="398"/>
      <c r="S307" s="398"/>
      <c r="T307" s="398"/>
      <c r="U307" s="398"/>
      <c r="V307" s="398"/>
      <c r="W307" s="398"/>
    </row>
    <row r="308" spans="2:23" s="154" customFormat="1" ht="12.75" customHeight="1">
      <c r="B308" s="407"/>
      <c r="C308" s="398"/>
      <c r="D308" s="398"/>
      <c r="E308" s="398"/>
      <c r="F308" s="405"/>
      <c r="G308" s="405"/>
      <c r="H308" s="405"/>
      <c r="I308" s="405"/>
      <c r="J308" s="406"/>
      <c r="K308" s="406"/>
      <c r="L308" s="398"/>
      <c r="M308" s="395"/>
      <c r="N308" s="398"/>
      <c r="O308" s="398"/>
      <c r="P308" s="398"/>
      <c r="Q308" s="398"/>
      <c r="R308" s="398"/>
      <c r="S308" s="398"/>
      <c r="T308" s="398"/>
      <c r="U308" s="398"/>
      <c r="V308" s="398"/>
      <c r="W308" s="398"/>
    </row>
    <row r="309" spans="2:23" s="154" customFormat="1" ht="12.75" customHeight="1">
      <c r="B309" s="408" t="s">
        <v>405</v>
      </c>
      <c r="C309" s="409"/>
      <c r="D309" s="410"/>
      <c r="E309" s="411" t="s">
        <v>124</v>
      </c>
      <c r="F309" s="412">
        <v>10.1</v>
      </c>
      <c r="G309" s="413" t="s">
        <v>9</v>
      </c>
      <c r="H309" s="280">
        <v>5</v>
      </c>
      <c r="I309" s="280" t="s">
        <v>130</v>
      </c>
      <c r="J309" s="414"/>
      <c r="K309" s="415"/>
      <c r="L309" s="416"/>
      <c r="M309" s="398"/>
      <c r="N309" s="398"/>
      <c r="O309" s="398"/>
      <c r="P309" s="398"/>
      <c r="Q309" s="398"/>
      <c r="R309" s="398"/>
      <c r="S309" s="398"/>
      <c r="T309" s="398"/>
      <c r="U309" s="398"/>
      <c r="V309" s="398"/>
      <c r="W309" s="398"/>
    </row>
    <row r="310" spans="2:23" s="154" customFormat="1" ht="12.75" customHeight="1">
      <c r="B310" s="408"/>
      <c r="C310" s="420" t="s">
        <v>406</v>
      </c>
      <c r="D310" s="415"/>
      <c r="E310" s="445"/>
      <c r="F310" s="421">
        <f>2*5</f>
        <v>10</v>
      </c>
      <c r="G310" s="422" t="s">
        <v>130</v>
      </c>
      <c r="H310" s="423"/>
      <c r="I310" s="424"/>
      <c r="J310" s="425" t="s">
        <v>407</v>
      </c>
      <c r="K310" s="415"/>
      <c r="L310" s="414"/>
      <c r="M310" s="395"/>
      <c r="N310" s="398"/>
      <c r="O310" s="398"/>
      <c r="P310" s="398"/>
      <c r="Q310" s="398"/>
      <c r="R310" s="398"/>
      <c r="S310" s="398"/>
      <c r="T310" s="398"/>
      <c r="U310" s="398"/>
      <c r="V310" s="398"/>
      <c r="W310" s="398"/>
    </row>
    <row r="311" spans="2:23" s="154" customFormat="1" ht="12.75" customHeight="1">
      <c r="B311" s="408"/>
      <c r="C311" s="429" t="s">
        <v>408</v>
      </c>
      <c r="D311" s="414"/>
      <c r="E311" s="411" t="s">
        <v>409</v>
      </c>
      <c r="F311" s="430">
        <f>9.05*(1.2*1-3.14*0.4*0.4)</f>
        <v>6.31328</v>
      </c>
      <c r="G311" s="413" t="s">
        <v>410</v>
      </c>
      <c r="H311" s="431"/>
      <c r="I311" s="432"/>
      <c r="J311" s="433" t="s">
        <v>631</v>
      </c>
      <c r="K311" s="415"/>
      <c r="L311" s="414"/>
      <c r="M311" s="395"/>
      <c r="N311" s="398"/>
      <c r="O311" s="398"/>
      <c r="P311" s="398"/>
      <c r="Q311" s="398"/>
      <c r="R311" s="398"/>
      <c r="S311" s="398"/>
      <c r="T311" s="398"/>
      <c r="U311" s="398"/>
      <c r="V311" s="398"/>
      <c r="W311" s="398"/>
    </row>
    <row r="312" spans="2:23" s="154" customFormat="1" ht="12.75" customHeight="1">
      <c r="B312" s="408"/>
      <c r="C312" s="429" t="s">
        <v>412</v>
      </c>
      <c r="D312" s="414"/>
      <c r="E312" s="411" t="s">
        <v>413</v>
      </c>
      <c r="F312" s="412">
        <f>9*(2*0.95+1.1)</f>
        <v>27</v>
      </c>
      <c r="G312" s="413" t="s">
        <v>414</v>
      </c>
      <c r="H312" s="434">
        <f>F312*7.9</f>
        <v>213.3</v>
      </c>
      <c r="I312" s="280" t="s">
        <v>415</v>
      </c>
      <c r="J312" s="414" t="s">
        <v>632</v>
      </c>
      <c r="K312" s="433"/>
      <c r="L312" s="414"/>
      <c r="M312" s="395"/>
      <c r="N312" s="398"/>
      <c r="O312" s="398"/>
      <c r="P312" s="398"/>
      <c r="Q312" s="398"/>
      <c r="R312" s="398"/>
      <c r="S312" s="398"/>
      <c r="T312" s="398"/>
      <c r="U312" s="398"/>
      <c r="V312" s="398"/>
      <c r="W312" s="398"/>
    </row>
    <row r="313" spans="2:23" s="154" customFormat="1" ht="12.75" customHeight="1">
      <c r="B313" s="408"/>
      <c r="C313" s="429"/>
      <c r="D313" s="414"/>
      <c r="E313" s="411" t="s">
        <v>417</v>
      </c>
      <c r="F313" s="412">
        <f>2*9*1.1</f>
        <v>19.8</v>
      </c>
      <c r="G313" s="413" t="s">
        <v>414</v>
      </c>
      <c r="H313" s="434">
        <f>F313*7.9</f>
        <v>156.42000000000002</v>
      </c>
      <c r="I313" s="280" t="s">
        <v>415</v>
      </c>
      <c r="J313" s="414" t="s">
        <v>633</v>
      </c>
      <c r="K313" s="433"/>
      <c r="L313" s="414"/>
      <c r="M313" s="395"/>
      <c r="N313" s="398"/>
      <c r="O313" s="398"/>
      <c r="P313" s="398"/>
      <c r="Q313" s="398"/>
      <c r="R313" s="398"/>
      <c r="S313" s="398"/>
      <c r="T313" s="398"/>
      <c r="U313" s="398"/>
      <c r="V313" s="398"/>
      <c r="W313" s="398"/>
    </row>
    <row r="314" spans="2:23" s="154" customFormat="1" ht="12.75" customHeight="1">
      <c r="B314" s="408"/>
      <c r="C314" s="429" t="s">
        <v>419</v>
      </c>
      <c r="D314" s="414"/>
      <c r="E314" s="411" t="s">
        <v>420</v>
      </c>
      <c r="F314" s="412">
        <f>8.95*1.2*0.3</f>
        <v>3.2219999999999995</v>
      </c>
      <c r="G314" s="413" t="s">
        <v>410</v>
      </c>
      <c r="H314" s="431"/>
      <c r="I314" s="432"/>
      <c r="J314" s="433" t="s">
        <v>634</v>
      </c>
      <c r="K314" s="415"/>
      <c r="L314" s="414"/>
      <c r="M314" s="395"/>
      <c r="N314" s="398"/>
      <c r="O314" s="398"/>
      <c r="P314" s="398"/>
      <c r="Q314" s="398"/>
      <c r="R314" s="398"/>
      <c r="S314" s="398"/>
      <c r="T314" s="398"/>
      <c r="U314" s="398"/>
      <c r="V314" s="398"/>
      <c r="W314" s="398"/>
    </row>
    <row r="315" spans="2:23" s="154" customFormat="1" ht="12.75" customHeight="1">
      <c r="B315" s="408"/>
      <c r="C315" s="429" t="s">
        <v>422</v>
      </c>
      <c r="D315" s="414"/>
      <c r="E315" s="411" t="s">
        <v>99</v>
      </c>
      <c r="F315" s="412">
        <f>9.05*1.45*0.1</f>
        <v>1.3122500000000001</v>
      </c>
      <c r="G315" s="413" t="s">
        <v>410</v>
      </c>
      <c r="H315" s="431"/>
      <c r="I315" s="432"/>
      <c r="J315" s="433" t="s">
        <v>635</v>
      </c>
      <c r="K315" s="415"/>
      <c r="L315" s="414"/>
      <c r="M315" s="395"/>
      <c r="N315" s="398"/>
      <c r="O315" s="398"/>
      <c r="P315" s="398"/>
      <c r="Q315" s="398"/>
      <c r="R315" s="398"/>
      <c r="S315" s="398"/>
      <c r="T315" s="398"/>
      <c r="U315" s="398"/>
      <c r="V315" s="398"/>
      <c r="W315" s="398"/>
    </row>
    <row r="316" spans="2:23" s="154" customFormat="1" ht="12.75" customHeight="1">
      <c r="B316" s="408"/>
      <c r="C316" s="429" t="s">
        <v>424</v>
      </c>
      <c r="D316" s="414"/>
      <c r="E316" s="411" t="s">
        <v>99</v>
      </c>
      <c r="F316" s="412">
        <f>9.05*1.65*0.1</f>
        <v>1.4932500000000002</v>
      </c>
      <c r="G316" s="413" t="s">
        <v>410</v>
      </c>
      <c r="H316" s="434">
        <f>9.05*1.65</f>
        <v>14.932500000000001</v>
      </c>
      <c r="I316" s="413" t="s">
        <v>414</v>
      </c>
      <c r="J316" s="433" t="s">
        <v>636</v>
      </c>
      <c r="K316" s="415"/>
      <c r="L316" s="414"/>
      <c r="M316" s="395"/>
      <c r="N316" s="398"/>
      <c r="O316" s="398"/>
      <c r="P316" s="398"/>
      <c r="Q316" s="398"/>
      <c r="R316" s="398"/>
      <c r="S316" s="398"/>
      <c r="T316" s="398"/>
      <c r="U316" s="398"/>
      <c r="V316" s="398"/>
      <c r="W316" s="398"/>
    </row>
    <row r="317" spans="2:23" s="154" customFormat="1" ht="12.75" customHeight="1">
      <c r="B317" s="408"/>
      <c r="C317" s="429" t="s">
        <v>426</v>
      </c>
      <c r="D317" s="414"/>
      <c r="E317" s="411"/>
      <c r="F317" s="412">
        <f>2*9.05*1.3+1.2*1.3</f>
        <v>25.09</v>
      </c>
      <c r="G317" s="413" t="s">
        <v>414</v>
      </c>
      <c r="H317" s="434"/>
      <c r="I317" s="413"/>
      <c r="J317" s="433" t="s">
        <v>637</v>
      </c>
      <c r="K317" s="415"/>
      <c r="L317" s="414"/>
      <c r="M317" s="395"/>
      <c r="N317" s="398"/>
      <c r="O317" s="398"/>
      <c r="P317" s="398"/>
      <c r="Q317" s="398"/>
      <c r="R317" s="398"/>
      <c r="S317" s="398"/>
      <c r="T317" s="398"/>
      <c r="U317" s="398"/>
      <c r="V317" s="398"/>
      <c r="W317" s="398"/>
    </row>
    <row r="318" spans="2:23" s="154" customFormat="1" ht="12.75" customHeight="1">
      <c r="B318" s="408"/>
      <c r="C318" s="429"/>
      <c r="D318" s="414"/>
      <c r="E318" s="411"/>
      <c r="F318" s="412"/>
      <c r="G318" s="413"/>
      <c r="H318" s="434"/>
      <c r="I318" s="413"/>
      <c r="J318" s="433"/>
      <c r="K318" s="415"/>
      <c r="L318" s="414"/>
      <c r="M318" s="395"/>
      <c r="N318" s="398"/>
      <c r="O318" s="398"/>
      <c r="P318" s="398"/>
      <c r="Q318" s="398"/>
      <c r="R318" s="398"/>
      <c r="S318" s="398"/>
      <c r="T318" s="398"/>
      <c r="U318" s="398"/>
      <c r="V318" s="398"/>
      <c r="W318" s="398"/>
    </row>
    <row r="319" spans="2:23" s="154" customFormat="1" ht="12.75" customHeight="1">
      <c r="B319" s="408" t="s">
        <v>433</v>
      </c>
      <c r="C319" s="429" t="s">
        <v>434</v>
      </c>
      <c r="D319" s="414"/>
      <c r="E319" s="411"/>
      <c r="F319" s="412">
        <f>1.8*1.95*3.05-1.2*0.6*2.75-1.05*3.14*0.4*0.4</f>
        <v>8.197979999999998</v>
      </c>
      <c r="G319" s="413" t="s">
        <v>410</v>
      </c>
      <c r="H319" s="431"/>
      <c r="I319" s="432"/>
      <c r="J319" s="433" t="s">
        <v>638</v>
      </c>
      <c r="K319" s="415"/>
      <c r="L319" s="414"/>
      <c r="M319" s="398"/>
      <c r="N319" s="398"/>
      <c r="O319" s="398"/>
      <c r="P319" s="398"/>
      <c r="Q319" s="398"/>
      <c r="R319" s="398"/>
      <c r="S319" s="398"/>
      <c r="T319" s="398"/>
      <c r="U319" s="398"/>
      <c r="V319" s="398"/>
      <c r="W319" s="398"/>
    </row>
    <row r="320" spans="2:23" s="154" customFormat="1" ht="12.75" customHeight="1">
      <c r="B320" s="408"/>
      <c r="C320" s="429" t="s">
        <v>412</v>
      </c>
      <c r="D320" s="414"/>
      <c r="E320" s="411" t="s">
        <v>436</v>
      </c>
      <c r="F320" s="412">
        <f>4*1.7*2.95+2*1.85*2.95+2*0.7*2.75+1.7*1.85+1.3*0.7</f>
        <v>38.88</v>
      </c>
      <c r="G320" s="413" t="s">
        <v>414</v>
      </c>
      <c r="H320" s="434">
        <f>F320*7.9</f>
        <v>307.15200000000004</v>
      </c>
      <c r="I320" s="280" t="s">
        <v>415</v>
      </c>
      <c r="J320" s="414" t="s">
        <v>639</v>
      </c>
      <c r="K320" s="415"/>
      <c r="L320" s="414"/>
      <c r="M320" s="398"/>
      <c r="N320" s="398"/>
      <c r="O320" s="398"/>
      <c r="P320" s="398"/>
      <c r="Q320" s="398"/>
      <c r="R320" s="398"/>
      <c r="S320" s="398"/>
      <c r="T320" s="398"/>
      <c r="U320" s="398"/>
      <c r="V320" s="398"/>
      <c r="W320" s="398"/>
    </row>
    <row r="321" spans="2:23" s="154" customFormat="1" ht="12.75" customHeight="1">
      <c r="B321" s="408"/>
      <c r="C321" s="429" t="s">
        <v>422</v>
      </c>
      <c r="D321" s="414"/>
      <c r="E321" s="411" t="s">
        <v>91</v>
      </c>
      <c r="F321" s="412"/>
      <c r="G321" s="413"/>
      <c r="H321" s="431"/>
      <c r="I321" s="432"/>
      <c r="J321" s="433"/>
      <c r="K321" s="415"/>
      <c r="L321" s="414"/>
      <c r="M321" s="398"/>
      <c r="N321" s="398"/>
      <c r="O321" s="398"/>
      <c r="P321" s="398"/>
      <c r="Q321" s="398"/>
      <c r="R321" s="398"/>
      <c r="S321" s="398"/>
      <c r="T321" s="398"/>
      <c r="U321" s="398"/>
      <c r="V321" s="398"/>
      <c r="W321" s="398"/>
    </row>
    <row r="322" spans="2:23" s="154" customFormat="1" ht="12.75" customHeight="1">
      <c r="B322" s="408"/>
      <c r="C322" s="429"/>
      <c r="D322" s="414"/>
      <c r="E322" s="411" t="s">
        <v>438</v>
      </c>
      <c r="F322" s="412">
        <f>2.4*2.6*0.15</f>
        <v>0.9359999999999999</v>
      </c>
      <c r="G322" s="413" t="s">
        <v>410</v>
      </c>
      <c r="H322" s="431"/>
      <c r="I322" s="432"/>
      <c r="J322" s="433" t="s">
        <v>439</v>
      </c>
      <c r="K322" s="415"/>
      <c r="L322" s="414"/>
      <c r="M322" s="398"/>
      <c r="N322" s="398"/>
      <c r="O322" s="398"/>
      <c r="P322" s="398"/>
      <c r="Q322" s="398"/>
      <c r="R322" s="398"/>
      <c r="S322" s="398"/>
      <c r="T322" s="398"/>
      <c r="U322" s="398"/>
      <c r="V322" s="398"/>
      <c r="W322" s="398"/>
    </row>
    <row r="323" spans="2:23" s="154" customFormat="1" ht="12.75" customHeight="1">
      <c r="B323" s="408"/>
      <c r="C323" s="429"/>
      <c r="D323" s="414"/>
      <c r="E323" s="411" t="s">
        <v>440</v>
      </c>
      <c r="F323" s="412">
        <f>1.2*0.6*0.15</f>
        <v>0.108</v>
      </c>
      <c r="G323" s="413" t="s">
        <v>410</v>
      </c>
      <c r="H323" s="431"/>
      <c r="I323" s="432"/>
      <c r="J323" s="433" t="s">
        <v>441</v>
      </c>
      <c r="K323" s="415"/>
      <c r="L323" s="414"/>
      <c r="M323" s="398"/>
      <c r="N323" s="398"/>
      <c r="O323" s="398"/>
      <c r="P323" s="398"/>
      <c r="Q323" s="398"/>
      <c r="R323" s="398"/>
      <c r="S323" s="398"/>
      <c r="T323" s="398"/>
      <c r="U323" s="398"/>
      <c r="V323" s="398"/>
      <c r="W323" s="398"/>
    </row>
    <row r="324" spans="2:23" s="154" customFormat="1" ht="12.75" customHeight="1">
      <c r="B324" s="408"/>
      <c r="C324" s="429" t="s">
        <v>442</v>
      </c>
      <c r="D324" s="414"/>
      <c r="E324" s="411" t="s">
        <v>91</v>
      </c>
      <c r="F324" s="412">
        <f>1.2*0.6</f>
        <v>0.72</v>
      </c>
      <c r="G324" s="413" t="s">
        <v>414</v>
      </c>
      <c r="H324" s="434"/>
      <c r="I324" s="413"/>
      <c r="J324" s="433" t="s">
        <v>443</v>
      </c>
      <c r="K324" s="415"/>
      <c r="L324" s="414"/>
      <c r="M324" s="398"/>
      <c r="N324" s="398"/>
      <c r="O324" s="398"/>
      <c r="P324" s="398"/>
      <c r="Q324" s="398"/>
      <c r="R324" s="398"/>
      <c r="S324" s="398"/>
      <c r="T324" s="398"/>
      <c r="U324" s="398"/>
      <c r="V324" s="398"/>
      <c r="W324" s="398"/>
    </row>
    <row r="325" spans="2:23" s="154" customFormat="1" ht="12.75" customHeight="1">
      <c r="B325" s="408"/>
      <c r="C325" s="429" t="s">
        <v>424</v>
      </c>
      <c r="D325" s="414"/>
      <c r="E325" s="411" t="s">
        <v>99</v>
      </c>
      <c r="F325" s="412">
        <f>2.3*2.3*0.1</f>
        <v>0.5289999999999999</v>
      </c>
      <c r="G325" s="413" t="s">
        <v>410</v>
      </c>
      <c r="H325" s="434">
        <f>2.3*2.3</f>
        <v>5.289999999999999</v>
      </c>
      <c r="I325" s="413" t="s">
        <v>414</v>
      </c>
      <c r="J325" s="433" t="s">
        <v>444</v>
      </c>
      <c r="K325" s="415"/>
      <c r="L325" s="414"/>
      <c r="M325" s="398"/>
      <c r="N325" s="398"/>
      <c r="O325" s="398"/>
      <c r="P325" s="398"/>
      <c r="Q325" s="398"/>
      <c r="R325" s="398"/>
      <c r="S325" s="398"/>
      <c r="T325" s="398"/>
      <c r="U325" s="398"/>
      <c r="V325" s="398"/>
      <c r="W325" s="398"/>
    </row>
    <row r="326" spans="2:23" s="154" customFormat="1" ht="12.75" customHeight="1">
      <c r="B326" s="408"/>
      <c r="C326" s="429" t="s">
        <v>426</v>
      </c>
      <c r="D326" s="390"/>
      <c r="E326" s="435"/>
      <c r="F326" s="412">
        <f>2*((1.8+1.95)*3.05+(1.2+0.6)*2.75)</f>
        <v>32.775</v>
      </c>
      <c r="G326" s="413" t="s">
        <v>414</v>
      </c>
      <c r="H326" s="434"/>
      <c r="I326" s="413"/>
      <c r="J326" s="433" t="s">
        <v>640</v>
      </c>
      <c r="K326" s="415"/>
      <c r="L326" s="414"/>
      <c r="M326" s="398"/>
      <c r="N326" s="398"/>
      <c r="O326" s="398"/>
      <c r="P326" s="398"/>
      <c r="Q326" s="398"/>
      <c r="R326" s="398"/>
      <c r="S326" s="398"/>
      <c r="T326" s="398"/>
      <c r="U326" s="398"/>
      <c r="V326" s="398"/>
      <c r="W326" s="398"/>
    </row>
    <row r="327" spans="2:23" s="154" customFormat="1" ht="12.75" customHeight="1">
      <c r="B327" s="408"/>
      <c r="C327" s="436" t="s">
        <v>446</v>
      </c>
      <c r="D327" s="390"/>
      <c r="E327" s="435"/>
      <c r="F327" s="437">
        <v>1</v>
      </c>
      <c r="G327" s="413" t="s">
        <v>130</v>
      </c>
      <c r="H327" s="434"/>
      <c r="I327" s="413"/>
      <c r="J327" s="433"/>
      <c r="K327" s="415"/>
      <c r="L327" s="414"/>
      <c r="M327" s="398"/>
      <c r="N327" s="398"/>
      <c r="O327" s="398"/>
      <c r="P327" s="398"/>
      <c r="Q327" s="398"/>
      <c r="R327" s="398"/>
      <c r="S327" s="398"/>
      <c r="T327" s="398"/>
      <c r="U327" s="398"/>
      <c r="V327" s="398"/>
      <c r="W327" s="398"/>
    </row>
    <row r="328" spans="2:23" s="154" customFormat="1" ht="12.75" customHeight="1">
      <c r="B328" s="408"/>
      <c r="C328" s="436" t="s">
        <v>447</v>
      </c>
      <c r="D328" s="390"/>
      <c r="E328" s="435"/>
      <c r="F328" s="437">
        <v>7</v>
      </c>
      <c r="G328" s="413" t="s">
        <v>130</v>
      </c>
      <c r="H328" s="434"/>
      <c r="I328" s="413"/>
      <c r="J328" s="433"/>
      <c r="K328" s="415"/>
      <c r="L328" s="414"/>
      <c r="M328" s="398"/>
      <c r="N328" s="398"/>
      <c r="O328" s="398"/>
      <c r="P328" s="398"/>
      <c r="Q328" s="398"/>
      <c r="R328" s="398"/>
      <c r="S328" s="398"/>
      <c r="T328" s="398"/>
      <c r="U328" s="398"/>
      <c r="V328" s="398"/>
      <c r="W328" s="398"/>
    </row>
    <row r="329" spans="2:23" s="154" customFormat="1" ht="12.75" customHeight="1">
      <c r="B329" s="408"/>
      <c r="C329" s="429"/>
      <c r="D329" s="414"/>
      <c r="E329" s="411"/>
      <c r="F329" s="412"/>
      <c r="G329" s="413"/>
      <c r="H329" s="434"/>
      <c r="I329" s="413"/>
      <c r="J329" s="433"/>
      <c r="K329" s="415"/>
      <c r="L329" s="414"/>
      <c r="M329" s="395"/>
      <c r="N329" s="398"/>
      <c r="O329" s="398"/>
      <c r="P329" s="398"/>
      <c r="Q329" s="398"/>
      <c r="R329" s="398"/>
      <c r="S329" s="398"/>
      <c r="T329" s="398"/>
      <c r="U329" s="398"/>
      <c r="V329" s="398"/>
      <c r="W329" s="398"/>
    </row>
    <row r="330" spans="2:23" s="154" customFormat="1" ht="12.75" customHeight="1">
      <c r="B330" s="439" t="s">
        <v>500</v>
      </c>
      <c r="C330" s="398" t="s">
        <v>501</v>
      </c>
      <c r="D330" s="398"/>
      <c r="E330" s="411" t="s">
        <v>409</v>
      </c>
      <c r="F330" s="440">
        <f>3*2</f>
        <v>6</v>
      </c>
      <c r="G330" s="413" t="s">
        <v>414</v>
      </c>
      <c r="H330" s="441"/>
      <c r="I330" s="405"/>
      <c r="J330" s="406" t="s">
        <v>641</v>
      </c>
      <c r="K330" s="406"/>
      <c r="L330" s="406"/>
      <c r="M330" s="395"/>
      <c r="N330" s="398"/>
      <c r="O330" s="398"/>
      <c r="P330" s="398"/>
      <c r="Q330" s="398"/>
      <c r="R330" s="398"/>
      <c r="S330" s="398"/>
      <c r="T330" s="398"/>
      <c r="U330" s="398"/>
      <c r="V330" s="398"/>
      <c r="W330" s="398"/>
    </row>
    <row r="331" spans="2:23" s="154" customFormat="1" ht="12.75" customHeight="1">
      <c r="B331" s="439"/>
      <c r="C331" s="398" t="s">
        <v>451</v>
      </c>
      <c r="D331" s="398"/>
      <c r="E331" s="411" t="s">
        <v>99</v>
      </c>
      <c r="F331" s="434">
        <f>3*2*0.1</f>
        <v>0.6000000000000001</v>
      </c>
      <c r="G331" s="413" t="s">
        <v>410</v>
      </c>
      <c r="H331" s="441"/>
      <c r="I331" s="405"/>
      <c r="J331" s="406" t="s">
        <v>642</v>
      </c>
      <c r="K331" s="406"/>
      <c r="L331" s="406"/>
      <c r="M331" s="395"/>
      <c r="N331" s="398"/>
      <c r="O331" s="398"/>
      <c r="P331" s="398"/>
      <c r="Q331" s="398"/>
      <c r="R331" s="398"/>
      <c r="S331" s="398"/>
      <c r="T331" s="398"/>
      <c r="U331" s="398"/>
      <c r="V331" s="398"/>
      <c r="W331" s="398"/>
    </row>
    <row r="332" spans="2:23" s="154" customFormat="1" ht="12.75" customHeight="1">
      <c r="B332" s="439"/>
      <c r="C332" s="398" t="s">
        <v>454</v>
      </c>
      <c r="D332" s="398"/>
      <c r="E332" s="411" t="s">
        <v>99</v>
      </c>
      <c r="F332" s="440"/>
      <c r="G332" s="413"/>
      <c r="H332" s="440"/>
      <c r="I332" s="413"/>
      <c r="J332" s="406"/>
      <c r="K332" s="406"/>
      <c r="L332" s="406"/>
      <c r="M332" s="395"/>
      <c r="N332" s="398"/>
      <c r="O332" s="398"/>
      <c r="P332" s="398"/>
      <c r="Q332" s="398"/>
      <c r="R332" s="398"/>
      <c r="S332" s="398"/>
      <c r="T332" s="398"/>
      <c r="U332" s="398"/>
      <c r="V332" s="398"/>
      <c r="W332" s="398"/>
    </row>
    <row r="333" spans="1:23" s="154" customFormat="1" ht="12.75" customHeight="1">
      <c r="A333" s="390"/>
      <c r="B333" s="439"/>
      <c r="C333" s="398"/>
      <c r="D333" s="398"/>
      <c r="E333" s="411" t="s">
        <v>504</v>
      </c>
      <c r="F333" s="434">
        <f>3*2*0.1</f>
        <v>0.6000000000000001</v>
      </c>
      <c r="G333" s="413" t="s">
        <v>410</v>
      </c>
      <c r="H333" s="440">
        <f>3*2</f>
        <v>6</v>
      </c>
      <c r="I333" s="413" t="s">
        <v>414</v>
      </c>
      <c r="J333" s="406" t="s">
        <v>642</v>
      </c>
      <c r="K333" s="406"/>
      <c r="L333" s="406"/>
      <c r="M333" s="395"/>
      <c r="N333" s="398"/>
      <c r="O333" s="398"/>
      <c r="P333" s="398"/>
      <c r="Q333" s="398"/>
      <c r="R333" s="398"/>
      <c r="S333" s="398"/>
      <c r="T333" s="398"/>
      <c r="U333" s="398"/>
      <c r="V333" s="398"/>
      <c r="W333" s="398"/>
    </row>
    <row r="334" spans="2:23" s="154" customFormat="1" ht="12.75" customHeight="1">
      <c r="B334" s="439"/>
      <c r="C334" s="398"/>
      <c r="D334" s="398"/>
      <c r="E334" s="411" t="s">
        <v>505</v>
      </c>
      <c r="F334" s="440">
        <f>2*0.4*0.1</f>
        <v>0.08000000000000002</v>
      </c>
      <c r="G334" s="413" t="s">
        <v>410</v>
      </c>
      <c r="H334" s="440">
        <f>2*0.4</f>
        <v>0.8</v>
      </c>
      <c r="I334" s="413" t="s">
        <v>414</v>
      </c>
      <c r="J334" s="406" t="s">
        <v>506</v>
      </c>
      <c r="K334" s="406"/>
      <c r="L334" s="406"/>
      <c r="M334" s="395"/>
      <c r="N334" s="398"/>
      <c r="O334" s="398"/>
      <c r="P334" s="398"/>
      <c r="Q334" s="398"/>
      <c r="R334" s="398"/>
      <c r="S334" s="398"/>
      <c r="T334" s="398"/>
      <c r="U334" s="398"/>
      <c r="V334" s="398"/>
      <c r="W334" s="398"/>
    </row>
    <row r="335" spans="2:23" s="154" customFormat="1" ht="12.75" customHeight="1">
      <c r="B335" s="439"/>
      <c r="C335" s="429" t="s">
        <v>643</v>
      </c>
      <c r="D335" s="414"/>
      <c r="E335" s="411"/>
      <c r="F335" s="412">
        <f>2*0.4*0.6</f>
        <v>0.48</v>
      </c>
      <c r="G335" s="413" t="s">
        <v>410</v>
      </c>
      <c r="H335" s="431"/>
      <c r="I335" s="432"/>
      <c r="J335" s="433" t="s">
        <v>508</v>
      </c>
      <c r="K335" s="406"/>
      <c r="L335" s="406"/>
      <c r="M335" s="395"/>
      <c r="N335" s="398"/>
      <c r="O335" s="398"/>
      <c r="P335" s="398"/>
      <c r="Q335" s="398"/>
      <c r="R335" s="398"/>
      <c r="S335" s="398"/>
      <c r="T335" s="398"/>
      <c r="U335" s="398"/>
      <c r="V335" s="398"/>
      <c r="W335" s="398"/>
    </row>
    <row r="336" spans="2:23" s="154" customFormat="1" ht="12.75" customHeight="1">
      <c r="B336" s="439"/>
      <c r="C336" s="429"/>
      <c r="D336" s="414"/>
      <c r="E336" s="411"/>
      <c r="F336" s="412"/>
      <c r="G336" s="413"/>
      <c r="H336" s="431"/>
      <c r="I336" s="432"/>
      <c r="J336" s="433"/>
      <c r="K336" s="406"/>
      <c r="L336" s="406"/>
      <c r="M336" s="395"/>
      <c r="N336" s="398"/>
      <c r="O336" s="398"/>
      <c r="P336" s="398"/>
      <c r="Q336" s="398"/>
      <c r="R336" s="398"/>
      <c r="S336" s="398"/>
      <c r="T336" s="398"/>
      <c r="U336" s="398"/>
      <c r="V336" s="398"/>
      <c r="W336" s="398"/>
    </row>
    <row r="337" spans="2:23" s="154" customFormat="1" ht="12.75" customHeight="1">
      <c r="B337" s="439" t="s">
        <v>465</v>
      </c>
      <c r="C337" s="429" t="s">
        <v>509</v>
      </c>
      <c r="D337" s="390"/>
      <c r="E337" s="435"/>
      <c r="F337" s="412">
        <f>2*0.7*1.7+2*0.7*2.1</f>
        <v>5.32</v>
      </c>
      <c r="G337" s="413" t="s">
        <v>410</v>
      </c>
      <c r="H337" s="390"/>
      <c r="I337" s="432" t="s">
        <v>510</v>
      </c>
      <c r="J337" s="414" t="s">
        <v>644</v>
      </c>
      <c r="K337" s="415"/>
      <c r="L337" s="416"/>
      <c r="M337" s="395"/>
      <c r="N337" s="398"/>
      <c r="O337" s="398"/>
      <c r="P337" s="398"/>
      <c r="Q337" s="398"/>
      <c r="R337" s="398"/>
      <c r="S337" s="398"/>
      <c r="T337" s="398"/>
      <c r="U337" s="398"/>
      <c r="V337" s="398"/>
      <c r="W337" s="398"/>
    </row>
    <row r="338" spans="2:23" s="154" customFormat="1" ht="12.75" customHeight="1">
      <c r="B338" s="439"/>
      <c r="C338" s="450" t="s">
        <v>512</v>
      </c>
      <c r="D338" s="451"/>
      <c r="E338" s="435"/>
      <c r="F338" s="412">
        <v>8.6</v>
      </c>
      <c r="G338" s="413" t="s">
        <v>9</v>
      </c>
      <c r="H338" s="390"/>
      <c r="I338" s="432" t="s">
        <v>510</v>
      </c>
      <c r="J338" s="414"/>
      <c r="K338" s="415"/>
      <c r="L338" s="416"/>
      <c r="M338" s="395"/>
      <c r="N338" s="398"/>
      <c r="O338" s="398"/>
      <c r="P338" s="398"/>
      <c r="Q338" s="398"/>
      <c r="R338" s="398"/>
      <c r="S338" s="398"/>
      <c r="T338" s="398"/>
      <c r="U338" s="398"/>
      <c r="V338" s="398"/>
      <c r="W338" s="398"/>
    </row>
    <row r="339" spans="2:23" s="154" customFormat="1" ht="12.75" customHeight="1">
      <c r="B339" s="439"/>
      <c r="C339" s="429"/>
      <c r="D339" s="390"/>
      <c r="E339" s="435"/>
      <c r="F339" s="412"/>
      <c r="G339" s="413"/>
      <c r="H339" s="390"/>
      <c r="I339" s="432"/>
      <c r="J339" s="414"/>
      <c r="K339" s="415"/>
      <c r="L339" s="416"/>
      <c r="M339" s="395"/>
      <c r="N339" s="398"/>
      <c r="O339" s="398"/>
      <c r="P339" s="398"/>
      <c r="Q339" s="398"/>
      <c r="R339" s="398"/>
      <c r="S339" s="398"/>
      <c r="T339" s="398"/>
      <c r="U339" s="398"/>
      <c r="V339" s="398"/>
      <c r="W339" s="398"/>
    </row>
    <row r="340" spans="2:23" s="154" customFormat="1" ht="12.75" customHeight="1">
      <c r="B340" s="439"/>
      <c r="C340" s="429" t="s">
        <v>466</v>
      </c>
      <c r="D340" s="390"/>
      <c r="E340" s="435"/>
      <c r="F340" s="412">
        <f>(10.1-2.65)*2.5*2.35</f>
        <v>43.768750000000004</v>
      </c>
      <c r="G340" s="413" t="s">
        <v>410</v>
      </c>
      <c r="H340" s="431"/>
      <c r="I340" s="432"/>
      <c r="J340" s="433" t="s">
        <v>645</v>
      </c>
      <c r="K340" s="415"/>
      <c r="L340" s="416"/>
      <c r="M340" s="395"/>
      <c r="N340" s="398"/>
      <c r="O340" s="398"/>
      <c r="P340" s="398"/>
      <c r="Q340" s="398"/>
      <c r="R340" s="398"/>
      <c r="S340" s="398"/>
      <c r="T340" s="398"/>
      <c r="U340" s="398"/>
      <c r="V340" s="398"/>
      <c r="W340" s="398"/>
    </row>
    <row r="341" spans="2:23" s="154" customFormat="1" ht="12.75" customHeight="1">
      <c r="B341" s="439"/>
      <c r="C341" s="429" t="s">
        <v>468</v>
      </c>
      <c r="D341" s="390"/>
      <c r="E341" s="435"/>
      <c r="F341" s="412">
        <f>2.9*4.1*3.25</f>
        <v>38.6425</v>
      </c>
      <c r="G341" s="413" t="s">
        <v>410</v>
      </c>
      <c r="H341" s="431"/>
      <c r="I341" s="432"/>
      <c r="J341" s="414" t="s">
        <v>646</v>
      </c>
      <c r="K341" s="415"/>
      <c r="L341" s="416"/>
      <c r="M341" s="395"/>
      <c r="N341" s="398"/>
      <c r="O341" s="398"/>
      <c r="P341" s="398"/>
      <c r="Q341" s="398"/>
      <c r="R341" s="398"/>
      <c r="S341" s="398"/>
      <c r="T341" s="398"/>
      <c r="U341" s="398"/>
      <c r="V341" s="398"/>
      <c r="W341" s="398"/>
    </row>
    <row r="342" spans="2:23" s="154" customFormat="1" ht="12.75" customHeight="1">
      <c r="B342" s="439"/>
      <c r="C342" s="429" t="s">
        <v>515</v>
      </c>
      <c r="D342" s="398"/>
      <c r="E342" s="398"/>
      <c r="F342" s="440">
        <f>3*2*0.4+2*0.4*0.7</f>
        <v>2.9600000000000004</v>
      </c>
      <c r="G342" s="413" t="s">
        <v>410</v>
      </c>
      <c r="H342" s="442"/>
      <c r="I342" s="405"/>
      <c r="J342" s="406" t="s">
        <v>647</v>
      </c>
      <c r="K342" s="406"/>
      <c r="L342" s="406"/>
      <c r="M342" s="398"/>
      <c r="N342" s="398"/>
      <c r="O342" s="398"/>
      <c r="P342" s="398"/>
      <c r="Q342" s="398"/>
      <c r="R342" s="398"/>
      <c r="S342" s="398"/>
      <c r="T342" s="398"/>
      <c r="U342" s="398"/>
      <c r="V342" s="398"/>
      <c r="W342" s="398"/>
    </row>
    <row r="343" spans="2:23" s="154" customFormat="1" ht="12.75" customHeight="1">
      <c r="B343" s="439"/>
      <c r="C343" s="429"/>
      <c r="D343" s="398"/>
      <c r="E343" s="398"/>
      <c r="F343" s="440"/>
      <c r="G343" s="413"/>
      <c r="H343" s="442"/>
      <c r="I343" s="405"/>
      <c r="J343" s="406"/>
      <c r="K343" s="406"/>
      <c r="L343" s="406"/>
      <c r="M343" s="398"/>
      <c r="N343" s="398"/>
      <c r="O343" s="398"/>
      <c r="P343" s="398"/>
      <c r="Q343" s="398"/>
      <c r="R343" s="398"/>
      <c r="S343" s="398"/>
      <c r="T343" s="398"/>
      <c r="U343" s="398"/>
      <c r="V343" s="398"/>
      <c r="W343" s="398"/>
    </row>
    <row r="344" spans="2:23" s="154" customFormat="1" ht="12.75" customHeight="1">
      <c r="B344" s="443"/>
      <c r="C344" s="398" t="s">
        <v>474</v>
      </c>
      <c r="D344" s="398"/>
      <c r="E344" s="398"/>
      <c r="F344" s="440">
        <f>(10.1-2.65)*(2.5*2.1-1.2*1.5)</f>
        <v>25.7025</v>
      </c>
      <c r="G344" s="413" t="s">
        <v>410</v>
      </c>
      <c r="H344" s="442"/>
      <c r="I344" s="405"/>
      <c r="J344" s="433" t="s">
        <v>648</v>
      </c>
      <c r="K344" s="406"/>
      <c r="L344" s="406"/>
      <c r="M344" s="398"/>
      <c r="N344" s="398"/>
      <c r="O344" s="398"/>
      <c r="P344" s="398"/>
      <c r="Q344" s="398"/>
      <c r="R344" s="398"/>
      <c r="S344" s="398"/>
      <c r="T344" s="398"/>
      <c r="U344" s="398"/>
      <c r="V344" s="398"/>
      <c r="W344" s="398"/>
    </row>
    <row r="345" spans="2:23" s="154" customFormat="1" ht="12.75" customHeight="1">
      <c r="B345" s="443"/>
      <c r="C345" s="429" t="s">
        <v>476</v>
      </c>
      <c r="D345" s="429"/>
      <c r="E345" s="398"/>
      <c r="F345" s="440">
        <f>2.9*4.1*3.25-1.8*1.95*2.95-1.05*3.14*0.4*0.4-1.6*1.2*1.5</f>
        <v>24.88048</v>
      </c>
      <c r="G345" s="413" t="s">
        <v>410</v>
      </c>
      <c r="H345" s="442"/>
      <c r="I345" s="405"/>
      <c r="J345" s="414" t="s">
        <v>649</v>
      </c>
      <c r="K345" s="406"/>
      <c r="L345" s="406"/>
      <c r="M345" s="398"/>
      <c r="N345" s="398"/>
      <c r="O345" s="398"/>
      <c r="P345" s="398"/>
      <c r="Q345" s="398"/>
      <c r="R345" s="398"/>
      <c r="S345" s="398"/>
      <c r="T345" s="398"/>
      <c r="U345" s="398"/>
      <c r="V345" s="398"/>
      <c r="W345" s="398"/>
    </row>
    <row r="346" spans="2:23" s="154" customFormat="1" ht="12.75" customHeight="1">
      <c r="B346" s="443"/>
      <c r="C346" s="429"/>
      <c r="D346" s="429"/>
      <c r="E346" s="398"/>
      <c r="F346" s="440"/>
      <c r="G346" s="413"/>
      <c r="H346" s="442"/>
      <c r="I346" s="405"/>
      <c r="J346" s="414"/>
      <c r="K346" s="406"/>
      <c r="L346" s="406"/>
      <c r="M346" s="398"/>
      <c r="N346" s="398"/>
      <c r="O346" s="398"/>
      <c r="P346" s="398"/>
      <c r="Q346" s="398"/>
      <c r="R346" s="398"/>
      <c r="S346" s="398"/>
      <c r="T346" s="398"/>
      <c r="U346" s="398"/>
      <c r="V346" s="398"/>
      <c r="W346" s="398"/>
    </row>
    <row r="347" spans="2:23" s="154" customFormat="1" ht="12.75" customHeight="1">
      <c r="B347" s="439" t="s">
        <v>482</v>
      </c>
      <c r="C347" s="429"/>
      <c r="D347" s="390"/>
      <c r="E347" s="435" t="s">
        <v>483</v>
      </c>
      <c r="F347" s="412">
        <f>7.3*3</f>
        <v>21.9</v>
      </c>
      <c r="G347" s="413" t="s">
        <v>414</v>
      </c>
      <c r="H347" s="431"/>
      <c r="I347" s="432"/>
      <c r="J347" s="433" t="s">
        <v>650</v>
      </c>
      <c r="K347" s="406"/>
      <c r="L347" s="406"/>
      <c r="M347" s="395"/>
      <c r="N347" s="398"/>
      <c r="O347" s="398"/>
      <c r="P347" s="398"/>
      <c r="Q347" s="398"/>
      <c r="R347" s="398"/>
      <c r="S347" s="398"/>
      <c r="T347" s="398"/>
      <c r="U347" s="398"/>
      <c r="V347" s="398"/>
      <c r="W347" s="398"/>
    </row>
    <row r="348" spans="2:23" s="154" customFormat="1" ht="6" customHeight="1">
      <c r="B348" s="439"/>
      <c r="C348" s="429"/>
      <c r="D348" s="390"/>
      <c r="E348" s="435"/>
      <c r="F348" s="412"/>
      <c r="G348" s="413"/>
      <c r="H348" s="431"/>
      <c r="I348" s="432"/>
      <c r="J348" s="433"/>
      <c r="K348" s="406"/>
      <c r="L348" s="406"/>
      <c r="M348" s="395"/>
      <c r="N348" s="398"/>
      <c r="O348" s="398"/>
      <c r="P348" s="398"/>
      <c r="Q348" s="398"/>
      <c r="R348" s="398"/>
      <c r="S348" s="398"/>
      <c r="T348" s="398"/>
      <c r="U348" s="398"/>
      <c r="V348" s="398"/>
      <c r="W348" s="398"/>
    </row>
    <row r="349" spans="2:23" s="154" customFormat="1" ht="12.75" customHeight="1">
      <c r="B349" s="439" t="s">
        <v>485</v>
      </c>
      <c r="C349" s="429"/>
      <c r="D349" s="390"/>
      <c r="E349" s="435"/>
      <c r="F349" s="412">
        <v>56</v>
      </c>
      <c r="G349" s="413" t="s">
        <v>414</v>
      </c>
      <c r="H349" s="431"/>
      <c r="I349" s="432"/>
      <c r="J349" s="433" t="s">
        <v>746</v>
      </c>
      <c r="K349" s="406"/>
      <c r="L349" s="406"/>
      <c r="M349" s="395"/>
      <c r="N349" s="398"/>
      <c r="O349" s="398"/>
      <c r="P349" s="398"/>
      <c r="Q349" s="398"/>
      <c r="R349" s="398"/>
      <c r="S349" s="398"/>
      <c r="T349" s="398"/>
      <c r="U349" s="398"/>
      <c r="V349" s="398"/>
      <c r="W349" s="398"/>
    </row>
    <row r="350" spans="2:23" s="154" customFormat="1" ht="12.75" customHeight="1">
      <c r="B350" s="439"/>
      <c r="C350" s="429"/>
      <c r="D350" s="390"/>
      <c r="E350" s="435"/>
      <c r="F350" s="412"/>
      <c r="G350" s="413"/>
      <c r="H350" s="431"/>
      <c r="I350" s="432"/>
      <c r="J350" s="433"/>
      <c r="K350" s="406"/>
      <c r="L350" s="406"/>
      <c r="M350" s="395"/>
      <c r="N350" s="398"/>
      <c r="O350" s="398"/>
      <c r="P350" s="398"/>
      <c r="Q350" s="398"/>
      <c r="R350" s="398"/>
      <c r="S350" s="398"/>
      <c r="T350" s="398"/>
      <c r="U350" s="398"/>
      <c r="V350" s="398"/>
      <c r="W350" s="398"/>
    </row>
    <row r="351" spans="2:23" s="154" customFormat="1" ht="12.75" customHeight="1">
      <c r="B351" s="399"/>
      <c r="C351" s="400"/>
      <c r="D351" s="401"/>
      <c r="E351" s="401"/>
      <c r="F351" s="402"/>
      <c r="G351" s="402"/>
      <c r="H351" s="402"/>
      <c r="I351" s="402"/>
      <c r="J351" s="403"/>
      <c r="K351" s="403"/>
      <c r="L351" s="401"/>
      <c r="M351" s="401"/>
      <c r="N351" s="398"/>
      <c r="O351" s="398"/>
      <c r="P351" s="398"/>
      <c r="Q351" s="398"/>
      <c r="R351" s="398"/>
      <c r="S351" s="398"/>
      <c r="T351" s="398"/>
      <c r="U351" s="398"/>
      <c r="V351" s="398"/>
      <c r="W351" s="398"/>
    </row>
    <row r="352" spans="2:23" s="154" customFormat="1" ht="12.75" customHeight="1">
      <c r="B352" s="404" t="s">
        <v>651</v>
      </c>
      <c r="C352" s="398"/>
      <c r="D352" s="395" t="s">
        <v>487</v>
      </c>
      <c r="E352" s="398"/>
      <c r="F352" s="405"/>
      <c r="G352" s="405"/>
      <c r="H352" s="405" t="s">
        <v>488</v>
      </c>
      <c r="I352" s="405"/>
      <c r="J352" s="406"/>
      <c r="K352" s="406"/>
      <c r="L352" s="398"/>
      <c r="M352" s="395"/>
      <c r="N352" s="398"/>
      <c r="O352" s="398"/>
      <c r="P352" s="398"/>
      <c r="Q352" s="398"/>
      <c r="R352" s="398"/>
      <c r="S352" s="398"/>
      <c r="T352" s="398"/>
      <c r="U352" s="398"/>
      <c r="V352" s="398"/>
      <c r="W352" s="398"/>
    </row>
    <row r="353" spans="2:23" s="154" customFormat="1" ht="12.75" customHeight="1">
      <c r="B353" s="407"/>
      <c r="C353" s="398"/>
      <c r="D353" s="398"/>
      <c r="E353" s="398"/>
      <c r="F353" s="405"/>
      <c r="G353" s="405"/>
      <c r="H353" s="405"/>
      <c r="I353" s="405"/>
      <c r="J353" s="406"/>
      <c r="K353" s="406"/>
      <c r="L353" s="398"/>
      <c r="M353" s="395"/>
      <c r="N353" s="398"/>
      <c r="O353" s="398"/>
      <c r="P353" s="398"/>
      <c r="Q353" s="398"/>
      <c r="R353" s="398"/>
      <c r="S353" s="398"/>
      <c r="T353" s="398"/>
      <c r="U353" s="398"/>
      <c r="V353" s="398"/>
      <c r="W353" s="398"/>
    </row>
    <row r="354" spans="2:23" s="154" customFormat="1" ht="12.75" customHeight="1">
      <c r="B354" s="408" t="s">
        <v>405</v>
      </c>
      <c r="C354" s="409"/>
      <c r="D354" s="410"/>
      <c r="E354" s="411" t="s">
        <v>124</v>
      </c>
      <c r="F354" s="412">
        <v>9.3</v>
      </c>
      <c r="G354" s="413" t="s">
        <v>9</v>
      </c>
      <c r="H354" s="280">
        <v>4</v>
      </c>
      <c r="I354" s="280" t="s">
        <v>130</v>
      </c>
      <c r="J354" s="414"/>
      <c r="K354" s="415"/>
      <c r="L354" s="416"/>
      <c r="M354" s="398"/>
      <c r="N354" s="398"/>
      <c r="O354" s="398"/>
      <c r="P354" s="398"/>
      <c r="Q354" s="398"/>
      <c r="R354" s="398"/>
      <c r="S354" s="398"/>
      <c r="T354" s="398"/>
      <c r="U354" s="398"/>
      <c r="V354" s="398"/>
      <c r="W354" s="398"/>
    </row>
    <row r="355" spans="2:23" s="154" customFormat="1" ht="12.75" customHeight="1">
      <c r="B355" s="408"/>
      <c r="C355" s="420" t="s">
        <v>406</v>
      </c>
      <c r="D355" s="415"/>
      <c r="E355" s="445"/>
      <c r="F355" s="421">
        <f>2*4</f>
        <v>8</v>
      </c>
      <c r="G355" s="422" t="s">
        <v>130</v>
      </c>
      <c r="H355" s="423"/>
      <c r="I355" s="424"/>
      <c r="J355" s="425" t="s">
        <v>559</v>
      </c>
      <c r="K355" s="415"/>
      <c r="L355" s="414"/>
      <c r="M355" s="395"/>
      <c r="N355" s="398"/>
      <c r="O355" s="398"/>
      <c r="P355" s="398"/>
      <c r="Q355" s="398"/>
      <c r="R355" s="398"/>
      <c r="S355" s="398"/>
      <c r="T355" s="398"/>
      <c r="U355" s="398"/>
      <c r="V355" s="398"/>
      <c r="W355" s="398"/>
    </row>
    <row r="356" spans="2:23" s="154" customFormat="1" ht="12.75" customHeight="1">
      <c r="B356" s="408"/>
      <c r="C356" s="429" t="s">
        <v>408</v>
      </c>
      <c r="D356" s="414"/>
      <c r="E356" s="411" t="s">
        <v>409</v>
      </c>
      <c r="F356" s="430">
        <f>8.25*(1.2*1-3.14*0.4*0.4)</f>
        <v>5.755199999999999</v>
      </c>
      <c r="G356" s="413" t="s">
        <v>410</v>
      </c>
      <c r="H356" s="431"/>
      <c r="I356" s="432"/>
      <c r="J356" s="433" t="s">
        <v>652</v>
      </c>
      <c r="K356" s="415"/>
      <c r="L356" s="414"/>
      <c r="M356" s="395"/>
      <c r="N356" s="398"/>
      <c r="O356" s="398"/>
      <c r="P356" s="398"/>
      <c r="Q356" s="398"/>
      <c r="R356" s="398"/>
      <c r="S356" s="398"/>
      <c r="T356" s="398"/>
      <c r="U356" s="398"/>
      <c r="V356" s="398"/>
      <c r="W356" s="398"/>
    </row>
    <row r="357" spans="2:23" s="154" customFormat="1" ht="12.75" customHeight="1">
      <c r="B357" s="408"/>
      <c r="C357" s="429" t="s">
        <v>412</v>
      </c>
      <c r="D357" s="414"/>
      <c r="E357" s="411" t="s">
        <v>413</v>
      </c>
      <c r="F357" s="412">
        <f>8.15*(2*0.95+1.1)</f>
        <v>24.450000000000003</v>
      </c>
      <c r="G357" s="413" t="s">
        <v>414</v>
      </c>
      <c r="H357" s="434">
        <f>F357*7.9</f>
        <v>193.15500000000003</v>
      </c>
      <c r="I357" s="280" t="s">
        <v>415</v>
      </c>
      <c r="J357" s="414" t="s">
        <v>653</v>
      </c>
      <c r="K357" s="433"/>
      <c r="L357" s="414"/>
      <c r="M357" s="395"/>
      <c r="N357" s="398"/>
      <c r="O357" s="398"/>
      <c r="P357" s="398"/>
      <c r="Q357" s="398"/>
      <c r="R357" s="398"/>
      <c r="S357" s="398"/>
      <c r="T357" s="398"/>
      <c r="U357" s="398"/>
      <c r="V357" s="398"/>
      <c r="W357" s="398"/>
    </row>
    <row r="358" spans="2:23" s="154" customFormat="1" ht="12.75" customHeight="1">
      <c r="B358" s="408"/>
      <c r="C358" s="429"/>
      <c r="D358" s="414"/>
      <c r="E358" s="411" t="s">
        <v>417</v>
      </c>
      <c r="F358" s="412">
        <f>2*8.15*1.1</f>
        <v>17.930000000000003</v>
      </c>
      <c r="G358" s="413" t="s">
        <v>414</v>
      </c>
      <c r="H358" s="434">
        <f>F358*7.9</f>
        <v>141.64700000000002</v>
      </c>
      <c r="I358" s="280" t="s">
        <v>415</v>
      </c>
      <c r="J358" s="414" t="s">
        <v>654</v>
      </c>
      <c r="K358" s="433"/>
      <c r="L358" s="414"/>
      <c r="M358" s="395"/>
      <c r="N358" s="398"/>
      <c r="O358" s="398"/>
      <c r="P358" s="398"/>
      <c r="Q358" s="398"/>
      <c r="R358" s="398"/>
      <c r="S358" s="398"/>
      <c r="T358" s="398"/>
      <c r="U358" s="398"/>
      <c r="V358" s="398"/>
      <c r="W358" s="398"/>
    </row>
    <row r="359" spans="2:23" s="154" customFormat="1" ht="12.75" customHeight="1">
      <c r="B359" s="408"/>
      <c r="C359" s="429" t="s">
        <v>419</v>
      </c>
      <c r="D359" s="414"/>
      <c r="E359" s="411" t="s">
        <v>420</v>
      </c>
      <c r="F359" s="412">
        <f>8.25*1.2*0.3</f>
        <v>2.97</v>
      </c>
      <c r="G359" s="413" t="s">
        <v>410</v>
      </c>
      <c r="H359" s="431"/>
      <c r="I359" s="432"/>
      <c r="J359" s="433" t="s">
        <v>655</v>
      </c>
      <c r="K359" s="415"/>
      <c r="L359" s="414"/>
      <c r="M359" s="395"/>
      <c r="N359" s="398"/>
      <c r="O359" s="398"/>
      <c r="P359" s="398"/>
      <c r="Q359" s="398"/>
      <c r="R359" s="398"/>
      <c r="S359" s="398"/>
      <c r="T359" s="398"/>
      <c r="U359" s="398"/>
      <c r="V359" s="398"/>
      <c r="W359" s="398"/>
    </row>
    <row r="360" spans="2:23" s="154" customFormat="1" ht="12.75" customHeight="1">
      <c r="B360" s="408"/>
      <c r="C360" s="429" t="s">
        <v>422</v>
      </c>
      <c r="D360" s="414"/>
      <c r="E360" s="411" t="s">
        <v>99</v>
      </c>
      <c r="F360" s="412">
        <f>8.25*1.45*0.1</f>
        <v>1.19625</v>
      </c>
      <c r="G360" s="413" t="s">
        <v>410</v>
      </c>
      <c r="H360" s="431"/>
      <c r="I360" s="432"/>
      <c r="J360" s="433" t="s">
        <v>656</v>
      </c>
      <c r="K360" s="415"/>
      <c r="L360" s="414"/>
      <c r="M360" s="395"/>
      <c r="N360" s="398"/>
      <c r="O360" s="398"/>
      <c r="P360" s="398"/>
      <c r="Q360" s="398"/>
      <c r="R360" s="398"/>
      <c r="S360" s="398"/>
      <c r="T360" s="398"/>
      <c r="U360" s="398"/>
      <c r="V360" s="398"/>
      <c r="W360" s="398"/>
    </row>
    <row r="361" spans="2:23" s="154" customFormat="1" ht="12.75" customHeight="1">
      <c r="B361" s="408"/>
      <c r="C361" s="429" t="s">
        <v>424</v>
      </c>
      <c r="D361" s="414"/>
      <c r="E361" s="411" t="s">
        <v>99</v>
      </c>
      <c r="F361" s="412">
        <f>8.25*1.65*0.1</f>
        <v>1.36125</v>
      </c>
      <c r="G361" s="413" t="s">
        <v>410</v>
      </c>
      <c r="H361" s="434">
        <f>8.25*1.65</f>
        <v>13.612499999999999</v>
      </c>
      <c r="I361" s="413" t="s">
        <v>414</v>
      </c>
      <c r="J361" s="433" t="s">
        <v>657</v>
      </c>
      <c r="K361" s="415"/>
      <c r="L361" s="414"/>
      <c r="M361" s="395"/>
      <c r="N361" s="398"/>
      <c r="O361" s="398"/>
      <c r="P361" s="398"/>
      <c r="Q361" s="398"/>
      <c r="R361" s="398"/>
      <c r="S361" s="398"/>
      <c r="T361" s="398"/>
      <c r="U361" s="398"/>
      <c r="V361" s="398"/>
      <c r="W361" s="398"/>
    </row>
    <row r="362" spans="2:23" s="154" customFormat="1" ht="12.75" customHeight="1">
      <c r="B362" s="408"/>
      <c r="C362" s="429" t="s">
        <v>426</v>
      </c>
      <c r="D362" s="414"/>
      <c r="E362" s="411"/>
      <c r="F362" s="412">
        <f>2*8.25*1.3+1.2*1.3</f>
        <v>23.009999999999998</v>
      </c>
      <c r="G362" s="413" t="s">
        <v>414</v>
      </c>
      <c r="H362" s="434"/>
      <c r="I362" s="413"/>
      <c r="J362" s="433" t="s">
        <v>658</v>
      </c>
      <c r="K362" s="415"/>
      <c r="L362" s="414"/>
      <c r="M362" s="395"/>
      <c r="N362" s="398"/>
      <c r="O362" s="398"/>
      <c r="P362" s="398"/>
      <c r="Q362" s="398"/>
      <c r="R362" s="398"/>
      <c r="S362" s="398"/>
      <c r="T362" s="398"/>
      <c r="U362" s="398"/>
      <c r="V362" s="398"/>
      <c r="W362" s="398"/>
    </row>
    <row r="363" spans="2:23" s="154" customFormat="1" ht="12.75" customHeight="1">
      <c r="B363" s="408"/>
      <c r="C363" s="429"/>
      <c r="D363" s="414"/>
      <c r="E363" s="411"/>
      <c r="F363" s="412"/>
      <c r="G363" s="413"/>
      <c r="H363" s="434"/>
      <c r="I363" s="413"/>
      <c r="J363" s="433"/>
      <c r="K363" s="415"/>
      <c r="L363" s="414"/>
      <c r="M363" s="398"/>
      <c r="N363" s="398"/>
      <c r="O363" s="398"/>
      <c r="P363" s="398"/>
      <c r="Q363" s="398"/>
      <c r="R363" s="398"/>
      <c r="S363" s="398"/>
      <c r="T363" s="398"/>
      <c r="U363" s="398"/>
      <c r="V363" s="398"/>
      <c r="W363" s="398"/>
    </row>
    <row r="364" spans="2:23" s="154" customFormat="1" ht="12.75" customHeight="1">
      <c r="B364" s="408" t="s">
        <v>433</v>
      </c>
      <c r="C364" s="429" t="s">
        <v>434</v>
      </c>
      <c r="D364" s="414"/>
      <c r="E364" s="411"/>
      <c r="F364" s="412">
        <f>1.8*1.95*2.9-1.2*0.6*2.6-1.05*3.14*0.4*0.4</f>
        <v>7.779479999999999</v>
      </c>
      <c r="G364" s="413" t="s">
        <v>410</v>
      </c>
      <c r="H364" s="431"/>
      <c r="I364" s="432"/>
      <c r="J364" s="433" t="s">
        <v>659</v>
      </c>
      <c r="K364" s="415"/>
      <c r="L364" s="414"/>
      <c r="M364" s="398"/>
      <c r="N364" s="398"/>
      <c r="O364" s="398"/>
      <c r="P364" s="398"/>
      <c r="Q364" s="398"/>
      <c r="R364" s="398"/>
      <c r="S364" s="398"/>
      <c r="T364" s="398"/>
      <c r="U364" s="398"/>
      <c r="V364" s="398"/>
      <c r="W364" s="398"/>
    </row>
    <row r="365" spans="2:23" s="154" customFormat="1" ht="12.75" customHeight="1">
      <c r="B365" s="408"/>
      <c r="C365" s="429" t="s">
        <v>412</v>
      </c>
      <c r="D365" s="414"/>
      <c r="E365" s="411" t="s">
        <v>436</v>
      </c>
      <c r="F365" s="412">
        <f>4*1.7*2.8+2*1.85*2.8+2*0.7*2.6+1.7*1.85+1.3*0.7</f>
        <v>37.095</v>
      </c>
      <c r="G365" s="413" t="s">
        <v>414</v>
      </c>
      <c r="H365" s="434">
        <f>F365*7.9</f>
        <v>293.0505</v>
      </c>
      <c r="I365" s="280" t="s">
        <v>415</v>
      </c>
      <c r="J365" s="414" t="s">
        <v>660</v>
      </c>
      <c r="K365" s="415"/>
      <c r="L365" s="414"/>
      <c r="M365" s="398"/>
      <c r="N365" s="398"/>
      <c r="O365" s="398"/>
      <c r="P365" s="398"/>
      <c r="Q365" s="398"/>
      <c r="R365" s="398"/>
      <c r="S365" s="398"/>
      <c r="T365" s="398"/>
      <c r="U365" s="398"/>
      <c r="V365" s="398"/>
      <c r="W365" s="398"/>
    </row>
    <row r="366" spans="2:23" s="154" customFormat="1" ht="12.75" customHeight="1">
      <c r="B366" s="408"/>
      <c r="C366" s="429" t="s">
        <v>422</v>
      </c>
      <c r="D366" s="414"/>
      <c r="E366" s="411" t="s">
        <v>91</v>
      </c>
      <c r="F366" s="412"/>
      <c r="G366" s="413"/>
      <c r="H366" s="431"/>
      <c r="I366" s="432"/>
      <c r="J366" s="433"/>
      <c r="K366" s="415"/>
      <c r="L366" s="414"/>
      <c r="M366" s="398"/>
      <c r="N366" s="398"/>
      <c r="O366" s="398"/>
      <c r="P366" s="398"/>
      <c r="Q366" s="398"/>
      <c r="R366" s="398"/>
      <c r="S366" s="398"/>
      <c r="T366" s="398"/>
      <c r="U366" s="398"/>
      <c r="V366" s="398"/>
      <c r="W366" s="398"/>
    </row>
    <row r="367" spans="2:23" s="154" customFormat="1" ht="12.75" customHeight="1">
      <c r="B367" s="408"/>
      <c r="C367" s="429"/>
      <c r="D367" s="414"/>
      <c r="E367" s="411" t="s">
        <v>438</v>
      </c>
      <c r="F367" s="412">
        <f>2.4*2.6*0.15</f>
        <v>0.9359999999999999</v>
      </c>
      <c r="G367" s="413" t="s">
        <v>410</v>
      </c>
      <c r="H367" s="431"/>
      <c r="I367" s="432"/>
      <c r="J367" s="433" t="s">
        <v>439</v>
      </c>
      <c r="K367" s="415"/>
      <c r="L367" s="414"/>
      <c r="M367" s="398"/>
      <c r="N367" s="398"/>
      <c r="O367" s="398"/>
      <c r="P367" s="398"/>
      <c r="Q367" s="398"/>
      <c r="R367" s="398"/>
      <c r="S367" s="398"/>
      <c r="T367" s="398"/>
      <c r="U367" s="398"/>
      <c r="V367" s="398"/>
      <c r="W367" s="398"/>
    </row>
    <row r="368" spans="2:23" s="154" customFormat="1" ht="12.75" customHeight="1">
      <c r="B368" s="408"/>
      <c r="C368" s="429"/>
      <c r="D368" s="414"/>
      <c r="E368" s="411" t="s">
        <v>440</v>
      </c>
      <c r="F368" s="412">
        <f>1.2*0.6*0.15</f>
        <v>0.108</v>
      </c>
      <c r="G368" s="413" t="s">
        <v>410</v>
      </c>
      <c r="H368" s="431"/>
      <c r="I368" s="432"/>
      <c r="J368" s="433" t="s">
        <v>441</v>
      </c>
      <c r="K368" s="415"/>
      <c r="L368" s="414"/>
      <c r="M368" s="398"/>
      <c r="N368" s="398"/>
      <c r="O368" s="398"/>
      <c r="P368" s="398"/>
      <c r="Q368" s="398"/>
      <c r="R368" s="398"/>
      <c r="S368" s="398"/>
      <c r="T368" s="398"/>
      <c r="U368" s="398"/>
      <c r="V368" s="398"/>
      <c r="W368" s="398"/>
    </row>
    <row r="369" spans="2:23" s="154" customFormat="1" ht="12.75" customHeight="1">
      <c r="B369" s="408"/>
      <c r="C369" s="429" t="s">
        <v>442</v>
      </c>
      <c r="D369" s="414"/>
      <c r="E369" s="411" t="s">
        <v>91</v>
      </c>
      <c r="F369" s="412">
        <f>1.2*0.6</f>
        <v>0.72</v>
      </c>
      <c r="G369" s="413" t="s">
        <v>414</v>
      </c>
      <c r="H369" s="434"/>
      <c r="I369" s="413"/>
      <c r="J369" s="433" t="s">
        <v>443</v>
      </c>
      <c r="K369" s="415"/>
      <c r="L369" s="414"/>
      <c r="M369" s="398"/>
      <c r="N369" s="398"/>
      <c r="O369" s="398"/>
      <c r="P369" s="398"/>
      <c r="Q369" s="398"/>
      <c r="R369" s="398"/>
      <c r="S369" s="398"/>
      <c r="T369" s="398"/>
      <c r="U369" s="398"/>
      <c r="V369" s="398"/>
      <c r="W369" s="398"/>
    </row>
    <row r="370" spans="2:23" s="154" customFormat="1" ht="12.75" customHeight="1">
      <c r="B370" s="408"/>
      <c r="C370" s="429" t="s">
        <v>424</v>
      </c>
      <c r="D370" s="414"/>
      <c r="E370" s="411" t="s">
        <v>99</v>
      </c>
      <c r="F370" s="412">
        <f>2.3*2.3*0.1</f>
        <v>0.5289999999999999</v>
      </c>
      <c r="G370" s="413" t="s">
        <v>410</v>
      </c>
      <c r="H370" s="434">
        <f>2.3*2.3</f>
        <v>5.289999999999999</v>
      </c>
      <c r="I370" s="413" t="s">
        <v>414</v>
      </c>
      <c r="J370" s="433" t="s">
        <v>444</v>
      </c>
      <c r="K370" s="415"/>
      <c r="L370" s="414"/>
      <c r="M370" s="398"/>
      <c r="N370" s="398"/>
      <c r="O370" s="398"/>
      <c r="P370" s="398"/>
      <c r="Q370" s="398"/>
      <c r="R370" s="398"/>
      <c r="S370" s="398"/>
      <c r="T370" s="398"/>
      <c r="U370" s="398"/>
      <c r="V370" s="398"/>
      <c r="W370" s="398"/>
    </row>
    <row r="371" spans="2:23" s="154" customFormat="1" ht="12.75" customHeight="1">
      <c r="B371" s="408"/>
      <c r="C371" s="429" t="s">
        <v>426</v>
      </c>
      <c r="D371" s="390"/>
      <c r="E371" s="435"/>
      <c r="F371" s="412">
        <f>2*((1.8+1.95)*2.9+(1.2+0.6)*2.6)</f>
        <v>31.11</v>
      </c>
      <c r="G371" s="413" t="s">
        <v>414</v>
      </c>
      <c r="H371" s="434"/>
      <c r="I371" s="413"/>
      <c r="J371" s="433" t="s">
        <v>661</v>
      </c>
      <c r="K371" s="415"/>
      <c r="L371" s="414"/>
      <c r="M371" s="398"/>
      <c r="N371" s="398"/>
      <c r="O371" s="398"/>
      <c r="P371" s="398"/>
      <c r="Q371" s="398"/>
      <c r="R371" s="398"/>
      <c r="S371" s="398"/>
      <c r="T371" s="398"/>
      <c r="U371" s="398"/>
      <c r="V371" s="398"/>
      <c r="W371" s="398"/>
    </row>
    <row r="372" spans="2:23" s="154" customFormat="1" ht="12.75" customHeight="1">
      <c r="B372" s="408"/>
      <c r="C372" s="436" t="s">
        <v>446</v>
      </c>
      <c r="D372" s="390"/>
      <c r="E372" s="435"/>
      <c r="F372" s="437">
        <v>1</v>
      </c>
      <c r="G372" s="413" t="s">
        <v>130</v>
      </c>
      <c r="H372" s="434"/>
      <c r="I372" s="413"/>
      <c r="J372" s="433"/>
      <c r="K372" s="415"/>
      <c r="L372" s="414"/>
      <c r="M372" s="398"/>
      <c r="N372" s="398"/>
      <c r="O372" s="398"/>
      <c r="P372" s="398"/>
      <c r="Q372" s="398"/>
      <c r="R372" s="398"/>
      <c r="S372" s="398"/>
      <c r="T372" s="398"/>
      <c r="U372" s="398"/>
      <c r="V372" s="398"/>
      <c r="W372" s="398"/>
    </row>
    <row r="373" spans="2:23" s="154" customFormat="1" ht="12.75" customHeight="1">
      <c r="B373" s="408"/>
      <c r="C373" s="436" t="s">
        <v>447</v>
      </c>
      <c r="D373" s="390"/>
      <c r="E373" s="435"/>
      <c r="F373" s="437">
        <v>7</v>
      </c>
      <c r="G373" s="413" t="s">
        <v>130</v>
      </c>
      <c r="H373" s="434"/>
      <c r="I373" s="413"/>
      <c r="J373" s="433"/>
      <c r="K373" s="415"/>
      <c r="L373" s="414"/>
      <c r="M373" s="398"/>
      <c r="N373" s="398"/>
      <c r="O373" s="398"/>
      <c r="P373" s="398"/>
      <c r="Q373" s="398"/>
      <c r="R373" s="398"/>
      <c r="S373" s="398"/>
      <c r="T373" s="398"/>
      <c r="U373" s="398"/>
      <c r="V373" s="398"/>
      <c r="W373" s="398"/>
    </row>
    <row r="374" spans="2:23" s="154" customFormat="1" ht="12.75" customHeight="1">
      <c r="B374" s="408"/>
      <c r="C374" s="429"/>
      <c r="D374" s="414"/>
      <c r="E374" s="411"/>
      <c r="F374" s="412"/>
      <c r="G374" s="413"/>
      <c r="H374" s="434"/>
      <c r="I374" s="413"/>
      <c r="J374" s="433"/>
      <c r="K374" s="415"/>
      <c r="L374" s="414"/>
      <c r="M374" s="395"/>
      <c r="N374" s="398"/>
      <c r="O374" s="398"/>
      <c r="P374" s="398"/>
      <c r="Q374" s="398"/>
      <c r="R374" s="398"/>
      <c r="S374" s="398"/>
      <c r="T374" s="398"/>
      <c r="U374" s="398"/>
      <c r="V374" s="398"/>
      <c r="W374" s="398"/>
    </row>
    <row r="375" spans="2:23" s="154" customFormat="1" ht="12.75" customHeight="1">
      <c r="B375" s="439" t="s">
        <v>500</v>
      </c>
      <c r="C375" s="398" t="s">
        <v>501</v>
      </c>
      <c r="D375" s="398"/>
      <c r="E375" s="411" t="s">
        <v>409</v>
      </c>
      <c r="F375" s="440">
        <f>2.5*2</f>
        <v>5</v>
      </c>
      <c r="G375" s="413" t="s">
        <v>414</v>
      </c>
      <c r="H375" s="441"/>
      <c r="I375" s="405"/>
      <c r="J375" s="406" t="s">
        <v>662</v>
      </c>
      <c r="K375" s="406"/>
      <c r="L375" s="406"/>
      <c r="M375" s="395"/>
      <c r="N375" s="398"/>
      <c r="O375" s="398"/>
      <c r="P375" s="398"/>
      <c r="Q375" s="398"/>
      <c r="R375" s="398"/>
      <c r="S375" s="398"/>
      <c r="T375" s="398"/>
      <c r="U375" s="398"/>
      <c r="V375" s="398"/>
      <c r="W375" s="398"/>
    </row>
    <row r="376" spans="2:23" s="154" customFormat="1" ht="12.75" customHeight="1">
      <c r="B376" s="439"/>
      <c r="C376" s="398" t="s">
        <v>451</v>
      </c>
      <c r="D376" s="398"/>
      <c r="E376" s="411" t="s">
        <v>99</v>
      </c>
      <c r="F376" s="434">
        <f>2.5*2*0.1</f>
        <v>0.5</v>
      </c>
      <c r="G376" s="413" t="s">
        <v>410</v>
      </c>
      <c r="H376" s="441"/>
      <c r="I376" s="405"/>
      <c r="J376" s="406" t="s">
        <v>663</v>
      </c>
      <c r="K376" s="406"/>
      <c r="L376" s="406"/>
      <c r="M376" s="395"/>
      <c r="N376" s="398"/>
      <c r="O376" s="398"/>
      <c r="P376" s="398"/>
      <c r="Q376" s="398"/>
      <c r="R376" s="398"/>
      <c r="S376" s="398"/>
      <c r="T376" s="398"/>
      <c r="U376" s="398"/>
      <c r="V376" s="398"/>
      <c r="W376" s="398"/>
    </row>
    <row r="377" spans="2:23" s="154" customFormat="1" ht="12.75" customHeight="1">
      <c r="B377" s="439"/>
      <c r="C377" s="398" t="s">
        <v>454</v>
      </c>
      <c r="D377" s="398"/>
      <c r="E377" s="411" t="s">
        <v>99</v>
      </c>
      <c r="F377" s="440"/>
      <c r="G377" s="413"/>
      <c r="H377" s="440"/>
      <c r="I377" s="413"/>
      <c r="J377" s="406"/>
      <c r="K377" s="406"/>
      <c r="L377" s="406"/>
      <c r="M377" s="395"/>
      <c r="N377" s="398"/>
      <c r="O377" s="398"/>
      <c r="P377" s="398"/>
      <c r="Q377" s="398"/>
      <c r="R377" s="398"/>
      <c r="S377" s="398"/>
      <c r="T377" s="398"/>
      <c r="U377" s="398"/>
      <c r="V377" s="398"/>
      <c r="W377" s="398"/>
    </row>
    <row r="378" spans="2:23" s="154" customFormat="1" ht="12.75" customHeight="1">
      <c r="B378" s="439"/>
      <c r="C378" s="398"/>
      <c r="D378" s="398"/>
      <c r="E378" s="411" t="s">
        <v>504</v>
      </c>
      <c r="F378" s="434">
        <f>2.5*2*0.1</f>
        <v>0.5</v>
      </c>
      <c r="G378" s="413" t="s">
        <v>410</v>
      </c>
      <c r="H378" s="440">
        <f>2.5*2</f>
        <v>5</v>
      </c>
      <c r="I378" s="413" t="s">
        <v>414</v>
      </c>
      <c r="J378" s="406" t="s">
        <v>663</v>
      </c>
      <c r="K378" s="406"/>
      <c r="L378" s="406"/>
      <c r="M378" s="395"/>
      <c r="N378" s="398"/>
      <c r="O378" s="398"/>
      <c r="P378" s="398"/>
      <c r="Q378" s="398"/>
      <c r="R378" s="398"/>
      <c r="S378" s="398"/>
      <c r="T378" s="398"/>
      <c r="U378" s="398"/>
      <c r="V378" s="398"/>
      <c r="W378" s="398"/>
    </row>
    <row r="379" spans="2:23" s="154" customFormat="1" ht="12.75" customHeight="1">
      <c r="B379" s="439"/>
      <c r="C379" s="398"/>
      <c r="D379" s="398"/>
      <c r="E379" s="411" t="s">
        <v>505</v>
      </c>
      <c r="F379" s="440">
        <f>2*0.4*0.1</f>
        <v>0.08000000000000002</v>
      </c>
      <c r="G379" s="413" t="s">
        <v>410</v>
      </c>
      <c r="H379" s="440">
        <f>2*0.4</f>
        <v>0.8</v>
      </c>
      <c r="I379" s="413" t="s">
        <v>414</v>
      </c>
      <c r="J379" s="406" t="s">
        <v>506</v>
      </c>
      <c r="K379" s="406"/>
      <c r="L379" s="406"/>
      <c r="M379" s="395"/>
      <c r="N379" s="398"/>
      <c r="O379" s="398"/>
      <c r="P379" s="398"/>
      <c r="Q379" s="398"/>
      <c r="R379" s="398"/>
      <c r="S379" s="398"/>
      <c r="T379" s="398"/>
      <c r="U379" s="398"/>
      <c r="V379" s="398"/>
      <c r="W379" s="398"/>
    </row>
    <row r="380" spans="2:23" s="154" customFormat="1" ht="12.75" customHeight="1">
      <c r="B380" s="439"/>
      <c r="C380" s="429" t="s">
        <v>643</v>
      </c>
      <c r="D380" s="414"/>
      <c r="E380" s="411"/>
      <c r="F380" s="412">
        <f>2*0.4*0.6</f>
        <v>0.48</v>
      </c>
      <c r="G380" s="413" t="s">
        <v>410</v>
      </c>
      <c r="H380" s="431"/>
      <c r="I380" s="432"/>
      <c r="J380" s="433" t="s">
        <v>508</v>
      </c>
      <c r="K380" s="406"/>
      <c r="L380" s="406"/>
      <c r="M380" s="395"/>
      <c r="N380" s="398"/>
      <c r="O380" s="398"/>
      <c r="P380" s="398"/>
      <c r="Q380" s="398"/>
      <c r="R380" s="398"/>
      <c r="S380" s="398"/>
      <c r="T380" s="398"/>
      <c r="U380" s="398"/>
      <c r="V380" s="398"/>
      <c r="W380" s="398"/>
    </row>
    <row r="381" spans="2:23" s="154" customFormat="1" ht="12.75" customHeight="1">
      <c r="B381" s="439"/>
      <c r="C381" s="429"/>
      <c r="D381" s="414"/>
      <c r="E381" s="411"/>
      <c r="F381" s="412"/>
      <c r="G381" s="413"/>
      <c r="H381" s="431"/>
      <c r="I381" s="432"/>
      <c r="J381" s="433"/>
      <c r="K381" s="406"/>
      <c r="L381" s="406"/>
      <c r="M381" s="395"/>
      <c r="N381" s="398"/>
      <c r="O381" s="398"/>
      <c r="P381" s="398"/>
      <c r="Q381" s="398"/>
      <c r="R381" s="398"/>
      <c r="S381" s="398"/>
      <c r="T381" s="398"/>
      <c r="U381" s="398"/>
      <c r="V381" s="398"/>
      <c r="W381" s="398"/>
    </row>
    <row r="382" spans="2:23" s="154" customFormat="1" ht="12.75" customHeight="1">
      <c r="B382" s="439" t="s">
        <v>465</v>
      </c>
      <c r="C382" s="429" t="s">
        <v>509</v>
      </c>
      <c r="D382" s="390"/>
      <c r="E382" s="435"/>
      <c r="F382" s="412">
        <f>2.9*0.7*2+2.9*0.7*2.1</f>
        <v>8.323</v>
      </c>
      <c r="G382" s="413" t="s">
        <v>410</v>
      </c>
      <c r="H382" s="390"/>
      <c r="I382" s="432" t="s">
        <v>510</v>
      </c>
      <c r="J382" s="414" t="s">
        <v>664</v>
      </c>
      <c r="K382" s="415"/>
      <c r="L382" s="416"/>
      <c r="M382" s="395"/>
      <c r="N382" s="398"/>
      <c r="O382" s="398"/>
      <c r="P382" s="398"/>
      <c r="Q382" s="398"/>
      <c r="R382" s="398"/>
      <c r="S382" s="398"/>
      <c r="T382" s="398"/>
      <c r="U382" s="398"/>
      <c r="V382" s="398"/>
      <c r="W382" s="398"/>
    </row>
    <row r="383" spans="2:23" s="154" customFormat="1" ht="12.75" customHeight="1">
      <c r="B383" s="439"/>
      <c r="C383" s="450" t="s">
        <v>512</v>
      </c>
      <c r="D383" s="451"/>
      <c r="E383" s="435"/>
      <c r="F383" s="412">
        <v>8.3</v>
      </c>
      <c r="G383" s="413" t="s">
        <v>9</v>
      </c>
      <c r="H383" s="390"/>
      <c r="I383" s="432" t="s">
        <v>510</v>
      </c>
      <c r="J383" s="414"/>
      <c r="K383" s="415"/>
      <c r="L383" s="416"/>
      <c r="M383" s="395"/>
      <c r="N383" s="398"/>
      <c r="O383" s="398"/>
      <c r="P383" s="398"/>
      <c r="Q383" s="398"/>
      <c r="R383" s="398"/>
      <c r="S383" s="398"/>
      <c r="T383" s="398"/>
      <c r="U383" s="398"/>
      <c r="V383" s="398"/>
      <c r="W383" s="398"/>
    </row>
    <row r="384" spans="2:23" s="154" customFormat="1" ht="12.75" customHeight="1">
      <c r="B384" s="439"/>
      <c r="C384" s="429"/>
      <c r="D384" s="390"/>
      <c r="E384" s="435"/>
      <c r="F384" s="412"/>
      <c r="G384" s="413"/>
      <c r="H384" s="390"/>
      <c r="I384" s="432"/>
      <c r="J384" s="414"/>
      <c r="K384" s="415"/>
      <c r="L384" s="416"/>
      <c r="M384" s="395"/>
      <c r="N384" s="398"/>
      <c r="O384" s="398"/>
      <c r="P384" s="398"/>
      <c r="Q384" s="398"/>
      <c r="R384" s="398"/>
      <c r="S384" s="398"/>
      <c r="T384" s="398"/>
      <c r="U384" s="398"/>
      <c r="V384" s="398"/>
      <c r="W384" s="398"/>
    </row>
    <row r="385" spans="2:23" s="154" customFormat="1" ht="12.75" customHeight="1">
      <c r="B385" s="439"/>
      <c r="C385" s="429" t="s">
        <v>466</v>
      </c>
      <c r="D385" s="390"/>
      <c r="E385" s="435"/>
      <c r="F385" s="412">
        <f>(9.3-2.5)*2.4*2.05</f>
        <v>33.455999999999996</v>
      </c>
      <c r="G385" s="413" t="s">
        <v>410</v>
      </c>
      <c r="H385" s="431"/>
      <c r="I385" s="432"/>
      <c r="J385" s="433" t="s">
        <v>665</v>
      </c>
      <c r="K385" s="415"/>
      <c r="L385" s="416"/>
      <c r="M385" s="395"/>
      <c r="N385" s="398"/>
      <c r="O385" s="398"/>
      <c r="P385" s="398"/>
      <c r="Q385" s="398"/>
      <c r="R385" s="398"/>
      <c r="S385" s="398"/>
      <c r="T385" s="398"/>
      <c r="U385" s="398"/>
      <c r="V385" s="398"/>
      <c r="W385" s="398"/>
    </row>
    <row r="386" spans="2:23" s="154" customFormat="1" ht="12.75" customHeight="1">
      <c r="B386" s="439"/>
      <c r="C386" s="429" t="s">
        <v>468</v>
      </c>
      <c r="D386" s="390"/>
      <c r="E386" s="435"/>
      <c r="F386" s="412">
        <f>2.8*3.9*2.95</f>
        <v>32.214</v>
      </c>
      <c r="G386" s="413" t="s">
        <v>410</v>
      </c>
      <c r="H386" s="431"/>
      <c r="I386" s="432"/>
      <c r="J386" s="414" t="s">
        <v>666</v>
      </c>
      <c r="K386" s="415"/>
      <c r="L386" s="416"/>
      <c r="M386" s="395"/>
      <c r="N386" s="398"/>
      <c r="O386" s="398"/>
      <c r="P386" s="398"/>
      <c r="Q386" s="398"/>
      <c r="R386" s="398"/>
      <c r="S386" s="398"/>
      <c r="T386" s="398"/>
      <c r="U386" s="398"/>
      <c r="V386" s="398"/>
      <c r="W386" s="398"/>
    </row>
    <row r="387" spans="2:23" s="154" customFormat="1" ht="12.75" customHeight="1">
      <c r="B387" s="439"/>
      <c r="C387" s="429" t="s">
        <v>515</v>
      </c>
      <c r="D387" s="398"/>
      <c r="E387" s="398"/>
      <c r="F387" s="440">
        <f>2.5*2*0.4+2*0.4*0.7</f>
        <v>2.56</v>
      </c>
      <c r="G387" s="413" t="s">
        <v>410</v>
      </c>
      <c r="H387" s="442"/>
      <c r="I387" s="405"/>
      <c r="J387" s="406" t="s">
        <v>667</v>
      </c>
      <c r="K387" s="406"/>
      <c r="L387" s="406"/>
      <c r="M387" s="398"/>
      <c r="N387" s="398"/>
      <c r="O387" s="398"/>
      <c r="P387" s="398"/>
      <c r="Q387" s="398"/>
      <c r="R387" s="398"/>
      <c r="S387" s="398"/>
      <c r="T387" s="398"/>
      <c r="U387" s="398"/>
      <c r="V387" s="398"/>
      <c r="W387" s="398"/>
    </row>
    <row r="388" spans="2:23" s="154" customFormat="1" ht="12.75" customHeight="1">
      <c r="B388" s="439"/>
      <c r="C388" s="429"/>
      <c r="D388" s="398"/>
      <c r="E388" s="398"/>
      <c r="F388" s="440"/>
      <c r="G388" s="413"/>
      <c r="H388" s="442"/>
      <c r="I388" s="405"/>
      <c r="J388" s="406"/>
      <c r="K388" s="406"/>
      <c r="L388" s="406"/>
      <c r="M388" s="398"/>
      <c r="N388" s="398"/>
      <c r="O388" s="398"/>
      <c r="P388" s="398"/>
      <c r="Q388" s="398"/>
      <c r="R388" s="398"/>
      <c r="S388" s="398"/>
      <c r="T388" s="398"/>
      <c r="U388" s="398"/>
      <c r="V388" s="398"/>
      <c r="W388" s="398"/>
    </row>
    <row r="389" spans="2:23" s="154" customFormat="1" ht="12.75" customHeight="1">
      <c r="B389" s="443"/>
      <c r="C389" s="398" t="s">
        <v>474</v>
      </c>
      <c r="D389" s="398"/>
      <c r="E389" s="398"/>
      <c r="F389" s="440">
        <f>(9.3-2.5)*(2.4*1.8-1.2*1.5)</f>
        <v>17.136000000000006</v>
      </c>
      <c r="G389" s="413" t="s">
        <v>410</v>
      </c>
      <c r="H389" s="442"/>
      <c r="I389" s="405"/>
      <c r="J389" s="433" t="s">
        <v>668</v>
      </c>
      <c r="K389" s="406"/>
      <c r="L389" s="406"/>
      <c r="M389" s="398"/>
      <c r="N389" s="398"/>
      <c r="O389" s="398"/>
      <c r="P389" s="398"/>
      <c r="Q389" s="398"/>
      <c r="R389" s="398"/>
      <c r="S389" s="398"/>
      <c r="T389" s="398"/>
      <c r="U389" s="398"/>
      <c r="V389" s="398"/>
      <c r="W389" s="398"/>
    </row>
    <row r="390" spans="2:23" s="154" customFormat="1" ht="12.75" customHeight="1">
      <c r="B390" s="443"/>
      <c r="C390" s="429" t="s">
        <v>476</v>
      </c>
      <c r="D390" s="429"/>
      <c r="E390" s="398"/>
      <c r="F390" s="440">
        <f>2.8*3.9*2.95-1.8*1.95*2.65-1.05*3.14*0.4*0.4-1.45*1.2*1.5</f>
        <v>19.774980000000003</v>
      </c>
      <c r="G390" s="413" t="s">
        <v>410</v>
      </c>
      <c r="H390" s="442"/>
      <c r="I390" s="405"/>
      <c r="J390" s="414" t="s">
        <v>669</v>
      </c>
      <c r="K390" s="406"/>
      <c r="L390" s="406"/>
      <c r="M390" s="398"/>
      <c r="N390" s="398"/>
      <c r="O390" s="398"/>
      <c r="P390" s="398"/>
      <c r="Q390" s="398"/>
      <c r="R390" s="398"/>
      <c r="S390" s="398"/>
      <c r="T390" s="398"/>
      <c r="U390" s="398"/>
      <c r="V390" s="398"/>
      <c r="W390" s="398"/>
    </row>
    <row r="391" spans="2:23" s="154" customFormat="1" ht="12.75" customHeight="1">
      <c r="B391" s="443"/>
      <c r="C391" s="429"/>
      <c r="D391" s="429"/>
      <c r="E391" s="398"/>
      <c r="F391" s="440"/>
      <c r="G391" s="413"/>
      <c r="H391" s="442"/>
      <c r="I391" s="405"/>
      <c r="J391" s="414"/>
      <c r="K391" s="406"/>
      <c r="L391" s="406"/>
      <c r="M391" s="398"/>
      <c r="N391" s="398"/>
      <c r="O391" s="398"/>
      <c r="P391" s="398"/>
      <c r="Q391" s="398"/>
      <c r="R391" s="398"/>
      <c r="S391" s="398"/>
      <c r="T391" s="398"/>
      <c r="U391" s="398"/>
      <c r="V391" s="398"/>
      <c r="W391" s="398"/>
    </row>
    <row r="392" spans="2:23" s="154" customFormat="1" ht="12.75" customHeight="1">
      <c r="B392" s="439" t="s">
        <v>482</v>
      </c>
      <c r="C392" s="429"/>
      <c r="D392" s="390"/>
      <c r="E392" s="435" t="s">
        <v>483</v>
      </c>
      <c r="F392" s="412">
        <f>6.5*3</f>
        <v>19.5</v>
      </c>
      <c r="G392" s="413" t="s">
        <v>414</v>
      </c>
      <c r="H392" s="431"/>
      <c r="I392" s="432"/>
      <c r="J392" s="433" t="s">
        <v>670</v>
      </c>
      <c r="K392" s="406"/>
      <c r="L392" s="406"/>
      <c r="M392" s="395"/>
      <c r="N392" s="398"/>
      <c r="O392" s="398"/>
      <c r="P392" s="398"/>
      <c r="Q392" s="398"/>
      <c r="R392" s="398"/>
      <c r="S392" s="398"/>
      <c r="T392" s="398"/>
      <c r="U392" s="398"/>
      <c r="V392" s="398"/>
      <c r="W392" s="398"/>
    </row>
    <row r="393" spans="2:23" s="154" customFormat="1" ht="6" customHeight="1">
      <c r="B393" s="439"/>
      <c r="C393" s="429"/>
      <c r="D393" s="390"/>
      <c r="E393" s="435"/>
      <c r="F393" s="412"/>
      <c r="G393" s="413"/>
      <c r="H393" s="431"/>
      <c r="I393" s="432"/>
      <c r="J393" s="433"/>
      <c r="K393" s="406"/>
      <c r="L393" s="406"/>
      <c r="M393" s="395"/>
      <c r="N393" s="398"/>
      <c r="O393" s="398"/>
      <c r="P393" s="398"/>
      <c r="Q393" s="398"/>
      <c r="R393" s="398"/>
      <c r="S393" s="398"/>
      <c r="T393" s="398"/>
      <c r="U393" s="398"/>
      <c r="V393" s="398"/>
      <c r="W393" s="398"/>
    </row>
    <row r="394" spans="2:23" s="154" customFormat="1" ht="12.75" customHeight="1">
      <c r="B394" s="439" t="s">
        <v>485</v>
      </c>
      <c r="C394" s="429"/>
      <c r="D394" s="390"/>
      <c r="E394" s="435"/>
      <c r="F394" s="412">
        <v>50</v>
      </c>
      <c r="G394" s="413" t="s">
        <v>414</v>
      </c>
      <c r="H394" s="431"/>
      <c r="I394" s="432"/>
      <c r="J394" s="433" t="s">
        <v>747</v>
      </c>
      <c r="K394" s="406"/>
      <c r="L394" s="406"/>
      <c r="M394" s="395"/>
      <c r="N394" s="398"/>
      <c r="O394" s="398"/>
      <c r="P394" s="398"/>
      <c r="Q394" s="398"/>
      <c r="R394" s="398"/>
      <c r="S394" s="398"/>
      <c r="T394" s="398"/>
      <c r="U394" s="398"/>
      <c r="V394" s="398"/>
      <c r="W394" s="398"/>
    </row>
    <row r="395" spans="2:23" s="154" customFormat="1" ht="12.75" customHeight="1">
      <c r="B395" s="439"/>
      <c r="C395" s="429"/>
      <c r="D395" s="390"/>
      <c r="E395" s="435"/>
      <c r="F395" s="412"/>
      <c r="G395" s="413"/>
      <c r="H395" s="431"/>
      <c r="I395" s="432"/>
      <c r="J395" s="433"/>
      <c r="K395" s="406"/>
      <c r="L395" s="406"/>
      <c r="M395" s="395"/>
      <c r="N395" s="398"/>
      <c r="O395" s="398"/>
      <c r="P395" s="398"/>
      <c r="Q395" s="398"/>
      <c r="R395" s="398"/>
      <c r="S395" s="398"/>
      <c r="T395" s="398"/>
      <c r="U395" s="398"/>
      <c r="V395" s="398"/>
      <c r="W395" s="398"/>
    </row>
    <row r="396" spans="2:23" s="154" customFormat="1" ht="12.75" customHeight="1">
      <c r="B396" s="399"/>
      <c r="C396" s="400"/>
      <c r="D396" s="401"/>
      <c r="E396" s="401"/>
      <c r="F396" s="402"/>
      <c r="G396" s="402"/>
      <c r="H396" s="402"/>
      <c r="I396" s="402"/>
      <c r="J396" s="403"/>
      <c r="K396" s="403"/>
      <c r="L396" s="401"/>
      <c r="M396" s="401"/>
      <c r="N396" s="398"/>
      <c r="O396" s="398"/>
      <c r="P396" s="398"/>
      <c r="Q396" s="398"/>
      <c r="R396" s="398"/>
      <c r="S396" s="398"/>
      <c r="T396" s="398"/>
      <c r="U396" s="398"/>
      <c r="V396" s="398"/>
      <c r="W396" s="398"/>
    </row>
    <row r="397" spans="2:23" s="154" customFormat="1" ht="12.75" customHeight="1">
      <c r="B397" s="404" t="s">
        <v>671</v>
      </c>
      <c r="C397" s="398"/>
      <c r="D397" s="395" t="s">
        <v>487</v>
      </c>
      <c r="E397" s="398"/>
      <c r="F397" s="405"/>
      <c r="G397" s="405"/>
      <c r="H397" s="405" t="s">
        <v>488</v>
      </c>
      <c r="I397" s="405"/>
      <c r="J397" s="406"/>
      <c r="K397" s="406"/>
      <c r="L397" s="398"/>
      <c r="M397" s="395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</row>
    <row r="398" spans="2:23" s="154" customFormat="1" ht="12.75" customHeight="1">
      <c r="B398" s="407"/>
      <c r="C398" s="398"/>
      <c r="D398" s="398"/>
      <c r="E398" s="398"/>
      <c r="F398" s="405"/>
      <c r="G398" s="405"/>
      <c r="H398" s="405"/>
      <c r="I398" s="405"/>
      <c r="J398" s="406"/>
      <c r="K398" s="406"/>
      <c r="L398" s="398"/>
      <c r="M398" s="395"/>
      <c r="N398" s="398"/>
      <c r="O398" s="398"/>
      <c r="P398" s="398"/>
      <c r="Q398" s="398"/>
      <c r="R398" s="398"/>
      <c r="S398" s="398"/>
      <c r="T398" s="398"/>
      <c r="U398" s="398"/>
      <c r="V398" s="398"/>
      <c r="W398" s="398"/>
    </row>
    <row r="399" spans="2:13" ht="12.75">
      <c r="B399" s="408" t="s">
        <v>405</v>
      </c>
      <c r="C399" s="409"/>
      <c r="D399" s="410"/>
      <c r="E399" s="411" t="s">
        <v>124</v>
      </c>
      <c r="F399" s="412">
        <v>11.6</v>
      </c>
      <c r="G399" s="413" t="s">
        <v>9</v>
      </c>
      <c r="H399" s="280">
        <v>5</v>
      </c>
      <c r="I399" s="280" t="s">
        <v>130</v>
      </c>
      <c r="J399" s="414"/>
      <c r="K399" s="415"/>
      <c r="L399" s="416"/>
      <c r="M399" s="398"/>
    </row>
    <row r="400" spans="2:13" ht="12.75">
      <c r="B400" s="408"/>
      <c r="C400" s="420" t="s">
        <v>406</v>
      </c>
      <c r="D400" s="415"/>
      <c r="E400" s="445"/>
      <c r="F400" s="421">
        <f>2*5</f>
        <v>10</v>
      </c>
      <c r="G400" s="422" t="s">
        <v>130</v>
      </c>
      <c r="H400" s="423"/>
      <c r="I400" s="424"/>
      <c r="J400" s="425" t="s">
        <v>407</v>
      </c>
      <c r="K400" s="415"/>
      <c r="L400" s="414"/>
      <c r="M400" s="395"/>
    </row>
    <row r="401" spans="2:13" ht="14.25">
      <c r="B401" s="408"/>
      <c r="C401" s="429" t="s">
        <v>408</v>
      </c>
      <c r="D401" s="414"/>
      <c r="E401" s="411" t="s">
        <v>409</v>
      </c>
      <c r="F401" s="430">
        <f>10.55*(1.2*1-3.14*0.4*0.4)</f>
        <v>7.359679999999999</v>
      </c>
      <c r="G401" s="413" t="s">
        <v>410</v>
      </c>
      <c r="H401" s="431"/>
      <c r="I401" s="432"/>
      <c r="J401" s="433" t="s">
        <v>672</v>
      </c>
      <c r="K401" s="415"/>
      <c r="L401" s="414"/>
      <c r="M401" s="398"/>
    </row>
    <row r="402" spans="2:13" ht="14.25">
      <c r="B402" s="408"/>
      <c r="C402" s="429" t="s">
        <v>412</v>
      </c>
      <c r="D402" s="414"/>
      <c r="E402" s="411" t="s">
        <v>413</v>
      </c>
      <c r="F402" s="412">
        <f>10.45*(2*0.95+1.1)</f>
        <v>31.349999999999998</v>
      </c>
      <c r="G402" s="413" t="s">
        <v>414</v>
      </c>
      <c r="H402" s="434">
        <f>F402*7.9</f>
        <v>247.665</v>
      </c>
      <c r="I402" s="280" t="s">
        <v>415</v>
      </c>
      <c r="J402" s="414" t="s">
        <v>416</v>
      </c>
      <c r="K402" s="433"/>
      <c r="L402" s="414"/>
      <c r="M402" s="398"/>
    </row>
    <row r="403" spans="2:13" ht="14.25">
      <c r="B403" s="408"/>
      <c r="C403" s="429"/>
      <c r="D403" s="414"/>
      <c r="E403" s="411" t="s">
        <v>417</v>
      </c>
      <c r="F403" s="412">
        <f>2*10.45*1.1</f>
        <v>22.990000000000002</v>
      </c>
      <c r="G403" s="413" t="s">
        <v>414</v>
      </c>
      <c r="H403" s="434">
        <f>F403*7.9</f>
        <v>181.62100000000004</v>
      </c>
      <c r="I403" s="280" t="s">
        <v>415</v>
      </c>
      <c r="J403" s="414" t="s">
        <v>524</v>
      </c>
      <c r="K403" s="433"/>
      <c r="L403" s="414"/>
      <c r="M403" s="398"/>
    </row>
    <row r="404" spans="2:13" ht="14.25">
      <c r="B404" s="408"/>
      <c r="C404" s="429" t="s">
        <v>419</v>
      </c>
      <c r="D404" s="414"/>
      <c r="E404" s="411" t="s">
        <v>420</v>
      </c>
      <c r="F404" s="412">
        <f>10.55*1.2*0.3</f>
        <v>3.798</v>
      </c>
      <c r="G404" s="413" t="s">
        <v>410</v>
      </c>
      <c r="H404" s="431"/>
      <c r="I404" s="432"/>
      <c r="J404" s="433" t="s">
        <v>673</v>
      </c>
      <c r="K404" s="415"/>
      <c r="L404" s="414"/>
      <c r="M404" s="398"/>
    </row>
    <row r="405" spans="2:13" ht="14.25">
      <c r="B405" s="408"/>
      <c r="C405" s="429" t="s">
        <v>422</v>
      </c>
      <c r="D405" s="414"/>
      <c r="E405" s="411" t="s">
        <v>99</v>
      </c>
      <c r="F405" s="412">
        <f>10.55*1.45*0.1</f>
        <v>1.5297500000000002</v>
      </c>
      <c r="G405" s="413" t="s">
        <v>410</v>
      </c>
      <c r="H405" s="431"/>
      <c r="I405" s="432"/>
      <c r="J405" s="433" t="s">
        <v>674</v>
      </c>
      <c r="K405" s="415"/>
      <c r="L405" s="414"/>
      <c r="M405" s="398"/>
    </row>
    <row r="406" spans="2:13" ht="14.25">
      <c r="B406" s="408"/>
      <c r="C406" s="429" t="s">
        <v>424</v>
      </c>
      <c r="D406" s="414"/>
      <c r="E406" s="411" t="s">
        <v>99</v>
      </c>
      <c r="F406" s="412">
        <f>10.55*1.65*0.1</f>
        <v>1.74075</v>
      </c>
      <c r="G406" s="413" t="s">
        <v>410</v>
      </c>
      <c r="H406" s="434">
        <f>9.95*1.65</f>
        <v>16.417499999999997</v>
      </c>
      <c r="I406" s="413" t="s">
        <v>414</v>
      </c>
      <c r="J406" s="433" t="s">
        <v>675</v>
      </c>
      <c r="K406" s="415"/>
      <c r="L406" s="414"/>
      <c r="M406" s="398"/>
    </row>
    <row r="407" spans="2:13" ht="14.25">
      <c r="B407" s="408"/>
      <c r="C407" s="429" t="s">
        <v>426</v>
      </c>
      <c r="D407" s="414"/>
      <c r="E407" s="411"/>
      <c r="F407" s="412">
        <f>2*10.55*1.3+1.2*1.3</f>
        <v>28.990000000000002</v>
      </c>
      <c r="G407" s="413" t="s">
        <v>414</v>
      </c>
      <c r="H407" s="434"/>
      <c r="I407" s="413"/>
      <c r="J407" s="433" t="s">
        <v>676</v>
      </c>
      <c r="K407" s="415"/>
      <c r="L407" s="414"/>
      <c r="M407" s="398"/>
    </row>
    <row r="408" spans="2:13" ht="12.75">
      <c r="B408" s="408"/>
      <c r="C408" s="429"/>
      <c r="D408" s="414"/>
      <c r="E408" s="411"/>
      <c r="F408" s="412"/>
      <c r="G408" s="413"/>
      <c r="H408" s="434"/>
      <c r="I408" s="413"/>
      <c r="J408" s="433"/>
      <c r="K408" s="415"/>
      <c r="L408" s="414"/>
      <c r="M408" s="398"/>
    </row>
    <row r="409" spans="2:13" ht="14.25">
      <c r="B409" s="408" t="s">
        <v>433</v>
      </c>
      <c r="C409" s="429" t="s">
        <v>434</v>
      </c>
      <c r="D409" s="414"/>
      <c r="E409" s="411"/>
      <c r="F409" s="412">
        <f>1.8*1.95*1.95-1.2*0.6*2.15-1.05*3.14*0.4*0.4</f>
        <v>4.768979999999999</v>
      </c>
      <c r="G409" s="413" t="s">
        <v>410</v>
      </c>
      <c r="H409" s="431"/>
      <c r="I409" s="432"/>
      <c r="J409" s="433" t="s">
        <v>677</v>
      </c>
      <c r="K409" s="415"/>
      <c r="L409" s="414"/>
      <c r="M409" s="398"/>
    </row>
    <row r="410" spans="2:13" ht="14.25">
      <c r="B410" s="408"/>
      <c r="C410" s="429" t="s">
        <v>412</v>
      </c>
      <c r="D410" s="414"/>
      <c r="E410" s="411" t="s">
        <v>436</v>
      </c>
      <c r="F410" s="412">
        <f>4*1.7*2.35+2*1.85*2.35+2*0.7*2.15+1.7*1.85+1.3*0.7</f>
        <v>31.740000000000002</v>
      </c>
      <c r="G410" s="413" t="s">
        <v>414</v>
      </c>
      <c r="H410" s="434">
        <f>F410*7.9</f>
        <v>250.74600000000004</v>
      </c>
      <c r="I410" s="280" t="s">
        <v>415</v>
      </c>
      <c r="J410" s="414" t="s">
        <v>678</v>
      </c>
      <c r="K410" s="415"/>
      <c r="L410" s="414"/>
      <c r="M410" s="398"/>
    </row>
    <row r="411" spans="2:13" ht="12.75">
      <c r="B411" s="408"/>
      <c r="C411" s="429" t="s">
        <v>422</v>
      </c>
      <c r="D411" s="414"/>
      <c r="E411" s="411" t="s">
        <v>91</v>
      </c>
      <c r="F411" s="412"/>
      <c r="G411" s="413"/>
      <c r="H411" s="431"/>
      <c r="I411" s="432"/>
      <c r="J411" s="433"/>
      <c r="K411" s="415"/>
      <c r="L411" s="414"/>
      <c r="M411" s="398"/>
    </row>
    <row r="412" spans="2:13" ht="14.25">
      <c r="B412" s="408"/>
      <c r="C412" s="429"/>
      <c r="D412" s="414"/>
      <c r="E412" s="411" t="s">
        <v>438</v>
      </c>
      <c r="F412" s="412">
        <f>2.4*2.6*0.15</f>
        <v>0.9359999999999999</v>
      </c>
      <c r="G412" s="413" t="s">
        <v>410</v>
      </c>
      <c r="H412" s="431"/>
      <c r="I412" s="432"/>
      <c r="J412" s="433" t="s">
        <v>439</v>
      </c>
      <c r="K412" s="415"/>
      <c r="L412" s="414"/>
      <c r="M412" s="398"/>
    </row>
    <row r="413" spans="2:13" ht="14.25">
      <c r="B413" s="408"/>
      <c r="C413" s="429"/>
      <c r="D413" s="414"/>
      <c r="E413" s="411" t="s">
        <v>440</v>
      </c>
      <c r="F413" s="412">
        <f>1.2*0.6*0.15</f>
        <v>0.108</v>
      </c>
      <c r="G413" s="413" t="s">
        <v>410</v>
      </c>
      <c r="H413" s="431"/>
      <c r="I413" s="432"/>
      <c r="J413" s="433" t="s">
        <v>441</v>
      </c>
      <c r="K413" s="415"/>
      <c r="L413" s="414"/>
      <c r="M413" s="398"/>
    </row>
    <row r="414" spans="2:13" ht="14.25">
      <c r="B414" s="408"/>
      <c r="C414" s="429" t="s">
        <v>442</v>
      </c>
      <c r="D414" s="414"/>
      <c r="E414" s="411" t="s">
        <v>91</v>
      </c>
      <c r="F414" s="412">
        <f>1.2*0.6</f>
        <v>0.72</v>
      </c>
      <c r="G414" s="413" t="s">
        <v>414</v>
      </c>
      <c r="H414" s="434"/>
      <c r="I414" s="413"/>
      <c r="J414" s="433" t="s">
        <v>443</v>
      </c>
      <c r="K414" s="415"/>
      <c r="L414" s="414"/>
      <c r="M414" s="398"/>
    </row>
    <row r="415" spans="2:13" ht="14.25">
      <c r="B415" s="408"/>
      <c r="C415" s="429" t="s">
        <v>424</v>
      </c>
      <c r="D415" s="414"/>
      <c r="E415" s="411" t="s">
        <v>99</v>
      </c>
      <c r="F415" s="412">
        <f>2.3*2.3*0.1</f>
        <v>0.5289999999999999</v>
      </c>
      <c r="G415" s="413" t="s">
        <v>410</v>
      </c>
      <c r="H415" s="434">
        <f>2.3*2.3</f>
        <v>5.289999999999999</v>
      </c>
      <c r="I415" s="413" t="s">
        <v>414</v>
      </c>
      <c r="J415" s="433" t="s">
        <v>444</v>
      </c>
      <c r="K415" s="415"/>
      <c r="L415" s="414"/>
      <c r="M415" s="398"/>
    </row>
    <row r="416" spans="2:13" ht="14.25">
      <c r="B416" s="408"/>
      <c r="C416" s="429" t="s">
        <v>426</v>
      </c>
      <c r="D416" s="390"/>
      <c r="E416" s="435"/>
      <c r="F416" s="412">
        <f>2*((1.8+1.95)*2.45+(1.2+0.6)*2.15)</f>
        <v>26.115</v>
      </c>
      <c r="G416" s="413" t="s">
        <v>414</v>
      </c>
      <c r="H416" s="434"/>
      <c r="I416" s="413"/>
      <c r="J416" s="433" t="s">
        <v>679</v>
      </c>
      <c r="K416" s="415"/>
      <c r="L416" s="414"/>
      <c r="M416" s="398"/>
    </row>
    <row r="417" spans="2:13" ht="12.75">
      <c r="B417" s="408"/>
      <c r="C417" s="436" t="s">
        <v>446</v>
      </c>
      <c r="D417" s="390"/>
      <c r="E417" s="435"/>
      <c r="F417" s="437">
        <v>1</v>
      </c>
      <c r="G417" s="413" t="s">
        <v>130</v>
      </c>
      <c r="H417" s="434"/>
      <c r="I417" s="413"/>
      <c r="J417" s="433"/>
      <c r="K417" s="415"/>
      <c r="L417" s="414"/>
      <c r="M417" s="398"/>
    </row>
    <row r="418" spans="2:13" ht="12.75">
      <c r="B418" s="408"/>
      <c r="C418" s="436" t="s">
        <v>447</v>
      </c>
      <c r="D418" s="390"/>
      <c r="E418" s="435"/>
      <c r="F418" s="437">
        <v>5</v>
      </c>
      <c r="G418" s="413" t="s">
        <v>130</v>
      </c>
      <c r="H418" s="434"/>
      <c r="I418" s="413"/>
      <c r="J418" s="433"/>
      <c r="K418" s="415"/>
      <c r="L418" s="414"/>
      <c r="M418" s="398"/>
    </row>
    <row r="419" spans="2:13" ht="12.75">
      <c r="B419" s="408"/>
      <c r="C419" s="429"/>
      <c r="D419" s="414"/>
      <c r="E419" s="411"/>
      <c r="F419" s="412"/>
      <c r="G419" s="413"/>
      <c r="H419" s="434"/>
      <c r="I419" s="413"/>
      <c r="J419" s="433"/>
      <c r="K419" s="415"/>
      <c r="L419" s="414"/>
      <c r="M419" s="398"/>
    </row>
    <row r="420" spans="2:13" ht="14.25">
      <c r="B420" s="408" t="s">
        <v>532</v>
      </c>
      <c r="C420" s="429" t="s">
        <v>533</v>
      </c>
      <c r="D420" s="414"/>
      <c r="E420" s="411"/>
      <c r="F420" s="412">
        <f>2*1.5*0.8</f>
        <v>2.4000000000000004</v>
      </c>
      <c r="G420" s="413" t="s">
        <v>410</v>
      </c>
      <c r="H420" s="431"/>
      <c r="I420" s="432"/>
      <c r="J420" s="433" t="s">
        <v>534</v>
      </c>
      <c r="K420" s="415"/>
      <c r="L420" s="414"/>
      <c r="M420" s="398"/>
    </row>
    <row r="421" spans="2:13" ht="14.25">
      <c r="B421" s="408"/>
      <c r="C421" s="429" t="s">
        <v>422</v>
      </c>
      <c r="D421" s="414"/>
      <c r="E421" s="411" t="s">
        <v>91</v>
      </c>
      <c r="F421" s="412">
        <f>2.6*2.1*0.15</f>
        <v>0.8190000000000001</v>
      </c>
      <c r="G421" s="413" t="s">
        <v>410</v>
      </c>
      <c r="H421" s="431"/>
      <c r="I421" s="432"/>
      <c r="J421" s="433" t="s">
        <v>535</v>
      </c>
      <c r="K421" s="415"/>
      <c r="L421" s="414"/>
      <c r="M421" s="398"/>
    </row>
    <row r="422" spans="2:13" ht="14.25">
      <c r="B422" s="408"/>
      <c r="C422" s="429" t="s">
        <v>424</v>
      </c>
      <c r="D422" s="414"/>
      <c r="E422" s="411" t="s">
        <v>99</v>
      </c>
      <c r="F422" s="412">
        <f>2.5*2*0.1</f>
        <v>0.5</v>
      </c>
      <c r="G422" s="413" t="s">
        <v>410</v>
      </c>
      <c r="H422" s="434">
        <f>2.5*2</f>
        <v>5</v>
      </c>
      <c r="I422" s="413" t="s">
        <v>414</v>
      </c>
      <c r="J422" s="433" t="s">
        <v>536</v>
      </c>
      <c r="K422" s="415"/>
      <c r="L422" s="414"/>
      <c r="M422" s="398"/>
    </row>
    <row r="423" spans="2:13" ht="14.25">
      <c r="B423" s="408"/>
      <c r="C423" s="398" t="s">
        <v>501</v>
      </c>
      <c r="D423" s="398"/>
      <c r="E423" s="411" t="s">
        <v>409</v>
      </c>
      <c r="F423" s="440">
        <f>3*2</f>
        <v>6</v>
      </c>
      <c r="G423" s="413" t="s">
        <v>414</v>
      </c>
      <c r="H423" s="441"/>
      <c r="I423" s="405"/>
      <c r="J423" s="406" t="s">
        <v>641</v>
      </c>
      <c r="K423" s="415"/>
      <c r="L423" s="414"/>
      <c r="M423" s="398"/>
    </row>
    <row r="424" spans="2:13" ht="14.25">
      <c r="B424" s="408"/>
      <c r="C424" s="398" t="s">
        <v>451</v>
      </c>
      <c r="D424" s="398"/>
      <c r="E424" s="411" t="s">
        <v>99</v>
      </c>
      <c r="F424" s="440">
        <f>3*2*0.1</f>
        <v>0.6000000000000001</v>
      </c>
      <c r="G424" s="413" t="s">
        <v>410</v>
      </c>
      <c r="H424" s="441"/>
      <c r="I424" s="405"/>
      <c r="J424" s="406" t="s">
        <v>642</v>
      </c>
      <c r="K424" s="415"/>
      <c r="L424" s="414"/>
      <c r="M424" s="398"/>
    </row>
    <row r="425" spans="2:13" ht="14.25">
      <c r="B425" s="408"/>
      <c r="C425" s="429" t="s">
        <v>426</v>
      </c>
      <c r="D425" s="414"/>
      <c r="E425" s="411"/>
      <c r="F425" s="412">
        <f>2*(2*0.8+1.5*0.8)</f>
        <v>5.6000000000000005</v>
      </c>
      <c r="G425" s="413" t="s">
        <v>414</v>
      </c>
      <c r="H425" s="431"/>
      <c r="I425" s="432"/>
      <c r="J425" s="433" t="s">
        <v>539</v>
      </c>
      <c r="K425" s="415"/>
      <c r="L425" s="414"/>
      <c r="M425" s="398"/>
    </row>
    <row r="426" spans="2:13" ht="12.75">
      <c r="B426" s="408"/>
      <c r="C426" s="429"/>
      <c r="D426" s="414"/>
      <c r="E426" s="411"/>
      <c r="F426" s="412"/>
      <c r="G426" s="413"/>
      <c r="H426" s="280"/>
      <c r="I426" s="413"/>
      <c r="J426" s="433"/>
      <c r="K426" s="415"/>
      <c r="L426" s="414"/>
      <c r="M426" s="398"/>
    </row>
    <row r="427" spans="2:13" ht="14.25">
      <c r="B427" s="439" t="s">
        <v>465</v>
      </c>
      <c r="C427" s="429" t="s">
        <v>509</v>
      </c>
      <c r="D427" s="390"/>
      <c r="E427" s="435"/>
      <c r="F427" s="412">
        <f>2.1*0.7*1.8</f>
        <v>2.646</v>
      </c>
      <c r="G427" s="413" t="s">
        <v>410</v>
      </c>
      <c r="H427" s="390"/>
      <c r="I427" s="432" t="s">
        <v>510</v>
      </c>
      <c r="J427" s="414" t="s">
        <v>680</v>
      </c>
      <c r="K427" s="415"/>
      <c r="L427" s="416"/>
      <c r="M427" s="395"/>
    </row>
    <row r="428" spans="2:13" ht="14.25">
      <c r="B428" s="439"/>
      <c r="C428" s="429" t="s">
        <v>570</v>
      </c>
      <c r="D428" s="390"/>
      <c r="E428" s="435"/>
      <c r="F428" s="446">
        <f>1.8*1.2*2.45-1.2*0.6*2.15</f>
        <v>3.7440000000000007</v>
      </c>
      <c r="G428" s="447" t="s">
        <v>410</v>
      </c>
      <c r="H428" s="390"/>
      <c r="I428" s="432" t="s">
        <v>510</v>
      </c>
      <c r="J428" s="448" t="s">
        <v>681</v>
      </c>
      <c r="K428" s="449"/>
      <c r="L428" s="416"/>
      <c r="M428" s="395"/>
    </row>
    <row r="429" spans="2:13" ht="12.75">
      <c r="B429" s="439"/>
      <c r="C429" s="429" t="s">
        <v>682</v>
      </c>
      <c r="D429" s="390"/>
      <c r="E429" s="435"/>
      <c r="F429" s="412">
        <v>9.1</v>
      </c>
      <c r="G429" s="413" t="s">
        <v>9</v>
      </c>
      <c r="H429" s="390"/>
      <c r="I429" s="432" t="s">
        <v>510</v>
      </c>
      <c r="J429" s="414"/>
      <c r="K429" s="415"/>
      <c r="L429" s="416"/>
      <c r="M429" s="398"/>
    </row>
    <row r="430" spans="2:13" ht="12.75">
      <c r="B430" s="439"/>
      <c r="C430" s="429"/>
      <c r="D430" s="390"/>
      <c r="E430" s="435"/>
      <c r="F430" s="412"/>
      <c r="G430" s="413"/>
      <c r="H430" s="390"/>
      <c r="I430" s="432"/>
      <c r="J430" s="414"/>
      <c r="K430" s="415"/>
      <c r="L430" s="416"/>
      <c r="M430" s="398"/>
    </row>
    <row r="431" spans="2:13" ht="14.25">
      <c r="B431" s="439"/>
      <c r="C431" s="429" t="s">
        <v>466</v>
      </c>
      <c r="D431" s="390"/>
      <c r="E431" s="435"/>
      <c r="F431" s="412">
        <f>(11.6-2.35)*2.3*1.75</f>
        <v>37.231249999999996</v>
      </c>
      <c r="G431" s="413" t="s">
        <v>410</v>
      </c>
      <c r="H431" s="431"/>
      <c r="I431" s="432"/>
      <c r="J431" s="433" t="s">
        <v>683</v>
      </c>
      <c r="K431" s="415"/>
      <c r="L431" s="416"/>
      <c r="M431" s="395"/>
    </row>
    <row r="432" spans="2:13" ht="14.25">
      <c r="B432" s="439"/>
      <c r="C432" s="429" t="s">
        <v>468</v>
      </c>
      <c r="D432" s="390"/>
      <c r="E432" s="435"/>
      <c r="F432" s="412">
        <f>2.8*3.75*2.65</f>
        <v>27.825</v>
      </c>
      <c r="G432" s="413" t="s">
        <v>410</v>
      </c>
      <c r="H432" s="431"/>
      <c r="I432" s="432"/>
      <c r="J432" s="414" t="s">
        <v>684</v>
      </c>
      <c r="K432" s="415"/>
      <c r="L432" s="416"/>
      <c r="M432" s="395"/>
    </row>
    <row r="433" spans="2:12" ht="14.25">
      <c r="B433" s="439"/>
      <c r="C433" s="429" t="s">
        <v>549</v>
      </c>
      <c r="D433" s="390"/>
      <c r="E433" s="435"/>
      <c r="F433" s="412">
        <f>2.9*2.4*0.8</f>
        <v>5.5680000000000005</v>
      </c>
      <c r="G433" s="413" t="s">
        <v>410</v>
      </c>
      <c r="H433" s="431"/>
      <c r="I433" s="432"/>
      <c r="J433" s="414" t="s">
        <v>550</v>
      </c>
      <c r="K433" s="415"/>
      <c r="L433" s="416"/>
    </row>
    <row r="434" spans="2:12" ht="12.75">
      <c r="B434" s="439"/>
      <c r="C434" s="429"/>
      <c r="D434" s="398"/>
      <c r="E434" s="398"/>
      <c r="F434" s="440"/>
      <c r="G434" s="413"/>
      <c r="H434" s="442"/>
      <c r="I434" s="405"/>
      <c r="J434" s="406"/>
      <c r="K434" s="406"/>
      <c r="L434" s="406"/>
    </row>
    <row r="435" spans="2:13" ht="14.25">
      <c r="B435" s="443"/>
      <c r="C435" s="444" t="s">
        <v>474</v>
      </c>
      <c r="D435" s="398"/>
      <c r="E435" s="398"/>
      <c r="F435" s="440">
        <f>(11.6-2.35)*(2.3*1.5-1.2*1.5)</f>
        <v>15.2625</v>
      </c>
      <c r="G435" s="413" t="s">
        <v>410</v>
      </c>
      <c r="H435" s="442"/>
      <c r="I435" s="405"/>
      <c r="J435" s="433" t="s">
        <v>685</v>
      </c>
      <c r="K435" s="406"/>
      <c r="L435" s="406"/>
      <c r="M435" s="154"/>
    </row>
    <row r="436" spans="2:13" ht="14.25">
      <c r="B436" s="443"/>
      <c r="C436" s="429" t="s">
        <v>476</v>
      </c>
      <c r="D436" s="429"/>
      <c r="E436" s="398"/>
      <c r="F436" s="440">
        <f>2.8*3.75*2.65-1.8*1.95*2.35-1.05*3.14*0.4*0.4-1.3*1.2*1.5</f>
        <v>16.70898</v>
      </c>
      <c r="G436" s="413" t="s">
        <v>410</v>
      </c>
      <c r="H436" s="442"/>
      <c r="I436" s="405"/>
      <c r="J436" s="414" t="s">
        <v>686</v>
      </c>
      <c r="K436" s="406"/>
      <c r="L436" s="406"/>
      <c r="M436" s="154"/>
    </row>
    <row r="437" spans="2:12" ht="14.25">
      <c r="B437" s="443"/>
      <c r="C437" s="429" t="s">
        <v>554</v>
      </c>
      <c r="D437" s="429"/>
      <c r="E437" s="398"/>
      <c r="F437" s="440">
        <f>2.9*2.4*0.8-2*1.5*0.8</f>
        <v>3.168</v>
      </c>
      <c r="G437" s="413" t="s">
        <v>410</v>
      </c>
      <c r="H437" s="442"/>
      <c r="I437" s="405"/>
      <c r="J437" s="414" t="s">
        <v>555</v>
      </c>
      <c r="K437" s="406"/>
      <c r="L437" s="406"/>
    </row>
    <row r="438" spans="2:12" ht="12.75">
      <c r="B438" s="443"/>
      <c r="C438" s="429"/>
      <c r="D438" s="429"/>
      <c r="E438" s="398"/>
      <c r="F438" s="440"/>
      <c r="G438" s="413"/>
      <c r="H438" s="442"/>
      <c r="I438" s="405"/>
      <c r="J438" s="414"/>
      <c r="K438" s="406"/>
      <c r="L438" s="406"/>
    </row>
    <row r="439" spans="2:12" ht="14.25">
      <c r="B439" s="439" t="s">
        <v>482</v>
      </c>
      <c r="C439" s="429"/>
      <c r="D439" s="390"/>
      <c r="E439" s="435" t="s">
        <v>483</v>
      </c>
      <c r="F439" s="412">
        <f>6.5*3</f>
        <v>19.5</v>
      </c>
      <c r="G439" s="413" t="s">
        <v>414</v>
      </c>
      <c r="H439" s="431"/>
      <c r="I439" s="432"/>
      <c r="J439" s="433" t="s">
        <v>670</v>
      </c>
      <c r="K439" s="406"/>
      <c r="L439" s="406"/>
    </row>
    <row r="440" spans="2:11" ht="6" customHeight="1">
      <c r="B440" s="439"/>
      <c r="C440" s="429"/>
      <c r="D440" s="390"/>
      <c r="E440" s="435"/>
      <c r="F440" s="412"/>
      <c r="G440" s="413"/>
      <c r="H440" s="431"/>
      <c r="I440" s="432"/>
      <c r="J440" s="433"/>
      <c r="K440" s="406"/>
    </row>
    <row r="441" spans="2:11" ht="14.25">
      <c r="B441" s="439" t="s">
        <v>485</v>
      </c>
      <c r="C441" s="429"/>
      <c r="D441" s="390"/>
      <c r="E441" s="435"/>
      <c r="F441" s="412">
        <f>2*8*2.5</f>
        <v>40</v>
      </c>
      <c r="G441" s="413" t="s">
        <v>414</v>
      </c>
      <c r="H441" s="431"/>
      <c r="I441" s="432"/>
      <c r="J441" s="433" t="s">
        <v>742</v>
      </c>
      <c r="K441" s="406"/>
    </row>
  </sheetData>
  <sheetProtection/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JDO</cp:lastModifiedBy>
  <cp:lastPrinted>2018-08-09T11:17:42Z</cp:lastPrinted>
  <dcterms:created xsi:type="dcterms:W3CDTF">2000-10-30T13:38:13Z</dcterms:created>
  <dcterms:modified xsi:type="dcterms:W3CDTF">2018-08-09T11:21:52Z</dcterms:modified>
  <cp:category/>
  <cp:version/>
  <cp:contentType/>
  <cp:contentStatus/>
  <cp:revision>1</cp:revision>
</cp:coreProperties>
</file>