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3"/>
  </bookViews>
  <sheets>
    <sheet name="Stavební rozpočet" sheetId="1" r:id="rId1"/>
    <sheet name="Stavební rozpočet - součet" sheetId="2" r:id="rId2"/>
    <sheet name="Výkaz výměr" sheetId="3" r:id="rId3"/>
    <sheet name="Krycí list rozpočtu" sheetId="4" r:id="rId4"/>
    <sheet name="VORN" sheetId="5" r:id="rId5"/>
  </sheets>
  <definedNames>
    <definedName name="vorn_sum">'VORN'!$I$34:$I$34</definedName>
  </definedNames>
  <calcPr fullCalcOnLoad="1"/>
</workbook>
</file>

<file path=xl/sharedStrings.xml><?xml version="1.0" encoding="utf-8"?>
<sst xmlns="http://schemas.openxmlformats.org/spreadsheetml/2006/main" count="2297" uniqueCount="692">
  <si>
    <t>Slepý stavební rozpočet</t>
  </si>
  <si>
    <t>Název stavby:</t>
  </si>
  <si>
    <t>Druh stavby:</t>
  </si>
  <si>
    <t>Lokalita:</t>
  </si>
  <si>
    <t>JKSO:</t>
  </si>
  <si>
    <t>Č</t>
  </si>
  <si>
    <t xml:space="preserve">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</si>
  <si>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</si>
  <si>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</si>
  <si>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</si>
  <si>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</si>
  <si>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</si>
  <si>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</si>
  <si>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</si>
  <si>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</si>
  <si>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</si>
  <si>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</si>
  <si>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</si>
  <si>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</si>
  <si>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</si>
  <si>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</si>
  <si>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</si>
  <si>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</si>
  <si>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</si>
  <si>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</si>
  <si>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</si>
  <si>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</si>
  <si>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</si>
  <si>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</si>
  <si>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</si>
  <si>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</si>
  <si>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</si>
  <si>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</si>
  <si>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</si>
  <si>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</si>
  <si>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</si>
  <si>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</si>
  <si>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</si>
  <si>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</si>
  <si>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</si>
  <si>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</si>
  <si>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</si>
  <si>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</si>
  <si>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</si>
  <si>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</si>
  <si>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</si>
  <si>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</si>
  <si>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</si>
  <si>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</si>
  <si>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</si>
  <si>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</si>
  <si>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</si>
  <si>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</si>
  <si>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</si>
  <si>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</si>
  <si>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</si>
  <si>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</si>
  <si>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</si>
  <si>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</si>
  <si>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</si>
  <si>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</si>
  <si>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</si>
  <si>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</si>
  <si>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</si>
  <si>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</si>
  <si>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</si>
  <si>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</si>
  <si>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</si>
  <si>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</si>
  <si>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</si>
  <si>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</si>
  <si>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</si>
  <si>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</si>
  <si>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</si>
  <si>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</si>
  <si>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</si>
  <si>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</si>
  <si>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</si>
  <si>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</si>
  <si>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</si>
  <si>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</si>
  <si>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</si>
  <si>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</si>
  <si>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</si>
  <si>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</si>
  <si>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</si>
  <si>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</si>
  <si>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</si>
  <si>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</si>
  <si>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</si>
  <si>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</si>
  <si>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</si>
  <si>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</si>
  <si>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</si>
  <si>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</si>
  <si>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</si>
  <si>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</si>
  <si>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</si>
  <si>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</si>
  <si>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</si>
  <si>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</si>
  <si>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</si>
  <si>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</si>
  <si>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</si>
  <si>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</si>
  <si>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</si>
  <si>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</si>
  <si>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</si>
  <si>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</si>
  <si>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</si>
  <si>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</si>
  <si>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</si>
  <si>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Poznámka:</t>
  </si>
  <si>
    <t>Objekt</t>
  </si>
  <si>
    <t>Kód</t>
  </si>
  <si>
    <t>113106121R00</t>
  </si>
  <si>
    <t>RTS komentář:</t>
  </si>
  <si>
    <t>120001101R00</t>
  </si>
  <si>
    <t>132201110R00</t>
  </si>
  <si>
    <t>216904112R00</t>
  </si>
  <si>
    <t>216904391R00</t>
  </si>
  <si>
    <t>342254911R00</t>
  </si>
  <si>
    <t>612409991RT2</t>
  </si>
  <si>
    <t>612421637R00</t>
  </si>
  <si>
    <t>622312133RT5</t>
  </si>
  <si>
    <t>622312754RT5</t>
  </si>
  <si>
    <t>622315013R00</t>
  </si>
  <si>
    <t>622312122RU1</t>
  </si>
  <si>
    <t>622312154RT5</t>
  </si>
  <si>
    <t>622312132RV1</t>
  </si>
  <si>
    <t>767896920R00</t>
  </si>
  <si>
    <t>631312711R00</t>
  </si>
  <si>
    <t>711</t>
  </si>
  <si>
    <t>711112006RZ4</t>
  </si>
  <si>
    <t>711131311R00</t>
  </si>
  <si>
    <t>711212001R00</t>
  </si>
  <si>
    <t>711212000RT1</t>
  </si>
  <si>
    <t>711212002RT1</t>
  </si>
  <si>
    <t>711401111RAD</t>
  </si>
  <si>
    <t>712</t>
  </si>
  <si>
    <t>712348104RT2</t>
  </si>
  <si>
    <t>712348101RT3</t>
  </si>
  <si>
    <t>712351111RT2</t>
  </si>
  <si>
    <t>712378003R00</t>
  </si>
  <si>
    <t>713</t>
  </si>
  <si>
    <t>713134211RO4</t>
  </si>
  <si>
    <t>713181113RT1</t>
  </si>
  <si>
    <t>725</t>
  </si>
  <si>
    <t>725991811R00</t>
  </si>
  <si>
    <t>762</t>
  </si>
  <si>
    <t>762431230RT2</t>
  </si>
  <si>
    <t>762441112RT2</t>
  </si>
  <si>
    <t>763</t>
  </si>
  <si>
    <t>763612232R00</t>
  </si>
  <si>
    <t>764</t>
  </si>
  <si>
    <t>764321830R00</t>
  </si>
  <si>
    <t>764908305RT3</t>
  </si>
  <si>
    <t>764908306RT3</t>
  </si>
  <si>
    <t>764908307RT3</t>
  </si>
  <si>
    <t>764906327RS4</t>
  </si>
  <si>
    <t>764904010RT3</t>
  </si>
  <si>
    <t>764430260RT2</t>
  </si>
  <si>
    <t>764447208R00</t>
  </si>
  <si>
    <t>764331830R00</t>
  </si>
  <si>
    <t>764422810R00</t>
  </si>
  <si>
    <t>766</t>
  </si>
  <si>
    <t>766414113R00</t>
  </si>
  <si>
    <t>766601213RT3</t>
  </si>
  <si>
    <t>766629301R00</t>
  </si>
  <si>
    <t>766629302R00</t>
  </si>
  <si>
    <t>766629303R00</t>
  </si>
  <si>
    <t>766629304R00</t>
  </si>
  <si>
    <t>766669117R00</t>
  </si>
  <si>
    <t>766669118R00</t>
  </si>
  <si>
    <t>766694112R00</t>
  </si>
  <si>
    <t>766694113R00</t>
  </si>
  <si>
    <t>767</t>
  </si>
  <si>
    <t>767132812R00</t>
  </si>
  <si>
    <t>767162250R00</t>
  </si>
  <si>
    <t>767811100R00</t>
  </si>
  <si>
    <t>767996801R00</t>
  </si>
  <si>
    <t>767999802R00</t>
  </si>
  <si>
    <t>767999803R00</t>
  </si>
  <si>
    <t>771</t>
  </si>
  <si>
    <t>771111171R00</t>
  </si>
  <si>
    <t>771120111R00</t>
  </si>
  <si>
    <t>771120211R00</t>
  </si>
  <si>
    <t>771130112R00</t>
  </si>
  <si>
    <t>771212113R00</t>
  </si>
  <si>
    <t>69742501</t>
  </si>
  <si>
    <t>59764206</t>
  </si>
  <si>
    <t>784</t>
  </si>
  <si>
    <t>784161401R00</t>
  </si>
  <si>
    <t>784164111R00</t>
  </si>
  <si>
    <t>909      R00</t>
  </si>
  <si>
    <t>905      R01</t>
  </si>
  <si>
    <t>905      R02</t>
  </si>
  <si>
    <t>905      R00</t>
  </si>
  <si>
    <t>941941032RT4</t>
  </si>
  <si>
    <t>941941832RT4</t>
  </si>
  <si>
    <t>944944011R00</t>
  </si>
  <si>
    <t>944944031R00</t>
  </si>
  <si>
    <t>944944081R00</t>
  </si>
  <si>
    <t>941941111R00</t>
  </si>
  <si>
    <t>953941215RA0</t>
  </si>
  <si>
    <t>968019541R00</t>
  </si>
  <si>
    <t>968019551R00</t>
  </si>
  <si>
    <t>968019561R00</t>
  </si>
  <si>
    <t>968019571R00</t>
  </si>
  <si>
    <t>968061112R00</t>
  </si>
  <si>
    <t>968061113R00</t>
  </si>
  <si>
    <t>968061125R00</t>
  </si>
  <si>
    <t>H01</t>
  </si>
  <si>
    <t>998011032R00</t>
  </si>
  <si>
    <t>M21</t>
  </si>
  <si>
    <t>073877422R00</t>
  </si>
  <si>
    <t>592440990</t>
  </si>
  <si>
    <t>210290842R00</t>
  </si>
  <si>
    <t>210290841R00</t>
  </si>
  <si>
    <t>S</t>
  </si>
  <si>
    <t>979011111R00</t>
  </si>
  <si>
    <t>979081111RT3</t>
  </si>
  <si>
    <t>979081121RT3</t>
  </si>
  <si>
    <t>979087113R00</t>
  </si>
  <si>
    <t>979990141R00</t>
  </si>
  <si>
    <t>28350214</t>
  </si>
  <si>
    <t>60726122</t>
  </si>
  <si>
    <t>60775431</t>
  </si>
  <si>
    <t>60780096</t>
  </si>
  <si>
    <t>28348234</t>
  </si>
  <si>
    <t>61143580</t>
  </si>
  <si>
    <t>61143258</t>
  </si>
  <si>
    <t>61143131</t>
  </si>
  <si>
    <t>61143066</t>
  </si>
  <si>
    <t>61110399</t>
  </si>
  <si>
    <t>Zateplení objektu čp. 684 - Nemocnice Klatovy</t>
  </si>
  <si>
    <t>ubytovna pro zaměstnance</t>
  </si>
  <si>
    <t>areál Klatovské nemocnice a.s., p.č.3323, kú. Klatovy</t>
  </si>
  <si>
    <t>Zkrácený popis</t>
  </si>
  <si>
    <t>Rozměry</t>
  </si>
  <si>
    <t>Přípravné a přidružené práce</t>
  </si>
  <si>
    <t>Rozebrání dlažeb z betonových dlaždic na sucho</t>
  </si>
  <si>
    <t>Položka není určena pro rozebrání dlažeb uložených do betonového lože a pro rozebrání dlažeb z mozaiky uložených do cementové malty.V položce nejsou zakalkulovány náklady na popř. nutné očištění vybouraných betonových dlaždic.</t>
  </si>
  <si>
    <t>Odkopávky a prokopávky</t>
  </si>
  <si>
    <t>Příplatek za ztížení vykopávky v blízkosti objektu</t>
  </si>
  <si>
    <t>Položka se používá i pro ztížení vykopávky v blízkosti výbušnin.</t>
  </si>
  <si>
    <t>Hloubené vykopávky</t>
  </si>
  <si>
    <t>Hloubení rýh š.do 60 cm v hor.3 do 50 m3, STROJNĚ</t>
  </si>
  <si>
    <t>Položka obsahuje hloubení rýh traktorbagrem, naložení výkopku na dopravní prostředek pro svislé, nebo vodorovné přemístění, popř. přemístění výkopku do 3 m (po povrchu území), případné zajištění rypadel polštáři, udržování pracoviště a ochranu výkopiště proti stékání srážkové vody z okolního terénu i s jejím odvodněním, nebo odvedením, přesekání a odstranění kořenů ve výkopišti, odstranění napadávek, urovnání dna výkopu.</t>
  </si>
  <si>
    <t>Úprava podloží a základové spáry</t>
  </si>
  <si>
    <t>Očištění tlakovou vodou zdiva stěn a rubu kleneb</t>
  </si>
  <si>
    <t>Příplatek za ruční dočištění ocelovými kartáči</t>
  </si>
  <si>
    <t>V položce jsou zakalkulovány i náklady na dodání všech hmot.</t>
  </si>
  <si>
    <t>Stěny a příčky</t>
  </si>
  <si>
    <t>Příčky z desek pórobetonových tl. 200 mm</t>
  </si>
  <si>
    <t>Úprava povrchů vnitřní</t>
  </si>
  <si>
    <t>Začištění omítek kolem oken,dveří apod.</t>
  </si>
  <si>
    <t>Omítka vnitřní zdiva, MVC, štuková</t>
  </si>
  <si>
    <t>Položka je určena pro jakýkoliv druh podkladu.</t>
  </si>
  <si>
    <t>Úprava povrchů vnější</t>
  </si>
  <si>
    <t>Zateplovací syst. ETICS, fasáda, EPS F tl.120 mm</t>
  </si>
  <si>
    <t>Položka obsahuje: nanesení lepicího tmelu na izolační desky, nalepení desek, zajištění talířovými hmoždinkami (6 ks/m2), přebroušení desek, natažení stěrky, vtlačení výztužné tkaniny (1,15 m2/m2), přehlazení stěrky, kontaktní nátěr a povrchovou úpravu omítkou. V položce je obsaženo 0,14 m rohových lišt na m2.</t>
  </si>
  <si>
    <t>Zatepl.syst ETICS, ostění okna, lodžie, min.desky, tl. 40 mm</t>
  </si>
  <si>
    <t>Nalepení izolačních desek, podkladní stěrka, osazení omítkových napojovacích lišt (5 m/m2), rohových lišt (3,33 m/m2) a lišt s okapničkou (1,67 m/m2), armovaná stěrka, kontaktní nátěr a tenkovrstvá omítka. Včetně dodávek materiálu.</t>
  </si>
  <si>
    <t>Soklová lišta KZS PROFI tl. 120 mm</t>
  </si>
  <si>
    <t>Zateplovací syst.ETICS, sokl, EPS P tl. 100 mm</t>
  </si>
  <si>
    <t>Zateplovací syst. ETICS, atika, XPS F tl. 40 mm</t>
  </si>
  <si>
    <t>Položka obsahuje: nanesení lepicího tmelu na izolační desky, nalepení desek, natažení stěrky, osazení lišt, přehlazení stěrky, kontaktní nátěr a povrchovou úpravu omítkou. V položce je obsaženo 3,3 m rohových lišt, 1,67 m lišt s okapničkou a 5 m napojovacích lišt na m2.</t>
  </si>
  <si>
    <t>Zateplovací syst.ETICS, atika, EPS F tl.100 mm</t>
  </si>
  <si>
    <t>Položka obsahuje: nanesení lepicího tmelu na izolační desky, nalepení desek, zajištění talířovými hmoždinkami (6 ks/m2), přebroušení desek, natažení stěrky, vtlačení výztužné tkaniny (1,15 m2/m2) a přehlazení stěrky.</t>
  </si>
  <si>
    <t>Těsnění spár styků panelů tmelením "montážní PUR pěnou"</t>
  </si>
  <si>
    <t>Podlahy a podlahové konstrukce</t>
  </si>
  <si>
    <t>Mazanina betonová tl. 5 - 8 cm C 25/30</t>
  </si>
  <si>
    <t>Položka je určena pro mazaninu hlazenou dřevěným hladítkem a to pro mazaninu krycí, popř. podkladní nebo vyrovnávací nebo plovoucí, pod potěry, vlýsky do asfaltu, pod podlahy. Mazaniny tlouštěk do 5 cm se oceňují položkami souboru 63245-1031 až 1034 Vyrovnávací potěr. Položka je určena i pro betonový okapový chodníček budovy. Jeho podloží se oceňuje samostatně. V položce jsou zakalkulovány i náklady na vytvoření dilatačních spár v mazanině bez zaplnění. Tyto náklady se oceňují položkami souboru 63460 Zaplnění dilatačních spár v mazaninách.</t>
  </si>
  <si>
    <t>Izolace proti vodě</t>
  </si>
  <si>
    <t>Izolace proti vlhkosti svis.,nátěr penetr.emulzí</t>
  </si>
  <si>
    <t>Plochy izolací jednotlivě menší než 10 m2 se oceňují s příplatkem položka číslo 711 19 - 9095. Při stanovení množství izolace se z celkového množství neodečítají otvory nebo neizolované plochy menší než 2 m2.</t>
  </si>
  <si>
    <t>Provedení izolace nopovou fólií vodor, vč. pásky</t>
  </si>
  <si>
    <t>včetně dodávky pásky</t>
  </si>
  <si>
    <t>Hydroizolační povlak - nátěr</t>
  </si>
  <si>
    <t>Apikace pomocí stěrky v jedné vrstvě nebo válečku ve dvou vrstvách. Pod hydroizolační nátěr je vždy nutné použít penetraci pol.č. 71121-2000.</t>
  </si>
  <si>
    <t>Penetrace podkladu pod hydroizolační nátěr</t>
  </si>
  <si>
    <t>Penetrace podkladů pod hydroizolační nátěry.</t>
  </si>
  <si>
    <t>Hydroizolační povlak - nátěr nebo stěrka</t>
  </si>
  <si>
    <t>Stěrka proti vlhkosti tloušťka 2 mm. Aplikace pomocí válečku nebo štětky ve dvou vrstvách. Pod hydroizolační stěrku je vždy nutné použít penetraci pol.č. 71121-2000. Na beton a zdivo u pozemních, inženýrských a vodních staveb, ve vnitřních a vnějších prostorách, pro novostavby a starou zástavbu (včetně rekonstrukcí), také pod obklady a dlažby v bazénech, na terasách a balkonech, do kanálů, jímek, šachet, kejdovacích a silážních jam apod.</t>
  </si>
  <si>
    <t>Balkonový systém komplet skladba  (např.Weber)</t>
  </si>
  <si>
    <t>Renovace balkónů a lodžií certifikovaným sytémem: vytvoření spádové vrstvy tl. 70 mm, osazení ukončovacího profilu vč. těsnicí pásky, hydroizolační stěrková hmota ve 2 vrstvách, lepení dlažby a soklíku do tmele vč. dodávky dlaždic, lišt a soklového profilu.</t>
  </si>
  <si>
    <t>Izolace střech (živičné krytiny)</t>
  </si>
  <si>
    <t>Prostup pro kabely s manžetou z asfaltového pásu</t>
  </si>
  <si>
    <t>Položka obsahuje ukotvení kotevní desky šrouby, utěsnění kolem prostupu PU pěnou a dodávku a napojení natavením manžety prostupu mezi dvě vrstvy hydroizolačního souvrství.</t>
  </si>
  <si>
    <t>Komínek odvětrání střechy s manžetou z asf.pásu</t>
  </si>
  <si>
    <t>Osazení a ukotvení komínku pro odvětrání kanalizace, přitavení těsnicí manžety. Včetně dodávky.</t>
  </si>
  <si>
    <t>Povlaková krytina střech do 10°,samolepicím pásem</t>
  </si>
  <si>
    <t>Atiková okapnice VIPLANYL RŠ 250 mm</t>
  </si>
  <si>
    <t>Položka obsahuje dodávku a montáž atikové okapnice RŠ 250 mm osazené do podkladu spojovacím materiálem ve dvou řadách celkem 12 ks/m.</t>
  </si>
  <si>
    <t>Izolace tepelné</t>
  </si>
  <si>
    <t>Montáž parozábrany na stěny s přelepením spojů</t>
  </si>
  <si>
    <t>Izolace minerální foukaná do střešních konstrukcí</t>
  </si>
  <si>
    <t>Položka obsahuje náklady na dodávku a aplikaci materiálu a vyříznutí a zapravení otvoru v SDK a parotěsné fólii. Položka neobsahuje náklady odkrytí a zakrytí záklopu. Od měrných jednotek se odečítá objem konstrukcí v dutinách (trámy, komíny apod.)</t>
  </si>
  <si>
    <t>Zařizovací předměty</t>
  </si>
  <si>
    <t>Demontáž konzol jednoduchých</t>
  </si>
  <si>
    <t>Konstrukce tesařské</t>
  </si>
  <si>
    <t>Montáž obložení stěn sádrokartonem</t>
  </si>
  <si>
    <t>Montáž obložení atiky,OSB desky,1vrst.,šroubováním</t>
  </si>
  <si>
    <t>Montáž z desek dřevoštěpkových nebo dřevotřískových připevněných vruty k podkladu. V položce jsou zakalkulovány náklady na dodávku desek. V položce nejsou náklady na dodávku spojovacích prostředků tyto se oceňuji položkou 762 59-5000.</t>
  </si>
  <si>
    <t>Dřevostavby</t>
  </si>
  <si>
    <t>Obložení stěn z desek nad tl.18 mm,P+D,šroubo.</t>
  </si>
  <si>
    <t>Montáž obložení stěn šroubováním z desek cementotřískových nebo dřevoštěpkových, na P+D, tloušťky desek nad 18 mm. Spojovací materiál vruty.</t>
  </si>
  <si>
    <t>Konstrukce klempířské</t>
  </si>
  <si>
    <t>Demontáž oplechování říms, rš 660 mm, do 30°</t>
  </si>
  <si>
    <t>Lindab, oplechování parapetů, rš 200 mm, enkolit</t>
  </si>
  <si>
    <t>Dodávka a montáž oplechování parapetu z plechu tl. 0,6 mm s povrchovou úpravou PE (polyester), lepený enkolitem RŠ 200 mm.</t>
  </si>
  <si>
    <t>Lindab, oplechování parapetů, rš 250 mm, enkolit</t>
  </si>
  <si>
    <t>Dodávka a montáž oplechování parapetu z plechu tl. 0,6 mm s povrchovou úpravou PE (polyester), lepený enkolitem RŠ 250 mm.</t>
  </si>
  <si>
    <t>Lindab, oplechování parapetů, rš 330 mm, enkolit</t>
  </si>
  <si>
    <t>Dodávka a montáž oplechování parapetu z plechu tl. 0,6 mm s povrchovou úpravou PE (polyester), lepený enkolitem RŠ 330 mm.</t>
  </si>
  <si>
    <t>D+M Střešní vikýř , SRP Click</t>
  </si>
  <si>
    <t>Položka obsahuje prořezání střešních latí (bednění), přípravu podkladu, umístění a zabudování střešního světlíku, úpravu lemování a těsnění, připevnění spojovacími prvky.</t>
  </si>
  <si>
    <t>Lindab, zastřešení hladkými plechy, do 30°</t>
  </si>
  <si>
    <t>Tvrdé plechové tabule o rozměru 1230x2000 mm tl. 0,6 mm.</t>
  </si>
  <si>
    <t>Oplechování zdí - atik z Pz lakovaného plechu, rš 750 mm</t>
  </si>
  <si>
    <t>Položka je kalkulována pro oplechování zdí a nadezdívek včetně rohů.</t>
  </si>
  <si>
    <t>Hmoždinka universální rámová 10 x 230/160</t>
  </si>
  <si>
    <t>Použití i pro plech Ti-Zn a Al Hmoždinka HRD-UGT, HRD-UGS a x b/c a = průměr vrtáku b = délka hmoždinky c= maximální výška upevnění minimální hloubka osazení 70 mm hloubka vrtání 80 mm</t>
  </si>
  <si>
    <t>Demontáž lemování zdí, rš 250 a 330 mm, do 30°</t>
  </si>
  <si>
    <t>Položka je kalkulována pro demontáž lemování zdí na střechách s tvrdou krytinou.</t>
  </si>
  <si>
    <t>Demontáž oplechování říms,rš od 600 do 800 mm</t>
  </si>
  <si>
    <t>Konstrukce truhlářské</t>
  </si>
  <si>
    <t>Obložení stěn pl. do 5 m2, panely SM nad 1,5 m2</t>
  </si>
  <si>
    <t>Těsnění okenní spáry, ostění, PT folie + PP folie</t>
  </si>
  <si>
    <t>Vložení parotěsné a paropropustné fólie, vyplnění spáry PU pěnou.  PT folie = parotěsná okenní folie (interiér) ; PP folie = paropropustná okenní folie (exteriér).</t>
  </si>
  <si>
    <t>Montáž oken plastových plochy do 1,50 m2</t>
  </si>
  <si>
    <t>Montáž oken plastových plochy do 2,70 m2</t>
  </si>
  <si>
    <t>Montáž oken plastových plochy do 4,50 m2</t>
  </si>
  <si>
    <t>Montáž balkónových dveří plastových</t>
  </si>
  <si>
    <t>Dokování samozavírače na ocelovou zárubeň</t>
  </si>
  <si>
    <t>Dokování stavěče křídla</t>
  </si>
  <si>
    <t>Montáž parapetních desek š.do 30 cm,dl.do 160 cm</t>
  </si>
  <si>
    <t>Montáž parapetních desek š.do 30 cm,dl.do 260 cm</t>
  </si>
  <si>
    <t>Konstrukce doplňkové stavební (zámečnické)</t>
  </si>
  <si>
    <t>Demontáž vstupní příčka z plechu, svařovaných</t>
  </si>
  <si>
    <t>Dodávka a Montáž zábradlí z profilů na konstrukci nad 60kg</t>
  </si>
  <si>
    <t>Montáž větracích mřížek, typ VM</t>
  </si>
  <si>
    <t>Demontáž stávajících mříží oken atypických ocelových konstr. do 50 kg</t>
  </si>
  <si>
    <t>Demontáž - zábradlí lodžií doplňků staveb o hmotnosti do 100 kg</t>
  </si>
  <si>
    <t>Demontáž a následná montáž - nerez komína o hmotnosti do 250 kg</t>
  </si>
  <si>
    <t>Podlahy z dlaždic</t>
  </si>
  <si>
    <t>Montáž hran stupňů</t>
  </si>
  <si>
    <t>Položka obsahuje : - přípravu hrany stupně, - osazení hrany do malty nebo tmelu. Položka neobsahuje žádný materiál.</t>
  </si>
  <si>
    <t>Kladení dlaždic na stupnice do tmele, jedna řada</t>
  </si>
  <si>
    <t>Položka je určena pro kladení dlaždic do tmele. Položka obsahuje :  - zametení podkladu, - rozměření plochy,  - rozbalení balíků, třídění nebo rozpojení dlaždic dodávaných v blocích, - příprava a nanesení tmele na plochu, - řezání dlaždic, - kladení dlaždic, - spárování, čištění dlažby, odstranění odpadu. Položka neobsahuje žádný materiál.</t>
  </si>
  <si>
    <t>Kladení dlaždic na podstupnice do tmele, 1 řada</t>
  </si>
  <si>
    <t>Položka je určena pro kladení dlaždic do tmele. Položka obsahuje :  - rozměření plochy,  - rozbalení balíků, třídění nebo rozpojení dlaždic dodávaných v blocích, - příprava a nanesení tmele na plochu, - řezání dlaždic, - kladení dlaždic, - spárování, čištění dlažby, odstranění odpadu. Položka neobsahuje žádný materiál.</t>
  </si>
  <si>
    <t>Obklad soklíků rovných do tmele výšky do 150 mm</t>
  </si>
  <si>
    <t>Položka je určena pro kladení soklíků rovných do tmele. Položka obsahuje :  - rozbalení balíků, třídění nebo rozpojení dlaždic nebo obkladaček dodávaných v blocích, - příprava a nanesení tmele na plochu, - řezání dlaždic - kladení dlaždic nebo obkladaček, - spárování, čištění soklíku, odstranění odpadu. Položka neobsahuje žádný materiál.</t>
  </si>
  <si>
    <t>Kladení dlažby keramické do TM, vel. do 400x400 mm</t>
  </si>
  <si>
    <t>Položka je určena pro kladení dlažby do tmele, rovnoběžně se stěnou, bez skládání složitých vzorů a tvarů.. Položka obsahuje :  - zametení podkladu, - rozměření plochy,  - rozbalení balíků, třídění nebo rozpojení dlaždic dodávaných v blocích, - příprava a nanesení tmele na plochu, - řezání dlaždic, - kladení dlaždic, - spárování, čištění dlažby, odstranění odpadu. Položka neobsahuje žádný materiál. Skládání složitých vzorů a tvarů se oceňuje individuálně.</t>
  </si>
  <si>
    <t>Rohož - čisticí zóna DANWELL FORMA 16 mm</t>
  </si>
  <si>
    <t>Danwell - Forma  Základem rohože je odolné PVC pro velmi náročné použití s antistatickou PA textilní vložkou. Používá se jako vstupní rohož na jemnou nečistotu a vodu. Doporučujeme před touto rohoží umístit rohož Prior a tím vznikne kompletní čisticí systém DANWELL.  Materiál: PVC odolné UV záření s antistatickou PA textilní vložkou Výška: 16 mm Velikost čtverců: 20,5 x 20,5 cm Základní barva: šedá grafit Barva textilních segmentů: šedá, modrá, červená, zelená, černá Použití: všude tam, kde je velký pohyb lidí - továrny, úřady, obchodní domy apod.</t>
  </si>
  <si>
    <t>Dlažba Taurus Granit matná 300x600x9 mm</t>
  </si>
  <si>
    <t>Slinuté neglazované obkladové prvky s velmi nízkou nasákavostí pod 0,5 %, určené k obkladům podlah v exteriérech a interiérech, které jsou vystaveny povětrnostním vlivům a vysokému až extremnímu mechanickému namáhání, obrusu a znečištění.</t>
  </si>
  <si>
    <t>Malby</t>
  </si>
  <si>
    <t>Penetrace podkladu nátěrem HET, Klasik, 1 x</t>
  </si>
  <si>
    <t>Malba latexová HET univerzál., bílá, bez penetr.1x</t>
  </si>
  <si>
    <t>Disperzní nátěr určený pro použití v interiérech i exteriérech, omyvatelný..  V položce je zakalkulováno i případné tmelení latexovým tmelem.</t>
  </si>
  <si>
    <t>Hodinové zúčtovací sazby (HZS)</t>
  </si>
  <si>
    <t>Hzs-nezmeritelne stavebni prace</t>
  </si>
  <si>
    <t>Platnost hodinových zúčtovacích sazeb  Hodinovými zúčtovacími sazbami (HZS) se oceňují: a) předběžné obhlídky pracoviště vyžádané objednatelem, b) průzkumné práce na kulturních památkách, sloužící pro získání podkladů k rekonstrukci kulturní památky, c) revize stavebních objektů nebo jejich části, jejichž oprava se oceňuje podle stavebních ceníků, d) práce při havarijních a živelních pohromách prováděné bez projektové dokumentace nebo na základě zjednodušené projektové dokumentace bez rozpočtu, e) práce v rozsahu vymezeném v jednotlivých cenících f) práce prováděné výškovými specialisty a potápěči, g) práce zařazované do hlavy IV souhrnného rozpočtu staveb, prováděné jako součást stavebních objektů, pokud je nelze ocenit položkami stavebních ceníků.  Na základě písemné dohody mezi zhotovitele a objednatelem je možno ocenit stavební práce pomocí HZS jde-li</t>
  </si>
  <si>
    <t>o: a) stavební práce prováděné bez projektové dokumentace, b) práce, pro které není ve stavebních cenících položka.  Pří použití hodinových zúčtovacích sazeb se oceňuje: a) počet skutečně odpracovaných hodin všech pracovníků včetně času vynaloženého na předběžnou obhlídku pracoviště za účelem zjištění rozsahu prací, objednatelem potvrzených ve stavebním deníku, nebo samostatném dokladu, pokud se stavební deník nevede, b) přímý materiál,  c) náklady na provoz stavebních strojů, d) ostatní přímé náklady.  Počet odpracovaných hodin jednotlivých pracovníků se zaokrouhlí: a) na půlhodinu, trvá-li práce 30 minut nebo méně, b) na celou hodinu, trvá-li práce více než 30 minut.</t>
  </si>
  <si>
    <t>Hzs-revize hromosvodu</t>
  </si>
  <si>
    <t>Hzs-revize rozvaděče</t>
  </si>
  <si>
    <t>Hzs-revize komína</t>
  </si>
  <si>
    <t>Lešení a stavební výtahy</t>
  </si>
  <si>
    <t>Montáž lešení leh.řad.s podlahami,š.do 1 m, H 30 m</t>
  </si>
  <si>
    <t>Položka je kalkulována pro fasádní rámové lešení SPRINT, pro nečlenitou fasádu. Pro fasádu členitou je vhodné použít individuální kalkulaci.</t>
  </si>
  <si>
    <t>Demontáž lešení leh.řad.s podlahami,š.1 m, H 30 m</t>
  </si>
  <si>
    <t>Montáž ochranné sítě z umělých vláken</t>
  </si>
  <si>
    <t>Příplatek za každý měsíc použití sítí k pol. 4011</t>
  </si>
  <si>
    <t>Demontáž ochranné sítě z umělých vláken</t>
  </si>
  <si>
    <t>Pronájem lešení za den</t>
  </si>
  <si>
    <t>Položku nelze používat současně s položkami 941 94-1191 až -1392 pro jedno časové období.</t>
  </si>
  <si>
    <t>Různé dokončovací konstrukce a práce na pozemních stavbách</t>
  </si>
  <si>
    <t>Odvětrání ploché střechy atikou tl.150 mm, beton</t>
  </si>
  <si>
    <t>Položka obsahuje vybourání otvoru v atice, přemístění vybourané suti a odvoz na skládku, osazení a dodávku odvětrávací trubky a kulaté plastové větrací mřížky.</t>
  </si>
  <si>
    <t>Bourání konstrukcí</t>
  </si>
  <si>
    <t>Vybourání okenních rámů prefa beton. plochy do 1m2</t>
  </si>
  <si>
    <t>V položce není kalkulována manipulace se sutí, která se oceňuje samostatně položkami souboru 979. V položce jsou zakalkulovány i náklady na vyvěšení okenních křídel.</t>
  </si>
  <si>
    <t>Vybourání okenních rámů prefa beton. plochy do 2m2</t>
  </si>
  <si>
    <t>V položce není kalkulována manipulace se sutí, která se oceňuje samostatně položkami souboru 979.  V položce jsou zakalkulovány i náklady na vyvěšení okenních křídel.</t>
  </si>
  <si>
    <t>Vybourání okenních rámů prefa beton. plochy do 4m2</t>
  </si>
  <si>
    <t>Vybourání okenních rámů prefa beton. pl. nad 4 m2</t>
  </si>
  <si>
    <t>Vyvěšení dřevěných okenních křídel pl. do 1,5 m2</t>
  </si>
  <si>
    <t>Položka obsahuje náklady na vyvěšení křídel, jejich uložení a zpětné zavěšení po provedených stavebních úpravách. Položka se používá i pro vyvěšení křídel určených k likvidaci.</t>
  </si>
  <si>
    <t>Vyvěšení dřevěných okenních křídel pl. nad 1,5 m2</t>
  </si>
  <si>
    <t>Vyvěšení dřevěných dveřních křídel pl. do 2 m2</t>
  </si>
  <si>
    <t>Budovy občanské výstavby</t>
  </si>
  <si>
    <t>Přesun hmot pro budovy z bloků výšky do 12 m</t>
  </si>
  <si>
    <t>Položka je určena pro přesun hmot pro budovy občanské výstavby (JKSO 801), budovy pro bydlení (JKSO 803), budovy pro výrobu a služby (JKSO 812), s nosnou svislou konstrukcí z bloků. Platnost položky je vymezena nejmenší skladovací plochou o velikosti 100 m2 + 0,15 m2 / t hmotnosti a největší dopravní vzdáleností 50 m měřenou od těžiště půdorysné plochy skládky do těžiště půdorysné plochy objektu.</t>
  </si>
  <si>
    <t>Elektromontáže</t>
  </si>
  <si>
    <t>Montáž hromosvodů, v. 12,0 m, 12 jímačů, nastřelení</t>
  </si>
  <si>
    <t>Položka je určena i pro upevnění svodu na příchytky přivařené na konstrukci vnějšího žebříku a při nastřelování z pevného lešení. V položce nejsou zakalkulovány náklady na zřízení, montáž a demontáž veškerých lešení nezbytných při montáži jednotlivých dílů.</t>
  </si>
  <si>
    <t>Nástavec pro přerušení tep. mostu - vedení hromosvodu</t>
  </si>
  <si>
    <t>Pro vedení vodičepřerušení tepelného mostu. Dodává se s nerezovým šroubem M8.  Spotřeba: 1 kus/2 m</t>
  </si>
  <si>
    <t>Demontáž/montáž krytu ocelopl. rozvaděče nad 70 cm</t>
  </si>
  <si>
    <t>Demontáž/montáž krytu ocelopl. rozvaděče do 70 cm</t>
  </si>
  <si>
    <t>Přesuny sutí</t>
  </si>
  <si>
    <t>Svislá doprava suti a vybour. hmot za 2.NP a 1.PP</t>
  </si>
  <si>
    <t>Položka je určena pro dopravu suti a vybouraných hmot za prvé podlaží nad nebo pod základním podlažím. Svislá doprava suti ze základního podlaží se neoceňuje. Základním podlažím je zpravidla přízemí.</t>
  </si>
  <si>
    <t>Odvoz suti a vybour. hmot na skládku do 1 km</t>
  </si>
  <si>
    <t>Příplatek k odvozu za každý další 1 km</t>
  </si>
  <si>
    <t>Nakládání vybouraných hmot na dopravní prostředky</t>
  </si>
  <si>
    <t>Poplatek za skládku suti - polystyren+omítka</t>
  </si>
  <si>
    <t>Zateplovací systémy.</t>
  </si>
  <si>
    <t>Ostatní materiál</t>
  </si>
  <si>
    <t>Profil Weber napojení na oplechování atiky dl.2,5m</t>
  </si>
  <si>
    <t>Weber napojení na oplechování atiky dl. 2,5 m  WNOA</t>
  </si>
  <si>
    <t>Deska dřevoštěpková OSB 3 B - 4PD tl. 22 mm</t>
  </si>
  <si>
    <t>EUROSTRAND  OSB3 - konstrukční deska pro použití ve vlhkém prostředí  B - broušená strana 4PD - pero/drážka po celém obvodu desky  rozměr 250 x 67,5 cm</t>
  </si>
  <si>
    <t>Parapet interiér DTD šíře 200 mm tyč dl. 4,05 m</t>
  </si>
  <si>
    <t>Délka: 4050 mm Šířka: (h) 200 mm Tloušťka desky: (s) 19 mm Výška nosu: (v) 40 mm Šířka nosu: (t) 25 mm Radius: (r)10 mm Materiál: DTD 18 mm, vlhkuodolná Laminát: 0,6 mm CPL/HPL Spodní strana: impregnovaný protitah  Parapety tzv. s nosem dodáváme z voděodolných DTD desek tloušťky 19 mm. Na spodní straně desky je nalisovaná protitažná impregnovaná fólie, zabraňující zkroucení výrobku vlivem rozdílné teplotní roztažnosti použitých materiálů. Parapety se vyrábějí v délce 4050 mm a v šířce od 150 do 800 mm.  Dekory: bílá, carera, onyx, javor, buk, olše, sv.dub, třešeň, mahagon, tm. dub, zl. dub, tm. ořech</t>
  </si>
  <si>
    <t>Krytka boční plastová pro Al parapety 150-180 mm</t>
  </si>
  <si>
    <t>Plastové boční krytky B 250  hnědé, bílé, šedé, RAL 8003  Šířka 150-180 mm Cena za pár</t>
  </si>
  <si>
    <t>Komínek odvětrávací s asfalt. manžetou TWO 125 BIT</t>
  </si>
  <si>
    <t>Střešní odvětrávací komínek TOPWET  - integrovaná bitumenová manžeta (modifikovaný asfaltový pás) - výška 30 cm, na zakázku možnost prodloužení až do 200 cm - součástí balení je dešťová krytka - vnější průměr napojovací trubky je 125 mm.</t>
  </si>
  <si>
    <t>Okno plastové 1křídlové profil P4 60x60 cm  OS</t>
  </si>
  <si>
    <t>okno sklepní - izolační dvojskou Ug = 0,9, bílá barva, doplněné mřížkou proti hmyzu a hlodavcům</t>
  </si>
  <si>
    <t>Dveře balkonové plastové "P2" 1křídlové 110x220 cm OS</t>
  </si>
  <si>
    <t>profil rám 82 mm, křídlo 100 mm barva: vnější i vnitřní bílá RAL 9016 kování: celoobvodové, příplatek za oboustrannou uzamykatelnou kliku:  PN bílá nebo hnědá včetně vložky zámku + 1920,- Kč PR bílá nebo hnědá včetně vložky zámku + 2090,- Kč zasklení: trojsklo, Ug = 0,9</t>
  </si>
  <si>
    <t>Okno plastové "P1" - 2 dvoukřídlé, středový poutec pevný 210 x 150 cm OS/O</t>
  </si>
  <si>
    <t>profil rám 82,5 mm, křídlo 82,5 mm barva: vnější i vnitřní bílá RAL 9016 kování: celoobvodové zasklení: izolační trojsklo, Ug = 0,9</t>
  </si>
  <si>
    <t>Okno plastové jednokřídlé "P3" 120 x 150 cm O, S</t>
  </si>
  <si>
    <t>profil rám 82,5 mm, křídlo 82,5 mm kování: celoobvodové, barva: vnější i vnitřní bílá RAL 9016 zasklení izolační trojsklo, Ug = 0,9</t>
  </si>
  <si>
    <t>Dveře Al. profil vstupní  s nadsvětlíkem "D1" OS 2křídl. 1600x2700</t>
  </si>
  <si>
    <t>Hliníkový profil s přerušeným tepelným mostem  ,Dveře dvoukřídlé, minimální průchod 90 mm, pevný nadsvětlík Izolačníbezpečnostní  trojsklo, U - 0,9; Rw - 39 dB Povrchová úprava: RAL5019 ostatní specifikace dle PD</t>
  </si>
  <si>
    <t>Doba výstavby:</t>
  </si>
  <si>
    <t>Začátek výstavby:</t>
  </si>
  <si>
    <t>Konec výstavby:</t>
  </si>
  <si>
    <t>Zpracováno dne:</t>
  </si>
  <si>
    <t>M.j.</t>
  </si>
  <si>
    <t>m2</t>
  </si>
  <si>
    <t>m3</t>
  </si>
  <si>
    <t>m</t>
  </si>
  <si>
    <t>kus</t>
  </si>
  <si>
    <t>kg</t>
  </si>
  <si>
    <t>h</t>
  </si>
  <si>
    <t>t</t>
  </si>
  <si>
    <t>sada</t>
  </si>
  <si>
    <t>ks</t>
  </si>
  <si>
    <t>Množství</t>
  </si>
  <si>
    <t>Jednot.</t>
  </si>
  <si>
    <t>cena (Kč)</t>
  </si>
  <si>
    <t>Náklady (Kč)</t>
  </si>
  <si>
    <t>Dodávka</t>
  </si>
  <si>
    <t>Celkem:</t>
  </si>
  <si>
    <t>Objednatel:</t>
  </si>
  <si>
    <t>Projektant:</t>
  </si>
  <si>
    <t>Zhotovitel:</t>
  </si>
  <si>
    <t>Zpracoval:</t>
  </si>
  <si>
    <t>Montáž</t>
  </si>
  <si>
    <t>Celkem</t>
  </si>
  <si>
    <t>Hmotnost (t)</t>
  </si>
  <si>
    <t>Cenová</t>
  </si>
  <si>
    <t>soustava</t>
  </si>
  <si>
    <t>RTS I / 2016</t>
  </si>
  <si>
    <t>0</t>
  </si>
  <si>
    <t>Přesuny</t>
  </si>
  <si>
    <t>Typ skupiny</t>
  </si>
  <si>
    <t>HS</t>
  </si>
  <si>
    <t>PS</t>
  </si>
  <si>
    <t>MP</t>
  </si>
  <si>
    <t>OM</t>
  </si>
  <si>
    <t>HSV mat</t>
  </si>
  <si>
    <t>HSV prac</t>
  </si>
  <si>
    <t>PSV mat</t>
  </si>
  <si>
    <t>PSV prac</t>
  </si>
  <si>
    <t>Mont mat</t>
  </si>
  <si>
    <t>Mont prac</t>
  </si>
  <si>
    <t>Ostatní mat.</t>
  </si>
  <si>
    <t>11_</t>
  </si>
  <si>
    <t>12_</t>
  </si>
  <si>
    <t>13_</t>
  </si>
  <si>
    <t>21_</t>
  </si>
  <si>
    <t>34_</t>
  </si>
  <si>
    <t>61_</t>
  </si>
  <si>
    <t>62_</t>
  </si>
  <si>
    <t>63_</t>
  </si>
  <si>
    <t>711_</t>
  </si>
  <si>
    <t>712_</t>
  </si>
  <si>
    <t>713_</t>
  </si>
  <si>
    <t>725_</t>
  </si>
  <si>
    <t>762_</t>
  </si>
  <si>
    <t>763_</t>
  </si>
  <si>
    <t>764_</t>
  </si>
  <si>
    <t>766_</t>
  </si>
  <si>
    <t>767_</t>
  </si>
  <si>
    <t>771_</t>
  </si>
  <si>
    <t>784_</t>
  </si>
  <si>
    <t>90_</t>
  </si>
  <si>
    <t>94_</t>
  </si>
  <si>
    <t>95_</t>
  </si>
  <si>
    <t>96_</t>
  </si>
  <si>
    <t>H01_</t>
  </si>
  <si>
    <t>M21_</t>
  </si>
  <si>
    <t>S_</t>
  </si>
  <si>
    <t>Z99999_</t>
  </si>
  <si>
    <t>1_</t>
  </si>
  <si>
    <t>2_</t>
  </si>
  <si>
    <t>3_</t>
  </si>
  <si>
    <t>6_</t>
  </si>
  <si>
    <t>71_</t>
  </si>
  <si>
    <t>72_</t>
  </si>
  <si>
    <t>76_</t>
  </si>
  <si>
    <t>77_</t>
  </si>
  <si>
    <t>78_</t>
  </si>
  <si>
    <t>9_</t>
  </si>
  <si>
    <t>Z_</t>
  </si>
  <si>
    <t>_</t>
  </si>
  <si>
    <t>Slepý stavební rozpočet - rekapitulace</t>
  </si>
  <si>
    <t>Náklady (Kč) - dodávka</t>
  </si>
  <si>
    <t>Náklady (Kč) - Montáž</t>
  </si>
  <si>
    <t>Náklady (Kč) - celkem</t>
  </si>
  <si>
    <t>Celková hmotnost (t)</t>
  </si>
  <si>
    <t>F</t>
  </si>
  <si>
    <t>Výkaz výměr</t>
  </si>
  <si>
    <t>Platnost hodinových zúčtovacích sazeb  Hodinovými zúčtovacími sazbami (HZS) se oceňují: a) předběžné obhlídky pracoviště vyžádané objednatelem, b) průzkumné práce na kulturních památkách, sloužící pro získání podkladů k rekonstrukci kulturní památky, c) revize stavebních objektů nebo jejich části, jejichž oprava se oceňuje podle stavebních ceníků, d) práce při havarijních a živelních pohromách prováděné bez projektové dokumentace nebo na základě zjednodušené projektové dokumentace bez rozpočtu, e) práce v rozsahu vymezeném v jednotlivých cenících f) práce prováděné výškovými specialisty a potápěči, g) práce zařazované do hlavy IV souhrnného rozpočtu staveb, prováděné jako součást stavebních objektů, pokud je nelze ocenit položkami stavebních ceníků.  Na základě písemné dohody mezi zhotovitele a objednatelem je</t>
  </si>
  <si>
    <t>možno ocenit stavební práce pomocí HZS jde-li o: a) stavební práce prováděné bez projektové dokumentace, b) práce, pro které není ve stavebních cenících položka.  Pří použití hodinových zúčtovacích sazeb se oceňuje: a) počet skutečně odpracovaných hodin všech pracovníků včetně času vynaloženého na předběžnou obhlídku pracoviště za účelem zjištění rozsahu prací, objednatelem potvrzených ve stavebním deníku, nebo samostatném dokladu, pokud se stavební deník nevede, b) přímý materiál,  c) náklady na provoz stavebních strojů, d) ostatní přímé náklady.  Počet odpracovaných hodin jednotlivých pracovníků se zaokrouhlí: a) na půlhodinu, trvá-li práce 30 minut nebo méně, b) na celou hodinu, trvá-li práce více než 30 minut.</t>
  </si>
  <si>
    <t>a 70,41   Délka výkopu</t>
  </si>
  <si>
    <t>70,41 *0,6</t>
  </si>
  <si>
    <t>a 0,49   průřez výkopku</t>
  </si>
  <si>
    <t>b 70,41   Délka výkopu</t>
  </si>
  <si>
    <t>0,49*70,41   objem výkopových prací</t>
  </si>
  <si>
    <t xml:space="preserve"> b 0,49   průřez výkopku</t>
  </si>
  <si>
    <t>70,41*0,49</t>
  </si>
  <si>
    <t>204,81   Plocha fasády_Z</t>
  </si>
  <si>
    <t>67,16   Plocha fasády_J1</t>
  </si>
  <si>
    <t>68,11   Plocha fasády_J2</t>
  </si>
  <si>
    <t>237,71   Plocha fasády_V</t>
  </si>
  <si>
    <t>63,87   Plocha fasády_S1</t>
  </si>
  <si>
    <t>68,09   Plocha fasády_S2</t>
  </si>
  <si>
    <t>13,22   Plocha sokl_S</t>
  </si>
  <si>
    <t>18,44   Zateplení sokl_V</t>
  </si>
  <si>
    <t>7,10   Plocha sokl_Z1</t>
  </si>
  <si>
    <t>10,14   Plocha sokl_Z2</t>
  </si>
  <si>
    <t>12,34   Plocha sokl_J</t>
  </si>
  <si>
    <t>Hlavní vstup, obezdění roizvaděče a schránek</t>
  </si>
  <si>
    <t>2,66*2</t>
  </si>
  <si>
    <t>7,65*0,15*(15+18)   okno P1 pásky</t>
  </si>
  <si>
    <t>11,08*0,15*(6+2)   okno P2 pásky</t>
  </si>
  <si>
    <t>5,57*0,15*(4+4)   okno P3 pásky</t>
  </si>
  <si>
    <t>2,57*0,15*15   okno P4 pásky</t>
  </si>
  <si>
    <t>5,75*(3+6)   Plocha balkónu - strop</t>
  </si>
  <si>
    <t>3,31*2*(3+6)   Boky _lodžie</t>
  </si>
  <si>
    <t>4,66*0,25*(3+8)   čelo lodžie</t>
  </si>
  <si>
    <t>70,41*1,1   Délka zatepleného soklu</t>
  </si>
  <si>
    <t>8,43   Plocha atiky_J</t>
  </si>
  <si>
    <t>13,13   Plocha atiky_Z</t>
  </si>
  <si>
    <t>13,35   Plocha atiky_V</t>
  </si>
  <si>
    <t>9,44   Plocha atiky_S</t>
  </si>
  <si>
    <t>14,32*2   Spára V1</t>
  </si>
  <si>
    <t>11,65*7   Spára V2</t>
  </si>
  <si>
    <t>21,81*2   Spára V3</t>
  </si>
  <si>
    <t>6,24*4   Spára S1</t>
  </si>
  <si>
    <t>6,30*4   Spára S2</t>
  </si>
  <si>
    <t>11,78*6   Spára S3</t>
  </si>
  <si>
    <t>21,86*1   Z_spára panely</t>
  </si>
  <si>
    <t>10,94*3   Z_spára panely 2</t>
  </si>
  <si>
    <t>8,92*5   Z_spára panely_svislá_1</t>
  </si>
  <si>
    <t>10,19*2   Z_spára panely_svislá_2</t>
  </si>
  <si>
    <t>7,33*3   Z_spára panely_3</t>
  </si>
  <si>
    <t>6,13*4   J_spára panely_1</t>
  </si>
  <si>
    <t>6,18*4   J_spára panely_2</t>
  </si>
  <si>
    <t>8,95*4   J_sára panely_svislá1</t>
  </si>
  <si>
    <t>5,75*0,07*(2+6)   Plocha balkónu</t>
  </si>
  <si>
    <t>5,75*(2+6)   Plocha balkónu</t>
  </si>
  <si>
    <t>5,21   Betonová mazanina vstup</t>
  </si>
  <si>
    <t>3   kabely a čidla</t>
  </si>
  <si>
    <t>40,28*1,15   Plocha živice_nové</t>
  </si>
  <si>
    <t>22,20*2   délka_atika</t>
  </si>
  <si>
    <t>14,41*2   délka atika_štíty</t>
  </si>
  <si>
    <t>Balkonové stěny</t>
  </si>
  <si>
    <t>5,77*(2+6)   Opláštění balkónu</t>
  </si>
  <si>
    <t>292,03*0,2   Plocha střechy</t>
  </si>
  <si>
    <t>Vnitřní stěny blodžií a štítových oken</t>
  </si>
  <si>
    <t>19,34   Plocha_S_LOP</t>
  </si>
  <si>
    <t>19,19   Plocha_J_LOP</t>
  </si>
  <si>
    <t>22,20*0,45*2   délka_atika</t>
  </si>
  <si>
    <t>14,41*0,36*2   délka atika_štíty</t>
  </si>
  <si>
    <t>5,77*(6+2)   Opláštění balkónu</t>
  </si>
  <si>
    <t>2*(22,2+14,45)</t>
  </si>
  <si>
    <t>2,1*(2+6)   okna P2</t>
  </si>
  <si>
    <t>2,1*(15+18)   okna P1</t>
  </si>
  <si>
    <t>1,2*(4+4)   okna P3</t>
  </si>
  <si>
    <t>0,55*15   Okna P4 (sklepní)</t>
  </si>
  <si>
    <t xml:space="preserve"> a 0,83   Plocha zastřešení balkónu</t>
  </si>
  <si>
    <t>3*0,83   stříška (bad balkónem)</t>
  </si>
  <si>
    <t>3,67*3   Délka zástřešku balkónu</t>
  </si>
  <si>
    <t>5,77*6   Opláštění balkónu</t>
  </si>
  <si>
    <t>7,65*(15+18)   okno P1 pásky</t>
  </si>
  <si>
    <t>11,08*(6+2)   okno P2 pásky</t>
  </si>
  <si>
    <t>5,57*(4+4)   okno P3 pásky</t>
  </si>
  <si>
    <t>2,57*15   okno P4 pásky</t>
  </si>
  <si>
    <t>4+4   okna P3</t>
  </si>
  <si>
    <t>15   okna P4</t>
  </si>
  <si>
    <t>15+18   okna P1</t>
  </si>
  <si>
    <t>6+2   okna P2 (balkónové sestavy)</t>
  </si>
  <si>
    <t>6+2</t>
  </si>
  <si>
    <t>2,1*(18+15)   okna P1</t>
  </si>
  <si>
    <t>2,1*(6+2)   okna P2</t>
  </si>
  <si>
    <t>8,47   Vybourání vstupní stěny se dveřmi</t>
  </si>
  <si>
    <t>(6+2)*(3,6+0,3+0,3)</t>
  </si>
  <si>
    <t>72+72</t>
  </si>
  <si>
    <t>150   ostatní prvky - mříže v 1.NP</t>
  </si>
  <si>
    <t>(6+2)*85   Zábradlí</t>
  </si>
  <si>
    <t>250   komín</t>
  </si>
  <si>
    <t>2*3,6</t>
  </si>
  <si>
    <t>1,5+1,5</t>
  </si>
  <si>
    <t>3,6*1,5</t>
  </si>
  <si>
    <t>1,3*0,7</t>
  </si>
  <si>
    <t>5,21+3,6*0,3+2*3,6*0,2+0,5*2*0,2   Betonová mazanina vstup</t>
  </si>
  <si>
    <t>;ztratné 15%; 1,1895</t>
  </si>
  <si>
    <t>710</t>
  </si>
  <si>
    <t>710*45</t>
  </si>
  <si>
    <t>72 + 72</t>
  </si>
  <si>
    <t>0,34*14   okna P4 (sklepní)</t>
  </si>
  <si>
    <t>1,67*(4+4)   okna P3</t>
  </si>
  <si>
    <t>3,30*(15+18)   okna P1</t>
  </si>
  <si>
    <t>5,94*(2+6)   okna P2 (balkonové sestavy)</t>
  </si>
  <si>
    <t>2*(15+18)+4+4+2+6</t>
  </si>
  <si>
    <t>2+6</t>
  </si>
  <si>
    <t>5*5</t>
  </si>
  <si>
    <t>10,42489</t>
  </si>
  <si>
    <t>10,42489*40</t>
  </si>
  <si>
    <t>2,1*(15+18+2+6)</t>
  </si>
  <si>
    <t>1,2*(4+4)</t>
  </si>
  <si>
    <t>2*(15+41+8)</t>
  </si>
  <si>
    <t>15+18   okno P1</t>
  </si>
  <si>
    <t>2+6   okno P2 (balkonové sestavy)</t>
  </si>
  <si>
    <t>4+4</t>
  </si>
  <si>
    <t>Cenová soustava</t>
  </si>
  <si>
    <t>Rozpočtové náklady v Kč</t>
  </si>
  <si>
    <t>A</t>
  </si>
  <si>
    <t>HSV</t>
  </si>
  <si>
    <t>PSV</t>
  </si>
  <si>
    <t>"M"</t>
  </si>
  <si>
    <t>Přesun hmot a sutí</t>
  </si>
  <si>
    <t>ZRN celkem</t>
  </si>
  <si>
    <t>Základ 0%</t>
  </si>
  <si>
    <t>Základ 15%</t>
  </si>
  <si>
    <t>Základ 21%</t>
  </si>
  <si>
    <t>Projektant</t>
  </si>
  <si>
    <t>Datum, razítko a podpis</t>
  </si>
  <si>
    <t>Základní rozpočtové náklady</t>
  </si>
  <si>
    <t>Dodávky</t>
  </si>
  <si>
    <t>Krycí list slepého rozpočtu</t>
  </si>
  <si>
    <t>B</t>
  </si>
  <si>
    <t>Práce přesčas</t>
  </si>
  <si>
    <t>DN celkem</t>
  </si>
  <si>
    <t>DN celkem z obj.</t>
  </si>
  <si>
    <t>DPH 15%</t>
  </si>
  <si>
    <t>DPH 21%</t>
  </si>
  <si>
    <t>Objednatel</t>
  </si>
  <si>
    <t>Doplňkové náklady</t>
  </si>
  <si>
    <t>C</t>
  </si>
  <si>
    <t>Zařízení staveniště</t>
  </si>
  <si>
    <t>Mimostav. doprava</t>
  </si>
  <si>
    <t>Územní vlivy</t>
  </si>
  <si>
    <t>Provozní vlivy</t>
  </si>
  <si>
    <t>Ostatní</t>
  </si>
  <si>
    <t>NUS z rozpočtu</t>
  </si>
  <si>
    <t>NUS celkem</t>
  </si>
  <si>
    <t>NUS celkem z obj.</t>
  </si>
  <si>
    <t>ORN celkem</t>
  </si>
  <si>
    <t>ORN celkem z obj.</t>
  </si>
  <si>
    <t>Celkem bez DPH</t>
  </si>
  <si>
    <t>Celkem včetně DPH</t>
  </si>
  <si>
    <t>Zhotovitel</t>
  </si>
  <si>
    <t>IČ/DIČ:</t>
  </si>
  <si>
    <t>Položek:</t>
  </si>
  <si>
    <t>Datum:</t>
  </si>
  <si>
    <t>Náklady na umístění stavby (NUS)</t>
  </si>
  <si>
    <t>Vedlejší rozpočtové náklady VRN</t>
  </si>
  <si>
    <t>Doplňkové náklady DN</t>
  </si>
  <si>
    <t>Celkem DN</t>
  </si>
  <si>
    <t>Celkem NUS</t>
  </si>
  <si>
    <t>Celkem VRN</t>
  </si>
  <si>
    <t>Ostatní rozpočtové náklady ORN</t>
  </si>
  <si>
    <t>Ostatní rozpočtové náklady (ORN)</t>
  </si>
  <si>
    <t>Celkem ORN</t>
  </si>
  <si>
    <t>Vedlejší a ostatní rozpočtové náklady</t>
  </si>
  <si>
    <t>Kč</t>
  </si>
  <si>
    <t>Základna</t>
  </si>
  <si>
    <t>komplet</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</si>
</sst>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dd/mm/yy"/>
    <numFmt numFmtId="165" formatCode="dd\.mmmm\.yy"/>
    <numFmt numFmtId="166" formatCode="[$-405]d\.\ mmmm\ yyyy"/>
  </numFmts>
  <fonts count="50">
    <font>
      <sz val="10"/>
      <name val="Arial"/>
      <family val="0"/>
    </font>
    <font>
      <sz val="10"/>
      <color indexed="8"/>
      <name val="Arial"/>
      <family val="0"/>
    </font>
    <font>
      <sz val="18"/>
      <color indexed="8"/>
      <name val="Arial"/>
      <family val="0"/>
    </font>
    <font>
      <b/>
      <sz val="10"/>
      <color indexed="8"/>
      <name val="Arial"/>
      <family val="0"/>
    </font>
    <font>
      <sz val="10"/>
      <color indexed="56"/>
      <name val="Arial"/>
      <family val="0"/>
    </font>
    <font>
      <sz val="10"/>
      <color indexed="61"/>
      <name val="Arial"/>
      <family val="0"/>
    </font>
    <font>
      <sz val="10"/>
      <color indexed="62"/>
      <name val="Arial"/>
      <family val="0"/>
    </font>
    <font>
      <i/>
      <sz val="8"/>
      <color indexed="8"/>
      <name val="Arial"/>
      <family val="0"/>
    </font>
    <font>
      <b/>
      <sz val="10"/>
      <color indexed="56"/>
      <name val="Arial"/>
      <family val="0"/>
    </font>
    <font>
      <i/>
      <sz val="10"/>
      <color indexed="58"/>
      <name val="Arial"/>
      <family val="0"/>
    </font>
    <font>
      <i/>
      <sz val="9"/>
      <color indexed="58"/>
      <name val="Arial"/>
      <family val="0"/>
    </font>
    <font>
      <b/>
      <sz val="18"/>
      <color indexed="8"/>
      <name val="Arial"/>
      <family val="0"/>
    </font>
    <font>
      <b/>
      <sz val="20"/>
      <color indexed="8"/>
      <name val="Arial"/>
      <family val="0"/>
    </font>
    <font>
      <b/>
      <sz val="12"/>
      <color indexed="8"/>
      <name val="Arial"/>
      <family val="0"/>
    </font>
    <font>
      <sz val="12"/>
      <color indexed="8"/>
      <name val="Arial"/>
      <family val="0"/>
    </font>
    <font>
      <b/>
      <sz val="11"/>
      <color indexed="8"/>
      <name val="Arial"/>
      <family val="0"/>
    </font>
    <font>
      <sz val="24"/>
      <color indexed="8"/>
      <name val="Arial"/>
      <family val="0"/>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17"/>
      <name val="Calibri"/>
      <family val="2"/>
    </font>
    <font>
      <sz val="11"/>
      <color indexed="20"/>
      <name val="Calibri"/>
      <family val="2"/>
    </font>
    <font>
      <sz val="11"/>
      <color indexed="19"/>
      <name val="Calibri"/>
      <family val="2"/>
    </font>
    <font>
      <sz val="11"/>
      <color indexed="23"/>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7"/>
        <bgColor indexed="64"/>
      </patternFill>
    </fill>
    <fill>
      <patternFill patternType="solid">
        <fgColor indexed="22"/>
        <bgColor indexed="64"/>
      </patternFill>
    </fill>
  </fills>
  <borders count="6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border>
    <border>
      <left style="medium"/>
      <right style="thin"/>
      <top/>
      <bottom style="medium"/>
    </border>
    <border>
      <left/>
      <right/>
      <top style="medium"/>
      <bottom/>
    </border>
    <border>
      <left/>
      <right/>
      <top/>
      <bottom style="thin"/>
    </border>
    <border>
      <left/>
      <right/>
      <top style="thin"/>
      <botto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border>
    <border>
      <left style="medium"/>
      <right style="medium"/>
      <top/>
      <bottom style="medium"/>
    </border>
    <border>
      <left style="thin"/>
      <right/>
      <top/>
      <bottom/>
    </border>
    <border>
      <left style="medium"/>
      <right/>
      <top/>
      <bottom/>
    </border>
    <border>
      <left style="thin"/>
      <right style="medium"/>
      <top style="medium"/>
      <bottom style="medium"/>
    </border>
    <border>
      <left style="medium"/>
      <right style="thin"/>
      <top style="medium"/>
      <bottom style="medium"/>
    </border>
    <border>
      <left style="thin"/>
      <right style="thin"/>
      <top style="medium"/>
      <bottom style="medium"/>
    </border>
    <border>
      <left style="thin"/>
      <right style="thin"/>
      <top style="thin"/>
      <bottom style="thin"/>
    </border>
    <border>
      <left style="thin"/>
      <right style="thin"/>
      <top style="thin"/>
      <bottom/>
    </border>
    <border>
      <left style="thin"/>
      <right style="thin"/>
      <top/>
      <bottom style="thin"/>
    </border>
    <border>
      <left/>
      <right/>
      <top style="thin"/>
      <bottom style="medium"/>
    </border>
    <border>
      <left/>
      <right style="thin"/>
      <top style="thin"/>
      <bottom/>
    </border>
    <border>
      <left style="thin"/>
      <right/>
      <top/>
      <bottom style="thin"/>
    </border>
    <border>
      <left/>
      <right style="thin"/>
      <top style="medium"/>
      <bottom/>
    </border>
    <border>
      <left/>
      <right style="thin"/>
      <top/>
      <bottom/>
    </border>
    <border>
      <left/>
      <right style="thin"/>
      <top style="thin"/>
      <bottom style="thin"/>
    </border>
    <border>
      <left/>
      <right/>
      <top style="medium"/>
      <bottom style="medium"/>
    </border>
    <border>
      <left/>
      <right/>
      <top/>
      <bottom style="medium"/>
    </border>
    <border>
      <left style="medium"/>
      <right style="medium"/>
      <top style="medium"/>
      <bottom style="thin"/>
    </border>
    <border>
      <left style="medium"/>
      <right style="medium"/>
      <top style="medium"/>
      <bottom style="medium"/>
    </border>
    <border>
      <left style="medium"/>
      <right/>
      <top style="medium"/>
      <bottom style="thin"/>
    </border>
    <border>
      <left/>
      <right/>
      <top style="medium"/>
      <bottom style="thin"/>
    </border>
    <border>
      <left/>
      <right style="medium"/>
      <top style="medium"/>
      <bottom style="thin"/>
    </border>
    <border>
      <left style="thin"/>
      <right/>
      <top/>
      <bottom style="medium"/>
    </border>
    <border>
      <left/>
      <right style="thin"/>
      <top/>
      <bottom style="medium"/>
    </border>
    <border>
      <left style="thin"/>
      <right/>
      <top style="thin"/>
      <bottom/>
    </border>
    <border>
      <left/>
      <right style="medium"/>
      <top/>
      <bottom/>
    </border>
    <border>
      <left style="medium"/>
      <right/>
      <top/>
      <bottom style="medium"/>
    </border>
    <border>
      <left/>
      <right style="medium"/>
      <top/>
      <bottom style="medium"/>
    </border>
    <border>
      <left style="thin"/>
      <right/>
      <top style="thin"/>
      <bottom style="thin"/>
    </border>
    <border>
      <left/>
      <right/>
      <top style="thin"/>
      <bottom style="thin"/>
    </border>
    <border>
      <left style="medium"/>
      <right/>
      <top style="medium"/>
      <bottom/>
    </border>
    <border>
      <left/>
      <right style="medium"/>
      <top style="medium"/>
      <bottom/>
    </border>
    <border>
      <left/>
      <right style="thin"/>
      <top/>
      <bottom style="thin"/>
    </border>
    <border>
      <left style="thin"/>
      <right/>
      <top style="thin"/>
      <bottom style="medium"/>
    </border>
    <border>
      <left/>
      <right style="thin"/>
      <top style="thin"/>
      <bottom style="medium"/>
    </border>
    <border>
      <left style="medium"/>
      <right/>
      <top style="medium"/>
      <bottom style="medium"/>
    </border>
    <border>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1" applyNumberFormat="0" applyFill="0" applyAlignment="0" applyProtection="0"/>
    <xf numFmtId="43" fontId="0" fillId="0" borderId="0" applyFont="0" applyFill="0" applyBorder="0" applyAlignment="0" applyProtection="0"/>
    <xf numFmtId="0" fontId="1" fillId="0" borderId="0">
      <alignment vertical="center"/>
      <protection locked="0"/>
    </xf>
    <xf numFmtId="0" fontId="36" fillId="20" borderId="0" applyNumberFormat="0" applyBorder="0" applyAlignment="0" applyProtection="0"/>
    <xf numFmtId="0" fontId="37" fillId="21" borderId="2"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2" borderId="0" applyNumberFormat="0" applyBorder="0" applyAlignment="0" applyProtection="0"/>
    <xf numFmtId="0" fontId="0" fillId="23" borderId="6" applyNumberFormat="0" applyFont="0" applyAlignment="0" applyProtection="0"/>
    <xf numFmtId="43" fontId="0" fillId="0" borderId="0" applyFont="0" applyFill="0" applyBorder="0" applyAlignment="0" applyProtection="0"/>
    <xf numFmtId="0" fontId="43" fillId="0" borderId="7" applyNumberFormat="0" applyFill="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8" applyNumberFormat="0" applyAlignment="0" applyProtection="0"/>
    <xf numFmtId="0" fontId="47" fillId="26" borderId="8" applyNumberFormat="0" applyAlignment="0" applyProtection="0"/>
    <xf numFmtId="0" fontId="48" fillId="26" borderId="9" applyNumberFormat="0" applyAlignment="0" applyProtection="0"/>
    <xf numFmtId="0" fontId="49" fillId="0" borderId="0" applyNumberFormat="0" applyFill="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cellStyleXfs>
  <cellXfs count="161">
    <xf numFmtId="0" fontId="1" fillId="0" borderId="0" xfId="0" applyFont="1" applyAlignment="1">
      <alignment vertical="center"/>
    </xf>
    <xf numFmtId="49" fontId="3" fillId="0" borderId="10" xfId="0" applyNumberFormat="1" applyFont="1" applyFill="1" applyBorder="1" applyAlignment="1" applyProtection="1">
      <alignment horizontal="left" vertical="center"/>
      <protection/>
    </xf>
    <xf numFmtId="49" fontId="1" fillId="0" borderId="11" xfId="0" applyNumberFormat="1" applyFont="1" applyFill="1" applyBorder="1" applyAlignment="1" applyProtection="1">
      <alignment horizontal="left" vertical="center"/>
      <protection/>
    </xf>
    <xf numFmtId="49" fontId="4" fillId="33" borderId="12" xfId="0" applyNumberFormat="1" applyFont="1" applyFill="1" applyBorder="1" applyAlignment="1" applyProtection="1">
      <alignment horizontal="left" vertical="center"/>
      <protection/>
    </xf>
    <xf numFmtId="49" fontId="5" fillId="0" borderId="0" xfId="0" applyNumberFormat="1" applyFont="1" applyFill="1" applyBorder="1" applyAlignment="1" applyProtection="1">
      <alignment horizontal="left" vertical="center"/>
      <protection/>
    </xf>
    <xf numFmtId="49" fontId="4" fillId="33" borderId="0" xfId="0" applyNumberFormat="1" applyFont="1" applyFill="1" applyBorder="1" applyAlignment="1" applyProtection="1">
      <alignment horizontal="left" vertical="center"/>
      <protection/>
    </xf>
    <xf numFmtId="49" fontId="6" fillId="0" borderId="0" xfId="0" applyNumberFormat="1" applyFont="1" applyFill="1" applyBorder="1" applyAlignment="1" applyProtection="1">
      <alignment horizontal="left" vertical="center"/>
      <protection/>
    </xf>
    <xf numFmtId="0" fontId="1" fillId="0" borderId="13" xfId="0" applyNumberFormat="1" applyFont="1" applyFill="1" applyBorder="1" applyAlignment="1" applyProtection="1">
      <alignment vertical="center"/>
      <protection/>
    </xf>
    <xf numFmtId="0" fontId="1" fillId="0" borderId="14" xfId="0" applyNumberFormat="1" applyFont="1" applyFill="1" applyBorder="1" applyAlignment="1" applyProtection="1">
      <alignment vertical="center"/>
      <protection/>
    </xf>
    <xf numFmtId="49" fontId="7" fillId="0" borderId="0" xfId="0" applyNumberFormat="1" applyFont="1" applyFill="1" applyBorder="1" applyAlignment="1" applyProtection="1">
      <alignment horizontal="left" vertical="center"/>
      <protection/>
    </xf>
    <xf numFmtId="49" fontId="3" fillId="0" borderId="15" xfId="0" applyNumberFormat="1" applyFont="1" applyFill="1" applyBorder="1" applyAlignment="1" applyProtection="1">
      <alignment horizontal="left" vertical="center"/>
      <protection/>
    </xf>
    <xf numFmtId="49" fontId="1" fillId="0" borderId="16" xfId="0" applyNumberFormat="1" applyFont="1" applyFill="1" applyBorder="1" applyAlignment="1" applyProtection="1">
      <alignment horizontal="left" vertical="center"/>
      <protection/>
    </xf>
    <xf numFmtId="49" fontId="8" fillId="33" borderId="12" xfId="0" applyNumberFormat="1" applyFont="1" applyFill="1" applyBorder="1" applyAlignment="1" applyProtection="1">
      <alignment horizontal="left" vertical="center"/>
      <protection/>
    </xf>
    <xf numFmtId="49" fontId="8" fillId="33" borderId="0" xfId="0" applyNumberFormat="1" applyFont="1" applyFill="1" applyBorder="1" applyAlignment="1" applyProtection="1">
      <alignment horizontal="left" vertical="center"/>
      <protection/>
    </xf>
    <xf numFmtId="49" fontId="9" fillId="0" borderId="0" xfId="0" applyNumberFormat="1" applyFont="1" applyFill="1" applyBorder="1" applyAlignment="1" applyProtection="1">
      <alignment horizontal="right" vertical="top"/>
      <protection/>
    </xf>
    <xf numFmtId="49" fontId="9" fillId="0" borderId="13" xfId="0" applyNumberFormat="1" applyFont="1" applyFill="1" applyBorder="1" applyAlignment="1" applyProtection="1">
      <alignment horizontal="right" vertical="top"/>
      <protection/>
    </xf>
    <xf numFmtId="49" fontId="3" fillId="0" borderId="16" xfId="0" applyNumberFormat="1" applyFont="1" applyFill="1" applyBorder="1" applyAlignment="1" applyProtection="1">
      <alignment horizontal="left" vertical="center"/>
      <protection/>
    </xf>
    <xf numFmtId="49" fontId="1" fillId="0" borderId="0" xfId="0" applyNumberFormat="1" applyFont="1" applyFill="1" applyBorder="1" applyAlignment="1" applyProtection="1">
      <alignment horizontal="left" vertical="center"/>
      <protection/>
    </xf>
    <xf numFmtId="49" fontId="3" fillId="0" borderId="15" xfId="0" applyNumberFormat="1" applyFont="1" applyFill="1" applyBorder="1" applyAlignment="1" applyProtection="1">
      <alignment horizontal="center" vertical="center"/>
      <protection/>
    </xf>
    <xf numFmtId="4" fontId="5" fillId="0" borderId="0" xfId="0" applyNumberFormat="1" applyFont="1" applyFill="1" applyBorder="1" applyAlignment="1" applyProtection="1">
      <alignment horizontal="right" vertical="center"/>
      <protection/>
    </xf>
    <xf numFmtId="4" fontId="6" fillId="0" borderId="0" xfId="0" applyNumberFormat="1" applyFont="1" applyFill="1" applyBorder="1" applyAlignment="1" applyProtection="1">
      <alignment horizontal="right" vertical="center"/>
      <protection/>
    </xf>
    <xf numFmtId="49" fontId="3" fillId="0" borderId="17" xfId="0" applyNumberFormat="1" applyFont="1" applyFill="1" applyBorder="1" applyAlignment="1" applyProtection="1">
      <alignment horizontal="center" vertical="center"/>
      <protection/>
    </xf>
    <xf numFmtId="49" fontId="3" fillId="0" borderId="18" xfId="0" applyNumberFormat="1" applyFont="1" applyFill="1" applyBorder="1" applyAlignment="1" applyProtection="1">
      <alignment horizontal="right" vertical="center"/>
      <protection/>
    </xf>
    <xf numFmtId="49" fontId="3" fillId="0" borderId="19" xfId="0" applyNumberFormat="1" applyFont="1" applyFill="1" applyBorder="1" applyAlignment="1" applyProtection="1">
      <alignment horizontal="center" vertical="center"/>
      <protection/>
    </xf>
    <xf numFmtId="49" fontId="3" fillId="0" borderId="20" xfId="0" applyNumberFormat="1" applyFont="1" applyFill="1" applyBorder="1" applyAlignment="1" applyProtection="1">
      <alignment horizontal="center" vertical="center"/>
      <protection/>
    </xf>
    <xf numFmtId="49" fontId="3" fillId="0" borderId="21" xfId="0" applyNumberFormat="1" applyFont="1" applyFill="1" applyBorder="1" applyAlignment="1" applyProtection="1">
      <alignment horizontal="center" vertical="center"/>
      <protection/>
    </xf>
    <xf numFmtId="49" fontId="8" fillId="33" borderId="12" xfId="0" applyNumberFormat="1" applyFont="1" applyFill="1" applyBorder="1" applyAlignment="1" applyProtection="1">
      <alignment horizontal="right" vertical="center"/>
      <protection/>
    </xf>
    <xf numFmtId="49" fontId="8" fillId="33" borderId="0" xfId="0" applyNumberFormat="1" applyFont="1" applyFill="1" applyBorder="1" applyAlignment="1" applyProtection="1">
      <alignment horizontal="right" vertical="center"/>
      <protection/>
    </xf>
    <xf numFmtId="49" fontId="3" fillId="0" borderId="22" xfId="0" applyNumberFormat="1" applyFont="1" applyFill="1" applyBorder="1" applyAlignment="1" applyProtection="1">
      <alignment horizontal="center" vertical="center"/>
      <protection/>
    </xf>
    <xf numFmtId="49" fontId="3" fillId="0" borderId="23" xfId="0" applyNumberFormat="1" applyFont="1" applyFill="1" applyBorder="1" applyAlignment="1" applyProtection="1">
      <alignment horizontal="center" vertical="center"/>
      <protection/>
    </xf>
    <xf numFmtId="49" fontId="5" fillId="0" borderId="0" xfId="0" applyNumberFormat="1" applyFont="1" applyFill="1" applyBorder="1" applyAlignment="1" applyProtection="1">
      <alignment horizontal="right" vertical="center"/>
      <protection/>
    </xf>
    <xf numFmtId="49" fontId="6" fillId="0" borderId="0" xfId="0" applyNumberFormat="1" applyFont="1" applyFill="1" applyBorder="1" applyAlignment="1" applyProtection="1">
      <alignment horizontal="right" vertical="center"/>
      <protection/>
    </xf>
    <xf numFmtId="0" fontId="1" fillId="0" borderId="24" xfId="0" applyNumberFormat="1" applyFont="1" applyFill="1" applyBorder="1" applyAlignment="1" applyProtection="1">
      <alignment vertical="center"/>
      <protection/>
    </xf>
    <xf numFmtId="0" fontId="1" fillId="0" borderId="25" xfId="0" applyNumberFormat="1" applyFont="1" applyFill="1" applyBorder="1" applyAlignment="1" applyProtection="1">
      <alignment vertical="center"/>
      <protection/>
    </xf>
    <xf numFmtId="4" fontId="1" fillId="0" borderId="0" xfId="0" applyNumberFormat="1" applyFont="1" applyFill="1" applyBorder="1" applyAlignment="1" applyProtection="1">
      <alignment horizontal="right" vertical="center"/>
      <protection/>
    </xf>
    <xf numFmtId="49" fontId="1" fillId="0" borderId="0" xfId="0" applyNumberFormat="1" applyFont="1" applyFill="1" applyBorder="1" applyAlignment="1" applyProtection="1">
      <alignment horizontal="right" vertical="center"/>
      <protection/>
    </xf>
    <xf numFmtId="4" fontId="8" fillId="33" borderId="12" xfId="0" applyNumberFormat="1" applyFont="1" applyFill="1" applyBorder="1" applyAlignment="1" applyProtection="1">
      <alignment horizontal="right" vertical="center"/>
      <protection/>
    </xf>
    <xf numFmtId="4" fontId="8" fillId="33" borderId="0" xfId="0" applyNumberFormat="1" applyFont="1" applyFill="1" applyBorder="1" applyAlignment="1" applyProtection="1">
      <alignment horizontal="right" vertical="center"/>
      <protection/>
    </xf>
    <xf numFmtId="4" fontId="3" fillId="0" borderId="14" xfId="0" applyNumberFormat="1" applyFont="1" applyFill="1" applyBorder="1" applyAlignment="1" applyProtection="1">
      <alignment horizontal="right" vertical="center"/>
      <protection/>
    </xf>
    <xf numFmtId="4" fontId="3" fillId="0" borderId="0" xfId="0" applyNumberFormat="1" applyFont="1" applyFill="1" applyBorder="1" applyAlignment="1" applyProtection="1">
      <alignment horizontal="right" vertical="center"/>
      <protection/>
    </xf>
    <xf numFmtId="49" fontId="3" fillId="0" borderId="26" xfId="0" applyNumberFormat="1" applyFont="1" applyFill="1" applyBorder="1" applyAlignment="1" applyProtection="1">
      <alignment horizontal="left" vertical="center"/>
      <protection/>
    </xf>
    <xf numFmtId="49" fontId="1" fillId="0" borderId="12" xfId="0" applyNumberFormat="1" applyFont="1" applyFill="1" applyBorder="1" applyAlignment="1" applyProtection="1">
      <alignment horizontal="left" vertical="center"/>
      <protection/>
    </xf>
    <xf numFmtId="49" fontId="3" fillId="0" borderId="27" xfId="0" applyNumberFormat="1" applyFont="1" applyFill="1" applyBorder="1" applyAlignment="1" applyProtection="1">
      <alignment horizontal="left" vertical="center"/>
      <protection/>
    </xf>
    <xf numFmtId="49" fontId="3" fillId="0" borderId="28" xfId="0" applyNumberFormat="1" applyFont="1" applyFill="1" applyBorder="1" applyAlignment="1" applyProtection="1">
      <alignment horizontal="left" vertical="center"/>
      <protection/>
    </xf>
    <xf numFmtId="49" fontId="3" fillId="0" borderId="28" xfId="0" applyNumberFormat="1" applyFont="1" applyFill="1" applyBorder="1" applyAlignment="1" applyProtection="1">
      <alignment horizontal="center" vertical="center"/>
      <protection/>
    </xf>
    <xf numFmtId="0" fontId="1" fillId="0" borderId="12" xfId="0" applyNumberFormat="1" applyFont="1" applyFill="1" applyBorder="1" applyAlignment="1" applyProtection="1">
      <alignment vertical="center"/>
      <protection/>
    </xf>
    <xf numFmtId="49" fontId="3" fillId="0" borderId="0" xfId="0" applyNumberFormat="1" applyFont="1" applyFill="1" applyBorder="1" applyAlignment="1" applyProtection="1">
      <alignment horizontal="left" vertical="center"/>
      <protection/>
    </xf>
    <xf numFmtId="49" fontId="3" fillId="0" borderId="26" xfId="0" applyNumberFormat="1" applyFont="1" applyFill="1" applyBorder="1" applyAlignment="1" applyProtection="1">
      <alignment horizontal="center" vertical="center"/>
      <protection/>
    </xf>
    <xf numFmtId="4" fontId="1" fillId="0" borderId="12" xfId="0" applyNumberFormat="1" applyFont="1" applyFill="1" applyBorder="1" applyAlignment="1" applyProtection="1">
      <alignment horizontal="right" vertical="center"/>
      <protection/>
    </xf>
    <xf numFmtId="49" fontId="5" fillId="0" borderId="12" xfId="0" applyNumberFormat="1" applyFont="1" applyFill="1" applyBorder="1" applyAlignment="1" applyProtection="1">
      <alignment horizontal="left" vertical="center"/>
      <protection/>
    </xf>
    <xf numFmtId="49" fontId="10" fillId="0" borderId="0" xfId="0" applyNumberFormat="1" applyFont="1" applyFill="1" applyBorder="1" applyAlignment="1" applyProtection="1">
      <alignment horizontal="right" vertical="top"/>
      <protection/>
    </xf>
    <xf numFmtId="49" fontId="3" fillId="0" borderId="28" xfId="0" applyNumberFormat="1" applyFont="1" applyFill="1" applyBorder="1" applyAlignment="1" applyProtection="1">
      <alignment horizontal="right" vertical="center"/>
      <protection/>
    </xf>
    <xf numFmtId="4" fontId="5" fillId="0" borderId="12" xfId="0" applyNumberFormat="1" applyFont="1" applyFill="1" applyBorder="1" applyAlignment="1" applyProtection="1">
      <alignment horizontal="right" vertical="center"/>
      <protection/>
    </xf>
    <xf numFmtId="49" fontId="5" fillId="0" borderId="12" xfId="0" applyNumberFormat="1" applyFont="1" applyFill="1" applyBorder="1" applyAlignment="1" applyProtection="1">
      <alignment horizontal="right" vertical="center"/>
      <protection/>
    </xf>
    <xf numFmtId="49" fontId="12" fillId="34" borderId="29" xfId="0" applyNumberFormat="1" applyFont="1" applyFill="1" applyBorder="1" applyAlignment="1" applyProtection="1">
      <alignment horizontal="center" vertical="center"/>
      <protection/>
    </xf>
    <xf numFmtId="49" fontId="13" fillId="0" borderId="30" xfId="0" applyNumberFormat="1" applyFont="1" applyFill="1" applyBorder="1" applyAlignment="1" applyProtection="1">
      <alignment horizontal="left" vertical="center"/>
      <protection/>
    </xf>
    <xf numFmtId="49" fontId="13" fillId="0" borderId="31" xfId="0" applyNumberFormat="1" applyFont="1" applyFill="1" applyBorder="1" applyAlignment="1" applyProtection="1">
      <alignment horizontal="left" vertical="center"/>
      <protection/>
    </xf>
    <xf numFmtId="0" fontId="1" fillId="0" borderId="32" xfId="0" applyNumberFormat="1" applyFont="1" applyFill="1" applyBorder="1" applyAlignment="1" applyProtection="1">
      <alignment vertical="center"/>
      <protection/>
    </xf>
    <xf numFmtId="49" fontId="7" fillId="0" borderId="12" xfId="0" applyNumberFormat="1" applyFont="1" applyFill="1" applyBorder="1" applyAlignment="1" applyProtection="1">
      <alignment horizontal="left" vertical="center"/>
      <protection/>
    </xf>
    <xf numFmtId="49" fontId="14" fillId="0" borderId="29" xfId="0" applyNumberFormat="1" applyFont="1" applyFill="1" applyBorder="1" applyAlignment="1" applyProtection="1">
      <alignment horizontal="left" vertical="center"/>
      <protection/>
    </xf>
    <xf numFmtId="0" fontId="1" fillId="0" borderId="33" xfId="0" applyNumberFormat="1" applyFont="1" applyFill="1" applyBorder="1" applyAlignment="1" applyProtection="1">
      <alignment vertical="center"/>
      <protection/>
    </xf>
    <xf numFmtId="0" fontId="1" fillId="0" borderId="34" xfId="0" applyNumberFormat="1" applyFont="1" applyFill="1" applyBorder="1" applyAlignment="1" applyProtection="1">
      <alignment vertical="center"/>
      <protection/>
    </xf>
    <xf numFmtId="4" fontId="14" fillId="0" borderId="29" xfId="0" applyNumberFormat="1" applyFont="1" applyFill="1" applyBorder="1" applyAlignment="1" applyProtection="1">
      <alignment horizontal="right" vertical="center"/>
      <protection/>
    </xf>
    <xf numFmtId="49" fontId="14" fillId="0" borderId="29" xfId="0" applyNumberFormat="1" applyFont="1" applyFill="1" applyBorder="1" applyAlignment="1" applyProtection="1">
      <alignment horizontal="right" vertical="center"/>
      <protection/>
    </xf>
    <xf numFmtId="4" fontId="14" fillId="0" borderId="20" xfId="0" applyNumberFormat="1" applyFont="1" applyFill="1" applyBorder="1" applyAlignment="1" applyProtection="1">
      <alignment horizontal="right" vertical="center"/>
      <protection/>
    </xf>
    <xf numFmtId="0" fontId="1" fillId="0" borderId="35" xfId="0" applyNumberFormat="1" applyFont="1" applyFill="1" applyBorder="1" applyAlignment="1" applyProtection="1">
      <alignment vertical="center"/>
      <protection/>
    </xf>
    <xf numFmtId="0" fontId="1" fillId="0" borderId="36" xfId="0" applyNumberFormat="1" applyFont="1" applyFill="1" applyBorder="1" applyAlignment="1" applyProtection="1">
      <alignment vertical="center"/>
      <protection/>
    </xf>
    <xf numFmtId="4" fontId="13" fillId="34" borderId="37" xfId="0" applyNumberFormat="1" applyFont="1" applyFill="1" applyBorder="1" applyAlignment="1" applyProtection="1">
      <alignment horizontal="right" vertical="center"/>
      <protection/>
    </xf>
    <xf numFmtId="0" fontId="1" fillId="0" borderId="38" xfId="0" applyNumberFormat="1" applyFont="1" applyFill="1" applyBorder="1" applyAlignment="1" applyProtection="1">
      <alignment vertical="center"/>
      <protection/>
    </xf>
    <xf numFmtId="0" fontId="1" fillId="0" borderId="39" xfId="0" applyNumberFormat="1" applyFont="1" applyFill="1" applyBorder="1" applyAlignment="1" applyProtection="1">
      <alignment vertical="center"/>
      <protection/>
    </xf>
    <xf numFmtId="49" fontId="3" fillId="0" borderId="40" xfId="0" applyNumberFormat="1" applyFont="1" applyFill="1" applyBorder="1" applyAlignment="1" applyProtection="1">
      <alignment horizontal="right" vertical="center"/>
      <protection/>
    </xf>
    <xf numFmtId="4" fontId="1" fillId="0" borderId="29" xfId="0" applyNumberFormat="1" applyFont="1" applyFill="1" applyBorder="1" applyAlignment="1" applyProtection="1">
      <alignment horizontal="right" vertical="center"/>
      <protection/>
    </xf>
    <xf numFmtId="4" fontId="1" fillId="0" borderId="20" xfId="0" applyNumberFormat="1" applyFont="1" applyFill="1" applyBorder="1" applyAlignment="1" applyProtection="1">
      <alignment horizontal="right" vertical="center"/>
      <protection/>
    </xf>
    <xf numFmtId="49" fontId="3" fillId="0" borderId="41" xfId="0" applyNumberFormat="1" applyFont="1" applyFill="1" applyBorder="1" applyAlignment="1" applyProtection="1">
      <alignment horizontal="left" vertical="center"/>
      <protection/>
    </xf>
    <xf numFmtId="49" fontId="1" fillId="0" borderId="29" xfId="0" applyNumberFormat="1" applyFont="1" applyFill="1" applyBorder="1" applyAlignment="1" applyProtection="1">
      <alignment horizontal="left" vertical="center"/>
      <protection/>
    </xf>
    <xf numFmtId="49" fontId="1" fillId="0" borderId="20" xfId="0" applyNumberFormat="1" applyFont="1" applyFill="1" applyBorder="1" applyAlignment="1" applyProtection="1">
      <alignment horizontal="left" vertical="center"/>
      <protection/>
    </xf>
    <xf numFmtId="49" fontId="3" fillId="0" borderId="41" xfId="0" applyNumberFormat="1" applyFont="1" applyFill="1" applyBorder="1" applyAlignment="1" applyProtection="1">
      <alignment horizontal="right" vertical="center"/>
      <protection/>
    </xf>
    <xf numFmtId="4" fontId="3" fillId="0" borderId="41" xfId="0" applyNumberFormat="1" applyFont="1" applyFill="1" applyBorder="1" applyAlignment="1" applyProtection="1">
      <alignment horizontal="right" vertical="center"/>
      <protection/>
    </xf>
    <xf numFmtId="0" fontId="1" fillId="0" borderId="13" xfId="0" applyNumberFormat="1" applyFont="1" applyFill="1" applyBorder="1" applyAlignment="1" applyProtection="1">
      <alignment/>
      <protection/>
    </xf>
    <xf numFmtId="49" fontId="1" fillId="0" borderId="29" xfId="0" applyNumberFormat="1" applyFont="1" applyFill="1" applyBorder="1" applyAlignment="1" applyProtection="1">
      <alignment horizontal="right" vertical="center"/>
      <protection/>
    </xf>
    <xf numFmtId="2" fontId="1" fillId="0" borderId="29" xfId="0" applyNumberFormat="1" applyFont="1" applyFill="1" applyBorder="1" applyAlignment="1" applyProtection="1">
      <alignment horizontal="right" vertical="center"/>
      <protection/>
    </xf>
    <xf numFmtId="49" fontId="1" fillId="0" borderId="20" xfId="0" applyNumberFormat="1" applyFont="1" applyFill="1" applyBorder="1" applyAlignment="1" applyProtection="1">
      <alignment horizontal="right" vertical="center"/>
      <protection/>
    </xf>
    <xf numFmtId="0" fontId="9" fillId="0" borderId="13" xfId="0" applyNumberFormat="1" applyFont="1" applyFill="1" applyBorder="1" applyAlignment="1" applyProtection="1">
      <alignment horizontal="left" vertical="top" wrapText="1"/>
      <protection/>
    </xf>
    <xf numFmtId="0" fontId="9" fillId="0" borderId="13" xfId="0" applyNumberFormat="1" applyFont="1" applyFill="1" applyBorder="1" applyAlignment="1" applyProtection="1">
      <alignment horizontal="left" vertical="top"/>
      <protection/>
    </xf>
    <xf numFmtId="49" fontId="3" fillId="0" borderId="14"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horizontal="left" vertical="top"/>
      <protection/>
    </xf>
    <xf numFmtId="49" fontId="8" fillId="33" borderId="0" xfId="0" applyNumberFormat="1" applyFont="1" applyFill="1" applyBorder="1" applyAlignment="1" applyProtection="1">
      <alignment horizontal="left" vertical="center"/>
      <protection/>
    </xf>
    <xf numFmtId="0" fontId="8" fillId="33" borderId="0" xfId="0" applyNumberFormat="1" applyFont="1" applyFill="1" applyBorder="1" applyAlignment="1" applyProtection="1">
      <alignment horizontal="left" vertical="center"/>
      <protection/>
    </xf>
    <xf numFmtId="49" fontId="3" fillId="0" borderId="42" xfId="0" applyNumberFormat="1" applyFont="1" applyFill="1" applyBorder="1" applyAlignment="1" applyProtection="1">
      <alignment horizontal="center" vertical="center"/>
      <protection/>
    </xf>
    <xf numFmtId="0" fontId="3" fillId="0" borderId="43" xfId="0" applyNumberFormat="1" applyFont="1" applyFill="1" applyBorder="1" applyAlignment="1" applyProtection="1">
      <alignment horizontal="center" vertical="center"/>
      <protection/>
    </xf>
    <xf numFmtId="0" fontId="3" fillId="0" borderId="44" xfId="0" applyNumberFormat="1" applyFont="1" applyFill="1" applyBorder="1" applyAlignment="1" applyProtection="1">
      <alignment horizontal="center" vertical="center"/>
      <protection/>
    </xf>
    <xf numFmtId="49" fontId="8" fillId="33" borderId="12" xfId="0" applyNumberFormat="1" applyFont="1" applyFill="1" applyBorder="1" applyAlignment="1" applyProtection="1">
      <alignment horizontal="left" vertical="center"/>
      <protection/>
    </xf>
    <xf numFmtId="0" fontId="8" fillId="33" borderId="12" xfId="0" applyNumberFormat="1" applyFont="1" applyFill="1" applyBorder="1" applyAlignment="1" applyProtection="1">
      <alignment horizontal="left" vertical="center"/>
      <protection/>
    </xf>
    <xf numFmtId="0" fontId="1" fillId="0" borderId="24" xfId="0" applyNumberFormat="1" applyFont="1" applyFill="1" applyBorder="1" applyAlignment="1" applyProtection="1">
      <alignment horizontal="left" vertical="center" wrapText="1"/>
      <protection/>
    </xf>
    <xf numFmtId="0" fontId="1" fillId="0" borderId="45" xfId="0" applyNumberFormat="1" applyFont="1" applyFill="1" applyBorder="1" applyAlignment="1" applyProtection="1">
      <alignment horizontal="left" vertical="center"/>
      <protection/>
    </xf>
    <xf numFmtId="0" fontId="1" fillId="0" borderId="39" xfId="0" applyNumberFormat="1" applyFont="1" applyFill="1" applyBorder="1" applyAlignment="1" applyProtection="1">
      <alignment horizontal="left" vertical="center"/>
      <protection/>
    </xf>
    <xf numFmtId="49" fontId="1" fillId="0" borderId="0" xfId="0" applyNumberFormat="1" applyFont="1" applyFill="1" applyBorder="1" applyAlignment="1" applyProtection="1">
      <alignment horizontal="left" vertical="center"/>
      <protection/>
    </xf>
    <xf numFmtId="14" fontId="1" fillId="0" borderId="0" xfId="0" applyNumberFormat="1" applyFont="1" applyFill="1" applyBorder="1" applyAlignment="1" applyProtection="1">
      <alignment horizontal="left" vertical="center"/>
      <protection/>
    </xf>
    <xf numFmtId="0" fontId="1" fillId="0" borderId="36" xfId="0" applyNumberFormat="1" applyFont="1" applyFill="1" applyBorder="1" applyAlignment="1" applyProtection="1">
      <alignment horizontal="left" vertical="center"/>
      <protection/>
    </xf>
    <xf numFmtId="0" fontId="1" fillId="0" borderId="46" xfId="0" applyNumberFormat="1" applyFont="1" applyFill="1" applyBorder="1" applyAlignment="1" applyProtection="1">
      <alignment horizontal="left" vertical="center"/>
      <protection/>
    </xf>
    <xf numFmtId="0" fontId="1" fillId="0" borderId="24" xfId="0" applyNumberFormat="1" applyFont="1" applyFill="1" applyBorder="1" applyAlignment="1" applyProtection="1">
      <alignment horizontal="left" vertical="center"/>
      <protection/>
    </xf>
    <xf numFmtId="49" fontId="2" fillId="0" borderId="13" xfId="0" applyNumberFormat="1" applyFont="1" applyFill="1" applyBorder="1" applyAlignment="1" applyProtection="1">
      <alignment horizontal="center"/>
      <protection/>
    </xf>
    <xf numFmtId="0" fontId="2" fillId="0" borderId="13" xfId="0" applyNumberFormat="1" applyFont="1" applyFill="1" applyBorder="1" applyAlignment="1" applyProtection="1">
      <alignment horizontal="center" vertical="center"/>
      <protection/>
    </xf>
    <xf numFmtId="0" fontId="1" fillId="0" borderId="47" xfId="0" applyNumberFormat="1" applyFont="1" applyFill="1" applyBorder="1" applyAlignment="1" applyProtection="1">
      <alignment horizontal="left" vertical="center" wrapText="1"/>
      <protection/>
    </xf>
    <xf numFmtId="0" fontId="1" fillId="0" borderId="14"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protection/>
    </xf>
    <xf numFmtId="49" fontId="1" fillId="0" borderId="14" xfId="0" applyNumberFormat="1" applyFont="1" applyFill="1" applyBorder="1" applyAlignment="1" applyProtection="1">
      <alignment horizontal="left" vertical="center"/>
      <protection/>
    </xf>
    <xf numFmtId="0" fontId="1" fillId="0" borderId="14" xfId="0" applyNumberFormat="1" applyFont="1" applyFill="1" applyBorder="1" applyAlignment="1" applyProtection="1">
      <alignment horizontal="left" vertical="center" wrapText="1"/>
      <protection/>
    </xf>
    <xf numFmtId="0" fontId="1" fillId="0" borderId="33" xfId="0" applyNumberFormat="1" applyFont="1" applyFill="1" applyBorder="1" applyAlignment="1" applyProtection="1">
      <alignment horizontal="left" vertical="center"/>
      <protection/>
    </xf>
    <xf numFmtId="49" fontId="14" fillId="0" borderId="25" xfId="0" applyNumberFormat="1" applyFont="1" applyFill="1" applyBorder="1" applyAlignment="1" applyProtection="1">
      <alignment horizontal="left" vertical="center"/>
      <protection/>
    </xf>
    <xf numFmtId="0" fontId="14" fillId="0" borderId="0" xfId="0" applyNumberFormat="1" applyFont="1" applyFill="1" applyBorder="1" applyAlignment="1" applyProtection="1">
      <alignment horizontal="left" vertical="center"/>
      <protection/>
    </xf>
    <xf numFmtId="0" fontId="14" fillId="0" borderId="48" xfId="0" applyNumberFormat="1" applyFont="1" applyFill="1" applyBorder="1" applyAlignment="1" applyProtection="1">
      <alignment horizontal="left" vertical="center"/>
      <protection/>
    </xf>
    <xf numFmtId="49" fontId="14" fillId="0" borderId="49" xfId="0" applyNumberFormat="1" applyFont="1" applyFill="1" applyBorder="1" applyAlignment="1" applyProtection="1">
      <alignment horizontal="left" vertical="center"/>
      <protection/>
    </xf>
    <xf numFmtId="0" fontId="14" fillId="0" borderId="39" xfId="0" applyNumberFormat="1" applyFont="1" applyFill="1" applyBorder="1" applyAlignment="1" applyProtection="1">
      <alignment horizontal="left" vertical="center"/>
      <protection/>
    </xf>
    <xf numFmtId="0" fontId="14" fillId="0" borderId="50" xfId="0" applyNumberFormat="1" applyFont="1" applyFill="1" applyBorder="1" applyAlignment="1" applyProtection="1">
      <alignment horizontal="left" vertical="center"/>
      <protection/>
    </xf>
    <xf numFmtId="49" fontId="13" fillId="34" borderId="51" xfId="0" applyNumberFormat="1" applyFont="1" applyFill="1" applyBorder="1" applyAlignment="1" applyProtection="1">
      <alignment horizontal="left" vertical="center"/>
      <protection/>
    </xf>
    <xf numFmtId="0" fontId="13" fillId="34" borderId="52" xfId="0" applyNumberFormat="1" applyFont="1" applyFill="1" applyBorder="1" applyAlignment="1" applyProtection="1">
      <alignment horizontal="left" vertical="center"/>
      <protection/>
    </xf>
    <xf numFmtId="49" fontId="14" fillId="0" borderId="53" xfId="0" applyNumberFormat="1" applyFont="1" applyFill="1" applyBorder="1" applyAlignment="1" applyProtection="1">
      <alignment horizontal="left" vertical="center"/>
      <protection/>
    </xf>
    <xf numFmtId="0" fontId="14" fillId="0" borderId="12" xfId="0" applyNumberFormat="1" applyFont="1" applyFill="1" applyBorder="1" applyAlignment="1" applyProtection="1">
      <alignment horizontal="left" vertical="center"/>
      <protection/>
    </xf>
    <xf numFmtId="0" fontId="14" fillId="0" borderId="54" xfId="0" applyNumberFormat="1" applyFont="1" applyFill="1" applyBorder="1" applyAlignment="1" applyProtection="1">
      <alignment horizontal="left" vertical="center"/>
      <protection/>
    </xf>
    <xf numFmtId="49" fontId="13" fillId="0" borderId="51" xfId="0" applyNumberFormat="1" applyFont="1" applyFill="1" applyBorder="1" applyAlignment="1" applyProtection="1">
      <alignment horizontal="left" vertical="center"/>
      <protection/>
    </xf>
    <xf numFmtId="0" fontId="13" fillId="0" borderId="37" xfId="0" applyNumberFormat="1" applyFont="1" applyFill="1" applyBorder="1" applyAlignment="1" applyProtection="1">
      <alignment horizontal="left" vertical="center"/>
      <protection/>
    </xf>
    <xf numFmtId="49" fontId="14" fillId="0" borderId="51" xfId="0" applyNumberFormat="1" applyFont="1" applyFill="1" applyBorder="1" applyAlignment="1" applyProtection="1">
      <alignment horizontal="left" vertical="center"/>
      <protection/>
    </xf>
    <xf numFmtId="0" fontId="14" fillId="0" borderId="37" xfId="0" applyNumberFormat="1" applyFont="1" applyFill="1" applyBorder="1" applyAlignment="1" applyProtection="1">
      <alignment horizontal="left" vertical="center"/>
      <protection/>
    </xf>
    <xf numFmtId="49" fontId="11" fillId="0" borderId="52" xfId="0" applyNumberFormat="1" applyFont="1" applyFill="1" applyBorder="1" applyAlignment="1" applyProtection="1">
      <alignment horizontal="center" vertical="center"/>
      <protection/>
    </xf>
    <xf numFmtId="0" fontId="11" fillId="0" borderId="52" xfId="0" applyNumberFormat="1" applyFont="1" applyFill="1" applyBorder="1" applyAlignment="1" applyProtection="1">
      <alignment horizontal="center" vertical="center"/>
      <protection/>
    </xf>
    <xf numFmtId="49" fontId="15" fillId="0" borderId="51" xfId="0" applyNumberFormat="1" applyFont="1" applyFill="1" applyBorder="1" applyAlignment="1" applyProtection="1">
      <alignment horizontal="left" vertical="center"/>
      <protection/>
    </xf>
    <xf numFmtId="0" fontId="15" fillId="0" borderId="37" xfId="0" applyNumberFormat="1" applyFont="1" applyFill="1" applyBorder="1" applyAlignment="1" applyProtection="1">
      <alignment horizontal="left" vertical="center"/>
      <protection/>
    </xf>
    <xf numFmtId="0" fontId="1" fillId="0" borderId="34" xfId="0" applyNumberFormat="1" applyFont="1" applyFill="1" applyBorder="1" applyAlignment="1" applyProtection="1">
      <alignment horizontal="left" vertical="center"/>
      <protection/>
    </xf>
    <xf numFmtId="0" fontId="1" fillId="0" borderId="13" xfId="0" applyNumberFormat="1" applyFont="1" applyFill="1" applyBorder="1" applyAlignment="1" applyProtection="1">
      <alignment horizontal="left" vertical="center"/>
      <protection/>
    </xf>
    <xf numFmtId="14" fontId="1" fillId="0" borderId="36" xfId="0" applyNumberFormat="1" applyFont="1" applyFill="1" applyBorder="1" applyAlignment="1" applyProtection="1">
      <alignment horizontal="left" vertical="center"/>
      <protection/>
    </xf>
    <xf numFmtId="0" fontId="1" fillId="0" borderId="55" xfId="0" applyNumberFormat="1" applyFont="1" applyFill="1" applyBorder="1" applyAlignment="1" applyProtection="1">
      <alignment horizontal="left" vertical="center"/>
      <protection/>
    </xf>
    <xf numFmtId="49" fontId="1" fillId="0" borderId="36" xfId="0" applyNumberFormat="1" applyFont="1" applyFill="1" applyBorder="1" applyAlignment="1" applyProtection="1">
      <alignment horizontal="left" vertical="center"/>
      <protection/>
    </xf>
    <xf numFmtId="0" fontId="16" fillId="0" borderId="13" xfId="0" applyNumberFormat="1" applyFont="1" applyFill="1" applyBorder="1" applyAlignment="1" applyProtection="1">
      <alignment horizontal="center" vertical="center" wrapText="1"/>
      <protection/>
    </xf>
    <xf numFmtId="0" fontId="16" fillId="0" borderId="13" xfId="0" applyNumberFormat="1" applyFont="1" applyFill="1" applyBorder="1" applyAlignment="1" applyProtection="1">
      <alignment horizontal="center" vertical="center"/>
      <protection/>
    </xf>
    <xf numFmtId="49" fontId="1" fillId="0" borderId="33" xfId="0" applyNumberFormat="1" applyFont="1" applyFill="1" applyBorder="1" applyAlignment="1" applyProtection="1">
      <alignment horizontal="left" vertical="center"/>
      <protection/>
    </xf>
    <xf numFmtId="49" fontId="1" fillId="0" borderId="56" xfId="0" applyNumberFormat="1" applyFont="1" applyFill="1" applyBorder="1" applyAlignment="1" applyProtection="1">
      <alignment horizontal="left" vertical="center"/>
      <protection/>
    </xf>
    <xf numFmtId="0" fontId="1" fillId="0" borderId="32" xfId="0" applyNumberFormat="1" applyFont="1" applyFill="1" applyBorder="1" applyAlignment="1" applyProtection="1">
      <alignment horizontal="left" vertical="center"/>
      <protection/>
    </xf>
    <xf numFmtId="0" fontId="1" fillId="0" borderId="57" xfId="0" applyNumberFormat="1" applyFont="1" applyFill="1" applyBorder="1" applyAlignment="1" applyProtection="1">
      <alignment horizontal="left" vertical="center"/>
      <protection/>
    </xf>
    <xf numFmtId="49" fontId="3" fillId="0" borderId="58" xfId="0" applyNumberFormat="1" applyFont="1" applyFill="1" applyBorder="1" applyAlignment="1" applyProtection="1">
      <alignment horizontal="left" vertical="center"/>
      <protection/>
    </xf>
    <xf numFmtId="0" fontId="3" fillId="0" borderId="38" xfId="0" applyNumberFormat="1" applyFont="1" applyFill="1" applyBorder="1" applyAlignment="1" applyProtection="1">
      <alignment horizontal="left" vertical="center"/>
      <protection/>
    </xf>
    <xf numFmtId="0" fontId="3" fillId="0" borderId="59" xfId="0" applyNumberFormat="1" applyFont="1" applyFill="1" applyBorder="1" applyAlignment="1" applyProtection="1">
      <alignment horizontal="left" vertical="center"/>
      <protection/>
    </xf>
    <xf numFmtId="49" fontId="13" fillId="0" borderId="58" xfId="0" applyNumberFormat="1" applyFont="1" applyFill="1" applyBorder="1" applyAlignment="1" applyProtection="1">
      <alignment horizontal="left" vertical="center"/>
      <protection/>
    </xf>
    <xf numFmtId="0" fontId="13" fillId="0" borderId="38" xfId="0" applyNumberFormat="1" applyFont="1" applyFill="1" applyBorder="1" applyAlignment="1" applyProtection="1">
      <alignment horizontal="left" vertical="center"/>
      <protection/>
    </xf>
    <xf numFmtId="0" fontId="13" fillId="0" borderId="59" xfId="0" applyNumberFormat="1" applyFont="1" applyFill="1" applyBorder="1" applyAlignment="1" applyProtection="1">
      <alignment horizontal="left" vertical="center"/>
      <protection/>
    </xf>
    <xf numFmtId="4" fontId="13" fillId="0" borderId="58" xfId="0" applyNumberFormat="1" applyFont="1" applyFill="1" applyBorder="1" applyAlignment="1" applyProtection="1">
      <alignment horizontal="right" vertical="center"/>
      <protection/>
    </xf>
    <xf numFmtId="0" fontId="13" fillId="0" borderId="38" xfId="0" applyNumberFormat="1" applyFont="1" applyFill="1" applyBorder="1" applyAlignment="1" applyProtection="1">
      <alignment horizontal="right" vertical="center"/>
      <protection/>
    </xf>
    <xf numFmtId="0" fontId="13" fillId="0" borderId="59" xfId="0" applyNumberFormat="1" applyFont="1" applyFill="1" applyBorder="1" applyAlignment="1" applyProtection="1">
      <alignment horizontal="right" vertical="center"/>
      <protection/>
    </xf>
    <xf numFmtId="49" fontId="13" fillId="0" borderId="39" xfId="0" applyNumberFormat="1" applyFont="1" applyFill="1" applyBorder="1" applyAlignment="1" applyProtection="1">
      <alignment horizontal="left" vertical="center"/>
      <protection/>
    </xf>
    <xf numFmtId="0" fontId="13" fillId="0" borderId="39" xfId="0" applyNumberFormat="1" applyFont="1" applyFill="1" applyBorder="1" applyAlignment="1" applyProtection="1">
      <alignment horizontal="left" vertical="center"/>
      <protection/>
    </xf>
    <xf numFmtId="49" fontId="3" fillId="0" borderId="42" xfId="0" applyNumberFormat="1" applyFont="1" applyFill="1" applyBorder="1" applyAlignment="1" applyProtection="1">
      <alignment horizontal="left" vertical="center"/>
      <protection/>
    </xf>
    <xf numFmtId="0" fontId="3" fillId="0" borderId="43" xfId="0" applyNumberFormat="1" applyFont="1" applyFill="1" applyBorder="1" applyAlignment="1" applyProtection="1">
      <alignment horizontal="left" vertical="center"/>
      <protection/>
    </xf>
    <xf numFmtId="0" fontId="3" fillId="0" borderId="44" xfId="0" applyNumberFormat="1" applyFont="1" applyFill="1" applyBorder="1" applyAlignment="1" applyProtection="1">
      <alignment horizontal="left" vertical="center"/>
      <protection/>
    </xf>
    <xf numFmtId="49" fontId="1" fillId="0" borderId="51" xfId="0" applyNumberFormat="1" applyFont="1" applyFill="1" applyBorder="1" applyAlignment="1" applyProtection="1">
      <alignment horizontal="left" vertical="center"/>
      <protection/>
    </xf>
    <xf numFmtId="0" fontId="1" fillId="0" borderId="52" xfId="0" applyNumberFormat="1" applyFont="1" applyFill="1" applyBorder="1" applyAlignment="1" applyProtection="1">
      <alignment horizontal="left" vertical="center"/>
      <protection/>
    </xf>
    <xf numFmtId="0" fontId="1" fillId="0" borderId="37" xfId="0" applyNumberFormat="1" applyFont="1" applyFill="1" applyBorder="1" applyAlignment="1" applyProtection="1">
      <alignment horizontal="left" vertical="center"/>
      <protection/>
    </xf>
  </cellXfs>
  <cellStyles count="44">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0]" xfId="35"/>
    <cellStyle name="Chybně" xfId="36"/>
    <cellStyle name="Kontrolní buňka" xfId="37"/>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000000"/>
      <rgbColor rgb="00C0C0C0"/>
      <rgbColor rgb="00000000"/>
      <rgbColor rgb="00C0C0C0"/>
      <rgbColor rgb="00000000"/>
      <rgbColor rgb="00000000"/>
      <rgbColor rgb="00000000"/>
      <rgbColor rgb="00000000"/>
      <rgbColor rgb="00000000"/>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Q220"/>
  <sheetViews>
    <sheetView zoomScalePageLayoutView="0" workbookViewId="0" topLeftCell="A25">
      <selection activeCell="A1" sqref="A1:M1"/>
    </sheetView>
  </sheetViews>
  <sheetFormatPr defaultColWidth="11.57421875" defaultRowHeight="12.75"/>
  <cols>
    <col min="1" max="1" width="3.7109375" style="0" customWidth="1"/>
    <col min="2" max="2" width="6.8515625" style="0" customWidth="1"/>
    <col min="3" max="3" width="13.28125" style="0" customWidth="1"/>
    <col min="4" max="4" width="64.8515625" style="0" customWidth="1"/>
    <col min="5" max="5" width="4.8515625" style="0" customWidth="1"/>
    <col min="6" max="6" width="12.8515625" style="0" customWidth="1"/>
    <col min="7" max="7" width="12.00390625" style="0" customWidth="1"/>
    <col min="8" max="10" width="14.28125" style="0" customWidth="1"/>
    <col min="11" max="13" width="11.7109375" style="0" customWidth="1"/>
    <col min="14" max="14" width="0" style="0" hidden="1" customWidth="1"/>
    <col min="15" max="47" width="12.140625" style="0" hidden="1" customWidth="1"/>
  </cols>
  <sheetData>
    <row r="1" spans="1:13" ht="72.75" customHeight="1">
      <c r="A1" s="105" t="s">
        <v>0</v>
      </c>
      <c r="B1" s="106"/>
      <c r="C1" s="106"/>
      <c r="D1" s="106"/>
      <c r="E1" s="106"/>
      <c r="F1" s="106"/>
      <c r="G1" s="106"/>
      <c r="H1" s="106"/>
      <c r="I1" s="106"/>
      <c r="J1" s="106"/>
      <c r="K1" s="106"/>
      <c r="L1" s="106"/>
      <c r="M1" s="106"/>
    </row>
    <row r="2" spans="1:14" ht="12.75">
      <c r="A2" s="107" t="s">
        <v>1</v>
      </c>
      <c r="B2" s="108"/>
      <c r="C2" s="108"/>
      <c r="D2" s="109" t="s">
        <v>235</v>
      </c>
      <c r="E2" s="111" t="s">
        <v>434</v>
      </c>
      <c r="F2" s="108"/>
      <c r="G2" s="111"/>
      <c r="H2" s="108"/>
      <c r="I2" s="112" t="s">
        <v>454</v>
      </c>
      <c r="J2" s="112"/>
      <c r="K2" s="108"/>
      <c r="L2" s="108"/>
      <c r="M2" s="113"/>
      <c r="N2" s="32"/>
    </row>
    <row r="3" spans="1:14" ht="12.75">
      <c r="A3" s="104"/>
      <c r="B3" s="87"/>
      <c r="C3" s="87"/>
      <c r="D3" s="110"/>
      <c r="E3" s="87"/>
      <c r="F3" s="87"/>
      <c r="G3" s="87"/>
      <c r="H3" s="87"/>
      <c r="I3" s="87"/>
      <c r="J3" s="87"/>
      <c r="K3" s="87"/>
      <c r="L3" s="87"/>
      <c r="M3" s="102"/>
      <c r="N3" s="32"/>
    </row>
    <row r="4" spans="1:14" ht="12.75">
      <c r="A4" s="97" t="s">
        <v>2</v>
      </c>
      <c r="B4" s="87"/>
      <c r="C4" s="87"/>
      <c r="D4" s="86" t="s">
        <v>236</v>
      </c>
      <c r="E4" s="100" t="s">
        <v>435</v>
      </c>
      <c r="F4" s="87"/>
      <c r="G4" s="101">
        <v>42565</v>
      </c>
      <c r="H4" s="87"/>
      <c r="I4" s="86" t="s">
        <v>455</v>
      </c>
      <c r="J4" s="86"/>
      <c r="K4" s="87"/>
      <c r="L4" s="87"/>
      <c r="M4" s="102"/>
      <c r="N4" s="32"/>
    </row>
    <row r="5" spans="1:14" ht="12.75">
      <c r="A5" s="104"/>
      <c r="B5" s="87"/>
      <c r="C5" s="87"/>
      <c r="D5" s="87"/>
      <c r="E5" s="87"/>
      <c r="F5" s="87"/>
      <c r="G5" s="87"/>
      <c r="H5" s="87"/>
      <c r="I5" s="87"/>
      <c r="J5" s="87"/>
      <c r="K5" s="87"/>
      <c r="L5" s="87"/>
      <c r="M5" s="102"/>
      <c r="N5" s="32"/>
    </row>
    <row r="6" spans="1:14" ht="12.75">
      <c r="A6" s="97" t="s">
        <v>3</v>
      </c>
      <c r="B6" s="87"/>
      <c r="C6" s="87"/>
      <c r="D6" s="86" t="s">
        <v>237</v>
      </c>
      <c r="E6" s="100" t="s">
        <v>436</v>
      </c>
      <c r="F6" s="87"/>
      <c r="G6" s="87"/>
      <c r="H6" s="87"/>
      <c r="I6" s="86" t="s">
        <v>456</v>
      </c>
      <c r="J6" s="86"/>
      <c r="K6" s="87"/>
      <c r="L6" s="87"/>
      <c r="M6" s="102"/>
      <c r="N6" s="32"/>
    </row>
    <row r="7" spans="1:14" ht="12.75">
      <c r="A7" s="104"/>
      <c r="B7" s="87"/>
      <c r="C7" s="87"/>
      <c r="D7" s="87"/>
      <c r="E7" s="87"/>
      <c r="F7" s="87"/>
      <c r="G7" s="87"/>
      <c r="H7" s="87"/>
      <c r="I7" s="87"/>
      <c r="J7" s="87"/>
      <c r="K7" s="87"/>
      <c r="L7" s="87"/>
      <c r="M7" s="102"/>
      <c r="N7" s="32"/>
    </row>
    <row r="8" spans="1:14" ht="12.75">
      <c r="A8" s="97" t="s">
        <v>4</v>
      </c>
      <c r="B8" s="87"/>
      <c r="C8" s="87"/>
      <c r="D8" s="86"/>
      <c r="E8" s="100" t="s">
        <v>437</v>
      </c>
      <c r="F8" s="87"/>
      <c r="G8" s="101">
        <v>42565</v>
      </c>
      <c r="H8" s="87"/>
      <c r="I8" s="86" t="s">
        <v>457</v>
      </c>
      <c r="J8" s="86"/>
      <c r="K8" s="87"/>
      <c r="L8" s="87"/>
      <c r="M8" s="102"/>
      <c r="N8" s="32"/>
    </row>
    <row r="9" spans="1:14" ht="12.75">
      <c r="A9" s="98"/>
      <c r="B9" s="99"/>
      <c r="C9" s="99"/>
      <c r="D9" s="99"/>
      <c r="E9" s="99"/>
      <c r="F9" s="99"/>
      <c r="G9" s="99"/>
      <c r="H9" s="99"/>
      <c r="I9" s="99"/>
      <c r="J9" s="99"/>
      <c r="K9" s="99"/>
      <c r="L9" s="99"/>
      <c r="M9" s="103"/>
      <c r="N9" s="32"/>
    </row>
    <row r="10" spans="1:14" ht="12.75">
      <c r="A10" s="1" t="s">
        <v>5</v>
      </c>
      <c r="B10" s="10" t="s">
        <v>113</v>
      </c>
      <c r="C10" s="10" t="s">
        <v>114</v>
      </c>
      <c r="D10" s="10" t="s">
        <v>238</v>
      </c>
      <c r="E10" s="10" t="s">
        <v>438</v>
      </c>
      <c r="F10" s="18" t="s">
        <v>448</v>
      </c>
      <c r="G10" s="21" t="s">
        <v>449</v>
      </c>
      <c r="H10" s="92" t="s">
        <v>451</v>
      </c>
      <c r="I10" s="93"/>
      <c r="J10" s="94"/>
      <c r="K10" s="92" t="s">
        <v>460</v>
      </c>
      <c r="L10" s="94"/>
      <c r="M10" s="28" t="s">
        <v>461</v>
      </c>
      <c r="N10" s="33"/>
    </row>
    <row r="11" spans="1:24" ht="12.75">
      <c r="A11" s="2" t="s">
        <v>6</v>
      </c>
      <c r="B11" s="11" t="s">
        <v>6</v>
      </c>
      <c r="C11" s="11" t="s">
        <v>6</v>
      </c>
      <c r="D11" s="16" t="s">
        <v>239</v>
      </c>
      <c r="E11" s="11" t="s">
        <v>6</v>
      </c>
      <c r="F11" s="11" t="s">
        <v>6</v>
      </c>
      <c r="G11" s="22" t="s">
        <v>450</v>
      </c>
      <c r="H11" s="23" t="s">
        <v>452</v>
      </c>
      <c r="I11" s="24" t="s">
        <v>458</v>
      </c>
      <c r="J11" s="25" t="s">
        <v>459</v>
      </c>
      <c r="K11" s="23" t="s">
        <v>449</v>
      </c>
      <c r="L11" s="25" t="s">
        <v>459</v>
      </c>
      <c r="M11" s="29" t="s">
        <v>462</v>
      </c>
      <c r="N11" s="33"/>
      <c r="P11" s="27" t="s">
        <v>465</v>
      </c>
      <c r="Q11" s="27" t="s">
        <v>466</v>
      </c>
      <c r="R11" s="27" t="s">
        <v>471</v>
      </c>
      <c r="S11" s="27" t="s">
        <v>472</v>
      </c>
      <c r="T11" s="27" t="s">
        <v>473</v>
      </c>
      <c r="U11" s="27" t="s">
        <v>474</v>
      </c>
      <c r="V11" s="27" t="s">
        <v>475</v>
      </c>
      <c r="W11" s="27" t="s">
        <v>476</v>
      </c>
      <c r="X11" s="27" t="s">
        <v>477</v>
      </c>
    </row>
    <row r="12" spans="1:37" ht="12.75">
      <c r="A12" s="3"/>
      <c r="B12" s="12"/>
      <c r="C12" s="12" t="s">
        <v>17</v>
      </c>
      <c r="D12" s="95" t="s">
        <v>240</v>
      </c>
      <c r="E12" s="96"/>
      <c r="F12" s="96"/>
      <c r="G12" s="96"/>
      <c r="H12" s="36">
        <f>SUM(H13:H13)</f>
        <v>0</v>
      </c>
      <c r="I12" s="36">
        <f>SUM(I13:I13)</f>
        <v>0</v>
      </c>
      <c r="J12" s="36">
        <f>H12+I12</f>
        <v>0</v>
      </c>
      <c r="K12" s="26"/>
      <c r="L12" s="36">
        <f>SUM(L13:L13)</f>
        <v>5.829948000000001</v>
      </c>
      <c r="M12" s="26"/>
      <c r="P12" s="37">
        <f>IF(Q12="PR",J12,SUM(O13:O13))</f>
        <v>0</v>
      </c>
      <c r="Q12" s="27" t="s">
        <v>467</v>
      </c>
      <c r="R12" s="37">
        <f>IF(Q12="HS",H12,0)</f>
        <v>0</v>
      </c>
      <c r="S12" s="37">
        <f>IF(Q12="HS",I12-P12,0)</f>
        <v>0</v>
      </c>
      <c r="T12" s="37">
        <f>IF(Q12="PS",H12,0)</f>
        <v>0</v>
      </c>
      <c r="U12" s="37">
        <f>IF(Q12="PS",I12-P12,0)</f>
        <v>0</v>
      </c>
      <c r="V12" s="37">
        <f>IF(Q12="MP",H12,0)</f>
        <v>0</v>
      </c>
      <c r="W12" s="37">
        <f>IF(Q12="MP",I12-P12,0)</f>
        <v>0</v>
      </c>
      <c r="X12" s="37">
        <f>IF(Q12="OM",H12,0)</f>
        <v>0</v>
      </c>
      <c r="Y12" s="27"/>
      <c r="AI12" s="37">
        <f>SUM(Z13:Z13)</f>
        <v>0</v>
      </c>
      <c r="AJ12" s="37">
        <f>SUM(AA13:AA13)</f>
        <v>0</v>
      </c>
      <c r="AK12" s="37">
        <f>SUM(AB13:AB13)</f>
        <v>0</v>
      </c>
    </row>
    <row r="13" spans="1:43" ht="12.75">
      <c r="A13" s="4" t="s">
        <v>7</v>
      </c>
      <c r="B13" s="4"/>
      <c r="C13" s="4" t="s">
        <v>115</v>
      </c>
      <c r="D13" s="4" t="s">
        <v>241</v>
      </c>
      <c r="E13" s="4" t="s">
        <v>439</v>
      </c>
      <c r="F13" s="19">
        <v>42.246</v>
      </c>
      <c r="G13" s="19">
        <v>0</v>
      </c>
      <c r="H13" s="19">
        <f>F13*AE13</f>
        <v>0</v>
      </c>
      <c r="I13" s="19">
        <f>J13-H13</f>
        <v>0</v>
      </c>
      <c r="J13" s="19">
        <f>F13*G13</f>
        <v>0</v>
      </c>
      <c r="K13" s="19">
        <v>0.138</v>
      </c>
      <c r="L13" s="19">
        <f>F13*K13</f>
        <v>5.829948000000001</v>
      </c>
      <c r="M13" s="30" t="s">
        <v>463</v>
      </c>
      <c r="N13" s="30" t="s">
        <v>7</v>
      </c>
      <c r="O13" s="19">
        <f>IF(N13="5",I13,0)</f>
        <v>0</v>
      </c>
      <c r="Z13" s="19">
        <f>IF(AD13=0,J13,0)</f>
        <v>0</v>
      </c>
      <c r="AA13" s="19">
        <f>IF(AD13=15,J13,0)</f>
        <v>0</v>
      </c>
      <c r="AB13" s="19">
        <f>IF(AD13=21,J13,0)</f>
        <v>0</v>
      </c>
      <c r="AD13" s="34">
        <v>21</v>
      </c>
      <c r="AE13" s="34">
        <f>G13*0</f>
        <v>0</v>
      </c>
      <c r="AF13" s="34">
        <f>G13*(1-0)</f>
        <v>0</v>
      </c>
      <c r="AM13" s="34">
        <f>F13*AE13</f>
        <v>0</v>
      </c>
      <c r="AN13" s="34">
        <f>F13*AF13</f>
        <v>0</v>
      </c>
      <c r="AO13" s="35" t="s">
        <v>478</v>
      </c>
      <c r="AP13" s="35" t="s">
        <v>505</v>
      </c>
      <c r="AQ13" s="27" t="s">
        <v>516</v>
      </c>
    </row>
    <row r="14" spans="3:13" ht="25.5" customHeight="1">
      <c r="C14" s="14" t="s">
        <v>116</v>
      </c>
      <c r="D14" s="88" t="s">
        <v>242</v>
      </c>
      <c r="E14" s="89"/>
      <c r="F14" s="89"/>
      <c r="G14" s="89"/>
      <c r="H14" s="89"/>
      <c r="I14" s="89"/>
      <c r="J14" s="89"/>
      <c r="K14" s="89"/>
      <c r="L14" s="89"/>
      <c r="M14" s="89"/>
    </row>
    <row r="15" spans="1:37" ht="12.75">
      <c r="A15" s="5"/>
      <c r="B15" s="13"/>
      <c r="C15" s="13" t="s">
        <v>18</v>
      </c>
      <c r="D15" s="90" t="s">
        <v>243</v>
      </c>
      <c r="E15" s="91"/>
      <c r="F15" s="91"/>
      <c r="G15" s="91"/>
      <c r="H15" s="37">
        <f>SUM(H16:H16)</f>
        <v>0</v>
      </c>
      <c r="I15" s="37">
        <f>SUM(I16:I16)</f>
        <v>0</v>
      </c>
      <c r="J15" s="37">
        <f>H15+I15</f>
        <v>0</v>
      </c>
      <c r="K15" s="27"/>
      <c r="L15" s="37">
        <f>SUM(L16:L16)</f>
        <v>0</v>
      </c>
      <c r="M15" s="27"/>
      <c r="P15" s="37">
        <f>IF(Q15="PR",J15,SUM(O16:O16))</f>
        <v>0</v>
      </c>
      <c r="Q15" s="27" t="s">
        <v>467</v>
      </c>
      <c r="R15" s="37">
        <f>IF(Q15="HS",H15,0)</f>
        <v>0</v>
      </c>
      <c r="S15" s="37">
        <f>IF(Q15="HS",I15-P15,0)</f>
        <v>0</v>
      </c>
      <c r="T15" s="37">
        <f>IF(Q15="PS",H15,0)</f>
        <v>0</v>
      </c>
      <c r="U15" s="37">
        <f>IF(Q15="PS",I15-P15,0)</f>
        <v>0</v>
      </c>
      <c r="V15" s="37">
        <f>IF(Q15="MP",H15,0)</f>
        <v>0</v>
      </c>
      <c r="W15" s="37">
        <f>IF(Q15="MP",I15-P15,0)</f>
        <v>0</v>
      </c>
      <c r="X15" s="37">
        <f>IF(Q15="OM",H15,0)</f>
        <v>0</v>
      </c>
      <c r="Y15" s="27"/>
      <c r="AI15" s="37">
        <f>SUM(Z16:Z16)</f>
        <v>0</v>
      </c>
      <c r="AJ15" s="37">
        <f>SUM(AA16:AA16)</f>
        <v>0</v>
      </c>
      <c r="AK15" s="37">
        <f>SUM(AB16:AB16)</f>
        <v>0</v>
      </c>
    </row>
    <row r="16" spans="1:43" ht="12.75">
      <c r="A16" s="4" t="s">
        <v>8</v>
      </c>
      <c r="B16" s="4"/>
      <c r="C16" s="4" t="s">
        <v>117</v>
      </c>
      <c r="D16" s="4" t="s">
        <v>244</v>
      </c>
      <c r="E16" s="4" t="s">
        <v>440</v>
      </c>
      <c r="F16" s="19">
        <v>34.5009</v>
      </c>
      <c r="G16" s="19">
        <v>0</v>
      </c>
      <c r="H16" s="19">
        <f>F16*AE16</f>
        <v>0</v>
      </c>
      <c r="I16" s="19">
        <f>J16-H16</f>
        <v>0</v>
      </c>
      <c r="J16" s="19">
        <f>F16*G16</f>
        <v>0</v>
      </c>
      <c r="K16" s="19">
        <v>0</v>
      </c>
      <c r="L16" s="19">
        <f>F16*K16</f>
        <v>0</v>
      </c>
      <c r="M16" s="30" t="s">
        <v>463</v>
      </c>
      <c r="N16" s="30" t="s">
        <v>7</v>
      </c>
      <c r="O16" s="19">
        <f>IF(N16="5",I16,0)</f>
        <v>0</v>
      </c>
      <c r="Z16" s="19">
        <f>IF(AD16=0,J16,0)</f>
        <v>0</v>
      </c>
      <c r="AA16" s="19">
        <f>IF(AD16=15,J16,0)</f>
        <v>0</v>
      </c>
      <c r="AB16" s="19">
        <f>IF(AD16=21,J16,0)</f>
        <v>0</v>
      </c>
      <c r="AD16" s="34">
        <v>21</v>
      </c>
      <c r="AE16" s="34">
        <f>G16*0</f>
        <v>0</v>
      </c>
      <c r="AF16" s="34">
        <f>G16*(1-0)</f>
        <v>0</v>
      </c>
      <c r="AM16" s="34">
        <f>F16*AE16</f>
        <v>0</v>
      </c>
      <c r="AN16" s="34">
        <f>F16*AF16</f>
        <v>0</v>
      </c>
      <c r="AO16" s="35" t="s">
        <v>479</v>
      </c>
      <c r="AP16" s="35" t="s">
        <v>505</v>
      </c>
      <c r="AQ16" s="27" t="s">
        <v>516</v>
      </c>
    </row>
    <row r="17" spans="3:13" ht="12.75">
      <c r="C17" s="14" t="s">
        <v>116</v>
      </c>
      <c r="D17" s="88" t="s">
        <v>245</v>
      </c>
      <c r="E17" s="89"/>
      <c r="F17" s="89"/>
      <c r="G17" s="89"/>
      <c r="H17" s="89"/>
      <c r="I17" s="89"/>
      <c r="J17" s="89"/>
      <c r="K17" s="89"/>
      <c r="L17" s="89"/>
      <c r="M17" s="89"/>
    </row>
    <row r="18" spans="1:37" ht="12.75">
      <c r="A18" s="5"/>
      <c r="B18" s="13"/>
      <c r="C18" s="13" t="s">
        <v>19</v>
      </c>
      <c r="D18" s="90" t="s">
        <v>246</v>
      </c>
      <c r="E18" s="91"/>
      <c r="F18" s="91"/>
      <c r="G18" s="91"/>
      <c r="H18" s="37">
        <f>SUM(H19:H19)</f>
        <v>0</v>
      </c>
      <c r="I18" s="37">
        <f>SUM(I19:I19)</f>
        <v>0</v>
      </c>
      <c r="J18" s="37">
        <f>H18+I18</f>
        <v>0</v>
      </c>
      <c r="K18" s="27"/>
      <c r="L18" s="37">
        <f>SUM(L19:L19)</f>
        <v>0</v>
      </c>
      <c r="M18" s="27"/>
      <c r="P18" s="37">
        <f>IF(Q18="PR",J18,SUM(O19:O19))</f>
        <v>0</v>
      </c>
      <c r="Q18" s="27" t="s">
        <v>467</v>
      </c>
      <c r="R18" s="37">
        <f>IF(Q18="HS",H18,0)</f>
        <v>0</v>
      </c>
      <c r="S18" s="37">
        <f>IF(Q18="HS",I18-P18,0)</f>
        <v>0</v>
      </c>
      <c r="T18" s="37">
        <f>IF(Q18="PS",H18,0)</f>
        <v>0</v>
      </c>
      <c r="U18" s="37">
        <f>IF(Q18="PS",I18-P18,0)</f>
        <v>0</v>
      </c>
      <c r="V18" s="37">
        <f>IF(Q18="MP",H18,0)</f>
        <v>0</v>
      </c>
      <c r="W18" s="37">
        <f>IF(Q18="MP",I18-P18,0)</f>
        <v>0</v>
      </c>
      <c r="X18" s="37">
        <f>IF(Q18="OM",H18,0)</f>
        <v>0</v>
      </c>
      <c r="Y18" s="27"/>
      <c r="AI18" s="37">
        <f>SUM(Z19:Z19)</f>
        <v>0</v>
      </c>
      <c r="AJ18" s="37">
        <f>SUM(AA19:AA19)</f>
        <v>0</v>
      </c>
      <c r="AK18" s="37">
        <f>SUM(AB19:AB19)</f>
        <v>0</v>
      </c>
    </row>
    <row r="19" spans="1:43" ht="12.75">
      <c r="A19" s="4" t="s">
        <v>9</v>
      </c>
      <c r="B19" s="4"/>
      <c r="C19" s="4" t="s">
        <v>118</v>
      </c>
      <c r="D19" s="4" t="s">
        <v>247</v>
      </c>
      <c r="E19" s="4" t="s">
        <v>440</v>
      </c>
      <c r="F19" s="19">
        <v>34.5009</v>
      </c>
      <c r="G19" s="19">
        <v>0</v>
      </c>
      <c r="H19" s="19">
        <f>F19*AE19</f>
        <v>0</v>
      </c>
      <c r="I19" s="19">
        <f>J19-H19</f>
        <v>0</v>
      </c>
      <c r="J19" s="19">
        <f>F19*G19</f>
        <v>0</v>
      </c>
      <c r="K19" s="19">
        <v>0</v>
      </c>
      <c r="L19" s="19">
        <f>F19*K19</f>
        <v>0</v>
      </c>
      <c r="M19" s="30" t="s">
        <v>463</v>
      </c>
      <c r="N19" s="30" t="s">
        <v>7</v>
      </c>
      <c r="O19" s="19">
        <f>IF(N19="5",I19,0)</f>
        <v>0</v>
      </c>
      <c r="Z19" s="19">
        <f>IF(AD19=0,J19,0)</f>
        <v>0</v>
      </c>
      <c r="AA19" s="19">
        <f>IF(AD19=15,J19,0)</f>
        <v>0</v>
      </c>
      <c r="AB19" s="19">
        <f>IF(AD19=21,J19,0)</f>
        <v>0</v>
      </c>
      <c r="AD19" s="34">
        <v>21</v>
      </c>
      <c r="AE19" s="34">
        <f>G19*0</f>
        <v>0</v>
      </c>
      <c r="AF19" s="34">
        <f>G19*(1-0)</f>
        <v>0</v>
      </c>
      <c r="AM19" s="34">
        <f>F19*AE19</f>
        <v>0</v>
      </c>
      <c r="AN19" s="34">
        <f>F19*AF19</f>
        <v>0</v>
      </c>
      <c r="AO19" s="35" t="s">
        <v>480</v>
      </c>
      <c r="AP19" s="35" t="s">
        <v>505</v>
      </c>
      <c r="AQ19" s="27" t="s">
        <v>516</v>
      </c>
    </row>
    <row r="20" spans="3:13" ht="38.25" customHeight="1">
      <c r="C20" s="14" t="s">
        <v>116</v>
      </c>
      <c r="D20" s="88" t="s">
        <v>248</v>
      </c>
      <c r="E20" s="89"/>
      <c r="F20" s="89"/>
      <c r="G20" s="89"/>
      <c r="H20" s="89"/>
      <c r="I20" s="89"/>
      <c r="J20" s="89"/>
      <c r="K20" s="89"/>
      <c r="L20" s="89"/>
      <c r="M20" s="89"/>
    </row>
    <row r="21" spans="1:37" ht="12.75">
      <c r="A21" s="5"/>
      <c r="B21" s="13"/>
      <c r="C21" s="13" t="s">
        <v>27</v>
      </c>
      <c r="D21" s="90" t="s">
        <v>249</v>
      </c>
      <c r="E21" s="91"/>
      <c r="F21" s="91"/>
      <c r="G21" s="91"/>
      <c r="H21" s="37">
        <f>SUM(H22:H23)</f>
        <v>0</v>
      </c>
      <c r="I21" s="37">
        <f>SUM(I22:I23)</f>
        <v>0</v>
      </c>
      <c r="J21" s="37">
        <f>H21+I21</f>
        <v>0</v>
      </c>
      <c r="K21" s="27"/>
      <c r="L21" s="37">
        <f>SUM(L22:L23)</f>
        <v>0.014195000000000001</v>
      </c>
      <c r="M21" s="27"/>
      <c r="P21" s="37">
        <f>IF(Q21="PR",J21,SUM(O22:O23))</f>
        <v>0</v>
      </c>
      <c r="Q21" s="27" t="s">
        <v>467</v>
      </c>
      <c r="R21" s="37">
        <f>IF(Q21="HS",H21,0)</f>
        <v>0</v>
      </c>
      <c r="S21" s="37">
        <f>IF(Q21="HS",I21-P21,0)</f>
        <v>0</v>
      </c>
      <c r="T21" s="37">
        <f>IF(Q21="PS",H21,0)</f>
        <v>0</v>
      </c>
      <c r="U21" s="37">
        <f>IF(Q21="PS",I21-P21,0)</f>
        <v>0</v>
      </c>
      <c r="V21" s="37">
        <f>IF(Q21="MP",H21,0)</f>
        <v>0</v>
      </c>
      <c r="W21" s="37">
        <f>IF(Q21="MP",I21-P21,0)</f>
        <v>0</v>
      </c>
      <c r="X21" s="37">
        <f>IF(Q21="OM",H21,0)</f>
        <v>0</v>
      </c>
      <c r="Y21" s="27"/>
      <c r="AI21" s="37">
        <f>SUM(Z22:Z23)</f>
        <v>0</v>
      </c>
      <c r="AJ21" s="37">
        <f>SUM(AA22:AA23)</f>
        <v>0</v>
      </c>
      <c r="AK21" s="37">
        <f>SUM(AB22:AB23)</f>
        <v>0</v>
      </c>
    </row>
    <row r="22" spans="1:43" ht="12.75">
      <c r="A22" s="4" t="s">
        <v>10</v>
      </c>
      <c r="B22" s="4"/>
      <c r="C22" s="4" t="s">
        <v>119</v>
      </c>
      <c r="D22" s="4" t="s">
        <v>250</v>
      </c>
      <c r="E22" s="4" t="s">
        <v>439</v>
      </c>
      <c r="F22" s="19">
        <v>709.75</v>
      </c>
      <c r="G22" s="19">
        <v>0</v>
      </c>
      <c r="H22" s="19">
        <f>F22*AE22</f>
        <v>0</v>
      </c>
      <c r="I22" s="19">
        <f>J22-H22</f>
        <v>0</v>
      </c>
      <c r="J22" s="19">
        <f>F22*G22</f>
        <v>0</v>
      </c>
      <c r="K22" s="19">
        <v>2E-05</v>
      </c>
      <c r="L22" s="19">
        <f>F22*K22</f>
        <v>0.014195000000000001</v>
      </c>
      <c r="M22" s="30" t="s">
        <v>463</v>
      </c>
      <c r="N22" s="30" t="s">
        <v>7</v>
      </c>
      <c r="O22" s="19">
        <f>IF(N22="5",I22,0)</f>
        <v>0</v>
      </c>
      <c r="Z22" s="19">
        <f>IF(AD22=0,J22,0)</f>
        <v>0</v>
      </c>
      <c r="AA22" s="19">
        <f>IF(AD22=15,J22,0)</f>
        <v>0</v>
      </c>
      <c r="AB22" s="19">
        <f>IF(AD22=21,J22,0)</f>
        <v>0</v>
      </c>
      <c r="AD22" s="34">
        <v>21</v>
      </c>
      <c r="AE22" s="34">
        <f>G22*0.0612448132780083</f>
        <v>0</v>
      </c>
      <c r="AF22" s="34">
        <f>G22*(1-0.0612448132780083)</f>
        <v>0</v>
      </c>
      <c r="AM22" s="34">
        <f>F22*AE22</f>
        <v>0</v>
      </c>
      <c r="AN22" s="34">
        <f>F22*AF22</f>
        <v>0</v>
      </c>
      <c r="AO22" s="35" t="s">
        <v>481</v>
      </c>
      <c r="AP22" s="35" t="s">
        <v>506</v>
      </c>
      <c r="AQ22" s="27" t="s">
        <v>516</v>
      </c>
    </row>
    <row r="23" spans="1:43" ht="12.75">
      <c r="A23" s="4" t="s">
        <v>11</v>
      </c>
      <c r="B23" s="4"/>
      <c r="C23" s="4" t="s">
        <v>120</v>
      </c>
      <c r="D23" s="4" t="s">
        <v>251</v>
      </c>
      <c r="E23" s="4" t="s">
        <v>439</v>
      </c>
      <c r="F23" s="19">
        <v>61.24</v>
      </c>
      <c r="G23" s="19">
        <v>0</v>
      </c>
      <c r="H23" s="19">
        <f>F23*AE23</f>
        <v>0</v>
      </c>
      <c r="I23" s="19">
        <f>J23-H23</f>
        <v>0</v>
      </c>
      <c r="J23" s="19">
        <f>F23*G23</f>
        <v>0</v>
      </c>
      <c r="K23" s="19">
        <v>0</v>
      </c>
      <c r="L23" s="19">
        <f>F23*K23</f>
        <v>0</v>
      </c>
      <c r="M23" s="30" t="s">
        <v>463</v>
      </c>
      <c r="N23" s="30" t="s">
        <v>7</v>
      </c>
      <c r="O23" s="19">
        <f>IF(N23="5",I23,0)</f>
        <v>0</v>
      </c>
      <c r="Z23" s="19">
        <f>IF(AD23=0,J23,0)</f>
        <v>0</v>
      </c>
      <c r="AA23" s="19">
        <f>IF(AD23=15,J23,0)</f>
        <v>0</v>
      </c>
      <c r="AB23" s="19">
        <f>IF(AD23=21,J23,0)</f>
        <v>0</v>
      </c>
      <c r="AD23" s="34">
        <v>21</v>
      </c>
      <c r="AE23" s="34">
        <f>G23*0</f>
        <v>0</v>
      </c>
      <c r="AF23" s="34">
        <f>G23*(1-0)</f>
        <v>0</v>
      </c>
      <c r="AM23" s="34">
        <f>F23*AE23</f>
        <v>0</v>
      </c>
      <c r="AN23" s="34">
        <f>F23*AF23</f>
        <v>0</v>
      </c>
      <c r="AO23" s="35" t="s">
        <v>481</v>
      </c>
      <c r="AP23" s="35" t="s">
        <v>506</v>
      </c>
      <c r="AQ23" s="27" t="s">
        <v>516</v>
      </c>
    </row>
    <row r="24" spans="3:13" ht="12.75">
      <c r="C24" s="14" t="s">
        <v>116</v>
      </c>
      <c r="D24" s="88" t="s">
        <v>252</v>
      </c>
      <c r="E24" s="89"/>
      <c r="F24" s="89"/>
      <c r="G24" s="89"/>
      <c r="H24" s="89"/>
      <c r="I24" s="89"/>
      <c r="J24" s="89"/>
      <c r="K24" s="89"/>
      <c r="L24" s="89"/>
      <c r="M24" s="89"/>
    </row>
    <row r="25" spans="1:37" ht="12.75">
      <c r="A25" s="5"/>
      <c r="B25" s="13"/>
      <c r="C25" s="13" t="s">
        <v>40</v>
      </c>
      <c r="D25" s="90" t="s">
        <v>253</v>
      </c>
      <c r="E25" s="91"/>
      <c r="F25" s="91"/>
      <c r="G25" s="91"/>
      <c r="H25" s="37">
        <f>SUM(H26:H26)</f>
        <v>0</v>
      </c>
      <c r="I25" s="37">
        <f>SUM(I26:I26)</f>
        <v>0</v>
      </c>
      <c r="J25" s="37">
        <f>H25+I25</f>
        <v>0</v>
      </c>
      <c r="K25" s="27"/>
      <c r="L25" s="37">
        <f>SUM(L26:L26)</f>
        <v>0.917434</v>
      </c>
      <c r="M25" s="27"/>
      <c r="P25" s="37">
        <f>IF(Q25="PR",J25,SUM(O26:O26))</f>
        <v>0</v>
      </c>
      <c r="Q25" s="27" t="s">
        <v>467</v>
      </c>
      <c r="R25" s="37">
        <f>IF(Q25="HS",H25,0)</f>
        <v>0</v>
      </c>
      <c r="S25" s="37">
        <f>IF(Q25="HS",I25-P25,0)</f>
        <v>0</v>
      </c>
      <c r="T25" s="37">
        <f>IF(Q25="PS",H25,0)</f>
        <v>0</v>
      </c>
      <c r="U25" s="37">
        <f>IF(Q25="PS",I25-P25,0)</f>
        <v>0</v>
      </c>
      <c r="V25" s="37">
        <f>IF(Q25="MP",H25,0)</f>
        <v>0</v>
      </c>
      <c r="W25" s="37">
        <f>IF(Q25="MP",I25-P25,0)</f>
        <v>0</v>
      </c>
      <c r="X25" s="37">
        <f>IF(Q25="OM",H25,0)</f>
        <v>0</v>
      </c>
      <c r="Y25" s="27"/>
      <c r="AI25" s="37">
        <f>SUM(Z26:Z26)</f>
        <v>0</v>
      </c>
      <c r="AJ25" s="37">
        <f>SUM(AA26:AA26)</f>
        <v>0</v>
      </c>
      <c r="AK25" s="37">
        <f>SUM(AB26:AB26)</f>
        <v>0</v>
      </c>
    </row>
    <row r="26" spans="1:43" ht="12.75">
      <c r="A26" s="4" t="s">
        <v>12</v>
      </c>
      <c r="B26" s="4"/>
      <c r="C26" s="4" t="s">
        <v>121</v>
      </c>
      <c r="D26" s="4" t="s">
        <v>254</v>
      </c>
      <c r="E26" s="4" t="s">
        <v>439</v>
      </c>
      <c r="F26" s="19">
        <v>5.32</v>
      </c>
      <c r="G26" s="19">
        <v>0</v>
      </c>
      <c r="H26" s="19">
        <f>F26*AE26</f>
        <v>0</v>
      </c>
      <c r="I26" s="19">
        <f>J26-H26</f>
        <v>0</v>
      </c>
      <c r="J26" s="19">
        <f>F26*G26</f>
        <v>0</v>
      </c>
      <c r="K26" s="19">
        <v>0.17245</v>
      </c>
      <c r="L26" s="19">
        <f>F26*K26</f>
        <v>0.917434</v>
      </c>
      <c r="M26" s="30" t="s">
        <v>463</v>
      </c>
      <c r="N26" s="30" t="s">
        <v>7</v>
      </c>
      <c r="O26" s="19">
        <f>IF(N26="5",I26,0)</f>
        <v>0</v>
      </c>
      <c r="Z26" s="19">
        <f>IF(AD26=0,J26,0)</f>
        <v>0</v>
      </c>
      <c r="AA26" s="19">
        <f>IF(AD26=15,J26,0)</f>
        <v>0</v>
      </c>
      <c r="AB26" s="19">
        <f>IF(AD26=21,J26,0)</f>
        <v>0</v>
      </c>
      <c r="AD26" s="34">
        <v>21</v>
      </c>
      <c r="AE26" s="34">
        <f>G26*0.720336662658778</f>
        <v>0</v>
      </c>
      <c r="AF26" s="34">
        <f>G26*(1-0.720336662658778)</f>
        <v>0</v>
      </c>
      <c r="AM26" s="34">
        <f>F26*AE26</f>
        <v>0</v>
      </c>
      <c r="AN26" s="34">
        <f>F26*AF26</f>
        <v>0</v>
      </c>
      <c r="AO26" s="35" t="s">
        <v>482</v>
      </c>
      <c r="AP26" s="35" t="s">
        <v>507</v>
      </c>
      <c r="AQ26" s="27" t="s">
        <v>516</v>
      </c>
    </row>
    <row r="27" spans="1:37" ht="12.75">
      <c r="A27" s="5"/>
      <c r="B27" s="13"/>
      <c r="C27" s="13" t="s">
        <v>67</v>
      </c>
      <c r="D27" s="90" t="s">
        <v>255</v>
      </c>
      <c r="E27" s="91"/>
      <c r="F27" s="91"/>
      <c r="G27" s="91"/>
      <c r="H27" s="37">
        <f>SUM(H28:H29)</f>
        <v>0</v>
      </c>
      <c r="I27" s="37">
        <f>SUM(I28:I29)</f>
        <v>0</v>
      </c>
      <c r="J27" s="37">
        <f>H27+I27</f>
        <v>0</v>
      </c>
      <c r="K27" s="27"/>
      <c r="L27" s="37">
        <f>SUM(L28:L29)</f>
        <v>0</v>
      </c>
      <c r="M27" s="27"/>
      <c r="P27" s="37">
        <f>IF(Q27="PR",J27,SUM(O28:O29))</f>
        <v>0</v>
      </c>
      <c r="Q27" s="27" t="s">
        <v>467</v>
      </c>
      <c r="R27" s="37">
        <f>IF(Q27="HS",H27,0)</f>
        <v>0</v>
      </c>
      <c r="S27" s="37">
        <f>IF(Q27="HS",I27-P27,0)</f>
        <v>0</v>
      </c>
      <c r="T27" s="37">
        <f>IF(Q27="PS",H27,0)</f>
        <v>0</v>
      </c>
      <c r="U27" s="37">
        <f>IF(Q27="PS",I27-P27,0)</f>
        <v>0</v>
      </c>
      <c r="V27" s="37">
        <f>IF(Q27="MP",H27,0)</f>
        <v>0</v>
      </c>
      <c r="W27" s="37">
        <f>IF(Q27="MP",I27-P27,0)</f>
        <v>0</v>
      </c>
      <c r="X27" s="37">
        <f>IF(Q27="OM",H27,0)</f>
        <v>0</v>
      </c>
      <c r="Y27" s="27"/>
      <c r="AI27" s="37">
        <f>SUM(Z28:Z29)</f>
        <v>0</v>
      </c>
      <c r="AJ27" s="37">
        <f>SUM(AA28:AA29)</f>
        <v>0</v>
      </c>
      <c r="AK27" s="37">
        <f>SUM(AB28:AB29)</f>
        <v>0</v>
      </c>
    </row>
    <row r="28" spans="1:43" ht="12.75">
      <c r="A28" s="4" t="s">
        <v>13</v>
      </c>
      <c r="B28" s="4"/>
      <c r="C28" s="4" t="s">
        <v>122</v>
      </c>
      <c r="D28" s="4" t="s">
        <v>256</v>
      </c>
      <c r="E28" s="4" t="s">
        <v>441</v>
      </c>
      <c r="F28" s="19">
        <v>0</v>
      </c>
      <c r="G28" s="19">
        <v>0</v>
      </c>
      <c r="H28" s="19">
        <f>F28*AE28</f>
        <v>0</v>
      </c>
      <c r="I28" s="19">
        <f>J28-H28</f>
        <v>0</v>
      </c>
      <c r="J28" s="19">
        <f>F28*G28</f>
        <v>0</v>
      </c>
      <c r="K28" s="19">
        <v>0.00238</v>
      </c>
      <c r="L28" s="19">
        <f>F28*K28</f>
        <v>0</v>
      </c>
      <c r="M28" s="30" t="s">
        <v>463</v>
      </c>
      <c r="N28" s="30" t="s">
        <v>7</v>
      </c>
      <c r="O28" s="19">
        <f>IF(N28="5",I28,0)</f>
        <v>0</v>
      </c>
      <c r="Z28" s="19">
        <f>IF(AD28=0,J28,0)</f>
        <v>0</v>
      </c>
      <c r="AA28" s="19">
        <f>IF(AD28=15,J28,0)</f>
        <v>0</v>
      </c>
      <c r="AB28" s="19">
        <f>IF(AD28=21,J28,0)</f>
        <v>0</v>
      </c>
      <c r="AD28" s="34">
        <v>21</v>
      </c>
      <c r="AE28" s="34">
        <f>G28*0</f>
        <v>0</v>
      </c>
      <c r="AF28" s="34">
        <f>G28*(1-0)</f>
        <v>0</v>
      </c>
      <c r="AM28" s="34">
        <f>F28*AE28</f>
        <v>0</v>
      </c>
      <c r="AN28" s="34">
        <f>F28*AF28</f>
        <v>0</v>
      </c>
      <c r="AO28" s="35" t="s">
        <v>483</v>
      </c>
      <c r="AP28" s="35" t="s">
        <v>508</v>
      </c>
      <c r="AQ28" s="27" t="s">
        <v>516</v>
      </c>
    </row>
    <row r="29" spans="1:43" ht="12.75">
      <c r="A29" s="4" t="s">
        <v>14</v>
      </c>
      <c r="B29" s="4"/>
      <c r="C29" s="4" t="s">
        <v>123</v>
      </c>
      <c r="D29" s="4" t="s">
        <v>257</v>
      </c>
      <c r="E29" s="4" t="s">
        <v>439</v>
      </c>
      <c r="F29" s="19">
        <v>0</v>
      </c>
      <c r="G29" s="19">
        <v>0</v>
      </c>
      <c r="H29" s="19">
        <f>F29*AE29</f>
        <v>0</v>
      </c>
      <c r="I29" s="19">
        <f>J29-H29</f>
        <v>0</v>
      </c>
      <c r="J29" s="19">
        <f>F29*G29</f>
        <v>0</v>
      </c>
      <c r="K29" s="19">
        <v>0.04766</v>
      </c>
      <c r="L29" s="19">
        <f>F29*K29</f>
        <v>0</v>
      </c>
      <c r="M29" s="30" t="s">
        <v>463</v>
      </c>
      <c r="N29" s="30" t="s">
        <v>7</v>
      </c>
      <c r="O29" s="19">
        <f>IF(N29="5",I29,0)</f>
        <v>0</v>
      </c>
      <c r="Z29" s="19">
        <f>IF(AD29=0,J29,0)</f>
        <v>0</v>
      </c>
      <c r="AA29" s="19">
        <f>IF(AD29=15,J29,0)</f>
        <v>0</v>
      </c>
      <c r="AB29" s="19">
        <f>IF(AD29=21,J29,0)</f>
        <v>0</v>
      </c>
      <c r="AD29" s="34">
        <v>21</v>
      </c>
      <c r="AE29" s="34">
        <f>G29*0</f>
        <v>0</v>
      </c>
      <c r="AF29" s="34">
        <f>G29*(1-0)</f>
        <v>0</v>
      </c>
      <c r="AM29" s="34">
        <f>F29*AE29</f>
        <v>0</v>
      </c>
      <c r="AN29" s="34">
        <f>F29*AF29</f>
        <v>0</v>
      </c>
      <c r="AO29" s="35" t="s">
        <v>483</v>
      </c>
      <c r="AP29" s="35" t="s">
        <v>508</v>
      </c>
      <c r="AQ29" s="27" t="s">
        <v>516</v>
      </c>
    </row>
    <row r="30" spans="3:13" ht="12.75">
      <c r="C30" s="14" t="s">
        <v>116</v>
      </c>
      <c r="D30" s="88" t="s">
        <v>258</v>
      </c>
      <c r="E30" s="89"/>
      <c r="F30" s="89"/>
      <c r="G30" s="89"/>
      <c r="H30" s="89"/>
      <c r="I30" s="89"/>
      <c r="J30" s="89"/>
      <c r="K30" s="89"/>
      <c r="L30" s="89"/>
      <c r="M30" s="89"/>
    </row>
    <row r="31" spans="1:37" ht="12.75">
      <c r="A31" s="5"/>
      <c r="B31" s="13"/>
      <c r="C31" s="13" t="s">
        <v>68</v>
      </c>
      <c r="D31" s="90" t="s">
        <v>259</v>
      </c>
      <c r="E31" s="91"/>
      <c r="F31" s="91"/>
      <c r="G31" s="91"/>
      <c r="H31" s="37">
        <f>SUM(H32:H43)</f>
        <v>0</v>
      </c>
      <c r="I31" s="37">
        <f>SUM(I32:I43)</f>
        <v>0</v>
      </c>
      <c r="J31" s="37">
        <f>H31+I31</f>
        <v>0</v>
      </c>
      <c r="K31" s="27"/>
      <c r="L31" s="37">
        <f>SUM(L32:L43)</f>
        <v>16.80556471</v>
      </c>
      <c r="M31" s="27"/>
      <c r="P31" s="37">
        <f>IF(Q31="PR",J31,SUM(O32:O43))</f>
        <v>0</v>
      </c>
      <c r="Q31" s="27" t="s">
        <v>467</v>
      </c>
      <c r="R31" s="37">
        <f>IF(Q31="HS",H31,0)</f>
        <v>0</v>
      </c>
      <c r="S31" s="37">
        <f>IF(Q31="HS",I31-P31,0)</f>
        <v>0</v>
      </c>
      <c r="T31" s="37">
        <f>IF(Q31="PS",H31,0)</f>
        <v>0</v>
      </c>
      <c r="U31" s="37">
        <f>IF(Q31="PS",I31-P31,0)</f>
        <v>0</v>
      </c>
      <c r="V31" s="37">
        <f>IF(Q31="MP",H31,0)</f>
        <v>0</v>
      </c>
      <c r="W31" s="37">
        <f>IF(Q31="MP",I31-P31,0)</f>
        <v>0</v>
      </c>
      <c r="X31" s="37">
        <f>IF(Q31="OM",H31,0)</f>
        <v>0</v>
      </c>
      <c r="Y31" s="27"/>
      <c r="AI31" s="37">
        <f>SUM(Z32:Z43)</f>
        <v>0</v>
      </c>
      <c r="AJ31" s="37">
        <f>SUM(AA32:AA43)</f>
        <v>0</v>
      </c>
      <c r="AK31" s="37">
        <f>SUM(AB32:AB43)</f>
        <v>0</v>
      </c>
    </row>
    <row r="32" spans="1:43" ht="12.75">
      <c r="A32" s="4" t="s">
        <v>15</v>
      </c>
      <c r="B32" s="4"/>
      <c r="C32" s="4" t="s">
        <v>124</v>
      </c>
      <c r="D32" s="4" t="s">
        <v>260</v>
      </c>
      <c r="E32" s="4" t="s">
        <v>439</v>
      </c>
      <c r="F32" s="19">
        <v>709.75</v>
      </c>
      <c r="G32" s="19">
        <v>0</v>
      </c>
      <c r="H32" s="19">
        <f>F32*AE32</f>
        <v>0</v>
      </c>
      <c r="I32" s="19">
        <f>J32-H32</f>
        <v>0</v>
      </c>
      <c r="J32" s="19">
        <f>F32*G32</f>
        <v>0</v>
      </c>
      <c r="K32" s="19">
        <v>0.01521</v>
      </c>
      <c r="L32" s="19">
        <f>F32*K32</f>
        <v>10.7952975</v>
      </c>
      <c r="M32" s="30" t="s">
        <v>463</v>
      </c>
      <c r="N32" s="30" t="s">
        <v>7</v>
      </c>
      <c r="O32" s="19">
        <f>IF(N32="5",I32,0)</f>
        <v>0</v>
      </c>
      <c r="Z32" s="19">
        <f>IF(AD32=0,J32,0)</f>
        <v>0</v>
      </c>
      <c r="AA32" s="19">
        <f>IF(AD32=15,J32,0)</f>
        <v>0</v>
      </c>
      <c r="AB32" s="19">
        <f>IF(AD32=21,J32,0)</f>
        <v>0</v>
      </c>
      <c r="AD32" s="34">
        <v>21</v>
      </c>
      <c r="AE32" s="34">
        <f>G32*0.591907571288102</f>
        <v>0</v>
      </c>
      <c r="AF32" s="34">
        <f>G32*(1-0.591907571288102)</f>
        <v>0</v>
      </c>
      <c r="AM32" s="34">
        <f>F32*AE32</f>
        <v>0</v>
      </c>
      <c r="AN32" s="34">
        <f>F32*AF32</f>
        <v>0</v>
      </c>
      <c r="AO32" s="35" t="s">
        <v>484</v>
      </c>
      <c r="AP32" s="35" t="s">
        <v>508</v>
      </c>
      <c r="AQ32" s="27" t="s">
        <v>516</v>
      </c>
    </row>
    <row r="33" spans="3:13" ht="25.5" customHeight="1">
      <c r="C33" s="14" t="s">
        <v>116</v>
      </c>
      <c r="D33" s="88" t="s">
        <v>261</v>
      </c>
      <c r="E33" s="89"/>
      <c r="F33" s="89"/>
      <c r="G33" s="89"/>
      <c r="H33" s="89"/>
      <c r="I33" s="89"/>
      <c r="J33" s="89"/>
      <c r="K33" s="89"/>
      <c r="L33" s="89"/>
      <c r="M33" s="89"/>
    </row>
    <row r="34" spans="1:43" ht="12.75">
      <c r="A34" s="4" t="s">
        <v>16</v>
      </c>
      <c r="B34" s="4"/>
      <c r="C34" s="4" t="s">
        <v>125</v>
      </c>
      <c r="D34" s="4" t="s">
        <v>262</v>
      </c>
      <c r="E34" s="4" t="s">
        <v>439</v>
      </c>
      <c r="F34" s="19">
        <v>187.775</v>
      </c>
      <c r="G34" s="19">
        <v>0</v>
      </c>
      <c r="H34" s="19">
        <f>F34*AE34</f>
        <v>0</v>
      </c>
      <c r="I34" s="19">
        <f>J34-H34</f>
        <v>0</v>
      </c>
      <c r="J34" s="19">
        <f>F34*G34</f>
        <v>0</v>
      </c>
      <c r="K34" s="19">
        <v>0.01977</v>
      </c>
      <c r="L34" s="19">
        <f>F34*K34</f>
        <v>3.71231175</v>
      </c>
      <c r="M34" s="30" t="s">
        <v>463</v>
      </c>
      <c r="N34" s="30" t="s">
        <v>7</v>
      </c>
      <c r="O34" s="19">
        <f>IF(N34="5",I34,0)</f>
        <v>0</v>
      </c>
      <c r="Z34" s="19">
        <f>IF(AD34=0,J34,0)</f>
        <v>0</v>
      </c>
      <c r="AA34" s="19">
        <f>IF(AD34=15,J34,0)</f>
        <v>0</v>
      </c>
      <c r="AB34" s="19">
        <f>IF(AD34=21,J34,0)</f>
        <v>0</v>
      </c>
      <c r="AD34" s="34">
        <v>21</v>
      </c>
      <c r="AE34" s="34">
        <f>G34*0.418703551029365</f>
        <v>0</v>
      </c>
      <c r="AF34" s="34">
        <f>G34*(1-0.418703551029365)</f>
        <v>0</v>
      </c>
      <c r="AM34" s="34">
        <f>F34*AE34</f>
        <v>0</v>
      </c>
      <c r="AN34" s="34">
        <f>F34*AF34</f>
        <v>0</v>
      </c>
      <c r="AO34" s="35" t="s">
        <v>484</v>
      </c>
      <c r="AP34" s="35" t="s">
        <v>508</v>
      </c>
      <c r="AQ34" s="27" t="s">
        <v>516</v>
      </c>
    </row>
    <row r="35" spans="3:13" ht="25.5" customHeight="1">
      <c r="C35" s="14" t="s">
        <v>116</v>
      </c>
      <c r="D35" s="88" t="s">
        <v>263</v>
      </c>
      <c r="E35" s="89"/>
      <c r="F35" s="89"/>
      <c r="G35" s="89"/>
      <c r="H35" s="89"/>
      <c r="I35" s="89"/>
      <c r="J35" s="89"/>
      <c r="K35" s="89"/>
      <c r="L35" s="89"/>
      <c r="M35" s="89"/>
    </row>
    <row r="36" spans="1:43" ht="12.75">
      <c r="A36" s="4" t="s">
        <v>17</v>
      </c>
      <c r="B36" s="4"/>
      <c r="C36" s="4" t="s">
        <v>126</v>
      </c>
      <c r="D36" s="4" t="s">
        <v>264</v>
      </c>
      <c r="E36" s="4" t="s">
        <v>441</v>
      </c>
      <c r="F36" s="19">
        <v>77.451</v>
      </c>
      <c r="G36" s="19">
        <v>0</v>
      </c>
      <c r="H36" s="19">
        <f>F36*AE36</f>
        <v>0</v>
      </c>
      <c r="I36" s="19">
        <f>J36-H36</f>
        <v>0</v>
      </c>
      <c r="J36" s="19">
        <f>F36*G36</f>
        <v>0</v>
      </c>
      <c r="K36" s="19">
        <v>0.00126</v>
      </c>
      <c r="L36" s="19">
        <f>F36*K36</f>
        <v>0.09758826</v>
      </c>
      <c r="M36" s="30" t="s">
        <v>463</v>
      </c>
      <c r="N36" s="30" t="s">
        <v>7</v>
      </c>
      <c r="O36" s="19">
        <f>IF(N36="5",I36,0)</f>
        <v>0</v>
      </c>
      <c r="Z36" s="19">
        <f>IF(AD36=0,J36,0)</f>
        <v>0</v>
      </c>
      <c r="AA36" s="19">
        <f>IF(AD36=15,J36,0)</f>
        <v>0</v>
      </c>
      <c r="AB36" s="19">
        <f>IF(AD36=21,J36,0)</f>
        <v>0</v>
      </c>
      <c r="AD36" s="34">
        <v>21</v>
      </c>
      <c r="AE36" s="34">
        <f>G36*0.463125</f>
        <v>0</v>
      </c>
      <c r="AF36" s="34">
        <f>G36*(1-0.463125)</f>
        <v>0</v>
      </c>
      <c r="AM36" s="34">
        <f>F36*AE36</f>
        <v>0</v>
      </c>
      <c r="AN36" s="34">
        <f>F36*AF36</f>
        <v>0</v>
      </c>
      <c r="AO36" s="35" t="s">
        <v>484</v>
      </c>
      <c r="AP36" s="35" t="s">
        <v>508</v>
      </c>
      <c r="AQ36" s="27" t="s">
        <v>516</v>
      </c>
    </row>
    <row r="37" spans="1:43" ht="12.75">
      <c r="A37" s="4" t="s">
        <v>18</v>
      </c>
      <c r="B37" s="4"/>
      <c r="C37" s="4" t="s">
        <v>127</v>
      </c>
      <c r="D37" s="4" t="s">
        <v>265</v>
      </c>
      <c r="E37" s="4" t="s">
        <v>439</v>
      </c>
      <c r="F37" s="19">
        <v>61.24</v>
      </c>
      <c r="G37" s="19">
        <v>0</v>
      </c>
      <c r="H37" s="19">
        <f>F37*AE37</f>
        <v>0</v>
      </c>
      <c r="I37" s="19">
        <f>J37-H37</f>
        <v>0</v>
      </c>
      <c r="J37" s="19">
        <f>F37*G37</f>
        <v>0</v>
      </c>
      <c r="K37" s="19">
        <v>0.01713</v>
      </c>
      <c r="L37" s="19">
        <f>F37*K37</f>
        <v>1.0490412</v>
      </c>
      <c r="M37" s="30" t="s">
        <v>463</v>
      </c>
      <c r="N37" s="30" t="s">
        <v>7</v>
      </c>
      <c r="O37" s="19">
        <f>IF(N37="5",I37,0)</f>
        <v>0</v>
      </c>
      <c r="Z37" s="19">
        <f>IF(AD37=0,J37,0)</f>
        <v>0</v>
      </c>
      <c r="AA37" s="19">
        <f>IF(AD37=15,J37,0)</f>
        <v>0</v>
      </c>
      <c r="AB37" s="19">
        <f>IF(AD37=21,J37,0)</f>
        <v>0</v>
      </c>
      <c r="AD37" s="34">
        <v>21</v>
      </c>
      <c r="AE37" s="34">
        <f>G37*0.687006033182504</f>
        <v>0</v>
      </c>
      <c r="AF37" s="34">
        <f>G37*(1-0.687006033182504)</f>
        <v>0</v>
      </c>
      <c r="AM37" s="34">
        <f>F37*AE37</f>
        <v>0</v>
      </c>
      <c r="AN37" s="34">
        <f>F37*AF37</f>
        <v>0</v>
      </c>
      <c r="AO37" s="35" t="s">
        <v>484</v>
      </c>
      <c r="AP37" s="35" t="s">
        <v>508</v>
      </c>
      <c r="AQ37" s="27" t="s">
        <v>516</v>
      </c>
    </row>
    <row r="38" spans="3:13" ht="25.5" customHeight="1">
      <c r="C38" s="14" t="s">
        <v>116</v>
      </c>
      <c r="D38" s="88" t="s">
        <v>261</v>
      </c>
      <c r="E38" s="89"/>
      <c r="F38" s="89"/>
      <c r="G38" s="89"/>
      <c r="H38" s="89"/>
      <c r="I38" s="89"/>
      <c r="J38" s="89"/>
      <c r="K38" s="89"/>
      <c r="L38" s="89"/>
      <c r="M38" s="89"/>
    </row>
    <row r="39" spans="1:43" ht="12.75">
      <c r="A39" s="4" t="s">
        <v>19</v>
      </c>
      <c r="B39" s="4"/>
      <c r="C39" s="4" t="s">
        <v>128</v>
      </c>
      <c r="D39" s="4" t="s">
        <v>266</v>
      </c>
      <c r="E39" s="4" t="s">
        <v>439</v>
      </c>
      <c r="F39" s="19">
        <v>44.35</v>
      </c>
      <c r="G39" s="19">
        <v>0</v>
      </c>
      <c r="H39" s="19">
        <f>F39*AE39</f>
        <v>0</v>
      </c>
      <c r="I39" s="19">
        <f>J39-H39</f>
        <v>0</v>
      </c>
      <c r="J39" s="19">
        <f>F39*G39</f>
        <v>0</v>
      </c>
      <c r="K39" s="19">
        <v>0.0146</v>
      </c>
      <c r="L39" s="19">
        <f>F39*K39</f>
        <v>0.64751</v>
      </c>
      <c r="M39" s="30" t="s">
        <v>463</v>
      </c>
      <c r="N39" s="30" t="s">
        <v>7</v>
      </c>
      <c r="O39" s="19">
        <f>IF(N39="5",I39,0)</f>
        <v>0</v>
      </c>
      <c r="Z39" s="19">
        <f>IF(AD39=0,J39,0)</f>
        <v>0</v>
      </c>
      <c r="AA39" s="19">
        <f>IF(AD39=15,J39,0)</f>
        <v>0</v>
      </c>
      <c r="AB39" s="19">
        <f>IF(AD39=21,J39,0)</f>
        <v>0</v>
      </c>
      <c r="AD39" s="34">
        <v>21</v>
      </c>
      <c r="AE39" s="34">
        <f>G39*0.426095138147538</f>
        <v>0</v>
      </c>
      <c r="AF39" s="34">
        <f>G39*(1-0.426095138147538)</f>
        <v>0</v>
      </c>
      <c r="AM39" s="34">
        <f>F39*AE39</f>
        <v>0</v>
      </c>
      <c r="AN39" s="34">
        <f>F39*AF39</f>
        <v>0</v>
      </c>
      <c r="AO39" s="35" t="s">
        <v>484</v>
      </c>
      <c r="AP39" s="35" t="s">
        <v>508</v>
      </c>
      <c r="AQ39" s="27" t="s">
        <v>516</v>
      </c>
    </row>
    <row r="40" spans="3:13" ht="25.5" customHeight="1">
      <c r="C40" s="14" t="s">
        <v>116</v>
      </c>
      <c r="D40" s="88" t="s">
        <v>267</v>
      </c>
      <c r="E40" s="89"/>
      <c r="F40" s="89"/>
      <c r="G40" s="89"/>
      <c r="H40" s="89"/>
      <c r="I40" s="89"/>
      <c r="J40" s="89"/>
      <c r="K40" s="89"/>
      <c r="L40" s="89"/>
      <c r="M40" s="89"/>
    </row>
    <row r="41" spans="1:43" ht="12.75">
      <c r="A41" s="4" t="s">
        <v>20</v>
      </c>
      <c r="B41" s="4"/>
      <c r="C41" s="4" t="s">
        <v>129</v>
      </c>
      <c r="D41" s="4" t="s">
        <v>268</v>
      </c>
      <c r="E41" s="4" t="s">
        <v>439</v>
      </c>
      <c r="F41" s="19">
        <v>44.35</v>
      </c>
      <c r="G41" s="19">
        <v>0</v>
      </c>
      <c r="H41" s="19">
        <f>F41*AE41</f>
        <v>0</v>
      </c>
      <c r="I41" s="19">
        <f>J41-H41</f>
        <v>0</v>
      </c>
      <c r="J41" s="19">
        <f>F41*G41</f>
        <v>0</v>
      </c>
      <c r="K41" s="19">
        <v>0.01136</v>
      </c>
      <c r="L41" s="19">
        <f>F41*K41</f>
        <v>0.503816</v>
      </c>
      <c r="M41" s="30" t="s">
        <v>463</v>
      </c>
      <c r="N41" s="30" t="s">
        <v>7</v>
      </c>
      <c r="O41" s="19">
        <f>IF(N41="5",I41,0)</f>
        <v>0</v>
      </c>
      <c r="Z41" s="19">
        <f>IF(AD41=0,J41,0)</f>
        <v>0</v>
      </c>
      <c r="AA41" s="19">
        <f>IF(AD41=15,J41,0)</f>
        <v>0</v>
      </c>
      <c r="AB41" s="19">
        <f>IF(AD41=21,J41,0)</f>
        <v>0</v>
      </c>
      <c r="AD41" s="34">
        <v>21</v>
      </c>
      <c r="AE41" s="34">
        <f>G41*0.552098360655738</f>
        <v>0</v>
      </c>
      <c r="AF41" s="34">
        <f>G41*(1-0.552098360655738)</f>
        <v>0</v>
      </c>
      <c r="AM41" s="34">
        <f>F41*AE41</f>
        <v>0</v>
      </c>
      <c r="AN41" s="34">
        <f>F41*AF41</f>
        <v>0</v>
      </c>
      <c r="AO41" s="35" t="s">
        <v>484</v>
      </c>
      <c r="AP41" s="35" t="s">
        <v>508</v>
      </c>
      <c r="AQ41" s="27" t="s">
        <v>516</v>
      </c>
    </row>
    <row r="42" spans="3:13" ht="25.5" customHeight="1">
      <c r="C42" s="14" t="s">
        <v>116</v>
      </c>
      <c r="D42" s="88" t="s">
        <v>269</v>
      </c>
      <c r="E42" s="89"/>
      <c r="F42" s="89"/>
      <c r="G42" s="89"/>
      <c r="H42" s="89"/>
      <c r="I42" s="89"/>
      <c r="J42" s="89"/>
      <c r="K42" s="89"/>
      <c r="L42" s="89"/>
      <c r="M42" s="89"/>
    </row>
    <row r="43" spans="1:43" ht="12.75">
      <c r="A43" s="4" t="s">
        <v>21</v>
      </c>
      <c r="B43" s="4"/>
      <c r="C43" s="4" t="s">
        <v>130</v>
      </c>
      <c r="D43" s="4" t="s">
        <v>270</v>
      </c>
      <c r="E43" s="4" t="s">
        <v>441</v>
      </c>
      <c r="F43" s="19">
        <v>501.34</v>
      </c>
      <c r="G43" s="19">
        <v>0</v>
      </c>
      <c r="H43" s="19">
        <f>F43*AE43</f>
        <v>0</v>
      </c>
      <c r="I43" s="19">
        <f>J43-H43</f>
        <v>0</v>
      </c>
      <c r="J43" s="19">
        <f>F43*G43</f>
        <v>0</v>
      </c>
      <c r="K43" s="19">
        <v>0</v>
      </c>
      <c r="L43" s="19">
        <f>F43*K43</f>
        <v>0</v>
      </c>
      <c r="M43" s="30" t="s">
        <v>463</v>
      </c>
      <c r="N43" s="30" t="s">
        <v>7</v>
      </c>
      <c r="O43" s="19">
        <f>IF(N43="5",I43,0)</f>
        <v>0</v>
      </c>
      <c r="Z43" s="19">
        <f>IF(AD43=0,J43,0)</f>
        <v>0</v>
      </c>
      <c r="AA43" s="19">
        <f>IF(AD43=15,J43,0)</f>
        <v>0</v>
      </c>
      <c r="AB43" s="19">
        <f>IF(AD43=21,J43,0)</f>
        <v>0</v>
      </c>
      <c r="AD43" s="34">
        <v>21</v>
      </c>
      <c r="AE43" s="34">
        <f>G43*0</f>
        <v>0</v>
      </c>
      <c r="AF43" s="34">
        <f>G43*(1-0)</f>
        <v>0</v>
      </c>
      <c r="AM43" s="34">
        <f>F43*AE43</f>
        <v>0</v>
      </c>
      <c r="AN43" s="34">
        <f>F43*AF43</f>
        <v>0</v>
      </c>
      <c r="AO43" s="35" t="s">
        <v>484</v>
      </c>
      <c r="AP43" s="35" t="s">
        <v>508</v>
      </c>
      <c r="AQ43" s="27" t="s">
        <v>516</v>
      </c>
    </row>
    <row r="44" spans="1:37" ht="12.75">
      <c r="A44" s="5"/>
      <c r="B44" s="13"/>
      <c r="C44" s="13" t="s">
        <v>69</v>
      </c>
      <c r="D44" s="90" t="s">
        <v>271</v>
      </c>
      <c r="E44" s="91"/>
      <c r="F44" s="91"/>
      <c r="G44" s="91"/>
      <c r="H44" s="37">
        <f>SUM(H45:H45)</f>
        <v>0</v>
      </c>
      <c r="I44" s="37">
        <f>SUM(I45:I45)</f>
        <v>0</v>
      </c>
      <c r="J44" s="37">
        <f>H44+I44</f>
        <v>0</v>
      </c>
      <c r="K44" s="27"/>
      <c r="L44" s="37">
        <f>SUM(L45:L45)</f>
        <v>8.1305</v>
      </c>
      <c r="M44" s="27"/>
      <c r="P44" s="37">
        <f>IF(Q44="PR",J44,SUM(O45:O45))</f>
        <v>0</v>
      </c>
      <c r="Q44" s="27" t="s">
        <v>467</v>
      </c>
      <c r="R44" s="37">
        <f>IF(Q44="HS",H44,0)</f>
        <v>0</v>
      </c>
      <c r="S44" s="37">
        <f>IF(Q44="HS",I44-P44,0)</f>
        <v>0</v>
      </c>
      <c r="T44" s="37">
        <f>IF(Q44="PS",H44,0)</f>
        <v>0</v>
      </c>
      <c r="U44" s="37">
        <f>IF(Q44="PS",I44-P44,0)</f>
        <v>0</v>
      </c>
      <c r="V44" s="37">
        <f>IF(Q44="MP",H44,0)</f>
        <v>0</v>
      </c>
      <c r="W44" s="37">
        <f>IF(Q44="MP",I44-P44,0)</f>
        <v>0</v>
      </c>
      <c r="X44" s="37">
        <f>IF(Q44="OM",H44,0)</f>
        <v>0</v>
      </c>
      <c r="Y44" s="27"/>
      <c r="AI44" s="37">
        <f>SUM(Z45:Z45)</f>
        <v>0</v>
      </c>
      <c r="AJ44" s="37">
        <f>SUM(AA45:AA45)</f>
        <v>0</v>
      </c>
      <c r="AK44" s="37">
        <f>SUM(AB45:AB45)</f>
        <v>0</v>
      </c>
    </row>
    <row r="45" spans="1:43" ht="12.75">
      <c r="A45" s="4" t="s">
        <v>22</v>
      </c>
      <c r="B45" s="4"/>
      <c r="C45" s="4" t="s">
        <v>131</v>
      </c>
      <c r="D45" s="4" t="s">
        <v>272</v>
      </c>
      <c r="E45" s="4" t="s">
        <v>440</v>
      </c>
      <c r="F45" s="19">
        <v>3.22</v>
      </c>
      <c r="G45" s="19">
        <v>0</v>
      </c>
      <c r="H45" s="19">
        <f>F45*AE45</f>
        <v>0</v>
      </c>
      <c r="I45" s="19">
        <f>J45-H45</f>
        <v>0</v>
      </c>
      <c r="J45" s="19">
        <f>F45*G45</f>
        <v>0</v>
      </c>
      <c r="K45" s="19">
        <v>2.525</v>
      </c>
      <c r="L45" s="19">
        <f>F45*K45</f>
        <v>8.1305</v>
      </c>
      <c r="M45" s="30" t="s">
        <v>463</v>
      </c>
      <c r="N45" s="30" t="s">
        <v>7</v>
      </c>
      <c r="O45" s="19">
        <f>IF(N45="5",I45,0)</f>
        <v>0</v>
      </c>
      <c r="Z45" s="19">
        <f>IF(AD45=0,J45,0)</f>
        <v>0</v>
      </c>
      <c r="AA45" s="19">
        <f>IF(AD45=15,J45,0)</f>
        <v>0</v>
      </c>
      <c r="AB45" s="19">
        <f>IF(AD45=21,J45,0)</f>
        <v>0</v>
      </c>
      <c r="AD45" s="34">
        <v>21</v>
      </c>
      <c r="AE45" s="34">
        <f>G45*0.729211933478187</f>
        <v>0</v>
      </c>
      <c r="AF45" s="34">
        <f>G45*(1-0.729211933478187)</f>
        <v>0</v>
      </c>
      <c r="AM45" s="34">
        <f>F45*AE45</f>
        <v>0</v>
      </c>
      <c r="AN45" s="34">
        <f>F45*AF45</f>
        <v>0</v>
      </c>
      <c r="AO45" s="35" t="s">
        <v>485</v>
      </c>
      <c r="AP45" s="35" t="s">
        <v>508</v>
      </c>
      <c r="AQ45" s="27" t="s">
        <v>516</v>
      </c>
    </row>
    <row r="46" spans="3:13" ht="38.25" customHeight="1">
      <c r="C46" s="14" t="s">
        <v>116</v>
      </c>
      <c r="D46" s="88" t="s">
        <v>273</v>
      </c>
      <c r="E46" s="89"/>
      <c r="F46" s="89"/>
      <c r="G46" s="89"/>
      <c r="H46" s="89"/>
      <c r="I46" s="89"/>
      <c r="J46" s="89"/>
      <c r="K46" s="89"/>
      <c r="L46" s="89"/>
      <c r="M46" s="89"/>
    </row>
    <row r="47" spans="1:37" ht="12.75">
      <c r="A47" s="5"/>
      <c r="B47" s="13"/>
      <c r="C47" s="13" t="s">
        <v>132</v>
      </c>
      <c r="D47" s="90" t="s">
        <v>274</v>
      </c>
      <c r="E47" s="91"/>
      <c r="F47" s="91"/>
      <c r="G47" s="91"/>
      <c r="H47" s="37">
        <f>SUM(H48:H58)</f>
        <v>0</v>
      </c>
      <c r="I47" s="37">
        <f>SUM(I48:I58)</f>
        <v>0</v>
      </c>
      <c r="J47" s="37">
        <f>H47+I47</f>
        <v>0</v>
      </c>
      <c r="K47" s="27"/>
      <c r="L47" s="37">
        <f>SUM(L48:L58)</f>
        <v>9.350640299999998</v>
      </c>
      <c r="M47" s="27"/>
      <c r="P47" s="37">
        <f>IF(Q47="PR",J47,SUM(O48:O58))</f>
        <v>0</v>
      </c>
      <c r="Q47" s="27" t="s">
        <v>468</v>
      </c>
      <c r="R47" s="37">
        <f>IF(Q47="HS",H47,0)</f>
        <v>0</v>
      </c>
      <c r="S47" s="37">
        <f>IF(Q47="HS",I47-P47,0)</f>
        <v>0</v>
      </c>
      <c r="T47" s="37">
        <f>IF(Q47="PS",H47,0)</f>
        <v>0</v>
      </c>
      <c r="U47" s="37">
        <f>IF(Q47="PS",I47-P47,0)</f>
        <v>0</v>
      </c>
      <c r="V47" s="37">
        <f>IF(Q47="MP",H47,0)</f>
        <v>0</v>
      </c>
      <c r="W47" s="37">
        <f>IF(Q47="MP",I47-P47,0)</f>
        <v>0</v>
      </c>
      <c r="X47" s="37">
        <f>IF(Q47="OM",H47,0)</f>
        <v>0</v>
      </c>
      <c r="Y47" s="27"/>
      <c r="AI47" s="37">
        <f>SUM(Z48:Z58)</f>
        <v>0</v>
      </c>
      <c r="AJ47" s="37">
        <f>SUM(AA48:AA58)</f>
        <v>0</v>
      </c>
      <c r="AK47" s="37">
        <f>SUM(AB48:AB58)</f>
        <v>0</v>
      </c>
    </row>
    <row r="48" spans="1:43" ht="12.75">
      <c r="A48" s="4" t="s">
        <v>23</v>
      </c>
      <c r="B48" s="4"/>
      <c r="C48" s="4" t="s">
        <v>133</v>
      </c>
      <c r="D48" s="4" t="s">
        <v>275</v>
      </c>
      <c r="E48" s="4" t="s">
        <v>439</v>
      </c>
      <c r="F48" s="19">
        <v>61.24</v>
      </c>
      <c r="G48" s="19">
        <v>0</v>
      </c>
      <c r="H48" s="19">
        <f>F48*AE48</f>
        <v>0</v>
      </c>
      <c r="I48" s="19">
        <f>J48-H48</f>
        <v>0</v>
      </c>
      <c r="J48" s="19">
        <f>F48*G48</f>
        <v>0</v>
      </c>
      <c r="K48" s="19">
        <v>0.00064</v>
      </c>
      <c r="L48" s="19">
        <f>F48*K48</f>
        <v>0.0391936</v>
      </c>
      <c r="M48" s="30" t="s">
        <v>463</v>
      </c>
      <c r="N48" s="30" t="s">
        <v>7</v>
      </c>
      <c r="O48" s="19">
        <f>IF(N48="5",I48,0)</f>
        <v>0</v>
      </c>
      <c r="Z48" s="19">
        <f>IF(AD48=0,J48,0)</f>
        <v>0</v>
      </c>
      <c r="AA48" s="19">
        <f>IF(AD48=15,J48,0)</f>
        <v>0</v>
      </c>
      <c r="AB48" s="19">
        <f>IF(AD48=21,J48,0)</f>
        <v>0</v>
      </c>
      <c r="AD48" s="34">
        <v>21</v>
      </c>
      <c r="AE48" s="34">
        <f>G48*0.62277763463025</f>
        <v>0</v>
      </c>
      <c r="AF48" s="34">
        <f>G48*(1-0.62277763463025)</f>
        <v>0</v>
      </c>
      <c r="AM48" s="34">
        <f>F48*AE48</f>
        <v>0</v>
      </c>
      <c r="AN48" s="34">
        <f>F48*AF48</f>
        <v>0</v>
      </c>
      <c r="AO48" s="35" t="s">
        <v>486</v>
      </c>
      <c r="AP48" s="35" t="s">
        <v>509</v>
      </c>
      <c r="AQ48" s="27" t="s">
        <v>516</v>
      </c>
    </row>
    <row r="49" spans="3:13" ht="25.5" customHeight="1">
      <c r="C49" s="14" t="s">
        <v>116</v>
      </c>
      <c r="D49" s="88" t="s">
        <v>276</v>
      </c>
      <c r="E49" s="89"/>
      <c r="F49" s="89"/>
      <c r="G49" s="89"/>
      <c r="H49" s="89"/>
      <c r="I49" s="89"/>
      <c r="J49" s="89"/>
      <c r="K49" s="89"/>
      <c r="L49" s="89"/>
      <c r="M49" s="89"/>
    </row>
    <row r="50" spans="1:43" ht="12.75">
      <c r="A50" s="4" t="s">
        <v>24</v>
      </c>
      <c r="B50" s="4"/>
      <c r="C50" s="4" t="s">
        <v>134</v>
      </c>
      <c r="D50" s="4" t="s">
        <v>277</v>
      </c>
      <c r="E50" s="4" t="s">
        <v>439</v>
      </c>
      <c r="F50" s="19">
        <v>61.24</v>
      </c>
      <c r="G50" s="19">
        <v>0</v>
      </c>
      <c r="H50" s="19">
        <f>F50*AE50</f>
        <v>0</v>
      </c>
      <c r="I50" s="19">
        <f>J50-H50</f>
        <v>0</v>
      </c>
      <c r="J50" s="19">
        <f>F50*G50</f>
        <v>0</v>
      </c>
      <c r="K50" s="19">
        <v>0</v>
      </c>
      <c r="L50" s="19">
        <f>F50*K50</f>
        <v>0</v>
      </c>
      <c r="M50" s="30" t="s">
        <v>463</v>
      </c>
      <c r="N50" s="30" t="s">
        <v>7</v>
      </c>
      <c r="O50" s="19">
        <f>IF(N50="5",I50,0)</f>
        <v>0</v>
      </c>
      <c r="Z50" s="19">
        <f>IF(AD50=0,J50,0)</f>
        <v>0</v>
      </c>
      <c r="AA50" s="19">
        <f>IF(AD50=15,J50,0)</f>
        <v>0</v>
      </c>
      <c r="AB50" s="19">
        <f>IF(AD50=21,J50,0)</f>
        <v>0</v>
      </c>
      <c r="AD50" s="34">
        <v>21</v>
      </c>
      <c r="AE50" s="34">
        <f>G50*0.210836953848676</f>
        <v>0</v>
      </c>
      <c r="AF50" s="34">
        <f>G50*(1-0.210836953848676)</f>
        <v>0</v>
      </c>
      <c r="AM50" s="34">
        <f>F50*AE50</f>
        <v>0</v>
      </c>
      <c r="AN50" s="34">
        <f>F50*AF50</f>
        <v>0</v>
      </c>
      <c r="AO50" s="35" t="s">
        <v>486</v>
      </c>
      <c r="AP50" s="35" t="s">
        <v>509</v>
      </c>
      <c r="AQ50" s="27" t="s">
        <v>516</v>
      </c>
    </row>
    <row r="51" spans="3:13" ht="12.75">
      <c r="C51" s="14" t="s">
        <v>116</v>
      </c>
      <c r="D51" s="88" t="s">
        <v>278</v>
      </c>
      <c r="E51" s="89"/>
      <c r="F51" s="89"/>
      <c r="G51" s="89"/>
      <c r="H51" s="89"/>
      <c r="I51" s="89"/>
      <c r="J51" s="89"/>
      <c r="K51" s="89"/>
      <c r="L51" s="89"/>
      <c r="M51" s="89"/>
    </row>
    <row r="52" spans="1:43" ht="12.75">
      <c r="A52" s="4" t="s">
        <v>25</v>
      </c>
      <c r="B52" s="4"/>
      <c r="C52" s="4" t="s">
        <v>135</v>
      </c>
      <c r="D52" s="4" t="s">
        <v>279</v>
      </c>
      <c r="E52" s="4" t="s">
        <v>439</v>
      </c>
      <c r="F52" s="19">
        <v>61.24</v>
      </c>
      <c r="G52" s="19">
        <v>0</v>
      </c>
      <c r="H52" s="19">
        <f>F52*AE52</f>
        <v>0</v>
      </c>
      <c r="I52" s="19">
        <f>J52-H52</f>
        <v>0</v>
      </c>
      <c r="J52" s="19">
        <f>F52*G52</f>
        <v>0</v>
      </c>
      <c r="K52" s="19">
        <v>0.00126</v>
      </c>
      <c r="L52" s="19">
        <f>F52*K52</f>
        <v>0.0771624</v>
      </c>
      <c r="M52" s="30" t="s">
        <v>463</v>
      </c>
      <c r="N52" s="30" t="s">
        <v>7</v>
      </c>
      <c r="O52" s="19">
        <f>IF(N52="5",I52,0)</f>
        <v>0</v>
      </c>
      <c r="Z52" s="19">
        <f>IF(AD52=0,J52,0)</f>
        <v>0</v>
      </c>
      <c r="AA52" s="19">
        <f>IF(AD52=15,J52,0)</f>
        <v>0</v>
      </c>
      <c r="AB52" s="19">
        <f>IF(AD52=21,J52,0)</f>
        <v>0</v>
      </c>
      <c r="AD52" s="34">
        <v>21</v>
      </c>
      <c r="AE52" s="34">
        <f>G52*0.623080568720379</f>
        <v>0</v>
      </c>
      <c r="AF52" s="34">
        <f>G52*(1-0.623080568720379)</f>
        <v>0</v>
      </c>
      <c r="AM52" s="34">
        <f>F52*AE52</f>
        <v>0</v>
      </c>
      <c r="AN52" s="34">
        <f>F52*AF52</f>
        <v>0</v>
      </c>
      <c r="AO52" s="35" t="s">
        <v>486</v>
      </c>
      <c r="AP52" s="35" t="s">
        <v>509</v>
      </c>
      <c r="AQ52" s="27" t="s">
        <v>516</v>
      </c>
    </row>
    <row r="53" spans="3:13" ht="12.75">
      <c r="C53" s="14" t="s">
        <v>116</v>
      </c>
      <c r="D53" s="88" t="s">
        <v>280</v>
      </c>
      <c r="E53" s="89"/>
      <c r="F53" s="89"/>
      <c r="G53" s="89"/>
      <c r="H53" s="89"/>
      <c r="I53" s="89"/>
      <c r="J53" s="89"/>
      <c r="K53" s="89"/>
      <c r="L53" s="89"/>
      <c r="M53" s="89"/>
    </row>
    <row r="54" spans="1:43" ht="12.75">
      <c r="A54" s="4" t="s">
        <v>26</v>
      </c>
      <c r="B54" s="4"/>
      <c r="C54" s="4" t="s">
        <v>136</v>
      </c>
      <c r="D54" s="4" t="s">
        <v>281</v>
      </c>
      <c r="E54" s="4" t="s">
        <v>439</v>
      </c>
      <c r="F54" s="19">
        <v>61.24</v>
      </c>
      <c r="G54" s="19">
        <v>0</v>
      </c>
      <c r="H54" s="19">
        <f>F54*AE54</f>
        <v>0</v>
      </c>
      <c r="I54" s="19">
        <f>J54-H54</f>
        <v>0</v>
      </c>
      <c r="J54" s="19">
        <f>F54*G54</f>
        <v>0</v>
      </c>
      <c r="K54" s="19">
        <v>0.00021</v>
      </c>
      <c r="L54" s="19">
        <f>F54*K54</f>
        <v>0.012860400000000001</v>
      </c>
      <c r="M54" s="30" t="s">
        <v>463</v>
      </c>
      <c r="N54" s="30" t="s">
        <v>7</v>
      </c>
      <c r="O54" s="19">
        <f>IF(N54="5",I54,0)</f>
        <v>0</v>
      </c>
      <c r="Z54" s="19">
        <f>IF(AD54=0,J54,0)</f>
        <v>0</v>
      </c>
      <c r="AA54" s="19">
        <f>IF(AD54=15,J54,0)</f>
        <v>0</v>
      </c>
      <c r="AB54" s="19">
        <f>IF(AD54=21,J54,0)</f>
        <v>0</v>
      </c>
      <c r="AD54" s="34">
        <v>21</v>
      </c>
      <c r="AE54" s="34">
        <f>G54*0.311933174224344</f>
        <v>0</v>
      </c>
      <c r="AF54" s="34">
        <f>G54*(1-0.311933174224344)</f>
        <v>0</v>
      </c>
      <c r="AM54" s="34">
        <f>F54*AE54</f>
        <v>0</v>
      </c>
      <c r="AN54" s="34">
        <f>F54*AF54</f>
        <v>0</v>
      </c>
      <c r="AO54" s="35" t="s">
        <v>486</v>
      </c>
      <c r="AP54" s="35" t="s">
        <v>509</v>
      </c>
      <c r="AQ54" s="27" t="s">
        <v>516</v>
      </c>
    </row>
    <row r="55" spans="3:13" ht="12.75">
      <c r="C55" s="14" t="s">
        <v>116</v>
      </c>
      <c r="D55" s="88" t="s">
        <v>282</v>
      </c>
      <c r="E55" s="89"/>
      <c r="F55" s="89"/>
      <c r="G55" s="89"/>
      <c r="H55" s="89"/>
      <c r="I55" s="89"/>
      <c r="J55" s="89"/>
      <c r="K55" s="89"/>
      <c r="L55" s="89"/>
      <c r="M55" s="89"/>
    </row>
    <row r="56" spans="1:43" ht="12.75">
      <c r="A56" s="4" t="s">
        <v>27</v>
      </c>
      <c r="B56" s="4"/>
      <c r="C56" s="4" t="s">
        <v>137</v>
      </c>
      <c r="D56" s="4" t="s">
        <v>283</v>
      </c>
      <c r="E56" s="4" t="s">
        <v>439</v>
      </c>
      <c r="F56" s="19">
        <v>61.24</v>
      </c>
      <c r="G56" s="19">
        <v>0</v>
      </c>
      <c r="H56" s="19">
        <f>F56*AE56</f>
        <v>0</v>
      </c>
      <c r="I56" s="19">
        <f>J56-H56</f>
        <v>0</v>
      </c>
      <c r="J56" s="19">
        <f>F56*G56</f>
        <v>0</v>
      </c>
      <c r="K56" s="19">
        <v>0.00368</v>
      </c>
      <c r="L56" s="19">
        <f>F56*K56</f>
        <v>0.2253632</v>
      </c>
      <c r="M56" s="30" t="s">
        <v>463</v>
      </c>
      <c r="N56" s="30" t="s">
        <v>7</v>
      </c>
      <c r="O56" s="19">
        <f>IF(N56="5",I56,0)</f>
        <v>0</v>
      </c>
      <c r="Z56" s="19">
        <f>IF(AD56=0,J56,0)</f>
        <v>0</v>
      </c>
      <c r="AA56" s="19">
        <f>IF(AD56=15,J56,0)</f>
        <v>0</v>
      </c>
      <c r="AB56" s="19">
        <f>IF(AD56=21,J56,0)</f>
        <v>0</v>
      </c>
      <c r="AD56" s="34">
        <v>21</v>
      </c>
      <c r="AE56" s="34">
        <f>G56*0.681042026050651</f>
        <v>0</v>
      </c>
      <c r="AF56" s="34">
        <f>G56*(1-0.681042026050651)</f>
        <v>0</v>
      </c>
      <c r="AM56" s="34">
        <f>F56*AE56</f>
        <v>0</v>
      </c>
      <c r="AN56" s="34">
        <f>F56*AF56</f>
        <v>0</v>
      </c>
      <c r="AO56" s="35" t="s">
        <v>486</v>
      </c>
      <c r="AP56" s="35" t="s">
        <v>509</v>
      </c>
      <c r="AQ56" s="27" t="s">
        <v>516</v>
      </c>
    </row>
    <row r="57" spans="3:13" ht="38.25" customHeight="1">
      <c r="C57" s="14" t="s">
        <v>116</v>
      </c>
      <c r="D57" s="88" t="s">
        <v>284</v>
      </c>
      <c r="E57" s="89"/>
      <c r="F57" s="89"/>
      <c r="G57" s="89"/>
      <c r="H57" s="89"/>
      <c r="I57" s="89"/>
      <c r="J57" s="89"/>
      <c r="K57" s="89"/>
      <c r="L57" s="89"/>
      <c r="M57" s="89"/>
    </row>
    <row r="58" spans="1:43" ht="12.75">
      <c r="A58" s="4" t="s">
        <v>28</v>
      </c>
      <c r="B58" s="4"/>
      <c r="C58" s="4" t="s">
        <v>138</v>
      </c>
      <c r="D58" s="4" t="s">
        <v>285</v>
      </c>
      <c r="E58" s="4" t="s">
        <v>439</v>
      </c>
      <c r="F58" s="19">
        <v>51.21</v>
      </c>
      <c r="G58" s="19">
        <v>0</v>
      </c>
      <c r="H58" s="19">
        <f>F58*AE58</f>
        <v>0</v>
      </c>
      <c r="I58" s="19">
        <f>J58-H58</f>
        <v>0</v>
      </c>
      <c r="J58" s="19">
        <f>F58*G58</f>
        <v>0</v>
      </c>
      <c r="K58" s="19">
        <v>0.17567</v>
      </c>
      <c r="L58" s="19">
        <f>F58*K58</f>
        <v>8.9960607</v>
      </c>
      <c r="M58" s="30" t="s">
        <v>463</v>
      </c>
      <c r="N58" s="30" t="s">
        <v>9</v>
      </c>
      <c r="O58" s="19">
        <f>IF(N58="5",I58,0)</f>
        <v>0</v>
      </c>
      <c r="Z58" s="19">
        <f>IF(AD58=0,J58,0)</f>
        <v>0</v>
      </c>
      <c r="AA58" s="19">
        <f>IF(AD58=15,J58,0)</f>
        <v>0</v>
      </c>
      <c r="AB58" s="19">
        <f>IF(AD58=21,J58,0)</f>
        <v>0</v>
      </c>
      <c r="AD58" s="34">
        <v>21</v>
      </c>
      <c r="AE58" s="34">
        <f>G58*0.808743258072564</f>
        <v>0</v>
      </c>
      <c r="AF58" s="34">
        <f>G58*(1-0.808743258072564)</f>
        <v>0</v>
      </c>
      <c r="AM58" s="34">
        <f>F58*AE58</f>
        <v>0</v>
      </c>
      <c r="AN58" s="34">
        <f>F58*AF58</f>
        <v>0</v>
      </c>
      <c r="AO58" s="35" t="s">
        <v>486</v>
      </c>
      <c r="AP58" s="35" t="s">
        <v>509</v>
      </c>
      <c r="AQ58" s="27" t="s">
        <v>516</v>
      </c>
    </row>
    <row r="59" spans="3:13" ht="25.5" customHeight="1">
      <c r="C59" s="14" t="s">
        <v>116</v>
      </c>
      <c r="D59" s="88" t="s">
        <v>286</v>
      </c>
      <c r="E59" s="89"/>
      <c r="F59" s="89"/>
      <c r="G59" s="89"/>
      <c r="H59" s="89"/>
      <c r="I59" s="89"/>
      <c r="J59" s="89"/>
      <c r="K59" s="89"/>
      <c r="L59" s="89"/>
      <c r="M59" s="89"/>
    </row>
    <row r="60" spans="1:37" ht="12.75">
      <c r="A60" s="5"/>
      <c r="B60" s="13"/>
      <c r="C60" s="13" t="s">
        <v>139</v>
      </c>
      <c r="D60" s="90" t="s">
        <v>287</v>
      </c>
      <c r="E60" s="91"/>
      <c r="F60" s="91"/>
      <c r="G60" s="91"/>
      <c r="H60" s="37">
        <f>SUM(H61:H66)</f>
        <v>0</v>
      </c>
      <c r="I60" s="37">
        <f>SUM(I61:I66)</f>
        <v>0</v>
      </c>
      <c r="J60" s="37">
        <f>H60+I60</f>
        <v>0</v>
      </c>
      <c r="K60" s="27"/>
      <c r="L60" s="37">
        <f>SUM(L61:L66)</f>
        <v>0.36173246000000003</v>
      </c>
      <c r="M60" s="27"/>
      <c r="P60" s="37">
        <f>IF(Q60="PR",J60,SUM(O61:O66))</f>
        <v>0</v>
      </c>
      <c r="Q60" s="27" t="s">
        <v>468</v>
      </c>
      <c r="R60" s="37">
        <f>IF(Q60="HS",H60,0)</f>
        <v>0</v>
      </c>
      <c r="S60" s="37">
        <f>IF(Q60="HS",I60-P60,0)</f>
        <v>0</v>
      </c>
      <c r="T60" s="37">
        <f>IF(Q60="PS",H60,0)</f>
        <v>0</v>
      </c>
      <c r="U60" s="37">
        <f>IF(Q60="PS",I60-P60,0)</f>
        <v>0</v>
      </c>
      <c r="V60" s="37">
        <f>IF(Q60="MP",H60,0)</f>
        <v>0</v>
      </c>
      <c r="W60" s="37">
        <f>IF(Q60="MP",I60-P60,0)</f>
        <v>0</v>
      </c>
      <c r="X60" s="37">
        <f>IF(Q60="OM",H60,0)</f>
        <v>0</v>
      </c>
      <c r="Y60" s="27"/>
      <c r="AI60" s="37">
        <f>SUM(Z61:Z66)</f>
        <v>0</v>
      </c>
      <c r="AJ60" s="37">
        <f>SUM(AA61:AA66)</f>
        <v>0</v>
      </c>
      <c r="AK60" s="37">
        <f>SUM(AB61:AB66)</f>
        <v>0</v>
      </c>
    </row>
    <row r="61" spans="1:43" ht="12.75">
      <c r="A61" s="4" t="s">
        <v>29</v>
      </c>
      <c r="B61" s="4"/>
      <c r="C61" s="4" t="s">
        <v>140</v>
      </c>
      <c r="D61" s="4" t="s">
        <v>288</v>
      </c>
      <c r="E61" s="4" t="s">
        <v>442</v>
      </c>
      <c r="F61" s="19">
        <v>3</v>
      </c>
      <c r="G61" s="19">
        <v>0</v>
      </c>
      <c r="H61" s="19">
        <f>F61*AE61</f>
        <v>0</v>
      </c>
      <c r="I61" s="19">
        <f>J61-H61</f>
        <v>0</v>
      </c>
      <c r="J61" s="19">
        <f>F61*G61</f>
        <v>0</v>
      </c>
      <c r="K61" s="19">
        <v>0.00475</v>
      </c>
      <c r="L61" s="19">
        <f>F61*K61</f>
        <v>0.014249999999999999</v>
      </c>
      <c r="M61" s="30" t="s">
        <v>463</v>
      </c>
      <c r="N61" s="30" t="s">
        <v>7</v>
      </c>
      <c r="O61" s="19">
        <f>IF(N61="5",I61,0)</f>
        <v>0</v>
      </c>
      <c r="Z61" s="19">
        <f>IF(AD61=0,J61,0)</f>
        <v>0</v>
      </c>
      <c r="AA61" s="19">
        <f>IF(AD61=15,J61,0)</f>
        <v>0</v>
      </c>
      <c r="AB61" s="19">
        <f>IF(AD61=21,J61,0)</f>
        <v>0</v>
      </c>
      <c r="AD61" s="34">
        <v>21</v>
      </c>
      <c r="AE61" s="34">
        <f>G61*0.790838593327322</f>
        <v>0</v>
      </c>
      <c r="AF61" s="34">
        <f>G61*(1-0.790838593327322)</f>
        <v>0</v>
      </c>
      <c r="AM61" s="34">
        <f>F61*AE61</f>
        <v>0</v>
      </c>
      <c r="AN61" s="34">
        <f>F61*AF61</f>
        <v>0</v>
      </c>
      <c r="AO61" s="35" t="s">
        <v>487</v>
      </c>
      <c r="AP61" s="35" t="s">
        <v>509</v>
      </c>
      <c r="AQ61" s="27" t="s">
        <v>516</v>
      </c>
    </row>
    <row r="62" spans="3:13" ht="12.75">
      <c r="C62" s="14" t="s">
        <v>116</v>
      </c>
      <c r="D62" s="88" t="s">
        <v>289</v>
      </c>
      <c r="E62" s="89"/>
      <c r="F62" s="89"/>
      <c r="G62" s="89"/>
      <c r="H62" s="89"/>
      <c r="I62" s="89"/>
      <c r="J62" s="89"/>
      <c r="K62" s="89"/>
      <c r="L62" s="89"/>
      <c r="M62" s="89"/>
    </row>
    <row r="63" spans="1:43" ht="12.75">
      <c r="A63" s="4" t="s">
        <v>30</v>
      </c>
      <c r="B63" s="4"/>
      <c r="C63" s="4" t="s">
        <v>141</v>
      </c>
      <c r="D63" s="4" t="s">
        <v>290</v>
      </c>
      <c r="E63" s="4" t="s">
        <v>442</v>
      </c>
      <c r="F63" s="19">
        <v>8</v>
      </c>
      <c r="G63" s="19">
        <v>0</v>
      </c>
      <c r="H63" s="19">
        <f>F63*AE63</f>
        <v>0</v>
      </c>
      <c r="I63" s="19">
        <f>J63-H63</f>
        <v>0</v>
      </c>
      <c r="J63" s="19">
        <f>F63*G63</f>
        <v>0</v>
      </c>
      <c r="K63" s="19">
        <v>0.00326</v>
      </c>
      <c r="L63" s="19">
        <f>F63*K63</f>
        <v>0.02608</v>
      </c>
      <c r="M63" s="30" t="s">
        <v>463</v>
      </c>
      <c r="N63" s="30" t="s">
        <v>7</v>
      </c>
      <c r="O63" s="19">
        <f>IF(N63="5",I63,0)</f>
        <v>0</v>
      </c>
      <c r="Z63" s="19">
        <f>IF(AD63=0,J63,0)</f>
        <v>0</v>
      </c>
      <c r="AA63" s="19">
        <f>IF(AD63=15,J63,0)</f>
        <v>0</v>
      </c>
      <c r="AB63" s="19">
        <f>IF(AD63=21,J63,0)</f>
        <v>0</v>
      </c>
      <c r="AD63" s="34">
        <v>21</v>
      </c>
      <c r="AE63" s="34">
        <f>G63*0.81725351789046</f>
        <v>0</v>
      </c>
      <c r="AF63" s="34">
        <f>G63*(1-0.81725351789046)</f>
        <v>0</v>
      </c>
      <c r="AM63" s="34">
        <f>F63*AE63</f>
        <v>0</v>
      </c>
      <c r="AN63" s="34">
        <f>F63*AF63</f>
        <v>0</v>
      </c>
      <c r="AO63" s="35" t="s">
        <v>487</v>
      </c>
      <c r="AP63" s="35" t="s">
        <v>509</v>
      </c>
      <c r="AQ63" s="27" t="s">
        <v>516</v>
      </c>
    </row>
    <row r="64" spans="3:13" ht="12.75">
      <c r="C64" s="14" t="s">
        <v>116</v>
      </c>
      <c r="D64" s="88" t="s">
        <v>291</v>
      </c>
      <c r="E64" s="89"/>
      <c r="F64" s="89"/>
      <c r="G64" s="89"/>
      <c r="H64" s="89"/>
      <c r="I64" s="89"/>
      <c r="J64" s="89"/>
      <c r="K64" s="89"/>
      <c r="L64" s="89"/>
      <c r="M64" s="89"/>
    </row>
    <row r="65" spans="1:43" ht="12.75">
      <c r="A65" s="4" t="s">
        <v>31</v>
      </c>
      <c r="B65" s="4"/>
      <c r="C65" s="4" t="s">
        <v>142</v>
      </c>
      <c r="D65" s="4" t="s">
        <v>292</v>
      </c>
      <c r="E65" s="4" t="s">
        <v>439</v>
      </c>
      <c r="F65" s="19">
        <v>46.322</v>
      </c>
      <c r="G65" s="19">
        <v>0</v>
      </c>
      <c r="H65" s="19">
        <f>F65*AE65</f>
        <v>0</v>
      </c>
      <c r="I65" s="19">
        <f>J65-H65</f>
        <v>0</v>
      </c>
      <c r="J65" s="19">
        <f>F65*G65</f>
        <v>0</v>
      </c>
      <c r="K65" s="19">
        <v>0.00403</v>
      </c>
      <c r="L65" s="19">
        <f>F65*K65</f>
        <v>0.18667766</v>
      </c>
      <c r="M65" s="30" t="s">
        <v>463</v>
      </c>
      <c r="N65" s="30" t="s">
        <v>7</v>
      </c>
      <c r="O65" s="19">
        <f>IF(N65="5",I65,0)</f>
        <v>0</v>
      </c>
      <c r="Z65" s="19">
        <f>IF(AD65=0,J65,0)</f>
        <v>0</v>
      </c>
      <c r="AA65" s="19">
        <f>IF(AD65=15,J65,0)</f>
        <v>0</v>
      </c>
      <c r="AB65" s="19">
        <f>IF(AD65=21,J65,0)</f>
        <v>0</v>
      </c>
      <c r="AD65" s="34">
        <v>21</v>
      </c>
      <c r="AE65" s="34">
        <f>G65*0.734852320675105</f>
        <v>0</v>
      </c>
      <c r="AF65" s="34">
        <f>G65*(1-0.734852320675105)</f>
        <v>0</v>
      </c>
      <c r="AM65" s="34">
        <f>F65*AE65</f>
        <v>0</v>
      </c>
      <c r="AN65" s="34">
        <f>F65*AF65</f>
        <v>0</v>
      </c>
      <c r="AO65" s="35" t="s">
        <v>487</v>
      </c>
      <c r="AP65" s="35" t="s">
        <v>509</v>
      </c>
      <c r="AQ65" s="27" t="s">
        <v>516</v>
      </c>
    </row>
    <row r="66" spans="1:43" ht="12.75">
      <c r="A66" s="4" t="s">
        <v>32</v>
      </c>
      <c r="B66" s="4"/>
      <c r="C66" s="4" t="s">
        <v>143</v>
      </c>
      <c r="D66" s="4" t="s">
        <v>293</v>
      </c>
      <c r="E66" s="4" t="s">
        <v>441</v>
      </c>
      <c r="F66" s="19">
        <v>73.22</v>
      </c>
      <c r="G66" s="19">
        <v>0</v>
      </c>
      <c r="H66" s="19">
        <f>F66*AE66</f>
        <v>0</v>
      </c>
      <c r="I66" s="19">
        <f>J66-H66</f>
        <v>0</v>
      </c>
      <c r="J66" s="19">
        <f>F66*G66</f>
        <v>0</v>
      </c>
      <c r="K66" s="19">
        <v>0.00184</v>
      </c>
      <c r="L66" s="19">
        <f>F66*K66</f>
        <v>0.1347248</v>
      </c>
      <c r="M66" s="30" t="s">
        <v>463</v>
      </c>
      <c r="N66" s="30" t="s">
        <v>7</v>
      </c>
      <c r="O66" s="19">
        <f>IF(N66="5",I66,0)</f>
        <v>0</v>
      </c>
      <c r="Z66" s="19">
        <f>IF(AD66=0,J66,0)</f>
        <v>0</v>
      </c>
      <c r="AA66" s="19">
        <f>IF(AD66=15,J66,0)</f>
        <v>0</v>
      </c>
      <c r="AB66" s="19">
        <f>IF(AD66=21,J66,0)</f>
        <v>0</v>
      </c>
      <c r="AD66" s="34">
        <v>21</v>
      </c>
      <c r="AE66" s="34">
        <f>G66*0.605229561681403</f>
        <v>0</v>
      </c>
      <c r="AF66" s="34">
        <f>G66*(1-0.605229561681403)</f>
        <v>0</v>
      </c>
      <c r="AM66" s="34">
        <f>F66*AE66</f>
        <v>0</v>
      </c>
      <c r="AN66" s="34">
        <f>F66*AF66</f>
        <v>0</v>
      </c>
      <c r="AO66" s="35" t="s">
        <v>487</v>
      </c>
      <c r="AP66" s="35" t="s">
        <v>509</v>
      </c>
      <c r="AQ66" s="27" t="s">
        <v>516</v>
      </c>
    </row>
    <row r="67" spans="3:13" ht="12.75">
      <c r="C67" s="14" t="s">
        <v>116</v>
      </c>
      <c r="D67" s="88" t="s">
        <v>294</v>
      </c>
      <c r="E67" s="89"/>
      <c r="F67" s="89"/>
      <c r="G67" s="89"/>
      <c r="H67" s="89"/>
      <c r="I67" s="89"/>
      <c r="J67" s="89"/>
      <c r="K67" s="89"/>
      <c r="L67" s="89"/>
      <c r="M67" s="89"/>
    </row>
    <row r="68" spans="1:37" ht="12.75">
      <c r="A68" s="5"/>
      <c r="B68" s="13"/>
      <c r="C68" s="13" t="s">
        <v>144</v>
      </c>
      <c r="D68" s="90" t="s">
        <v>295</v>
      </c>
      <c r="E68" s="91"/>
      <c r="F68" s="91"/>
      <c r="G68" s="91"/>
      <c r="H68" s="37">
        <f>SUM(H69:H70)</f>
        <v>0</v>
      </c>
      <c r="I68" s="37">
        <f>SUM(I69:I70)</f>
        <v>0</v>
      </c>
      <c r="J68" s="37">
        <f>H68+I68</f>
        <v>0</v>
      </c>
      <c r="K68" s="27"/>
      <c r="L68" s="37">
        <f>SUM(L69:L70)</f>
        <v>1.6427536</v>
      </c>
      <c r="M68" s="27"/>
      <c r="P68" s="37">
        <f>IF(Q68="PR",J68,SUM(O69:O70))</f>
        <v>0</v>
      </c>
      <c r="Q68" s="27" t="s">
        <v>468</v>
      </c>
      <c r="R68" s="37">
        <f>IF(Q68="HS",H68,0)</f>
        <v>0</v>
      </c>
      <c r="S68" s="37">
        <f>IF(Q68="HS",I68-P68,0)</f>
        <v>0</v>
      </c>
      <c r="T68" s="37">
        <f>IF(Q68="PS",H68,0)</f>
        <v>0</v>
      </c>
      <c r="U68" s="37">
        <f>IF(Q68="PS",I68-P68,0)</f>
        <v>0</v>
      </c>
      <c r="V68" s="37">
        <f>IF(Q68="MP",H68,0)</f>
        <v>0</v>
      </c>
      <c r="W68" s="37">
        <f>IF(Q68="MP",I68-P68,0)</f>
        <v>0</v>
      </c>
      <c r="X68" s="37">
        <f>IF(Q68="OM",H68,0)</f>
        <v>0</v>
      </c>
      <c r="Y68" s="27"/>
      <c r="AI68" s="37">
        <f>SUM(Z69:Z70)</f>
        <v>0</v>
      </c>
      <c r="AJ68" s="37">
        <f>SUM(AA69:AA70)</f>
        <v>0</v>
      </c>
      <c r="AK68" s="37">
        <f>SUM(AB69:AB70)</f>
        <v>0</v>
      </c>
    </row>
    <row r="69" spans="1:43" ht="12.75">
      <c r="A69" s="4" t="s">
        <v>33</v>
      </c>
      <c r="B69" s="4"/>
      <c r="C69" s="4" t="s">
        <v>145</v>
      </c>
      <c r="D69" s="4" t="s">
        <v>296</v>
      </c>
      <c r="E69" s="4" t="s">
        <v>439</v>
      </c>
      <c r="F69" s="19">
        <v>46.16</v>
      </c>
      <c r="G69" s="19">
        <v>0</v>
      </c>
      <c r="H69" s="19">
        <f>F69*AE69</f>
        <v>0</v>
      </c>
      <c r="I69" s="19">
        <f>J69-H69</f>
        <v>0</v>
      </c>
      <c r="J69" s="19">
        <f>F69*G69</f>
        <v>0</v>
      </c>
      <c r="K69" s="19">
        <v>0.00016</v>
      </c>
      <c r="L69" s="19">
        <f>F69*K69</f>
        <v>0.0073856</v>
      </c>
      <c r="M69" s="30" t="s">
        <v>463</v>
      </c>
      <c r="N69" s="30" t="s">
        <v>7</v>
      </c>
      <c r="O69" s="19">
        <f>IF(N69="5",I69,0)</f>
        <v>0</v>
      </c>
      <c r="Z69" s="19">
        <f>IF(AD69=0,J69,0)</f>
        <v>0</v>
      </c>
      <c r="AA69" s="19">
        <f>IF(AD69=15,J69,0)</f>
        <v>0</v>
      </c>
      <c r="AB69" s="19">
        <f>IF(AD69=21,J69,0)</f>
        <v>0</v>
      </c>
      <c r="AD69" s="34">
        <v>21</v>
      </c>
      <c r="AE69" s="34">
        <f>G69*0.466168009205984</f>
        <v>0</v>
      </c>
      <c r="AF69" s="34">
        <f>G69*(1-0.466168009205984)</f>
        <v>0</v>
      </c>
      <c r="AM69" s="34">
        <f>F69*AE69</f>
        <v>0</v>
      </c>
      <c r="AN69" s="34">
        <f>F69*AF69</f>
        <v>0</v>
      </c>
      <c r="AO69" s="35" t="s">
        <v>488</v>
      </c>
      <c r="AP69" s="35" t="s">
        <v>509</v>
      </c>
      <c r="AQ69" s="27" t="s">
        <v>516</v>
      </c>
    </row>
    <row r="70" spans="1:43" ht="12.75">
      <c r="A70" s="4" t="s">
        <v>34</v>
      </c>
      <c r="B70" s="4"/>
      <c r="C70" s="4" t="s">
        <v>146</v>
      </c>
      <c r="D70" s="4" t="s">
        <v>297</v>
      </c>
      <c r="E70" s="4" t="s">
        <v>440</v>
      </c>
      <c r="F70" s="19">
        <v>58.406</v>
      </c>
      <c r="G70" s="19">
        <v>0</v>
      </c>
      <c r="H70" s="19">
        <f>F70*AE70</f>
        <v>0</v>
      </c>
      <c r="I70" s="19">
        <f>J70-H70</f>
        <v>0</v>
      </c>
      <c r="J70" s="19">
        <f>F70*G70</f>
        <v>0</v>
      </c>
      <c r="K70" s="19">
        <v>0.028</v>
      </c>
      <c r="L70" s="19">
        <f>F70*K70</f>
        <v>1.635368</v>
      </c>
      <c r="M70" s="30" t="s">
        <v>463</v>
      </c>
      <c r="N70" s="30" t="s">
        <v>7</v>
      </c>
      <c r="O70" s="19">
        <f>IF(N70="5",I70,0)</f>
        <v>0</v>
      </c>
      <c r="Z70" s="19">
        <f>IF(AD70=0,J70,0)</f>
        <v>0</v>
      </c>
      <c r="AA70" s="19">
        <f>IF(AD70=15,J70,0)</f>
        <v>0</v>
      </c>
      <c r="AB70" s="19">
        <f>IF(AD70=21,J70,0)</f>
        <v>0</v>
      </c>
      <c r="AD70" s="34">
        <v>21</v>
      </c>
      <c r="AE70" s="34">
        <f>G70*0.838245370370371</f>
        <v>0</v>
      </c>
      <c r="AF70" s="34">
        <f>G70*(1-0.838245370370371)</f>
        <v>0</v>
      </c>
      <c r="AM70" s="34">
        <f>F70*AE70</f>
        <v>0</v>
      </c>
      <c r="AN70" s="34">
        <f>F70*AF70</f>
        <v>0</v>
      </c>
      <c r="AO70" s="35" t="s">
        <v>488</v>
      </c>
      <c r="AP70" s="35" t="s">
        <v>509</v>
      </c>
      <c r="AQ70" s="27" t="s">
        <v>516</v>
      </c>
    </row>
    <row r="71" spans="3:13" ht="25.5" customHeight="1">
      <c r="C71" s="14" t="s">
        <v>116</v>
      </c>
      <c r="D71" s="88" t="s">
        <v>298</v>
      </c>
      <c r="E71" s="89"/>
      <c r="F71" s="89"/>
      <c r="G71" s="89"/>
      <c r="H71" s="89"/>
      <c r="I71" s="89"/>
      <c r="J71" s="89"/>
      <c r="K71" s="89"/>
      <c r="L71" s="89"/>
      <c r="M71" s="89"/>
    </row>
    <row r="72" spans="1:37" ht="12.75">
      <c r="A72" s="5"/>
      <c r="B72" s="13"/>
      <c r="C72" s="13" t="s">
        <v>147</v>
      </c>
      <c r="D72" s="90" t="s">
        <v>299</v>
      </c>
      <c r="E72" s="91"/>
      <c r="F72" s="91"/>
      <c r="G72" s="91"/>
      <c r="H72" s="37">
        <f>SUM(H73:H73)</f>
        <v>0</v>
      </c>
      <c r="I72" s="37">
        <f>SUM(I73:I73)</f>
        <v>0</v>
      </c>
      <c r="J72" s="37">
        <f>H72+I72</f>
        <v>0</v>
      </c>
      <c r="K72" s="27"/>
      <c r="L72" s="37">
        <f>SUM(L73:L73)</f>
        <v>0.015</v>
      </c>
      <c r="M72" s="27"/>
      <c r="P72" s="37">
        <f>IF(Q72="PR",J72,SUM(O73:O73))</f>
        <v>0</v>
      </c>
      <c r="Q72" s="27" t="s">
        <v>468</v>
      </c>
      <c r="R72" s="37">
        <f>IF(Q72="HS",H72,0)</f>
        <v>0</v>
      </c>
      <c r="S72" s="37">
        <f>IF(Q72="HS",I72-P72,0)</f>
        <v>0</v>
      </c>
      <c r="T72" s="37">
        <f>IF(Q72="PS",H72,0)</f>
        <v>0</v>
      </c>
      <c r="U72" s="37">
        <f>IF(Q72="PS",I72-P72,0)</f>
        <v>0</v>
      </c>
      <c r="V72" s="37">
        <f>IF(Q72="MP",H72,0)</f>
        <v>0</v>
      </c>
      <c r="W72" s="37">
        <f>IF(Q72="MP",I72-P72,0)</f>
        <v>0</v>
      </c>
      <c r="X72" s="37">
        <f>IF(Q72="OM",H72,0)</f>
        <v>0</v>
      </c>
      <c r="Y72" s="27"/>
      <c r="AI72" s="37">
        <f>SUM(Z73:Z73)</f>
        <v>0</v>
      </c>
      <c r="AJ72" s="37">
        <f>SUM(AA73:AA73)</f>
        <v>0</v>
      </c>
      <c r="AK72" s="37">
        <f>SUM(AB73:AB73)</f>
        <v>0</v>
      </c>
    </row>
    <row r="73" spans="1:43" ht="12.75">
      <c r="A73" s="4" t="s">
        <v>35</v>
      </c>
      <c r="B73" s="4"/>
      <c r="C73" s="4" t="s">
        <v>148</v>
      </c>
      <c r="D73" s="4" t="s">
        <v>300</v>
      </c>
      <c r="E73" s="4" t="s">
        <v>442</v>
      </c>
      <c r="F73" s="19">
        <v>3</v>
      </c>
      <c r="G73" s="19">
        <v>0</v>
      </c>
      <c r="H73" s="19">
        <f>F73*AE73</f>
        <v>0</v>
      </c>
      <c r="I73" s="19">
        <f>J73-H73</f>
        <v>0</v>
      </c>
      <c r="J73" s="19">
        <f>F73*G73</f>
        <v>0</v>
      </c>
      <c r="K73" s="19">
        <v>0.005</v>
      </c>
      <c r="L73" s="19">
        <f>F73*K73</f>
        <v>0.015</v>
      </c>
      <c r="M73" s="30" t="s">
        <v>463</v>
      </c>
      <c r="N73" s="30" t="s">
        <v>7</v>
      </c>
      <c r="O73" s="19">
        <f>IF(N73="5",I73,0)</f>
        <v>0</v>
      </c>
      <c r="Z73" s="19">
        <f>IF(AD73=0,J73,0)</f>
        <v>0</v>
      </c>
      <c r="AA73" s="19">
        <f>IF(AD73=15,J73,0)</f>
        <v>0</v>
      </c>
      <c r="AB73" s="19">
        <f>IF(AD73=21,J73,0)</f>
        <v>0</v>
      </c>
      <c r="AD73" s="34">
        <v>21</v>
      </c>
      <c r="AE73" s="34">
        <f>G73*0</f>
        <v>0</v>
      </c>
      <c r="AF73" s="34">
        <f>G73*(1-0)</f>
        <v>0</v>
      </c>
      <c r="AM73" s="34">
        <f>F73*AE73</f>
        <v>0</v>
      </c>
      <c r="AN73" s="34">
        <f>F73*AF73</f>
        <v>0</v>
      </c>
      <c r="AO73" s="35" t="s">
        <v>489</v>
      </c>
      <c r="AP73" s="35" t="s">
        <v>510</v>
      </c>
      <c r="AQ73" s="27" t="s">
        <v>516</v>
      </c>
    </row>
    <row r="74" spans="1:37" ht="12.75">
      <c r="A74" s="5"/>
      <c r="B74" s="13"/>
      <c r="C74" s="13" t="s">
        <v>149</v>
      </c>
      <c r="D74" s="90" t="s">
        <v>301</v>
      </c>
      <c r="E74" s="91"/>
      <c r="F74" s="91"/>
      <c r="G74" s="91"/>
      <c r="H74" s="37">
        <f>SUM(H75:H76)</f>
        <v>0</v>
      </c>
      <c r="I74" s="37">
        <f>SUM(I75:I76)</f>
        <v>0</v>
      </c>
      <c r="J74" s="37">
        <f>H74+I74</f>
        <v>0</v>
      </c>
      <c r="K74" s="27"/>
      <c r="L74" s="37">
        <f>SUM(L75:L76)</f>
        <v>1.155060504</v>
      </c>
      <c r="M74" s="27"/>
      <c r="P74" s="37">
        <f>IF(Q74="PR",J74,SUM(O75:O76))</f>
        <v>0</v>
      </c>
      <c r="Q74" s="27" t="s">
        <v>468</v>
      </c>
      <c r="R74" s="37">
        <f>IF(Q74="HS",H74,0)</f>
        <v>0</v>
      </c>
      <c r="S74" s="37">
        <f>IF(Q74="HS",I74-P74,0)</f>
        <v>0</v>
      </c>
      <c r="T74" s="37">
        <f>IF(Q74="PS",H74,0)</f>
        <v>0</v>
      </c>
      <c r="U74" s="37">
        <f>IF(Q74="PS",I74-P74,0)</f>
        <v>0</v>
      </c>
      <c r="V74" s="37">
        <f>IF(Q74="MP",H74,0)</f>
        <v>0</v>
      </c>
      <c r="W74" s="37">
        <f>IF(Q74="MP",I74-P74,0)</f>
        <v>0</v>
      </c>
      <c r="X74" s="37">
        <f>IF(Q74="OM",H74,0)</f>
        <v>0</v>
      </c>
      <c r="Y74" s="27"/>
      <c r="AI74" s="37">
        <f>SUM(Z75:Z76)</f>
        <v>0</v>
      </c>
      <c r="AJ74" s="37">
        <f>SUM(AA75:AA76)</f>
        <v>0</v>
      </c>
      <c r="AK74" s="37">
        <f>SUM(AB75:AB76)</f>
        <v>0</v>
      </c>
    </row>
    <row r="75" spans="1:43" ht="12.75">
      <c r="A75" s="4" t="s">
        <v>36</v>
      </c>
      <c r="B75" s="4"/>
      <c r="C75" s="4" t="s">
        <v>150</v>
      </c>
      <c r="D75" s="4" t="s">
        <v>302</v>
      </c>
      <c r="E75" s="4" t="s">
        <v>439</v>
      </c>
      <c r="F75" s="19">
        <v>84.69</v>
      </c>
      <c r="G75" s="19">
        <v>0</v>
      </c>
      <c r="H75" s="19">
        <f>F75*AE75</f>
        <v>0</v>
      </c>
      <c r="I75" s="19">
        <f>J75-H75</f>
        <v>0</v>
      </c>
      <c r="J75" s="19">
        <f>F75*G75</f>
        <v>0</v>
      </c>
      <c r="K75" s="19">
        <v>0.00942</v>
      </c>
      <c r="L75" s="19">
        <f>F75*K75</f>
        <v>0.7977797999999999</v>
      </c>
      <c r="M75" s="30" t="s">
        <v>463</v>
      </c>
      <c r="N75" s="30" t="s">
        <v>7</v>
      </c>
      <c r="O75" s="19">
        <f>IF(N75="5",I75,0)</f>
        <v>0</v>
      </c>
      <c r="Z75" s="19">
        <f>IF(AD75=0,J75,0)</f>
        <v>0</v>
      </c>
      <c r="AA75" s="19">
        <f>IF(AD75=15,J75,0)</f>
        <v>0</v>
      </c>
      <c r="AB75" s="19">
        <f>IF(AD75=21,J75,0)</f>
        <v>0</v>
      </c>
      <c r="AD75" s="34">
        <v>21</v>
      </c>
      <c r="AE75" s="34">
        <f>G75*0.610160965794769</f>
        <v>0</v>
      </c>
      <c r="AF75" s="34">
        <f>G75*(1-0.610160965794769)</f>
        <v>0</v>
      </c>
      <c r="AM75" s="34">
        <f>F75*AE75</f>
        <v>0</v>
      </c>
      <c r="AN75" s="34">
        <f>F75*AF75</f>
        <v>0</v>
      </c>
      <c r="AO75" s="35" t="s">
        <v>490</v>
      </c>
      <c r="AP75" s="35" t="s">
        <v>511</v>
      </c>
      <c r="AQ75" s="27" t="s">
        <v>516</v>
      </c>
    </row>
    <row r="76" spans="1:43" ht="12.75">
      <c r="A76" s="4" t="s">
        <v>37</v>
      </c>
      <c r="B76" s="4"/>
      <c r="C76" s="4" t="s">
        <v>151</v>
      </c>
      <c r="D76" s="4" t="s">
        <v>303</v>
      </c>
      <c r="E76" s="4" t="s">
        <v>439</v>
      </c>
      <c r="F76" s="19">
        <v>30.3552</v>
      </c>
      <c r="G76" s="19">
        <v>0</v>
      </c>
      <c r="H76" s="19">
        <f>F76*AE76</f>
        <v>0</v>
      </c>
      <c r="I76" s="19">
        <f>J76-H76</f>
        <v>0</v>
      </c>
      <c r="J76" s="19">
        <f>F76*G76</f>
        <v>0</v>
      </c>
      <c r="K76" s="19">
        <v>0.01177</v>
      </c>
      <c r="L76" s="19">
        <f>F76*K76</f>
        <v>0.35728070399999995</v>
      </c>
      <c r="M76" s="30" t="s">
        <v>463</v>
      </c>
      <c r="N76" s="30" t="s">
        <v>7</v>
      </c>
      <c r="O76" s="19">
        <f>IF(N76="5",I76,0)</f>
        <v>0</v>
      </c>
      <c r="Z76" s="19">
        <f>IF(AD76=0,J76,0)</f>
        <v>0</v>
      </c>
      <c r="AA76" s="19">
        <f>IF(AD76=15,J76,0)</f>
        <v>0</v>
      </c>
      <c r="AB76" s="19">
        <f>IF(AD76=21,J76,0)</f>
        <v>0</v>
      </c>
      <c r="AD76" s="34">
        <v>21</v>
      </c>
      <c r="AE76" s="34">
        <f>G76*0.653493530499076</f>
        <v>0</v>
      </c>
      <c r="AF76" s="34">
        <f>G76*(1-0.653493530499076)</f>
        <v>0</v>
      </c>
      <c r="AM76" s="34">
        <f>F76*AE76</f>
        <v>0</v>
      </c>
      <c r="AN76" s="34">
        <f>F76*AF76</f>
        <v>0</v>
      </c>
      <c r="AO76" s="35" t="s">
        <v>490</v>
      </c>
      <c r="AP76" s="35" t="s">
        <v>511</v>
      </c>
      <c r="AQ76" s="27" t="s">
        <v>516</v>
      </c>
    </row>
    <row r="77" spans="3:13" ht="25.5" customHeight="1">
      <c r="C77" s="14" t="s">
        <v>116</v>
      </c>
      <c r="D77" s="88" t="s">
        <v>304</v>
      </c>
      <c r="E77" s="89"/>
      <c r="F77" s="89"/>
      <c r="G77" s="89"/>
      <c r="H77" s="89"/>
      <c r="I77" s="89"/>
      <c r="J77" s="89"/>
      <c r="K77" s="89"/>
      <c r="L77" s="89"/>
      <c r="M77" s="89"/>
    </row>
    <row r="78" spans="1:37" ht="12.75">
      <c r="A78" s="5"/>
      <c r="B78" s="13"/>
      <c r="C78" s="13" t="s">
        <v>152</v>
      </c>
      <c r="D78" s="90" t="s">
        <v>305</v>
      </c>
      <c r="E78" s="91"/>
      <c r="F78" s="91"/>
      <c r="G78" s="91"/>
      <c r="H78" s="37">
        <f>SUM(H79:H79)</f>
        <v>0</v>
      </c>
      <c r="I78" s="37">
        <f>SUM(I79:I79)</f>
        <v>0</v>
      </c>
      <c r="J78" s="37">
        <f>H78+I78</f>
        <v>0</v>
      </c>
      <c r="K78" s="27"/>
      <c r="L78" s="37">
        <f>SUM(L79:L79)</f>
        <v>0.06267059999999999</v>
      </c>
      <c r="M78" s="27"/>
      <c r="P78" s="37">
        <f>IF(Q78="PR",J78,SUM(O79:O79))</f>
        <v>0</v>
      </c>
      <c r="Q78" s="27" t="s">
        <v>468</v>
      </c>
      <c r="R78" s="37">
        <f>IF(Q78="HS",H78,0)</f>
        <v>0</v>
      </c>
      <c r="S78" s="37">
        <f>IF(Q78="HS",I78-P78,0)</f>
        <v>0</v>
      </c>
      <c r="T78" s="37">
        <f>IF(Q78="PS",H78,0)</f>
        <v>0</v>
      </c>
      <c r="U78" s="37">
        <f>IF(Q78="PS",I78-P78,0)</f>
        <v>0</v>
      </c>
      <c r="V78" s="37">
        <f>IF(Q78="MP",H78,0)</f>
        <v>0</v>
      </c>
      <c r="W78" s="37">
        <f>IF(Q78="MP",I78-P78,0)</f>
        <v>0</v>
      </c>
      <c r="X78" s="37">
        <f>IF(Q78="OM",H78,0)</f>
        <v>0</v>
      </c>
      <c r="Y78" s="27"/>
      <c r="AI78" s="37">
        <f>SUM(Z79:Z79)</f>
        <v>0</v>
      </c>
      <c r="AJ78" s="37">
        <f>SUM(AA79:AA79)</f>
        <v>0</v>
      </c>
      <c r="AK78" s="37">
        <f>SUM(AB79:AB79)</f>
        <v>0</v>
      </c>
    </row>
    <row r="79" spans="1:43" ht="12.75">
      <c r="A79" s="4" t="s">
        <v>38</v>
      </c>
      <c r="B79" s="4"/>
      <c r="C79" s="4" t="s">
        <v>153</v>
      </c>
      <c r="D79" s="4" t="s">
        <v>306</v>
      </c>
      <c r="E79" s="4" t="s">
        <v>439</v>
      </c>
      <c r="F79" s="19">
        <v>84.69</v>
      </c>
      <c r="G79" s="19">
        <v>0</v>
      </c>
      <c r="H79" s="19">
        <f>F79*AE79</f>
        <v>0</v>
      </c>
      <c r="I79" s="19">
        <f>J79-H79</f>
        <v>0</v>
      </c>
      <c r="J79" s="19">
        <f>F79*G79</f>
        <v>0</v>
      </c>
      <c r="K79" s="19">
        <v>0.00074</v>
      </c>
      <c r="L79" s="19">
        <f>F79*K79</f>
        <v>0.06267059999999999</v>
      </c>
      <c r="M79" s="30" t="s">
        <v>463</v>
      </c>
      <c r="N79" s="30" t="s">
        <v>7</v>
      </c>
      <c r="O79" s="19">
        <f>IF(N79="5",I79,0)</f>
        <v>0</v>
      </c>
      <c r="Z79" s="19">
        <f>IF(AD79=0,J79,0)</f>
        <v>0</v>
      </c>
      <c r="AA79" s="19">
        <f>IF(AD79=15,J79,0)</f>
        <v>0</v>
      </c>
      <c r="AB79" s="19">
        <f>IF(AD79=21,J79,0)</f>
        <v>0</v>
      </c>
      <c r="AD79" s="34">
        <v>21</v>
      </c>
      <c r="AE79" s="34">
        <f>G79*0.160150807310876</f>
        <v>0</v>
      </c>
      <c r="AF79" s="34">
        <f>G79*(1-0.160150807310876)</f>
        <v>0</v>
      </c>
      <c r="AM79" s="34">
        <f>F79*AE79</f>
        <v>0</v>
      </c>
      <c r="AN79" s="34">
        <f>F79*AF79</f>
        <v>0</v>
      </c>
      <c r="AO79" s="35" t="s">
        <v>491</v>
      </c>
      <c r="AP79" s="35" t="s">
        <v>511</v>
      </c>
      <c r="AQ79" s="27" t="s">
        <v>516</v>
      </c>
    </row>
    <row r="80" spans="3:13" ht="12.75">
      <c r="C80" s="14" t="s">
        <v>116</v>
      </c>
      <c r="D80" s="88" t="s">
        <v>307</v>
      </c>
      <c r="E80" s="89"/>
      <c r="F80" s="89"/>
      <c r="G80" s="89"/>
      <c r="H80" s="89"/>
      <c r="I80" s="89"/>
      <c r="J80" s="89"/>
      <c r="K80" s="89"/>
      <c r="L80" s="89"/>
      <c r="M80" s="89"/>
    </row>
    <row r="81" spans="1:37" ht="12.75">
      <c r="A81" s="5"/>
      <c r="B81" s="13"/>
      <c r="C81" s="13" t="s">
        <v>154</v>
      </c>
      <c r="D81" s="90" t="s">
        <v>308</v>
      </c>
      <c r="E81" s="91"/>
      <c r="F81" s="91"/>
      <c r="G81" s="91"/>
      <c r="H81" s="37">
        <f>SUM(H82:H99)</f>
        <v>0</v>
      </c>
      <c r="I81" s="37">
        <f>SUM(I82:I99)</f>
        <v>0</v>
      </c>
      <c r="J81" s="37">
        <f>H81+I81</f>
        <v>0</v>
      </c>
      <c r="K81" s="27"/>
      <c r="L81" s="37">
        <f>SUM(L82:L99)</f>
        <v>1.4226629000000002</v>
      </c>
      <c r="M81" s="27"/>
      <c r="P81" s="37">
        <f>IF(Q81="PR",J81,SUM(O82:O99))</f>
        <v>0</v>
      </c>
      <c r="Q81" s="27" t="s">
        <v>468</v>
      </c>
      <c r="R81" s="37">
        <f>IF(Q81="HS",H81,0)</f>
        <v>0</v>
      </c>
      <c r="S81" s="37">
        <f>IF(Q81="HS",I81-P81,0)</f>
        <v>0</v>
      </c>
      <c r="T81" s="37">
        <f>IF(Q81="PS",H81,0)</f>
        <v>0</v>
      </c>
      <c r="U81" s="37">
        <f>IF(Q81="PS",I81-P81,0)</f>
        <v>0</v>
      </c>
      <c r="V81" s="37">
        <f>IF(Q81="MP",H81,0)</f>
        <v>0</v>
      </c>
      <c r="W81" s="37">
        <f>IF(Q81="MP",I81-P81,0)</f>
        <v>0</v>
      </c>
      <c r="X81" s="37">
        <f>IF(Q81="OM",H81,0)</f>
        <v>0</v>
      </c>
      <c r="Y81" s="27"/>
      <c r="AI81" s="37">
        <f>SUM(Z82:Z99)</f>
        <v>0</v>
      </c>
      <c r="AJ81" s="37">
        <f>SUM(AA82:AA99)</f>
        <v>0</v>
      </c>
      <c r="AK81" s="37">
        <f>SUM(AB82:AB99)</f>
        <v>0</v>
      </c>
    </row>
    <row r="82" spans="1:43" ht="12.75">
      <c r="A82" s="4" t="s">
        <v>39</v>
      </c>
      <c r="B82" s="4"/>
      <c r="C82" s="4" t="s">
        <v>155</v>
      </c>
      <c r="D82" s="4" t="s">
        <v>309</v>
      </c>
      <c r="E82" s="4" t="s">
        <v>441</v>
      </c>
      <c r="F82" s="19">
        <v>73.3</v>
      </c>
      <c r="G82" s="19">
        <v>0</v>
      </c>
      <c r="H82" s="19">
        <f>F82*AE82</f>
        <v>0</v>
      </c>
      <c r="I82" s="19">
        <f>J82-H82</f>
        <v>0</v>
      </c>
      <c r="J82" s="19">
        <f>F82*G82</f>
        <v>0</v>
      </c>
      <c r="K82" s="19">
        <v>0.00522</v>
      </c>
      <c r="L82" s="19">
        <f>F82*K82</f>
        <v>0.38262599999999997</v>
      </c>
      <c r="M82" s="30" t="s">
        <v>463</v>
      </c>
      <c r="N82" s="30" t="s">
        <v>7</v>
      </c>
      <c r="O82" s="19">
        <f>IF(N82="5",I82,0)</f>
        <v>0</v>
      </c>
      <c r="Z82" s="19">
        <f>IF(AD82=0,J82,0)</f>
        <v>0</v>
      </c>
      <c r="AA82" s="19">
        <f>IF(AD82=15,J82,0)</f>
        <v>0</v>
      </c>
      <c r="AB82" s="19">
        <f>IF(AD82=21,J82,0)</f>
        <v>0</v>
      </c>
      <c r="AD82" s="34">
        <v>21</v>
      </c>
      <c r="AE82" s="34">
        <f>G82*0</f>
        <v>0</v>
      </c>
      <c r="AF82" s="34">
        <f>G82*(1-0)</f>
        <v>0</v>
      </c>
      <c r="AM82" s="34">
        <f>F82*AE82</f>
        <v>0</v>
      </c>
      <c r="AN82" s="34">
        <f>F82*AF82</f>
        <v>0</v>
      </c>
      <c r="AO82" s="35" t="s">
        <v>492</v>
      </c>
      <c r="AP82" s="35" t="s">
        <v>511</v>
      </c>
      <c r="AQ82" s="27" t="s">
        <v>516</v>
      </c>
    </row>
    <row r="83" spans="1:43" ht="12.75">
      <c r="A83" s="4" t="s">
        <v>40</v>
      </c>
      <c r="B83" s="4"/>
      <c r="C83" s="4" t="s">
        <v>156</v>
      </c>
      <c r="D83" s="4" t="s">
        <v>310</v>
      </c>
      <c r="E83" s="4" t="s">
        <v>441</v>
      </c>
      <c r="F83" s="19">
        <v>16.8</v>
      </c>
      <c r="G83" s="19">
        <v>0</v>
      </c>
      <c r="H83" s="19">
        <f>F83*AE83</f>
        <v>0</v>
      </c>
      <c r="I83" s="19">
        <f>J83-H83</f>
        <v>0</v>
      </c>
      <c r="J83" s="19">
        <f>F83*G83</f>
        <v>0</v>
      </c>
      <c r="K83" s="19">
        <v>0.00159</v>
      </c>
      <c r="L83" s="19">
        <f>F83*K83</f>
        <v>0.026712000000000003</v>
      </c>
      <c r="M83" s="30" t="s">
        <v>463</v>
      </c>
      <c r="N83" s="30" t="s">
        <v>7</v>
      </c>
      <c r="O83" s="19">
        <f>IF(N83="5",I83,0)</f>
        <v>0</v>
      </c>
      <c r="Z83" s="19">
        <f>IF(AD83=0,J83,0)</f>
        <v>0</v>
      </c>
      <c r="AA83" s="19">
        <f>IF(AD83=15,J83,0)</f>
        <v>0</v>
      </c>
      <c r="AB83" s="19">
        <f>IF(AD83=21,J83,0)</f>
        <v>0</v>
      </c>
      <c r="AD83" s="34">
        <v>21</v>
      </c>
      <c r="AE83" s="34">
        <f>G83*0.331829268292683</f>
        <v>0</v>
      </c>
      <c r="AF83" s="34">
        <f>G83*(1-0.331829268292683)</f>
        <v>0</v>
      </c>
      <c r="AM83" s="34">
        <f>F83*AE83</f>
        <v>0</v>
      </c>
      <c r="AN83" s="34">
        <f>F83*AF83</f>
        <v>0</v>
      </c>
      <c r="AO83" s="35" t="s">
        <v>492</v>
      </c>
      <c r="AP83" s="35" t="s">
        <v>511</v>
      </c>
      <c r="AQ83" s="27" t="s">
        <v>516</v>
      </c>
    </row>
    <row r="84" spans="3:13" ht="12.75">
      <c r="C84" s="14" t="s">
        <v>116</v>
      </c>
      <c r="D84" s="88" t="s">
        <v>311</v>
      </c>
      <c r="E84" s="89"/>
      <c r="F84" s="89"/>
      <c r="G84" s="89"/>
      <c r="H84" s="89"/>
      <c r="I84" s="89"/>
      <c r="J84" s="89"/>
      <c r="K84" s="89"/>
      <c r="L84" s="89"/>
      <c r="M84" s="89"/>
    </row>
    <row r="85" spans="1:43" ht="12.75">
      <c r="A85" s="4" t="s">
        <v>41</v>
      </c>
      <c r="B85" s="4"/>
      <c r="C85" s="4" t="s">
        <v>157</v>
      </c>
      <c r="D85" s="4" t="s">
        <v>312</v>
      </c>
      <c r="E85" s="4" t="s">
        <v>441</v>
      </c>
      <c r="F85" s="19">
        <v>78.9</v>
      </c>
      <c r="G85" s="19">
        <v>0</v>
      </c>
      <c r="H85" s="19">
        <f>F85*AE85</f>
        <v>0</v>
      </c>
      <c r="I85" s="19">
        <f>J85-H85</f>
        <v>0</v>
      </c>
      <c r="J85" s="19">
        <f>F85*G85</f>
        <v>0</v>
      </c>
      <c r="K85" s="19">
        <v>0.00203</v>
      </c>
      <c r="L85" s="19">
        <f>F85*K85</f>
        <v>0.16016700000000003</v>
      </c>
      <c r="M85" s="30" t="s">
        <v>463</v>
      </c>
      <c r="N85" s="30" t="s">
        <v>7</v>
      </c>
      <c r="O85" s="19">
        <f>IF(N85="5",I85,0)</f>
        <v>0</v>
      </c>
      <c r="Z85" s="19">
        <f>IF(AD85=0,J85,0)</f>
        <v>0</v>
      </c>
      <c r="AA85" s="19">
        <f>IF(AD85=15,J85,0)</f>
        <v>0</v>
      </c>
      <c r="AB85" s="19">
        <f>IF(AD85=21,J85,0)</f>
        <v>0</v>
      </c>
      <c r="AD85" s="34">
        <v>21</v>
      </c>
      <c r="AE85" s="34">
        <f>G85*0.36848087431694</f>
        <v>0</v>
      </c>
      <c r="AF85" s="34">
        <f>G85*(1-0.36848087431694)</f>
        <v>0</v>
      </c>
      <c r="AM85" s="34">
        <f>F85*AE85</f>
        <v>0</v>
      </c>
      <c r="AN85" s="34">
        <f>F85*AF85</f>
        <v>0</v>
      </c>
      <c r="AO85" s="35" t="s">
        <v>492</v>
      </c>
      <c r="AP85" s="35" t="s">
        <v>511</v>
      </c>
      <c r="AQ85" s="27" t="s">
        <v>516</v>
      </c>
    </row>
    <row r="86" spans="3:13" ht="12.75">
      <c r="C86" s="14" t="s">
        <v>116</v>
      </c>
      <c r="D86" s="88" t="s">
        <v>313</v>
      </c>
      <c r="E86" s="89"/>
      <c r="F86" s="89"/>
      <c r="G86" s="89"/>
      <c r="H86" s="89"/>
      <c r="I86" s="89"/>
      <c r="J86" s="89"/>
      <c r="K86" s="89"/>
      <c r="L86" s="89"/>
      <c r="M86" s="89"/>
    </row>
    <row r="87" spans="1:43" ht="12.75">
      <c r="A87" s="4" t="s">
        <v>42</v>
      </c>
      <c r="B87" s="4"/>
      <c r="C87" s="4" t="s">
        <v>158</v>
      </c>
      <c r="D87" s="4" t="s">
        <v>314</v>
      </c>
      <c r="E87" s="4" t="s">
        <v>441</v>
      </c>
      <c r="F87" s="19">
        <v>8.25</v>
      </c>
      <c r="G87" s="19">
        <v>0</v>
      </c>
      <c r="H87" s="19">
        <f>F87*AE87</f>
        <v>0</v>
      </c>
      <c r="I87" s="19">
        <f>J87-H87</f>
        <v>0</v>
      </c>
      <c r="J87" s="19">
        <f>F87*G87</f>
        <v>0</v>
      </c>
      <c r="K87" s="19">
        <v>0.00273</v>
      </c>
      <c r="L87" s="19">
        <f>F87*K87</f>
        <v>0.022522499999999997</v>
      </c>
      <c r="M87" s="30" t="s">
        <v>463</v>
      </c>
      <c r="N87" s="30" t="s">
        <v>7</v>
      </c>
      <c r="O87" s="19">
        <f>IF(N87="5",I87,0)</f>
        <v>0</v>
      </c>
      <c r="Z87" s="19">
        <f>IF(AD87=0,J87,0)</f>
        <v>0</v>
      </c>
      <c r="AA87" s="19">
        <f>IF(AD87=15,J87,0)</f>
        <v>0</v>
      </c>
      <c r="AB87" s="19">
        <f>IF(AD87=21,J87,0)</f>
        <v>0</v>
      </c>
      <c r="AD87" s="34">
        <v>21</v>
      </c>
      <c r="AE87" s="34">
        <f>G87*0.419828244274809</f>
        <v>0</v>
      </c>
      <c r="AF87" s="34">
        <f>G87*(1-0.419828244274809)</f>
        <v>0</v>
      </c>
      <c r="AM87" s="34">
        <f>F87*AE87</f>
        <v>0</v>
      </c>
      <c r="AN87" s="34">
        <f>F87*AF87</f>
        <v>0</v>
      </c>
      <c r="AO87" s="35" t="s">
        <v>492</v>
      </c>
      <c r="AP87" s="35" t="s">
        <v>511</v>
      </c>
      <c r="AQ87" s="27" t="s">
        <v>516</v>
      </c>
    </row>
    <row r="88" spans="3:13" ht="12.75">
      <c r="C88" s="14" t="s">
        <v>116</v>
      </c>
      <c r="D88" s="88" t="s">
        <v>315</v>
      </c>
      <c r="E88" s="89"/>
      <c r="F88" s="89"/>
      <c r="G88" s="89"/>
      <c r="H88" s="89"/>
      <c r="I88" s="89"/>
      <c r="J88" s="89"/>
      <c r="K88" s="89"/>
      <c r="L88" s="89"/>
      <c r="M88" s="89"/>
    </row>
    <row r="89" spans="1:43" ht="12.75">
      <c r="A89" s="4" t="s">
        <v>43</v>
      </c>
      <c r="B89" s="4"/>
      <c r="C89" s="4" t="s">
        <v>159</v>
      </c>
      <c r="D89" s="4" t="s">
        <v>316</v>
      </c>
      <c r="E89" s="4" t="s">
        <v>442</v>
      </c>
      <c r="F89" s="19">
        <v>1</v>
      </c>
      <c r="G89" s="19">
        <v>0</v>
      </c>
      <c r="H89" s="19">
        <f>F89*AE89</f>
        <v>0</v>
      </c>
      <c r="I89" s="19">
        <f>J89-H89</f>
        <v>0</v>
      </c>
      <c r="J89" s="19">
        <f>F89*G89</f>
        <v>0</v>
      </c>
      <c r="K89" s="19">
        <v>0.00851</v>
      </c>
      <c r="L89" s="19">
        <f>F89*K89</f>
        <v>0.00851</v>
      </c>
      <c r="M89" s="30" t="s">
        <v>463</v>
      </c>
      <c r="N89" s="30" t="s">
        <v>7</v>
      </c>
      <c r="O89" s="19">
        <f>IF(N89="5",I89,0)</f>
        <v>0</v>
      </c>
      <c r="Z89" s="19">
        <f>IF(AD89=0,J89,0)</f>
        <v>0</v>
      </c>
      <c r="AA89" s="19">
        <f>IF(AD89=15,J89,0)</f>
        <v>0</v>
      </c>
      <c r="AB89" s="19">
        <f>IF(AD89=21,J89,0)</f>
        <v>0</v>
      </c>
      <c r="AD89" s="34">
        <v>21</v>
      </c>
      <c r="AE89" s="34">
        <f>G89*0.882039396917383</f>
        <v>0</v>
      </c>
      <c r="AF89" s="34">
        <f>G89*(1-0.882039396917383)</f>
        <v>0</v>
      </c>
      <c r="AM89" s="34">
        <f>F89*AE89</f>
        <v>0</v>
      </c>
      <c r="AN89" s="34">
        <f>F89*AF89</f>
        <v>0</v>
      </c>
      <c r="AO89" s="35" t="s">
        <v>492</v>
      </c>
      <c r="AP89" s="35" t="s">
        <v>511</v>
      </c>
      <c r="AQ89" s="27" t="s">
        <v>516</v>
      </c>
    </row>
    <row r="90" spans="3:13" ht="12.75">
      <c r="C90" s="14" t="s">
        <v>116</v>
      </c>
      <c r="D90" s="88" t="s">
        <v>317</v>
      </c>
      <c r="E90" s="89"/>
      <c r="F90" s="89"/>
      <c r="G90" s="89"/>
      <c r="H90" s="89"/>
      <c r="I90" s="89"/>
      <c r="J90" s="89"/>
      <c r="K90" s="89"/>
      <c r="L90" s="89"/>
      <c r="M90" s="89"/>
    </row>
    <row r="91" spans="1:43" ht="12.75">
      <c r="A91" s="4" t="s">
        <v>44</v>
      </c>
      <c r="B91" s="4"/>
      <c r="C91" s="4" t="s">
        <v>160</v>
      </c>
      <c r="D91" s="4" t="s">
        <v>318</v>
      </c>
      <c r="E91" s="4" t="s">
        <v>439</v>
      </c>
      <c r="F91" s="19">
        <v>2.49</v>
      </c>
      <c r="G91" s="19">
        <v>0</v>
      </c>
      <c r="H91" s="19">
        <f>F91*AE91</f>
        <v>0</v>
      </c>
      <c r="I91" s="19">
        <f>J91-H91</f>
        <v>0</v>
      </c>
      <c r="J91" s="19">
        <f>F91*G91</f>
        <v>0</v>
      </c>
      <c r="K91" s="19">
        <v>0.00529</v>
      </c>
      <c r="L91" s="19">
        <f>F91*K91</f>
        <v>0.013172100000000003</v>
      </c>
      <c r="M91" s="30" t="s">
        <v>463</v>
      </c>
      <c r="N91" s="30" t="s">
        <v>7</v>
      </c>
      <c r="O91" s="19">
        <f>IF(N91="5",I91,0)</f>
        <v>0</v>
      </c>
      <c r="Z91" s="19">
        <f>IF(AD91=0,J91,0)</f>
        <v>0</v>
      </c>
      <c r="AA91" s="19">
        <f>IF(AD91=15,J91,0)</f>
        <v>0</v>
      </c>
      <c r="AB91" s="19">
        <f>IF(AD91=21,J91,0)</f>
        <v>0</v>
      </c>
      <c r="AD91" s="34">
        <v>21</v>
      </c>
      <c r="AE91" s="34">
        <f>G91*0.567462514547858</f>
        <v>0</v>
      </c>
      <c r="AF91" s="34">
        <f>G91*(1-0.567462514547858)</f>
        <v>0</v>
      </c>
      <c r="AM91" s="34">
        <f>F91*AE91</f>
        <v>0</v>
      </c>
      <c r="AN91" s="34">
        <f>F91*AF91</f>
        <v>0</v>
      </c>
      <c r="AO91" s="35" t="s">
        <v>492</v>
      </c>
      <c r="AP91" s="35" t="s">
        <v>511</v>
      </c>
      <c r="AQ91" s="27" t="s">
        <v>516</v>
      </c>
    </row>
    <row r="92" spans="3:13" ht="12.75">
      <c r="C92" s="14" t="s">
        <v>116</v>
      </c>
      <c r="D92" s="88" t="s">
        <v>319</v>
      </c>
      <c r="E92" s="89"/>
      <c r="F92" s="89"/>
      <c r="G92" s="89"/>
      <c r="H92" s="89"/>
      <c r="I92" s="89"/>
      <c r="J92" s="89"/>
      <c r="K92" s="89"/>
      <c r="L92" s="89"/>
      <c r="M92" s="89"/>
    </row>
    <row r="93" spans="1:43" ht="12.75">
      <c r="A93" s="4" t="s">
        <v>45</v>
      </c>
      <c r="B93" s="4"/>
      <c r="C93" s="4" t="s">
        <v>161</v>
      </c>
      <c r="D93" s="4" t="s">
        <v>320</v>
      </c>
      <c r="E93" s="4" t="s">
        <v>441</v>
      </c>
      <c r="F93" s="19">
        <v>73.22</v>
      </c>
      <c r="G93" s="19">
        <v>0</v>
      </c>
      <c r="H93" s="19">
        <f>F93*AE93</f>
        <v>0</v>
      </c>
      <c r="I93" s="19">
        <f>J93-H93</f>
        <v>0</v>
      </c>
      <c r="J93" s="19">
        <f>F93*G93</f>
        <v>0</v>
      </c>
      <c r="K93" s="19">
        <v>0.00679</v>
      </c>
      <c r="L93" s="19">
        <f>F93*K93</f>
        <v>0.4971638</v>
      </c>
      <c r="M93" s="30" t="s">
        <v>463</v>
      </c>
      <c r="N93" s="30" t="s">
        <v>7</v>
      </c>
      <c r="O93" s="19">
        <f>IF(N93="5",I93,0)</f>
        <v>0</v>
      </c>
      <c r="Z93" s="19">
        <f>IF(AD93=0,J93,0)</f>
        <v>0</v>
      </c>
      <c r="AA93" s="19">
        <f>IF(AD93=15,J93,0)</f>
        <v>0</v>
      </c>
      <c r="AB93" s="19">
        <f>IF(AD93=21,J93,0)</f>
        <v>0</v>
      </c>
      <c r="AD93" s="34">
        <v>21</v>
      </c>
      <c r="AE93" s="34">
        <f>G93*0.453981603153745</f>
        <v>0</v>
      </c>
      <c r="AF93" s="34">
        <f>G93*(1-0.453981603153745)</f>
        <v>0</v>
      </c>
      <c r="AM93" s="34">
        <f>F93*AE93</f>
        <v>0</v>
      </c>
      <c r="AN93" s="34">
        <f>F93*AF93</f>
        <v>0</v>
      </c>
      <c r="AO93" s="35" t="s">
        <v>492</v>
      </c>
      <c r="AP93" s="35" t="s">
        <v>511</v>
      </c>
      <c r="AQ93" s="27" t="s">
        <v>516</v>
      </c>
    </row>
    <row r="94" spans="3:13" ht="12.75">
      <c r="C94" s="14" t="s">
        <v>116</v>
      </c>
      <c r="D94" s="88" t="s">
        <v>321</v>
      </c>
      <c r="E94" s="89"/>
      <c r="F94" s="89"/>
      <c r="G94" s="89"/>
      <c r="H94" s="89"/>
      <c r="I94" s="89"/>
      <c r="J94" s="89"/>
      <c r="K94" s="89"/>
      <c r="L94" s="89"/>
      <c r="M94" s="89"/>
    </row>
    <row r="95" spans="1:43" ht="12.75">
      <c r="A95" s="4" t="s">
        <v>46</v>
      </c>
      <c r="B95" s="4"/>
      <c r="C95" s="4" t="s">
        <v>162</v>
      </c>
      <c r="D95" s="4" t="s">
        <v>322</v>
      </c>
      <c r="E95" s="4" t="s">
        <v>441</v>
      </c>
      <c r="F95" s="19">
        <v>73.22</v>
      </c>
      <c r="G95" s="19">
        <v>0</v>
      </c>
      <c r="H95" s="19">
        <f>F95*AE95</f>
        <v>0</v>
      </c>
      <c r="I95" s="19">
        <f>J95-H95</f>
        <v>0</v>
      </c>
      <c r="J95" s="19">
        <f>F95*G95</f>
        <v>0</v>
      </c>
      <c r="K95" s="19">
        <v>0</v>
      </c>
      <c r="L95" s="19">
        <f>F95*K95</f>
        <v>0</v>
      </c>
      <c r="M95" s="30" t="s">
        <v>463</v>
      </c>
      <c r="N95" s="30" t="s">
        <v>7</v>
      </c>
      <c r="O95" s="19">
        <f>IF(N95="5",I95,0)</f>
        <v>0</v>
      </c>
      <c r="Z95" s="19">
        <f>IF(AD95=0,J95,0)</f>
        <v>0</v>
      </c>
      <c r="AA95" s="19">
        <f>IF(AD95=15,J95,0)</f>
        <v>0</v>
      </c>
      <c r="AB95" s="19">
        <f>IF(AD95=21,J95,0)</f>
        <v>0</v>
      </c>
      <c r="AD95" s="34">
        <v>21</v>
      </c>
      <c r="AE95" s="34">
        <f>G95*0.529271578074811</f>
        <v>0</v>
      </c>
      <c r="AF95" s="34">
        <f>G95*(1-0.529271578074811)</f>
        <v>0</v>
      </c>
      <c r="AM95" s="34">
        <f>F95*AE95</f>
        <v>0</v>
      </c>
      <c r="AN95" s="34">
        <f>F95*AF95</f>
        <v>0</v>
      </c>
      <c r="AO95" s="35" t="s">
        <v>492</v>
      </c>
      <c r="AP95" s="35" t="s">
        <v>511</v>
      </c>
      <c r="AQ95" s="27" t="s">
        <v>516</v>
      </c>
    </row>
    <row r="96" spans="3:13" ht="12.75">
      <c r="C96" s="14" t="s">
        <v>116</v>
      </c>
      <c r="D96" s="88" t="s">
        <v>323</v>
      </c>
      <c r="E96" s="89"/>
      <c r="F96" s="89"/>
      <c r="G96" s="89"/>
      <c r="H96" s="89"/>
      <c r="I96" s="89"/>
      <c r="J96" s="89"/>
      <c r="K96" s="89"/>
      <c r="L96" s="89"/>
      <c r="M96" s="89"/>
    </row>
    <row r="97" spans="1:43" ht="12.75">
      <c r="A97" s="4" t="s">
        <v>47</v>
      </c>
      <c r="B97" s="4"/>
      <c r="C97" s="4" t="s">
        <v>163</v>
      </c>
      <c r="D97" s="4" t="s">
        <v>324</v>
      </c>
      <c r="E97" s="4" t="s">
        <v>441</v>
      </c>
      <c r="F97" s="19">
        <v>11.01</v>
      </c>
      <c r="G97" s="19">
        <v>0</v>
      </c>
      <c r="H97" s="19">
        <f>F97*AE97</f>
        <v>0</v>
      </c>
      <c r="I97" s="19">
        <f>J97-H97</f>
        <v>0</v>
      </c>
      <c r="J97" s="19">
        <f>F97*G97</f>
        <v>0</v>
      </c>
      <c r="K97" s="19">
        <v>0.00205</v>
      </c>
      <c r="L97" s="19">
        <f>F97*K97</f>
        <v>0.0225705</v>
      </c>
      <c r="M97" s="30" t="s">
        <v>463</v>
      </c>
      <c r="N97" s="30" t="s">
        <v>7</v>
      </c>
      <c r="O97" s="19">
        <f>IF(N97="5",I97,0)</f>
        <v>0</v>
      </c>
      <c r="Z97" s="19">
        <f>IF(AD97=0,J97,0)</f>
        <v>0</v>
      </c>
      <c r="AA97" s="19">
        <f>IF(AD97=15,J97,0)</f>
        <v>0</v>
      </c>
      <c r="AB97" s="19">
        <f>IF(AD97=21,J97,0)</f>
        <v>0</v>
      </c>
      <c r="AD97" s="34">
        <v>21</v>
      </c>
      <c r="AE97" s="34">
        <f>G97*0</f>
        <v>0</v>
      </c>
      <c r="AF97" s="34">
        <f>G97*(1-0)</f>
        <v>0</v>
      </c>
      <c r="AM97" s="34">
        <f>F97*AE97</f>
        <v>0</v>
      </c>
      <c r="AN97" s="34">
        <f>F97*AF97</f>
        <v>0</v>
      </c>
      <c r="AO97" s="35" t="s">
        <v>492</v>
      </c>
      <c r="AP97" s="35" t="s">
        <v>511</v>
      </c>
      <c r="AQ97" s="27" t="s">
        <v>516</v>
      </c>
    </row>
    <row r="98" spans="3:13" ht="12.75">
      <c r="C98" s="14" t="s">
        <v>116</v>
      </c>
      <c r="D98" s="88" t="s">
        <v>325</v>
      </c>
      <c r="E98" s="89"/>
      <c r="F98" s="89"/>
      <c r="G98" s="89"/>
      <c r="H98" s="89"/>
      <c r="I98" s="89"/>
      <c r="J98" s="89"/>
      <c r="K98" s="89"/>
      <c r="L98" s="89"/>
      <c r="M98" s="89"/>
    </row>
    <row r="99" spans="1:43" ht="12.75">
      <c r="A99" s="4" t="s">
        <v>48</v>
      </c>
      <c r="B99" s="4"/>
      <c r="C99" s="4" t="s">
        <v>164</v>
      </c>
      <c r="D99" s="4" t="s">
        <v>326</v>
      </c>
      <c r="E99" s="4" t="s">
        <v>441</v>
      </c>
      <c r="F99" s="19">
        <v>73.22</v>
      </c>
      <c r="G99" s="19">
        <v>0</v>
      </c>
      <c r="H99" s="19">
        <f>F99*AE99</f>
        <v>0</v>
      </c>
      <c r="I99" s="19">
        <f>J99-H99</f>
        <v>0</v>
      </c>
      <c r="J99" s="19">
        <f>F99*G99</f>
        <v>0</v>
      </c>
      <c r="K99" s="19">
        <v>0.00395</v>
      </c>
      <c r="L99" s="19">
        <f>F99*K99</f>
        <v>0.289219</v>
      </c>
      <c r="M99" s="30" t="s">
        <v>463</v>
      </c>
      <c r="N99" s="30" t="s">
        <v>7</v>
      </c>
      <c r="O99" s="19">
        <f>IF(N99="5",I99,0)</f>
        <v>0</v>
      </c>
      <c r="Z99" s="19">
        <f>IF(AD99=0,J99,0)</f>
        <v>0</v>
      </c>
      <c r="AA99" s="19">
        <f>IF(AD99=15,J99,0)</f>
        <v>0</v>
      </c>
      <c r="AB99" s="19">
        <f>IF(AD99=21,J99,0)</f>
        <v>0</v>
      </c>
      <c r="AD99" s="34">
        <v>21</v>
      </c>
      <c r="AE99" s="34">
        <f>G99*0</f>
        <v>0</v>
      </c>
      <c r="AF99" s="34">
        <f>G99*(1-0)</f>
        <v>0</v>
      </c>
      <c r="AM99" s="34">
        <f>F99*AE99</f>
        <v>0</v>
      </c>
      <c r="AN99" s="34">
        <f>F99*AF99</f>
        <v>0</v>
      </c>
      <c r="AO99" s="35" t="s">
        <v>492</v>
      </c>
      <c r="AP99" s="35" t="s">
        <v>511</v>
      </c>
      <c r="AQ99" s="27" t="s">
        <v>516</v>
      </c>
    </row>
    <row r="100" spans="1:37" ht="12.75">
      <c r="A100" s="5"/>
      <c r="B100" s="13"/>
      <c r="C100" s="13" t="s">
        <v>165</v>
      </c>
      <c r="D100" s="90" t="s">
        <v>327</v>
      </c>
      <c r="E100" s="91"/>
      <c r="F100" s="91"/>
      <c r="G100" s="91"/>
      <c r="H100" s="37">
        <f>SUM(H101:H111)</f>
        <v>0</v>
      </c>
      <c r="I100" s="37">
        <f>SUM(I101:I111)</f>
        <v>0</v>
      </c>
      <c r="J100" s="37">
        <f>H100+I100</f>
        <v>0</v>
      </c>
      <c r="K100" s="27"/>
      <c r="L100" s="37">
        <f>SUM(L101:L111)</f>
        <v>0.1119576</v>
      </c>
      <c r="M100" s="27"/>
      <c r="P100" s="37">
        <f>IF(Q100="PR",J100,SUM(O101:O111))</f>
        <v>0</v>
      </c>
      <c r="Q100" s="27" t="s">
        <v>468</v>
      </c>
      <c r="R100" s="37">
        <f>IF(Q100="HS",H100,0)</f>
        <v>0</v>
      </c>
      <c r="S100" s="37">
        <f>IF(Q100="HS",I100-P100,0)</f>
        <v>0</v>
      </c>
      <c r="T100" s="37">
        <f>IF(Q100="PS",H100,0)</f>
        <v>0</v>
      </c>
      <c r="U100" s="37">
        <f>IF(Q100="PS",I100-P100,0)</f>
        <v>0</v>
      </c>
      <c r="V100" s="37">
        <f>IF(Q100="MP",H100,0)</f>
        <v>0</v>
      </c>
      <c r="W100" s="37">
        <f>IF(Q100="MP",I100-P100,0)</f>
        <v>0</v>
      </c>
      <c r="X100" s="37">
        <f>IF(Q100="OM",H100,0)</f>
        <v>0</v>
      </c>
      <c r="Y100" s="27"/>
      <c r="AI100" s="37">
        <f>SUM(Z101:Z111)</f>
        <v>0</v>
      </c>
      <c r="AJ100" s="37">
        <f>SUM(AA101:AA111)</f>
        <v>0</v>
      </c>
      <c r="AK100" s="37">
        <f>SUM(AB101:AB111)</f>
        <v>0</v>
      </c>
    </row>
    <row r="101" spans="1:43" ht="12.75">
      <c r="A101" s="4" t="s">
        <v>49</v>
      </c>
      <c r="B101" s="4"/>
      <c r="C101" s="4" t="s">
        <v>166</v>
      </c>
      <c r="D101" s="4" t="s">
        <v>328</v>
      </c>
      <c r="E101" s="4" t="s">
        <v>439</v>
      </c>
      <c r="F101" s="19">
        <v>34.62</v>
      </c>
      <c r="G101" s="19">
        <v>0</v>
      </c>
      <c r="H101" s="19">
        <f>F101*AE101</f>
        <v>0</v>
      </c>
      <c r="I101" s="19">
        <f>J101-H101</f>
        <v>0</v>
      </c>
      <c r="J101" s="19">
        <f>F101*G101</f>
        <v>0</v>
      </c>
      <c r="K101" s="19">
        <v>0.00018</v>
      </c>
      <c r="L101" s="19">
        <f>F101*K101</f>
        <v>0.0062316</v>
      </c>
      <c r="M101" s="30" t="s">
        <v>463</v>
      </c>
      <c r="N101" s="30" t="s">
        <v>7</v>
      </c>
      <c r="O101" s="19">
        <f>IF(N101="5",I101,0)</f>
        <v>0</v>
      </c>
      <c r="Z101" s="19">
        <f>IF(AD101=0,J101,0)</f>
        <v>0</v>
      </c>
      <c r="AA101" s="19">
        <f>IF(AD101=15,J101,0)</f>
        <v>0</v>
      </c>
      <c r="AB101" s="19">
        <f>IF(AD101=21,J101,0)</f>
        <v>0</v>
      </c>
      <c r="AD101" s="34">
        <v>21</v>
      </c>
      <c r="AE101" s="34">
        <f>G101*0.0192607802874743</f>
        <v>0</v>
      </c>
      <c r="AF101" s="34">
        <f>G101*(1-0.0192607802874743)</f>
        <v>0</v>
      </c>
      <c r="AM101" s="34">
        <f>F101*AE101</f>
        <v>0</v>
      </c>
      <c r="AN101" s="34">
        <f>F101*AF101</f>
        <v>0</v>
      </c>
      <c r="AO101" s="35" t="s">
        <v>493</v>
      </c>
      <c r="AP101" s="35" t="s">
        <v>511</v>
      </c>
      <c r="AQ101" s="27" t="s">
        <v>516</v>
      </c>
    </row>
    <row r="102" spans="1:43" ht="12.75">
      <c r="A102" s="4" t="s">
        <v>50</v>
      </c>
      <c r="B102" s="4"/>
      <c r="C102" s="4" t="s">
        <v>167</v>
      </c>
      <c r="D102" s="4" t="s">
        <v>329</v>
      </c>
      <c r="E102" s="4" t="s">
        <v>441</v>
      </c>
      <c r="F102" s="19">
        <v>424.2</v>
      </c>
      <c r="G102" s="19">
        <v>0</v>
      </c>
      <c r="H102" s="19">
        <f>F102*AE102</f>
        <v>0</v>
      </c>
      <c r="I102" s="19">
        <f>J102-H102</f>
        <v>0</v>
      </c>
      <c r="J102" s="19">
        <f>F102*G102</f>
        <v>0</v>
      </c>
      <c r="K102" s="19">
        <v>4E-05</v>
      </c>
      <c r="L102" s="19">
        <f>F102*K102</f>
        <v>0.016968</v>
      </c>
      <c r="M102" s="30" t="s">
        <v>463</v>
      </c>
      <c r="N102" s="30" t="s">
        <v>7</v>
      </c>
      <c r="O102" s="19">
        <f>IF(N102="5",I102,0)</f>
        <v>0</v>
      </c>
      <c r="Z102" s="19">
        <f>IF(AD102=0,J102,0)</f>
        <v>0</v>
      </c>
      <c r="AA102" s="19">
        <f>IF(AD102=15,J102,0)</f>
        <v>0</v>
      </c>
      <c r="AB102" s="19">
        <f>IF(AD102=21,J102,0)</f>
        <v>0</v>
      </c>
      <c r="AD102" s="34">
        <v>21</v>
      </c>
      <c r="AE102" s="34">
        <f>G102*0.357666666666667</f>
        <v>0</v>
      </c>
      <c r="AF102" s="34">
        <f>G102*(1-0.357666666666667)</f>
        <v>0</v>
      </c>
      <c r="AM102" s="34">
        <f>F102*AE102</f>
        <v>0</v>
      </c>
      <c r="AN102" s="34">
        <f>F102*AF102</f>
        <v>0</v>
      </c>
      <c r="AO102" s="35" t="s">
        <v>493</v>
      </c>
      <c r="AP102" s="35" t="s">
        <v>511</v>
      </c>
      <c r="AQ102" s="27" t="s">
        <v>516</v>
      </c>
    </row>
    <row r="103" spans="3:13" ht="12.75">
      <c r="C103" s="14" t="s">
        <v>116</v>
      </c>
      <c r="D103" s="88" t="s">
        <v>330</v>
      </c>
      <c r="E103" s="89"/>
      <c r="F103" s="89"/>
      <c r="G103" s="89"/>
      <c r="H103" s="89"/>
      <c r="I103" s="89"/>
      <c r="J103" s="89"/>
      <c r="K103" s="89"/>
      <c r="L103" s="89"/>
      <c r="M103" s="89"/>
    </row>
    <row r="104" spans="1:43" ht="12.75">
      <c r="A104" s="4" t="s">
        <v>51</v>
      </c>
      <c r="B104" s="4"/>
      <c r="C104" s="4" t="s">
        <v>168</v>
      </c>
      <c r="D104" s="4" t="s">
        <v>331</v>
      </c>
      <c r="E104" s="4" t="s">
        <v>442</v>
      </c>
      <c r="F104" s="19">
        <v>23</v>
      </c>
      <c r="G104" s="19">
        <v>0</v>
      </c>
      <c r="H104" s="19">
        <f aca="true" t="shared" si="0" ref="H104:H111">F104*AE104</f>
        <v>0</v>
      </c>
      <c r="I104" s="19">
        <f aca="true" t="shared" si="1" ref="I104:I111">J104-H104</f>
        <v>0</v>
      </c>
      <c r="J104" s="19">
        <f aca="true" t="shared" si="2" ref="J104:J111">F104*G104</f>
        <v>0</v>
      </c>
      <c r="K104" s="19">
        <v>0.0009</v>
      </c>
      <c r="L104" s="19">
        <f aca="true" t="shared" si="3" ref="L104:L111">F104*K104</f>
        <v>0.0207</v>
      </c>
      <c r="M104" s="30" t="s">
        <v>463</v>
      </c>
      <c r="N104" s="30" t="s">
        <v>7</v>
      </c>
      <c r="O104" s="19">
        <f aca="true" t="shared" si="4" ref="O104:O111">IF(N104="5",I104,0)</f>
        <v>0</v>
      </c>
      <c r="Z104" s="19">
        <f aca="true" t="shared" si="5" ref="Z104:Z111">IF(AD104=0,J104,0)</f>
        <v>0</v>
      </c>
      <c r="AA104" s="19">
        <f aca="true" t="shared" si="6" ref="AA104:AA111">IF(AD104=15,J104,0)</f>
        <v>0</v>
      </c>
      <c r="AB104" s="19">
        <f aca="true" t="shared" si="7" ref="AB104:AB111">IF(AD104=21,J104,0)</f>
        <v>0</v>
      </c>
      <c r="AD104" s="34">
        <v>21</v>
      </c>
      <c r="AE104" s="34">
        <f>G104*0.116371359223301</f>
        <v>0</v>
      </c>
      <c r="AF104" s="34">
        <f>G104*(1-0.116371359223301)</f>
        <v>0</v>
      </c>
      <c r="AM104" s="34">
        <f aca="true" t="shared" si="8" ref="AM104:AM111">F104*AE104</f>
        <v>0</v>
      </c>
      <c r="AN104" s="34">
        <f aca="true" t="shared" si="9" ref="AN104:AN111">F104*AF104</f>
        <v>0</v>
      </c>
      <c r="AO104" s="35" t="s">
        <v>493</v>
      </c>
      <c r="AP104" s="35" t="s">
        <v>511</v>
      </c>
      <c r="AQ104" s="27" t="s">
        <v>516</v>
      </c>
    </row>
    <row r="105" spans="1:43" ht="12.75">
      <c r="A105" s="4" t="s">
        <v>52</v>
      </c>
      <c r="B105" s="4"/>
      <c r="C105" s="4" t="s">
        <v>169</v>
      </c>
      <c r="D105" s="4" t="s">
        <v>332</v>
      </c>
      <c r="E105" s="4" t="s">
        <v>442</v>
      </c>
      <c r="F105" s="19">
        <v>33</v>
      </c>
      <c r="G105" s="19">
        <v>0</v>
      </c>
      <c r="H105" s="19">
        <f t="shared" si="0"/>
        <v>0</v>
      </c>
      <c r="I105" s="19">
        <f t="shared" si="1"/>
        <v>0</v>
      </c>
      <c r="J105" s="19">
        <f t="shared" si="2"/>
        <v>0</v>
      </c>
      <c r="K105" s="19">
        <v>0.0012</v>
      </c>
      <c r="L105" s="19">
        <f t="shared" si="3"/>
        <v>0.039599999999999996</v>
      </c>
      <c r="M105" s="30" t="s">
        <v>463</v>
      </c>
      <c r="N105" s="30" t="s">
        <v>7</v>
      </c>
      <c r="O105" s="19">
        <f t="shared" si="4"/>
        <v>0</v>
      </c>
      <c r="Z105" s="19">
        <f t="shared" si="5"/>
        <v>0</v>
      </c>
      <c r="AA105" s="19">
        <f t="shared" si="6"/>
        <v>0</v>
      </c>
      <c r="AB105" s="19">
        <f t="shared" si="7"/>
        <v>0</v>
      </c>
      <c r="AD105" s="34">
        <v>21</v>
      </c>
      <c r="AE105" s="34">
        <f>G105*0.126745954219998</f>
        <v>0</v>
      </c>
      <c r="AF105" s="34">
        <f>G105*(1-0.126745954219998)</f>
        <v>0</v>
      </c>
      <c r="AM105" s="34">
        <f t="shared" si="8"/>
        <v>0</v>
      </c>
      <c r="AN105" s="34">
        <f t="shared" si="9"/>
        <v>0</v>
      </c>
      <c r="AO105" s="35" t="s">
        <v>493</v>
      </c>
      <c r="AP105" s="35" t="s">
        <v>511</v>
      </c>
      <c r="AQ105" s="27" t="s">
        <v>516</v>
      </c>
    </row>
    <row r="106" spans="1:43" ht="12.75">
      <c r="A106" s="4" t="s">
        <v>53</v>
      </c>
      <c r="B106" s="4"/>
      <c r="C106" s="4" t="s">
        <v>170</v>
      </c>
      <c r="D106" s="4" t="s">
        <v>333</v>
      </c>
      <c r="E106" s="4" t="s">
        <v>442</v>
      </c>
      <c r="F106" s="19">
        <v>8</v>
      </c>
      <c r="G106" s="19">
        <v>0</v>
      </c>
      <c r="H106" s="19">
        <f t="shared" si="0"/>
        <v>0</v>
      </c>
      <c r="I106" s="19">
        <f t="shared" si="1"/>
        <v>0</v>
      </c>
      <c r="J106" s="19">
        <f t="shared" si="2"/>
        <v>0</v>
      </c>
      <c r="K106" s="19">
        <v>0.00165</v>
      </c>
      <c r="L106" s="19">
        <f t="shared" si="3"/>
        <v>0.0132</v>
      </c>
      <c r="M106" s="30" t="s">
        <v>463</v>
      </c>
      <c r="N106" s="30" t="s">
        <v>7</v>
      </c>
      <c r="O106" s="19">
        <f t="shared" si="4"/>
        <v>0</v>
      </c>
      <c r="Z106" s="19">
        <f t="shared" si="5"/>
        <v>0</v>
      </c>
      <c r="AA106" s="19">
        <f t="shared" si="6"/>
        <v>0</v>
      </c>
      <c r="AB106" s="19">
        <f t="shared" si="7"/>
        <v>0</v>
      </c>
      <c r="AD106" s="34">
        <v>21</v>
      </c>
      <c r="AE106" s="34">
        <f>G106*0.158382608695652</f>
        <v>0</v>
      </c>
      <c r="AF106" s="34">
        <f>G106*(1-0.158382608695652)</f>
        <v>0</v>
      </c>
      <c r="AM106" s="34">
        <f t="shared" si="8"/>
        <v>0</v>
      </c>
      <c r="AN106" s="34">
        <f t="shared" si="9"/>
        <v>0</v>
      </c>
      <c r="AO106" s="35" t="s">
        <v>493</v>
      </c>
      <c r="AP106" s="35" t="s">
        <v>511</v>
      </c>
      <c r="AQ106" s="27" t="s">
        <v>516</v>
      </c>
    </row>
    <row r="107" spans="1:43" ht="12.75">
      <c r="A107" s="4" t="s">
        <v>54</v>
      </c>
      <c r="B107" s="4"/>
      <c r="C107" s="4" t="s">
        <v>171</v>
      </c>
      <c r="D107" s="4" t="s">
        <v>334</v>
      </c>
      <c r="E107" s="4" t="s">
        <v>442</v>
      </c>
      <c r="F107" s="19">
        <v>8</v>
      </c>
      <c r="G107" s="19">
        <v>0</v>
      </c>
      <c r="H107" s="19">
        <f t="shared" si="0"/>
        <v>0</v>
      </c>
      <c r="I107" s="19">
        <f t="shared" si="1"/>
        <v>0</v>
      </c>
      <c r="J107" s="19">
        <f t="shared" si="2"/>
        <v>0</v>
      </c>
      <c r="K107" s="19">
        <v>0.00168</v>
      </c>
      <c r="L107" s="19">
        <f t="shared" si="3"/>
        <v>0.01344</v>
      </c>
      <c r="M107" s="30" t="s">
        <v>463</v>
      </c>
      <c r="N107" s="30" t="s">
        <v>7</v>
      </c>
      <c r="O107" s="19">
        <f t="shared" si="4"/>
        <v>0</v>
      </c>
      <c r="Z107" s="19">
        <f t="shared" si="5"/>
        <v>0</v>
      </c>
      <c r="AA107" s="19">
        <f t="shared" si="6"/>
        <v>0</v>
      </c>
      <c r="AB107" s="19">
        <f t="shared" si="7"/>
        <v>0</v>
      </c>
      <c r="AD107" s="34">
        <v>21</v>
      </c>
      <c r="AE107" s="34">
        <f>G107*0.174115674769489</f>
        <v>0</v>
      </c>
      <c r="AF107" s="34">
        <f>G107*(1-0.174115674769489)</f>
        <v>0</v>
      </c>
      <c r="AM107" s="34">
        <f t="shared" si="8"/>
        <v>0</v>
      </c>
      <c r="AN107" s="34">
        <f t="shared" si="9"/>
        <v>0</v>
      </c>
      <c r="AO107" s="35" t="s">
        <v>493</v>
      </c>
      <c r="AP107" s="35" t="s">
        <v>511</v>
      </c>
      <c r="AQ107" s="27" t="s">
        <v>516</v>
      </c>
    </row>
    <row r="108" spans="1:43" ht="12.75">
      <c r="A108" s="4" t="s">
        <v>55</v>
      </c>
      <c r="B108" s="4"/>
      <c r="C108" s="4" t="s">
        <v>172</v>
      </c>
      <c r="D108" s="4" t="s">
        <v>335</v>
      </c>
      <c r="E108" s="4" t="s">
        <v>442</v>
      </c>
      <c r="F108" s="19">
        <v>1</v>
      </c>
      <c r="G108" s="19">
        <v>0</v>
      </c>
      <c r="H108" s="19">
        <f t="shared" si="0"/>
        <v>0</v>
      </c>
      <c r="I108" s="19">
        <f t="shared" si="1"/>
        <v>0</v>
      </c>
      <c r="J108" s="19">
        <f t="shared" si="2"/>
        <v>0</v>
      </c>
      <c r="K108" s="19">
        <v>0</v>
      </c>
      <c r="L108" s="19">
        <f t="shared" si="3"/>
        <v>0</v>
      </c>
      <c r="M108" s="30" t="s">
        <v>463</v>
      </c>
      <c r="N108" s="30" t="s">
        <v>7</v>
      </c>
      <c r="O108" s="19">
        <f t="shared" si="4"/>
        <v>0</v>
      </c>
      <c r="Z108" s="19">
        <f t="shared" si="5"/>
        <v>0</v>
      </c>
      <c r="AA108" s="19">
        <f t="shared" si="6"/>
        <v>0</v>
      </c>
      <c r="AB108" s="19">
        <f t="shared" si="7"/>
        <v>0</v>
      </c>
      <c r="AD108" s="34">
        <v>21</v>
      </c>
      <c r="AE108" s="34">
        <f>G108*0</f>
        <v>0</v>
      </c>
      <c r="AF108" s="34">
        <f>G108*(1-0)</f>
        <v>0</v>
      </c>
      <c r="AM108" s="34">
        <f t="shared" si="8"/>
        <v>0</v>
      </c>
      <c r="AN108" s="34">
        <f t="shared" si="9"/>
        <v>0</v>
      </c>
      <c r="AO108" s="35" t="s">
        <v>493</v>
      </c>
      <c r="AP108" s="35" t="s">
        <v>511</v>
      </c>
      <c r="AQ108" s="27" t="s">
        <v>516</v>
      </c>
    </row>
    <row r="109" spans="1:43" ht="12.75">
      <c r="A109" s="4" t="s">
        <v>56</v>
      </c>
      <c r="B109" s="4"/>
      <c r="C109" s="4" t="s">
        <v>173</v>
      </c>
      <c r="D109" s="4" t="s">
        <v>336</v>
      </c>
      <c r="E109" s="4" t="s">
        <v>442</v>
      </c>
      <c r="F109" s="19">
        <v>1</v>
      </c>
      <c r="G109" s="19">
        <v>0</v>
      </c>
      <c r="H109" s="19">
        <f t="shared" si="0"/>
        <v>0</v>
      </c>
      <c r="I109" s="19">
        <f t="shared" si="1"/>
        <v>0</v>
      </c>
      <c r="J109" s="19">
        <f t="shared" si="2"/>
        <v>0</v>
      </c>
      <c r="K109" s="19">
        <v>0</v>
      </c>
      <c r="L109" s="19">
        <f t="shared" si="3"/>
        <v>0</v>
      </c>
      <c r="M109" s="30" t="s">
        <v>463</v>
      </c>
      <c r="N109" s="30" t="s">
        <v>7</v>
      </c>
      <c r="O109" s="19">
        <f t="shared" si="4"/>
        <v>0</v>
      </c>
      <c r="Z109" s="19">
        <f t="shared" si="5"/>
        <v>0</v>
      </c>
      <c r="AA109" s="19">
        <f t="shared" si="6"/>
        <v>0</v>
      </c>
      <c r="AB109" s="19">
        <f t="shared" si="7"/>
        <v>0</v>
      </c>
      <c r="AD109" s="34">
        <v>21</v>
      </c>
      <c r="AE109" s="34">
        <f>G109*0</f>
        <v>0</v>
      </c>
      <c r="AF109" s="34">
        <f>G109*(1-0)</f>
        <v>0</v>
      </c>
      <c r="AM109" s="34">
        <f t="shared" si="8"/>
        <v>0</v>
      </c>
      <c r="AN109" s="34">
        <f t="shared" si="9"/>
        <v>0</v>
      </c>
      <c r="AO109" s="35" t="s">
        <v>493</v>
      </c>
      <c r="AP109" s="35" t="s">
        <v>511</v>
      </c>
      <c r="AQ109" s="27" t="s">
        <v>516</v>
      </c>
    </row>
    <row r="110" spans="1:43" ht="12.75">
      <c r="A110" s="4" t="s">
        <v>57</v>
      </c>
      <c r="B110" s="4"/>
      <c r="C110" s="4" t="s">
        <v>174</v>
      </c>
      <c r="D110" s="4" t="s">
        <v>337</v>
      </c>
      <c r="E110" s="4" t="s">
        <v>442</v>
      </c>
      <c r="F110" s="19">
        <v>9.6</v>
      </c>
      <c r="G110" s="19">
        <v>0</v>
      </c>
      <c r="H110" s="19">
        <f t="shared" si="0"/>
        <v>0</v>
      </c>
      <c r="I110" s="19">
        <f t="shared" si="1"/>
        <v>0</v>
      </c>
      <c r="J110" s="19">
        <f t="shared" si="2"/>
        <v>0</v>
      </c>
      <c r="K110" s="19">
        <v>1E-05</v>
      </c>
      <c r="L110" s="19">
        <f t="shared" si="3"/>
        <v>9.6E-05</v>
      </c>
      <c r="M110" s="30" t="s">
        <v>463</v>
      </c>
      <c r="N110" s="30" t="s">
        <v>7</v>
      </c>
      <c r="O110" s="19">
        <f t="shared" si="4"/>
        <v>0</v>
      </c>
      <c r="Z110" s="19">
        <f t="shared" si="5"/>
        <v>0</v>
      </c>
      <c r="AA110" s="19">
        <f t="shared" si="6"/>
        <v>0</v>
      </c>
      <c r="AB110" s="19">
        <f t="shared" si="7"/>
        <v>0</v>
      </c>
      <c r="AD110" s="34">
        <v>21</v>
      </c>
      <c r="AE110" s="34">
        <f>G110*0.0213622291021672</f>
        <v>0</v>
      </c>
      <c r="AF110" s="34">
        <f>G110*(1-0.0213622291021672)</f>
        <v>0</v>
      </c>
      <c r="AM110" s="34">
        <f t="shared" si="8"/>
        <v>0</v>
      </c>
      <c r="AN110" s="34">
        <f t="shared" si="9"/>
        <v>0</v>
      </c>
      <c r="AO110" s="35" t="s">
        <v>493</v>
      </c>
      <c r="AP110" s="35" t="s">
        <v>511</v>
      </c>
      <c r="AQ110" s="27" t="s">
        <v>516</v>
      </c>
    </row>
    <row r="111" spans="1:43" ht="12.75">
      <c r="A111" s="4" t="s">
        <v>58</v>
      </c>
      <c r="B111" s="4"/>
      <c r="C111" s="4" t="s">
        <v>175</v>
      </c>
      <c r="D111" s="4" t="s">
        <v>338</v>
      </c>
      <c r="E111" s="4" t="s">
        <v>442</v>
      </c>
      <c r="F111" s="19">
        <v>86.1</v>
      </c>
      <c r="G111" s="19">
        <v>0</v>
      </c>
      <c r="H111" s="19">
        <f t="shared" si="0"/>
        <v>0</v>
      </c>
      <c r="I111" s="19">
        <f t="shared" si="1"/>
        <v>0</v>
      </c>
      <c r="J111" s="19">
        <f t="shared" si="2"/>
        <v>0</v>
      </c>
      <c r="K111" s="19">
        <v>2E-05</v>
      </c>
      <c r="L111" s="19">
        <f t="shared" si="3"/>
        <v>0.001722</v>
      </c>
      <c r="M111" s="30" t="s">
        <v>463</v>
      </c>
      <c r="N111" s="30" t="s">
        <v>7</v>
      </c>
      <c r="O111" s="19">
        <f t="shared" si="4"/>
        <v>0</v>
      </c>
      <c r="Z111" s="19">
        <f t="shared" si="5"/>
        <v>0</v>
      </c>
      <c r="AA111" s="19">
        <f t="shared" si="6"/>
        <v>0</v>
      </c>
      <c r="AB111" s="19">
        <f t="shared" si="7"/>
        <v>0</v>
      </c>
      <c r="AD111" s="34">
        <v>21</v>
      </c>
      <c r="AE111" s="34">
        <f>G111*0.0210983981693364</f>
        <v>0</v>
      </c>
      <c r="AF111" s="34">
        <f>G111*(1-0.0210983981693364)</f>
        <v>0</v>
      </c>
      <c r="AM111" s="34">
        <f t="shared" si="8"/>
        <v>0</v>
      </c>
      <c r="AN111" s="34">
        <f t="shared" si="9"/>
        <v>0</v>
      </c>
      <c r="AO111" s="35" t="s">
        <v>493</v>
      </c>
      <c r="AP111" s="35" t="s">
        <v>511</v>
      </c>
      <c r="AQ111" s="27" t="s">
        <v>516</v>
      </c>
    </row>
    <row r="112" spans="1:37" ht="12.75">
      <c r="A112" s="5"/>
      <c r="B112" s="13"/>
      <c r="C112" s="13" t="s">
        <v>176</v>
      </c>
      <c r="D112" s="90" t="s">
        <v>339</v>
      </c>
      <c r="E112" s="91"/>
      <c r="F112" s="91"/>
      <c r="G112" s="91"/>
      <c r="H112" s="37">
        <f>SUM(H113:H118)</f>
        <v>0</v>
      </c>
      <c r="I112" s="37">
        <f>SUM(I113:I118)</f>
        <v>0</v>
      </c>
      <c r="J112" s="37">
        <f>H112+I112</f>
        <v>0</v>
      </c>
      <c r="K112" s="27"/>
      <c r="L112" s="37">
        <f>SUM(L113:L118)</f>
        <v>3.6497760000000006</v>
      </c>
      <c r="M112" s="27"/>
      <c r="P112" s="37">
        <f>IF(Q112="PR",J112,SUM(O113:O118))</f>
        <v>0</v>
      </c>
      <c r="Q112" s="27" t="s">
        <v>468</v>
      </c>
      <c r="R112" s="37">
        <f>IF(Q112="HS",H112,0)</f>
        <v>0</v>
      </c>
      <c r="S112" s="37">
        <f>IF(Q112="HS",I112-P112,0)</f>
        <v>0</v>
      </c>
      <c r="T112" s="37">
        <f>IF(Q112="PS",H112,0)</f>
        <v>0</v>
      </c>
      <c r="U112" s="37">
        <f>IF(Q112="PS",I112-P112,0)</f>
        <v>0</v>
      </c>
      <c r="V112" s="37">
        <f>IF(Q112="MP",H112,0)</f>
        <v>0</v>
      </c>
      <c r="W112" s="37">
        <f>IF(Q112="MP",I112-P112,0)</f>
        <v>0</v>
      </c>
      <c r="X112" s="37">
        <f>IF(Q112="OM",H112,0)</f>
        <v>0</v>
      </c>
      <c r="Y112" s="27"/>
      <c r="AI112" s="37">
        <f>SUM(Z113:Z118)</f>
        <v>0</v>
      </c>
      <c r="AJ112" s="37">
        <f>SUM(AA113:AA118)</f>
        <v>0</v>
      </c>
      <c r="AK112" s="37">
        <f>SUM(AB113:AB118)</f>
        <v>0</v>
      </c>
    </row>
    <row r="113" spans="1:43" ht="12.75">
      <c r="A113" s="4" t="s">
        <v>59</v>
      </c>
      <c r="B113" s="4"/>
      <c r="C113" s="4" t="s">
        <v>177</v>
      </c>
      <c r="D113" s="4" t="s">
        <v>340</v>
      </c>
      <c r="E113" s="4" t="s">
        <v>439</v>
      </c>
      <c r="F113" s="19">
        <v>8.47</v>
      </c>
      <c r="G113" s="19">
        <v>0</v>
      </c>
      <c r="H113" s="19">
        <f aca="true" t="shared" si="10" ref="H113:H118">F113*AE113</f>
        <v>0</v>
      </c>
      <c r="I113" s="19">
        <f aca="true" t="shared" si="11" ref="I113:I118">J113-H113</f>
        <v>0</v>
      </c>
      <c r="J113" s="19">
        <f aca="true" t="shared" si="12" ref="J113:J118">F113*G113</f>
        <v>0</v>
      </c>
      <c r="K113" s="19">
        <v>0.018</v>
      </c>
      <c r="L113" s="19">
        <f aca="true" t="shared" si="13" ref="L113:L118">F113*K113</f>
        <v>0.15246</v>
      </c>
      <c r="M113" s="30" t="s">
        <v>463</v>
      </c>
      <c r="N113" s="30" t="s">
        <v>7</v>
      </c>
      <c r="O113" s="19">
        <f aca="true" t="shared" si="14" ref="O113:O118">IF(N113="5",I113,0)</f>
        <v>0</v>
      </c>
      <c r="Z113" s="19">
        <f aca="true" t="shared" si="15" ref="Z113:Z118">IF(AD113=0,J113,0)</f>
        <v>0</v>
      </c>
      <c r="AA113" s="19">
        <f aca="true" t="shared" si="16" ref="AA113:AA118">IF(AD113=15,J113,0)</f>
        <v>0</v>
      </c>
      <c r="AB113" s="19">
        <f aca="true" t="shared" si="17" ref="AB113:AB118">IF(AD113=21,J113,0)</f>
        <v>0</v>
      </c>
      <c r="AD113" s="34">
        <v>21</v>
      </c>
      <c r="AE113" s="34">
        <f>G113*0</f>
        <v>0</v>
      </c>
      <c r="AF113" s="34">
        <f>G113*(1-0)</f>
        <v>0</v>
      </c>
      <c r="AM113" s="34">
        <f aca="true" t="shared" si="18" ref="AM113:AM118">F113*AE113</f>
        <v>0</v>
      </c>
      <c r="AN113" s="34">
        <f aca="true" t="shared" si="19" ref="AN113:AN118">F113*AF113</f>
        <v>0</v>
      </c>
      <c r="AO113" s="35" t="s">
        <v>494</v>
      </c>
      <c r="AP113" s="35" t="s">
        <v>511</v>
      </c>
      <c r="AQ113" s="27" t="s">
        <v>516</v>
      </c>
    </row>
    <row r="114" spans="1:43" ht="12.75">
      <c r="A114" s="4" t="s">
        <v>60</v>
      </c>
      <c r="B114" s="4"/>
      <c r="C114" s="4" t="s">
        <v>178</v>
      </c>
      <c r="D114" s="4" t="s">
        <v>341</v>
      </c>
      <c r="E114" s="4" t="s">
        <v>441</v>
      </c>
      <c r="F114" s="19">
        <v>33.6</v>
      </c>
      <c r="G114" s="19">
        <v>0</v>
      </c>
      <c r="H114" s="19">
        <f t="shared" si="10"/>
        <v>0</v>
      </c>
      <c r="I114" s="19">
        <f t="shared" si="11"/>
        <v>0</v>
      </c>
      <c r="J114" s="19">
        <f t="shared" si="12"/>
        <v>0</v>
      </c>
      <c r="K114" s="19">
        <v>0.07006</v>
      </c>
      <c r="L114" s="19">
        <f t="shared" si="13"/>
        <v>2.354016</v>
      </c>
      <c r="M114" s="30" t="s">
        <v>463</v>
      </c>
      <c r="N114" s="30" t="s">
        <v>7</v>
      </c>
      <c r="O114" s="19">
        <f t="shared" si="14"/>
        <v>0</v>
      </c>
      <c r="Z114" s="19">
        <f t="shared" si="15"/>
        <v>0</v>
      </c>
      <c r="AA114" s="19">
        <f t="shared" si="16"/>
        <v>0</v>
      </c>
      <c r="AB114" s="19">
        <f t="shared" si="17"/>
        <v>0</v>
      </c>
      <c r="AD114" s="34">
        <v>21</v>
      </c>
      <c r="AE114" s="34">
        <f>G114*0.637776872964169</f>
        <v>0</v>
      </c>
      <c r="AF114" s="34">
        <f>G114*(1-0.637776872964169)</f>
        <v>0</v>
      </c>
      <c r="AM114" s="34">
        <f t="shared" si="18"/>
        <v>0</v>
      </c>
      <c r="AN114" s="34">
        <f t="shared" si="19"/>
        <v>0</v>
      </c>
      <c r="AO114" s="35" t="s">
        <v>494</v>
      </c>
      <c r="AP114" s="35" t="s">
        <v>511</v>
      </c>
      <c r="AQ114" s="27" t="s">
        <v>516</v>
      </c>
    </row>
    <row r="115" spans="1:43" ht="12.75">
      <c r="A115" s="4" t="s">
        <v>61</v>
      </c>
      <c r="B115" s="4"/>
      <c r="C115" s="4" t="s">
        <v>179</v>
      </c>
      <c r="D115" s="4" t="s">
        <v>342</v>
      </c>
      <c r="E115" s="4" t="s">
        <v>442</v>
      </c>
      <c r="F115" s="19">
        <v>144</v>
      </c>
      <c r="G115" s="19">
        <v>0</v>
      </c>
      <c r="H115" s="19">
        <f t="shared" si="10"/>
        <v>0</v>
      </c>
      <c r="I115" s="19">
        <f t="shared" si="11"/>
        <v>0</v>
      </c>
      <c r="J115" s="19">
        <f t="shared" si="12"/>
        <v>0</v>
      </c>
      <c r="K115" s="19">
        <v>0</v>
      </c>
      <c r="L115" s="19">
        <f t="shared" si="13"/>
        <v>0</v>
      </c>
      <c r="M115" s="30" t="s">
        <v>463</v>
      </c>
      <c r="N115" s="30" t="s">
        <v>7</v>
      </c>
      <c r="O115" s="19">
        <f t="shared" si="14"/>
        <v>0</v>
      </c>
      <c r="Z115" s="19">
        <f t="shared" si="15"/>
        <v>0</v>
      </c>
      <c r="AA115" s="19">
        <f t="shared" si="16"/>
        <v>0</v>
      </c>
      <c r="AB115" s="19">
        <f t="shared" si="17"/>
        <v>0</v>
      </c>
      <c r="AD115" s="34">
        <v>21</v>
      </c>
      <c r="AE115" s="34">
        <f>G115*0</f>
        <v>0</v>
      </c>
      <c r="AF115" s="34">
        <f>G115*(1-0)</f>
        <v>0</v>
      </c>
      <c r="AM115" s="34">
        <f t="shared" si="18"/>
        <v>0</v>
      </c>
      <c r="AN115" s="34">
        <f t="shared" si="19"/>
        <v>0</v>
      </c>
      <c r="AO115" s="35" t="s">
        <v>494</v>
      </c>
      <c r="AP115" s="35" t="s">
        <v>511</v>
      </c>
      <c r="AQ115" s="27" t="s">
        <v>516</v>
      </c>
    </row>
    <row r="116" spans="1:43" ht="12.75">
      <c r="A116" s="4" t="s">
        <v>62</v>
      </c>
      <c r="B116" s="4"/>
      <c r="C116" s="4" t="s">
        <v>180</v>
      </c>
      <c r="D116" s="4" t="s">
        <v>343</v>
      </c>
      <c r="E116" s="4" t="s">
        <v>443</v>
      </c>
      <c r="F116" s="19">
        <v>150</v>
      </c>
      <c r="G116" s="19">
        <v>0</v>
      </c>
      <c r="H116" s="19">
        <f t="shared" si="10"/>
        <v>0</v>
      </c>
      <c r="I116" s="19">
        <f t="shared" si="11"/>
        <v>0</v>
      </c>
      <c r="J116" s="19">
        <f t="shared" si="12"/>
        <v>0</v>
      </c>
      <c r="K116" s="19">
        <v>0.00105</v>
      </c>
      <c r="L116" s="19">
        <f t="shared" si="13"/>
        <v>0.1575</v>
      </c>
      <c r="M116" s="30" t="s">
        <v>463</v>
      </c>
      <c r="N116" s="30" t="s">
        <v>7</v>
      </c>
      <c r="O116" s="19">
        <f t="shared" si="14"/>
        <v>0</v>
      </c>
      <c r="Z116" s="19">
        <f t="shared" si="15"/>
        <v>0</v>
      </c>
      <c r="AA116" s="19">
        <f t="shared" si="16"/>
        <v>0</v>
      </c>
      <c r="AB116" s="19">
        <f t="shared" si="17"/>
        <v>0</v>
      </c>
      <c r="AD116" s="34">
        <v>21</v>
      </c>
      <c r="AE116" s="34">
        <f>G116*0.153638814016173</f>
        <v>0</v>
      </c>
      <c r="AF116" s="34">
        <f>G116*(1-0.153638814016173)</f>
        <v>0</v>
      </c>
      <c r="AM116" s="34">
        <f t="shared" si="18"/>
        <v>0</v>
      </c>
      <c r="AN116" s="34">
        <f t="shared" si="19"/>
        <v>0</v>
      </c>
      <c r="AO116" s="35" t="s">
        <v>494</v>
      </c>
      <c r="AP116" s="35" t="s">
        <v>511</v>
      </c>
      <c r="AQ116" s="27" t="s">
        <v>516</v>
      </c>
    </row>
    <row r="117" spans="1:43" ht="12.75">
      <c r="A117" s="4" t="s">
        <v>63</v>
      </c>
      <c r="B117" s="4"/>
      <c r="C117" s="4" t="s">
        <v>181</v>
      </c>
      <c r="D117" s="4" t="s">
        <v>344</v>
      </c>
      <c r="E117" s="4" t="s">
        <v>443</v>
      </c>
      <c r="F117" s="19">
        <v>680</v>
      </c>
      <c r="G117" s="19">
        <v>0</v>
      </c>
      <c r="H117" s="19">
        <f t="shared" si="10"/>
        <v>0</v>
      </c>
      <c r="I117" s="19">
        <f t="shared" si="11"/>
        <v>0</v>
      </c>
      <c r="J117" s="19">
        <f t="shared" si="12"/>
        <v>0</v>
      </c>
      <c r="K117" s="19">
        <v>0.00106</v>
      </c>
      <c r="L117" s="19">
        <f t="shared" si="13"/>
        <v>0.7208</v>
      </c>
      <c r="M117" s="30" t="s">
        <v>463</v>
      </c>
      <c r="N117" s="30" t="s">
        <v>7</v>
      </c>
      <c r="O117" s="19">
        <f t="shared" si="14"/>
        <v>0</v>
      </c>
      <c r="Z117" s="19">
        <f t="shared" si="15"/>
        <v>0</v>
      </c>
      <c r="AA117" s="19">
        <f t="shared" si="16"/>
        <v>0</v>
      </c>
      <c r="AB117" s="19">
        <f t="shared" si="17"/>
        <v>0</v>
      </c>
      <c r="AD117" s="34">
        <v>21</v>
      </c>
      <c r="AE117" s="34">
        <f>G117*0.260301917584659</f>
        <v>0</v>
      </c>
      <c r="AF117" s="34">
        <f>G117*(1-0.260301917584659)</f>
        <v>0</v>
      </c>
      <c r="AM117" s="34">
        <f t="shared" si="18"/>
        <v>0</v>
      </c>
      <c r="AN117" s="34">
        <f t="shared" si="19"/>
        <v>0</v>
      </c>
      <c r="AO117" s="35" t="s">
        <v>494</v>
      </c>
      <c r="AP117" s="35" t="s">
        <v>511</v>
      </c>
      <c r="AQ117" s="27" t="s">
        <v>516</v>
      </c>
    </row>
    <row r="118" spans="1:43" ht="12.75">
      <c r="A118" s="4" t="s">
        <v>64</v>
      </c>
      <c r="B118" s="4"/>
      <c r="C118" s="4" t="s">
        <v>182</v>
      </c>
      <c r="D118" s="4" t="s">
        <v>345</v>
      </c>
      <c r="E118" s="4" t="s">
        <v>443</v>
      </c>
      <c r="F118" s="19">
        <v>250</v>
      </c>
      <c r="G118" s="19">
        <v>0</v>
      </c>
      <c r="H118" s="19">
        <f t="shared" si="10"/>
        <v>0</v>
      </c>
      <c r="I118" s="19">
        <f t="shared" si="11"/>
        <v>0</v>
      </c>
      <c r="J118" s="19">
        <f t="shared" si="12"/>
        <v>0</v>
      </c>
      <c r="K118" s="19">
        <v>0.00106</v>
      </c>
      <c r="L118" s="19">
        <f t="shared" si="13"/>
        <v>0.265</v>
      </c>
      <c r="M118" s="30" t="s">
        <v>463</v>
      </c>
      <c r="N118" s="30" t="s">
        <v>7</v>
      </c>
      <c r="O118" s="19">
        <f t="shared" si="14"/>
        <v>0</v>
      </c>
      <c r="Z118" s="19">
        <f t="shared" si="15"/>
        <v>0</v>
      </c>
      <c r="AA118" s="19">
        <f t="shared" si="16"/>
        <v>0</v>
      </c>
      <c r="AB118" s="19">
        <f t="shared" si="17"/>
        <v>0</v>
      </c>
      <c r="AD118" s="34">
        <v>21</v>
      </c>
      <c r="AE118" s="34">
        <f>G118*0.282425852146968</f>
        <v>0</v>
      </c>
      <c r="AF118" s="34">
        <f>G118*(1-0.282425852146968)</f>
        <v>0</v>
      </c>
      <c r="AM118" s="34">
        <f t="shared" si="18"/>
        <v>0</v>
      </c>
      <c r="AN118" s="34">
        <f t="shared" si="19"/>
        <v>0</v>
      </c>
      <c r="AO118" s="35" t="s">
        <v>494</v>
      </c>
      <c r="AP118" s="35" t="s">
        <v>511</v>
      </c>
      <c r="AQ118" s="27" t="s">
        <v>516</v>
      </c>
    </row>
    <row r="119" spans="1:37" ht="12.75">
      <c r="A119" s="5"/>
      <c r="B119" s="13"/>
      <c r="C119" s="13" t="s">
        <v>183</v>
      </c>
      <c r="D119" s="90" t="s">
        <v>346</v>
      </c>
      <c r="E119" s="91"/>
      <c r="F119" s="91"/>
      <c r="G119" s="91"/>
      <c r="H119" s="37">
        <f>SUM(H120:H132)</f>
        <v>0</v>
      </c>
      <c r="I119" s="37">
        <f>SUM(I120:I132)</f>
        <v>0</v>
      </c>
      <c r="J119" s="37">
        <f>H119+I119</f>
        <v>0</v>
      </c>
      <c r="K119" s="27"/>
      <c r="L119" s="37">
        <f>SUM(L120:L132)</f>
        <v>0.1787344</v>
      </c>
      <c r="M119" s="27"/>
      <c r="P119" s="37">
        <f>IF(Q119="PR",J119,SUM(O120:O132))</f>
        <v>0</v>
      </c>
      <c r="Q119" s="27" t="s">
        <v>468</v>
      </c>
      <c r="R119" s="37">
        <f>IF(Q119="HS",H119,0)</f>
        <v>0</v>
      </c>
      <c r="S119" s="37">
        <f>IF(Q119="HS",I119-P119,0)</f>
        <v>0</v>
      </c>
      <c r="T119" s="37">
        <f>IF(Q119="PS",H119,0)</f>
        <v>0</v>
      </c>
      <c r="U119" s="37">
        <f>IF(Q119="PS",I119-P119,0)</f>
        <v>0</v>
      </c>
      <c r="V119" s="37">
        <f>IF(Q119="MP",H119,0)</f>
        <v>0</v>
      </c>
      <c r="W119" s="37">
        <f>IF(Q119="MP",I119-P119,0)</f>
        <v>0</v>
      </c>
      <c r="X119" s="37">
        <f>IF(Q119="OM",H119,0)</f>
        <v>0</v>
      </c>
      <c r="Y119" s="27"/>
      <c r="AI119" s="37">
        <f>SUM(Z120:Z132)</f>
        <v>0</v>
      </c>
      <c r="AJ119" s="37">
        <f>SUM(AA120:AA132)</f>
        <v>0</v>
      </c>
      <c r="AK119" s="37">
        <f>SUM(AB120:AB132)</f>
        <v>0</v>
      </c>
    </row>
    <row r="120" spans="1:43" ht="12.75">
      <c r="A120" s="4" t="s">
        <v>65</v>
      </c>
      <c r="B120" s="4"/>
      <c r="C120" s="4" t="s">
        <v>184</v>
      </c>
      <c r="D120" s="4" t="s">
        <v>347</v>
      </c>
      <c r="E120" s="4" t="s">
        <v>441</v>
      </c>
      <c r="F120" s="19">
        <v>7.2</v>
      </c>
      <c r="G120" s="19">
        <v>0</v>
      </c>
      <c r="H120" s="19">
        <f>F120*AE120</f>
        <v>0</v>
      </c>
      <c r="I120" s="19">
        <f>J120-H120</f>
        <v>0</v>
      </c>
      <c r="J120" s="19">
        <f>F120*G120</f>
        <v>0</v>
      </c>
      <c r="K120" s="19">
        <v>0</v>
      </c>
      <c r="L120" s="19">
        <f>F120*K120</f>
        <v>0</v>
      </c>
      <c r="M120" s="30" t="s">
        <v>463</v>
      </c>
      <c r="N120" s="30" t="s">
        <v>7</v>
      </c>
      <c r="O120" s="19">
        <f>IF(N120="5",I120,0)</f>
        <v>0</v>
      </c>
      <c r="Z120" s="19">
        <f>IF(AD120=0,J120,0)</f>
        <v>0</v>
      </c>
      <c r="AA120" s="19">
        <f>IF(AD120=15,J120,0)</f>
        <v>0</v>
      </c>
      <c r="AB120" s="19">
        <f>IF(AD120=21,J120,0)</f>
        <v>0</v>
      </c>
      <c r="AD120" s="34">
        <v>21</v>
      </c>
      <c r="AE120" s="34">
        <f>G120*0</f>
        <v>0</v>
      </c>
      <c r="AF120" s="34">
        <f>G120*(1-0)</f>
        <v>0</v>
      </c>
      <c r="AM120" s="34">
        <f>F120*AE120</f>
        <v>0</v>
      </c>
      <c r="AN120" s="34">
        <f>F120*AF120</f>
        <v>0</v>
      </c>
      <c r="AO120" s="35" t="s">
        <v>495</v>
      </c>
      <c r="AP120" s="35" t="s">
        <v>512</v>
      </c>
      <c r="AQ120" s="27" t="s">
        <v>516</v>
      </c>
    </row>
    <row r="121" spans="3:13" ht="12.75">
      <c r="C121" s="14" t="s">
        <v>116</v>
      </c>
      <c r="D121" s="88" t="s">
        <v>348</v>
      </c>
      <c r="E121" s="89"/>
      <c r="F121" s="89"/>
      <c r="G121" s="89"/>
      <c r="H121" s="89"/>
      <c r="I121" s="89"/>
      <c r="J121" s="89"/>
      <c r="K121" s="89"/>
      <c r="L121" s="89"/>
      <c r="M121" s="89"/>
    </row>
    <row r="122" spans="1:43" ht="12.75">
      <c r="A122" s="4" t="s">
        <v>66</v>
      </c>
      <c r="B122" s="4"/>
      <c r="C122" s="4" t="s">
        <v>185</v>
      </c>
      <c r="D122" s="4" t="s">
        <v>349</v>
      </c>
      <c r="E122" s="4" t="s">
        <v>441</v>
      </c>
      <c r="F122" s="19">
        <v>7.2</v>
      </c>
      <c r="G122" s="19">
        <v>0</v>
      </c>
      <c r="H122" s="19">
        <f>F122*AE122</f>
        <v>0</v>
      </c>
      <c r="I122" s="19">
        <f>J122-H122</f>
        <v>0</v>
      </c>
      <c r="J122" s="19">
        <f>F122*G122</f>
        <v>0</v>
      </c>
      <c r="K122" s="19">
        <v>0</v>
      </c>
      <c r="L122" s="19">
        <f>F122*K122</f>
        <v>0</v>
      </c>
      <c r="M122" s="30" t="s">
        <v>463</v>
      </c>
      <c r="N122" s="30" t="s">
        <v>7</v>
      </c>
      <c r="O122" s="19">
        <f>IF(N122="5",I122,0)</f>
        <v>0</v>
      </c>
      <c r="Z122" s="19">
        <f>IF(AD122=0,J122,0)</f>
        <v>0</v>
      </c>
      <c r="AA122" s="19">
        <f>IF(AD122=15,J122,0)</f>
        <v>0</v>
      </c>
      <c r="AB122" s="19">
        <f>IF(AD122=21,J122,0)</f>
        <v>0</v>
      </c>
      <c r="AD122" s="34">
        <v>21</v>
      </c>
      <c r="AE122" s="34">
        <f>G122*0</f>
        <v>0</v>
      </c>
      <c r="AF122" s="34">
        <f>G122*(1-0)</f>
        <v>0</v>
      </c>
      <c r="AM122" s="34">
        <f>F122*AE122</f>
        <v>0</v>
      </c>
      <c r="AN122" s="34">
        <f>F122*AF122</f>
        <v>0</v>
      </c>
      <c r="AO122" s="35" t="s">
        <v>495</v>
      </c>
      <c r="AP122" s="35" t="s">
        <v>512</v>
      </c>
      <c r="AQ122" s="27" t="s">
        <v>516</v>
      </c>
    </row>
    <row r="123" spans="3:13" ht="25.5" customHeight="1">
      <c r="C123" s="14" t="s">
        <v>116</v>
      </c>
      <c r="D123" s="88" t="s">
        <v>350</v>
      </c>
      <c r="E123" s="89"/>
      <c r="F123" s="89"/>
      <c r="G123" s="89"/>
      <c r="H123" s="89"/>
      <c r="I123" s="89"/>
      <c r="J123" s="89"/>
      <c r="K123" s="89"/>
      <c r="L123" s="89"/>
      <c r="M123" s="89"/>
    </row>
    <row r="124" spans="1:43" ht="12.75">
      <c r="A124" s="4" t="s">
        <v>67</v>
      </c>
      <c r="B124" s="4"/>
      <c r="C124" s="4" t="s">
        <v>186</v>
      </c>
      <c r="D124" s="4" t="s">
        <v>351</v>
      </c>
      <c r="E124" s="4" t="s">
        <v>441</v>
      </c>
      <c r="F124" s="19">
        <v>7.2</v>
      </c>
      <c r="G124" s="19">
        <v>0</v>
      </c>
      <c r="H124" s="19">
        <f>F124*AE124</f>
        <v>0</v>
      </c>
      <c r="I124" s="19">
        <f>J124-H124</f>
        <v>0</v>
      </c>
      <c r="J124" s="19">
        <f>F124*G124</f>
        <v>0</v>
      </c>
      <c r="K124" s="19">
        <v>0</v>
      </c>
      <c r="L124" s="19">
        <f>F124*K124</f>
        <v>0</v>
      </c>
      <c r="M124" s="30" t="s">
        <v>463</v>
      </c>
      <c r="N124" s="30" t="s">
        <v>7</v>
      </c>
      <c r="O124" s="19">
        <f>IF(N124="5",I124,0)</f>
        <v>0</v>
      </c>
      <c r="Z124" s="19">
        <f>IF(AD124=0,J124,0)</f>
        <v>0</v>
      </c>
      <c r="AA124" s="19">
        <f>IF(AD124=15,J124,0)</f>
        <v>0</v>
      </c>
      <c r="AB124" s="19">
        <f>IF(AD124=21,J124,0)</f>
        <v>0</v>
      </c>
      <c r="AD124" s="34">
        <v>21</v>
      </c>
      <c r="AE124" s="34">
        <f>G124*0</f>
        <v>0</v>
      </c>
      <c r="AF124" s="34">
        <f>G124*(1-0)</f>
        <v>0</v>
      </c>
      <c r="AM124" s="34">
        <f>F124*AE124</f>
        <v>0</v>
      </c>
      <c r="AN124" s="34">
        <f>F124*AF124</f>
        <v>0</v>
      </c>
      <c r="AO124" s="35" t="s">
        <v>495</v>
      </c>
      <c r="AP124" s="35" t="s">
        <v>512</v>
      </c>
      <c r="AQ124" s="27" t="s">
        <v>516</v>
      </c>
    </row>
    <row r="125" spans="3:13" ht="25.5" customHeight="1">
      <c r="C125" s="14" t="s">
        <v>116</v>
      </c>
      <c r="D125" s="88" t="s">
        <v>352</v>
      </c>
      <c r="E125" s="89"/>
      <c r="F125" s="89"/>
      <c r="G125" s="89"/>
      <c r="H125" s="89"/>
      <c r="I125" s="89"/>
      <c r="J125" s="89"/>
      <c r="K125" s="89"/>
      <c r="L125" s="89"/>
      <c r="M125" s="89"/>
    </row>
    <row r="126" spans="1:43" ht="12.75">
      <c r="A126" s="4" t="s">
        <v>68</v>
      </c>
      <c r="B126" s="4"/>
      <c r="C126" s="4" t="s">
        <v>187</v>
      </c>
      <c r="D126" s="4" t="s">
        <v>353</v>
      </c>
      <c r="E126" s="4" t="s">
        <v>441</v>
      </c>
      <c r="F126" s="19">
        <v>3</v>
      </c>
      <c r="G126" s="19">
        <v>0</v>
      </c>
      <c r="H126" s="19">
        <f>F126*AE126</f>
        <v>0</v>
      </c>
      <c r="I126" s="19">
        <f>J126-H126</f>
        <v>0</v>
      </c>
      <c r="J126" s="19">
        <f>F126*G126</f>
        <v>0</v>
      </c>
      <c r="K126" s="19">
        <v>0</v>
      </c>
      <c r="L126" s="19">
        <f>F126*K126</f>
        <v>0</v>
      </c>
      <c r="M126" s="30" t="s">
        <v>463</v>
      </c>
      <c r="N126" s="30" t="s">
        <v>7</v>
      </c>
      <c r="O126" s="19">
        <f>IF(N126="5",I126,0)</f>
        <v>0</v>
      </c>
      <c r="Z126" s="19">
        <f>IF(AD126=0,J126,0)</f>
        <v>0</v>
      </c>
      <c r="AA126" s="19">
        <f>IF(AD126=15,J126,0)</f>
        <v>0</v>
      </c>
      <c r="AB126" s="19">
        <f>IF(AD126=21,J126,0)</f>
        <v>0</v>
      </c>
      <c r="AD126" s="34">
        <v>21</v>
      </c>
      <c r="AE126" s="34">
        <f>G126*0</f>
        <v>0</v>
      </c>
      <c r="AF126" s="34">
        <f>G126*(1-0)</f>
        <v>0</v>
      </c>
      <c r="AM126" s="34">
        <f>F126*AE126</f>
        <v>0</v>
      </c>
      <c r="AN126" s="34">
        <f>F126*AF126</f>
        <v>0</v>
      </c>
      <c r="AO126" s="35" t="s">
        <v>495</v>
      </c>
      <c r="AP126" s="35" t="s">
        <v>512</v>
      </c>
      <c r="AQ126" s="27" t="s">
        <v>516</v>
      </c>
    </row>
    <row r="127" spans="3:13" ht="25.5" customHeight="1">
      <c r="C127" s="14" t="s">
        <v>116</v>
      </c>
      <c r="D127" s="88" t="s">
        <v>354</v>
      </c>
      <c r="E127" s="89"/>
      <c r="F127" s="89"/>
      <c r="G127" s="89"/>
      <c r="H127" s="89"/>
      <c r="I127" s="89"/>
      <c r="J127" s="89"/>
      <c r="K127" s="89"/>
      <c r="L127" s="89"/>
      <c r="M127" s="89"/>
    </row>
    <row r="128" spans="1:43" ht="12.75">
      <c r="A128" s="4" t="s">
        <v>69</v>
      </c>
      <c r="B128" s="4"/>
      <c r="C128" s="4" t="s">
        <v>188</v>
      </c>
      <c r="D128" s="4" t="s">
        <v>355</v>
      </c>
      <c r="E128" s="4" t="s">
        <v>439</v>
      </c>
      <c r="F128" s="19">
        <v>5.4</v>
      </c>
      <c r="G128" s="19">
        <v>0</v>
      </c>
      <c r="H128" s="19">
        <f>F128*AE128</f>
        <v>0</v>
      </c>
      <c r="I128" s="19">
        <f>J128-H128</f>
        <v>0</v>
      </c>
      <c r="J128" s="19">
        <f>F128*G128</f>
        <v>0</v>
      </c>
      <c r="K128" s="19">
        <v>0</v>
      </c>
      <c r="L128" s="19">
        <f>F128*K128</f>
        <v>0</v>
      </c>
      <c r="M128" s="30" t="s">
        <v>463</v>
      </c>
      <c r="N128" s="30" t="s">
        <v>7</v>
      </c>
      <c r="O128" s="19">
        <f>IF(N128="5",I128,0)</f>
        <v>0</v>
      </c>
      <c r="Z128" s="19">
        <f>IF(AD128=0,J128,0)</f>
        <v>0</v>
      </c>
      <c r="AA128" s="19">
        <f>IF(AD128=15,J128,0)</f>
        <v>0</v>
      </c>
      <c r="AB128" s="19">
        <f>IF(AD128=21,J128,0)</f>
        <v>0</v>
      </c>
      <c r="AD128" s="34">
        <v>21</v>
      </c>
      <c r="AE128" s="34">
        <f>G128*0</f>
        <v>0</v>
      </c>
      <c r="AF128" s="34">
        <f>G128*(1-0)</f>
        <v>0</v>
      </c>
      <c r="AM128" s="34">
        <f>F128*AE128</f>
        <v>0</v>
      </c>
      <c r="AN128" s="34">
        <f>F128*AF128</f>
        <v>0</v>
      </c>
      <c r="AO128" s="35" t="s">
        <v>495</v>
      </c>
      <c r="AP128" s="35" t="s">
        <v>512</v>
      </c>
      <c r="AQ128" s="27" t="s">
        <v>516</v>
      </c>
    </row>
    <row r="129" spans="3:13" ht="38.25" customHeight="1">
      <c r="C129" s="14" t="s">
        <v>116</v>
      </c>
      <c r="D129" s="88" t="s">
        <v>356</v>
      </c>
      <c r="E129" s="89"/>
      <c r="F129" s="89"/>
      <c r="G129" s="89"/>
      <c r="H129" s="89"/>
      <c r="I129" s="89"/>
      <c r="J129" s="89"/>
      <c r="K129" s="89"/>
      <c r="L129" s="89"/>
      <c r="M129" s="89"/>
    </row>
    <row r="130" spans="1:43" ht="12.75">
      <c r="A130" s="6" t="s">
        <v>70</v>
      </c>
      <c r="B130" s="6"/>
      <c r="C130" s="6" t="s">
        <v>189</v>
      </c>
      <c r="D130" s="6" t="s">
        <v>357</v>
      </c>
      <c r="E130" s="6" t="s">
        <v>439</v>
      </c>
      <c r="F130" s="20">
        <v>0.91</v>
      </c>
      <c r="G130" s="20">
        <v>0</v>
      </c>
      <c r="H130" s="20">
        <f>F130*AE130</f>
        <v>0</v>
      </c>
      <c r="I130" s="20">
        <f>J130-H130</f>
        <v>0</v>
      </c>
      <c r="J130" s="20">
        <f>F130*G130</f>
        <v>0</v>
      </c>
      <c r="K130" s="20">
        <v>0.004</v>
      </c>
      <c r="L130" s="20">
        <f>F130*K130</f>
        <v>0.00364</v>
      </c>
      <c r="M130" s="31" t="s">
        <v>463</v>
      </c>
      <c r="N130" s="31" t="s">
        <v>464</v>
      </c>
      <c r="O130" s="20">
        <f>IF(N130="5",I130,0)</f>
        <v>0</v>
      </c>
      <c r="Z130" s="20">
        <f>IF(AD130=0,J130,0)</f>
        <v>0</v>
      </c>
      <c r="AA130" s="20">
        <f>IF(AD130=15,J130,0)</f>
        <v>0</v>
      </c>
      <c r="AB130" s="20">
        <f>IF(AD130=21,J130,0)</f>
        <v>0</v>
      </c>
      <c r="AD130" s="34">
        <v>21</v>
      </c>
      <c r="AE130" s="34">
        <f>G130*1</f>
        <v>0</v>
      </c>
      <c r="AF130" s="34">
        <f>G130*(1-1)</f>
        <v>0</v>
      </c>
      <c r="AM130" s="34">
        <f>F130*AE130</f>
        <v>0</v>
      </c>
      <c r="AN130" s="34">
        <f>F130*AF130</f>
        <v>0</v>
      </c>
      <c r="AO130" s="35" t="s">
        <v>495</v>
      </c>
      <c r="AP130" s="35" t="s">
        <v>512</v>
      </c>
      <c r="AQ130" s="27" t="s">
        <v>516</v>
      </c>
    </row>
    <row r="131" spans="3:13" ht="38.25" customHeight="1">
      <c r="C131" s="14" t="s">
        <v>116</v>
      </c>
      <c r="D131" s="88" t="s">
        <v>358</v>
      </c>
      <c r="E131" s="89"/>
      <c r="F131" s="89"/>
      <c r="G131" s="89"/>
      <c r="H131" s="89"/>
      <c r="I131" s="89"/>
      <c r="J131" s="89"/>
      <c r="K131" s="89"/>
      <c r="L131" s="89"/>
      <c r="M131" s="89"/>
    </row>
    <row r="132" spans="1:43" ht="12.75">
      <c r="A132" s="6" t="s">
        <v>71</v>
      </c>
      <c r="B132" s="6"/>
      <c r="C132" s="6" t="s">
        <v>190</v>
      </c>
      <c r="D132" s="6" t="s">
        <v>359</v>
      </c>
      <c r="E132" s="6" t="s">
        <v>439</v>
      </c>
      <c r="F132" s="20">
        <v>9.1195</v>
      </c>
      <c r="G132" s="20">
        <v>0</v>
      </c>
      <c r="H132" s="20">
        <f>F132*AE132</f>
        <v>0</v>
      </c>
      <c r="I132" s="20">
        <f>J132-H132</f>
        <v>0</v>
      </c>
      <c r="J132" s="20">
        <f>F132*G132</f>
        <v>0</v>
      </c>
      <c r="K132" s="20">
        <v>0.0192</v>
      </c>
      <c r="L132" s="20">
        <f>F132*K132</f>
        <v>0.17509439999999998</v>
      </c>
      <c r="M132" s="31" t="s">
        <v>463</v>
      </c>
      <c r="N132" s="31" t="s">
        <v>464</v>
      </c>
      <c r="O132" s="20">
        <f>IF(N132="5",I132,0)</f>
        <v>0</v>
      </c>
      <c r="Z132" s="20">
        <f>IF(AD132=0,J132,0)</f>
        <v>0</v>
      </c>
      <c r="AA132" s="20">
        <f>IF(AD132=15,J132,0)</f>
        <v>0</v>
      </c>
      <c r="AB132" s="20">
        <f>IF(AD132=21,J132,0)</f>
        <v>0</v>
      </c>
      <c r="AD132" s="34">
        <v>21</v>
      </c>
      <c r="AE132" s="34">
        <f>G132*1</f>
        <v>0</v>
      </c>
      <c r="AF132" s="34">
        <f>G132*(1-1)</f>
        <v>0</v>
      </c>
      <c r="AM132" s="34">
        <f>F132*AE132</f>
        <v>0</v>
      </c>
      <c r="AN132" s="34">
        <f>F132*AF132</f>
        <v>0</v>
      </c>
      <c r="AO132" s="35" t="s">
        <v>495</v>
      </c>
      <c r="AP132" s="35" t="s">
        <v>512</v>
      </c>
      <c r="AQ132" s="27" t="s">
        <v>516</v>
      </c>
    </row>
    <row r="133" spans="3:13" ht="25.5" customHeight="1">
      <c r="C133" s="14" t="s">
        <v>116</v>
      </c>
      <c r="D133" s="88" t="s">
        <v>360</v>
      </c>
      <c r="E133" s="89"/>
      <c r="F133" s="89"/>
      <c r="G133" s="89"/>
      <c r="H133" s="89"/>
      <c r="I133" s="89"/>
      <c r="J133" s="89"/>
      <c r="K133" s="89"/>
      <c r="L133" s="89"/>
      <c r="M133" s="89"/>
    </row>
    <row r="134" spans="1:37" ht="12.75">
      <c r="A134" s="5"/>
      <c r="B134" s="13"/>
      <c r="C134" s="13" t="s">
        <v>191</v>
      </c>
      <c r="D134" s="90" t="s">
        <v>361</v>
      </c>
      <c r="E134" s="91"/>
      <c r="F134" s="91"/>
      <c r="G134" s="91"/>
      <c r="H134" s="37">
        <f>SUM(H135:H136)</f>
        <v>0</v>
      </c>
      <c r="I134" s="37">
        <f>SUM(I135:I136)</f>
        <v>0</v>
      </c>
      <c r="J134" s="37">
        <f>H134+I134</f>
        <v>0</v>
      </c>
      <c r="K134" s="27"/>
      <c r="L134" s="37">
        <f>SUM(L135:L136)</f>
        <v>0.2272</v>
      </c>
      <c r="M134" s="27"/>
      <c r="P134" s="37">
        <f>IF(Q134="PR",J134,SUM(O135:O136))</f>
        <v>0</v>
      </c>
      <c r="Q134" s="27" t="s">
        <v>468</v>
      </c>
      <c r="R134" s="37">
        <f>IF(Q134="HS",H134,0)</f>
        <v>0</v>
      </c>
      <c r="S134" s="37">
        <f>IF(Q134="HS",I134-P134,0)</f>
        <v>0</v>
      </c>
      <c r="T134" s="37">
        <f>IF(Q134="PS",H134,0)</f>
        <v>0</v>
      </c>
      <c r="U134" s="37">
        <f>IF(Q134="PS",I134-P134,0)</f>
        <v>0</v>
      </c>
      <c r="V134" s="37">
        <f>IF(Q134="MP",H134,0)</f>
        <v>0</v>
      </c>
      <c r="W134" s="37">
        <f>IF(Q134="MP",I134-P134,0)</f>
        <v>0</v>
      </c>
      <c r="X134" s="37">
        <f>IF(Q134="OM",H134,0)</f>
        <v>0</v>
      </c>
      <c r="Y134" s="27"/>
      <c r="AI134" s="37">
        <f>SUM(Z135:Z136)</f>
        <v>0</v>
      </c>
      <c r="AJ134" s="37">
        <f>SUM(AA135:AA136)</f>
        <v>0</v>
      </c>
      <c r="AK134" s="37">
        <f>SUM(AB135:AB136)</f>
        <v>0</v>
      </c>
    </row>
    <row r="135" spans="1:43" ht="12.75">
      <c r="A135" s="4" t="s">
        <v>72</v>
      </c>
      <c r="B135" s="4"/>
      <c r="C135" s="4" t="s">
        <v>192</v>
      </c>
      <c r="D135" s="4" t="s">
        <v>362</v>
      </c>
      <c r="E135" s="4" t="s">
        <v>439</v>
      </c>
      <c r="F135" s="19">
        <v>710</v>
      </c>
      <c r="G135" s="19">
        <v>0</v>
      </c>
      <c r="H135" s="19">
        <f>F135*AE135</f>
        <v>0</v>
      </c>
      <c r="I135" s="19">
        <f>J135-H135</f>
        <v>0</v>
      </c>
      <c r="J135" s="19">
        <f>F135*G135</f>
        <v>0</v>
      </c>
      <c r="K135" s="19">
        <v>0.00017</v>
      </c>
      <c r="L135" s="19">
        <f>F135*K135</f>
        <v>0.1207</v>
      </c>
      <c r="M135" s="30" t="s">
        <v>463</v>
      </c>
      <c r="N135" s="30" t="s">
        <v>7</v>
      </c>
      <c r="O135" s="19">
        <f>IF(N135="5",I135,0)</f>
        <v>0</v>
      </c>
      <c r="Z135" s="19">
        <f>IF(AD135=0,J135,0)</f>
        <v>0</v>
      </c>
      <c r="AA135" s="19">
        <f>IF(AD135=15,J135,0)</f>
        <v>0</v>
      </c>
      <c r="AB135" s="19">
        <f>IF(AD135=21,J135,0)</f>
        <v>0</v>
      </c>
      <c r="AD135" s="34">
        <v>21</v>
      </c>
      <c r="AE135" s="34">
        <f>G135*0.310344827586207</f>
        <v>0</v>
      </c>
      <c r="AF135" s="34">
        <f>G135*(1-0.310344827586207)</f>
        <v>0</v>
      </c>
      <c r="AM135" s="34">
        <f>F135*AE135</f>
        <v>0</v>
      </c>
      <c r="AN135" s="34">
        <f>F135*AF135</f>
        <v>0</v>
      </c>
      <c r="AO135" s="35" t="s">
        <v>496</v>
      </c>
      <c r="AP135" s="35" t="s">
        <v>513</v>
      </c>
      <c r="AQ135" s="27" t="s">
        <v>516</v>
      </c>
    </row>
    <row r="136" spans="1:43" ht="12.75">
      <c r="A136" s="4" t="s">
        <v>73</v>
      </c>
      <c r="B136" s="4"/>
      <c r="C136" s="4" t="s">
        <v>193</v>
      </c>
      <c r="D136" s="4" t="s">
        <v>363</v>
      </c>
      <c r="E136" s="4" t="s">
        <v>439</v>
      </c>
      <c r="F136" s="19">
        <v>710</v>
      </c>
      <c r="G136" s="19">
        <v>0</v>
      </c>
      <c r="H136" s="19">
        <f>F136*AE136</f>
        <v>0</v>
      </c>
      <c r="I136" s="19">
        <f>J136-H136</f>
        <v>0</v>
      </c>
      <c r="J136" s="19">
        <f>F136*G136</f>
        <v>0</v>
      </c>
      <c r="K136" s="19">
        <v>0.00015</v>
      </c>
      <c r="L136" s="19">
        <f>F136*K136</f>
        <v>0.1065</v>
      </c>
      <c r="M136" s="30" t="s">
        <v>463</v>
      </c>
      <c r="N136" s="30" t="s">
        <v>7</v>
      </c>
      <c r="O136" s="19">
        <f>IF(N136="5",I136,0)</f>
        <v>0</v>
      </c>
      <c r="Z136" s="19">
        <f>IF(AD136=0,J136,0)</f>
        <v>0</v>
      </c>
      <c r="AA136" s="19">
        <f>IF(AD136=15,J136,0)</f>
        <v>0</v>
      </c>
      <c r="AB136" s="19">
        <f>IF(AD136=21,J136,0)</f>
        <v>0</v>
      </c>
      <c r="AD136" s="34">
        <v>21</v>
      </c>
      <c r="AE136" s="34">
        <f>G136*0.154913294797688</f>
        <v>0</v>
      </c>
      <c r="AF136" s="34">
        <f>G136*(1-0.154913294797688)</f>
        <v>0</v>
      </c>
      <c r="AM136" s="34">
        <f>F136*AE136</f>
        <v>0</v>
      </c>
      <c r="AN136" s="34">
        <f>F136*AF136</f>
        <v>0</v>
      </c>
      <c r="AO136" s="35" t="s">
        <v>496</v>
      </c>
      <c r="AP136" s="35" t="s">
        <v>513</v>
      </c>
      <c r="AQ136" s="27" t="s">
        <v>516</v>
      </c>
    </row>
    <row r="137" spans="3:13" ht="12.75">
      <c r="C137" s="14" t="s">
        <v>116</v>
      </c>
      <c r="D137" s="88" t="s">
        <v>364</v>
      </c>
      <c r="E137" s="89"/>
      <c r="F137" s="89"/>
      <c r="G137" s="89"/>
      <c r="H137" s="89"/>
      <c r="I137" s="89"/>
      <c r="J137" s="89"/>
      <c r="K137" s="89"/>
      <c r="L137" s="89"/>
      <c r="M137" s="89"/>
    </row>
    <row r="138" spans="1:37" ht="12.75">
      <c r="A138" s="5"/>
      <c r="B138" s="13"/>
      <c r="C138" s="13" t="s">
        <v>96</v>
      </c>
      <c r="D138" s="90" t="s">
        <v>365</v>
      </c>
      <c r="E138" s="91"/>
      <c r="F138" s="91"/>
      <c r="G138" s="91"/>
      <c r="H138" s="37">
        <f>SUM(H139:H148)</f>
        <v>0</v>
      </c>
      <c r="I138" s="37">
        <f>SUM(I139:I148)</f>
        <v>0</v>
      </c>
      <c r="J138" s="37">
        <f>H138+I138</f>
        <v>0</v>
      </c>
      <c r="K138" s="27"/>
      <c r="L138" s="37">
        <f>SUM(L139:L148)</f>
        <v>0</v>
      </c>
      <c r="M138" s="27"/>
      <c r="P138" s="37">
        <f>IF(Q138="PR",J138,SUM(O139:O148))</f>
        <v>0</v>
      </c>
      <c r="Q138" s="27" t="s">
        <v>467</v>
      </c>
      <c r="R138" s="37">
        <f>IF(Q138="HS",H138,0)</f>
        <v>0</v>
      </c>
      <c r="S138" s="37">
        <f>IF(Q138="HS",I138-P138,0)</f>
        <v>0</v>
      </c>
      <c r="T138" s="37">
        <f>IF(Q138="PS",H138,0)</f>
        <v>0</v>
      </c>
      <c r="U138" s="37">
        <f>IF(Q138="PS",I138-P138,0)</f>
        <v>0</v>
      </c>
      <c r="V138" s="37">
        <f>IF(Q138="MP",H138,0)</f>
        <v>0</v>
      </c>
      <c r="W138" s="37">
        <f>IF(Q138="MP",I138-P138,0)</f>
        <v>0</v>
      </c>
      <c r="X138" s="37">
        <f>IF(Q138="OM",H138,0)</f>
        <v>0</v>
      </c>
      <c r="Y138" s="27"/>
      <c r="AI138" s="37">
        <f>SUM(Z139:Z148)</f>
        <v>0</v>
      </c>
      <c r="AJ138" s="37">
        <f>SUM(AA139:AA148)</f>
        <v>0</v>
      </c>
      <c r="AK138" s="37">
        <f>SUM(AB139:AB148)</f>
        <v>0</v>
      </c>
    </row>
    <row r="139" spans="1:43" ht="12.75">
      <c r="A139" s="4" t="s">
        <v>74</v>
      </c>
      <c r="B139" s="4"/>
      <c r="C139" s="4" t="s">
        <v>194</v>
      </c>
      <c r="D139" s="4" t="s">
        <v>366</v>
      </c>
      <c r="E139" s="4" t="s">
        <v>444</v>
      </c>
      <c r="F139" s="19">
        <v>100</v>
      </c>
      <c r="G139" s="19">
        <v>0</v>
      </c>
      <c r="H139" s="19">
        <f>F139*AE139</f>
        <v>0</v>
      </c>
      <c r="I139" s="19">
        <f>J139-H139</f>
        <v>0</v>
      </c>
      <c r="J139" s="19">
        <f>F139*G139</f>
        <v>0</v>
      </c>
      <c r="K139" s="19">
        <v>0</v>
      </c>
      <c r="L139" s="19">
        <f>F139*K139</f>
        <v>0</v>
      </c>
      <c r="M139" s="30" t="s">
        <v>463</v>
      </c>
      <c r="N139" s="30" t="s">
        <v>7</v>
      </c>
      <c r="O139" s="19">
        <f>IF(N139="5",I139,0)</f>
        <v>0</v>
      </c>
      <c r="Z139" s="19">
        <f>IF(AD139=0,J139,0)</f>
        <v>0</v>
      </c>
      <c r="AA139" s="19">
        <f>IF(AD139=15,J139,0)</f>
        <v>0</v>
      </c>
      <c r="AB139" s="19">
        <f>IF(AD139=21,J139,0)</f>
        <v>0</v>
      </c>
      <c r="AD139" s="34">
        <v>21</v>
      </c>
      <c r="AE139" s="34">
        <f>G139*0</f>
        <v>0</v>
      </c>
      <c r="AF139" s="34">
        <f>G139*(1-0)</f>
        <v>0</v>
      </c>
      <c r="AM139" s="34">
        <f>F139*AE139</f>
        <v>0</v>
      </c>
      <c r="AN139" s="34">
        <f>F139*AF139</f>
        <v>0</v>
      </c>
      <c r="AO139" s="35" t="s">
        <v>497</v>
      </c>
      <c r="AP139" s="35" t="s">
        <v>514</v>
      </c>
      <c r="AQ139" s="27" t="s">
        <v>516</v>
      </c>
    </row>
    <row r="140" spans="3:13" ht="63.75" customHeight="1">
      <c r="C140" s="14" t="s">
        <v>116</v>
      </c>
      <c r="D140" s="88" t="s">
        <v>367</v>
      </c>
      <c r="E140" s="89"/>
      <c r="F140" s="89"/>
      <c r="G140" s="89"/>
      <c r="H140" s="89"/>
      <c r="I140" s="89"/>
      <c r="J140" s="89"/>
      <c r="K140" s="89"/>
      <c r="L140" s="89"/>
      <c r="M140" s="89"/>
    </row>
    <row r="141" spans="4:13" ht="51" customHeight="1">
      <c r="D141" s="88" t="s">
        <v>368</v>
      </c>
      <c r="E141" s="89"/>
      <c r="F141" s="89"/>
      <c r="G141" s="89"/>
      <c r="H141" s="89"/>
      <c r="I141" s="89"/>
      <c r="J141" s="89"/>
      <c r="K141" s="89"/>
      <c r="L141" s="89"/>
      <c r="M141" s="89"/>
    </row>
    <row r="142" spans="1:43" ht="12.75">
      <c r="A142" s="4" t="s">
        <v>75</v>
      </c>
      <c r="B142" s="4"/>
      <c r="C142" s="4" t="s">
        <v>195</v>
      </c>
      <c r="D142" s="4" t="s">
        <v>369</v>
      </c>
      <c r="E142" s="4" t="s">
        <v>444</v>
      </c>
      <c r="F142" s="19">
        <v>10</v>
      </c>
      <c r="G142" s="19">
        <v>0</v>
      </c>
      <c r="H142" s="19">
        <f>F142*AE142</f>
        <v>0</v>
      </c>
      <c r="I142" s="19">
        <f>J142-H142</f>
        <v>0</v>
      </c>
      <c r="J142" s="19">
        <f>F142*G142</f>
        <v>0</v>
      </c>
      <c r="K142" s="19">
        <v>0</v>
      </c>
      <c r="L142" s="19">
        <f>F142*K142</f>
        <v>0</v>
      </c>
      <c r="M142" s="30" t="s">
        <v>463</v>
      </c>
      <c r="N142" s="30" t="s">
        <v>7</v>
      </c>
      <c r="O142" s="19">
        <f>IF(N142="5",I142,0)</f>
        <v>0</v>
      </c>
      <c r="Z142" s="19">
        <f>IF(AD142=0,J142,0)</f>
        <v>0</v>
      </c>
      <c r="AA142" s="19">
        <f>IF(AD142=15,J142,0)</f>
        <v>0</v>
      </c>
      <c r="AB142" s="19">
        <f>IF(AD142=21,J142,0)</f>
        <v>0</v>
      </c>
      <c r="AD142" s="34">
        <v>21</v>
      </c>
      <c r="AE142" s="34">
        <f>G142*0</f>
        <v>0</v>
      </c>
      <c r="AF142" s="34">
        <f>G142*(1-0)</f>
        <v>0</v>
      </c>
      <c r="AM142" s="34">
        <f>F142*AE142</f>
        <v>0</v>
      </c>
      <c r="AN142" s="34">
        <f>F142*AF142</f>
        <v>0</v>
      </c>
      <c r="AO142" s="35" t="s">
        <v>497</v>
      </c>
      <c r="AP142" s="35" t="s">
        <v>514</v>
      </c>
      <c r="AQ142" s="27" t="s">
        <v>516</v>
      </c>
    </row>
    <row r="143" spans="3:13" ht="63.75" customHeight="1">
      <c r="C143" s="14" t="s">
        <v>116</v>
      </c>
      <c r="D143" s="88" t="s">
        <v>367</v>
      </c>
      <c r="E143" s="89"/>
      <c r="F143" s="89"/>
      <c r="G143" s="89"/>
      <c r="H143" s="89"/>
      <c r="I143" s="89"/>
      <c r="J143" s="89"/>
      <c r="K143" s="89"/>
      <c r="L143" s="89"/>
      <c r="M143" s="89"/>
    </row>
    <row r="144" spans="4:13" ht="51" customHeight="1">
      <c r="D144" s="88" t="s">
        <v>368</v>
      </c>
      <c r="E144" s="89"/>
      <c r="F144" s="89"/>
      <c r="G144" s="89"/>
      <c r="H144" s="89"/>
      <c r="I144" s="89"/>
      <c r="J144" s="89"/>
      <c r="K144" s="89"/>
      <c r="L144" s="89"/>
      <c r="M144" s="89"/>
    </row>
    <row r="145" spans="1:43" ht="12.75">
      <c r="A145" s="4" t="s">
        <v>76</v>
      </c>
      <c r="B145" s="4"/>
      <c r="C145" s="4" t="s">
        <v>196</v>
      </c>
      <c r="D145" s="4" t="s">
        <v>370</v>
      </c>
      <c r="E145" s="4" t="s">
        <v>444</v>
      </c>
      <c r="F145" s="19">
        <v>10</v>
      </c>
      <c r="G145" s="19">
        <v>0</v>
      </c>
      <c r="H145" s="19">
        <f>F145*AE145</f>
        <v>0</v>
      </c>
      <c r="I145" s="19">
        <f>J145-H145</f>
        <v>0</v>
      </c>
      <c r="J145" s="19">
        <f>F145*G145</f>
        <v>0</v>
      </c>
      <c r="K145" s="19">
        <v>0</v>
      </c>
      <c r="L145" s="19">
        <f>F145*K145</f>
        <v>0</v>
      </c>
      <c r="M145" s="30" t="s">
        <v>463</v>
      </c>
      <c r="N145" s="30" t="s">
        <v>7</v>
      </c>
      <c r="O145" s="19">
        <f>IF(N145="5",I145,0)</f>
        <v>0</v>
      </c>
      <c r="Z145" s="19">
        <f>IF(AD145=0,J145,0)</f>
        <v>0</v>
      </c>
      <c r="AA145" s="19">
        <f>IF(AD145=15,J145,0)</f>
        <v>0</v>
      </c>
      <c r="AB145" s="19">
        <f>IF(AD145=21,J145,0)</f>
        <v>0</v>
      </c>
      <c r="AD145" s="34">
        <v>21</v>
      </c>
      <c r="AE145" s="34">
        <f>G145*0</f>
        <v>0</v>
      </c>
      <c r="AF145" s="34">
        <f>G145*(1-0)</f>
        <v>0</v>
      </c>
      <c r="AM145" s="34">
        <f>F145*AE145</f>
        <v>0</v>
      </c>
      <c r="AN145" s="34">
        <f>F145*AF145</f>
        <v>0</v>
      </c>
      <c r="AO145" s="35" t="s">
        <v>497</v>
      </c>
      <c r="AP145" s="35" t="s">
        <v>514</v>
      </c>
      <c r="AQ145" s="27" t="s">
        <v>516</v>
      </c>
    </row>
    <row r="146" spans="3:13" ht="63.75" customHeight="1">
      <c r="C146" s="14" t="s">
        <v>116</v>
      </c>
      <c r="D146" s="88" t="s">
        <v>367</v>
      </c>
      <c r="E146" s="89"/>
      <c r="F146" s="89"/>
      <c r="G146" s="89"/>
      <c r="H146" s="89"/>
      <c r="I146" s="89"/>
      <c r="J146" s="89"/>
      <c r="K146" s="89"/>
      <c r="L146" s="89"/>
      <c r="M146" s="89"/>
    </row>
    <row r="147" spans="4:13" ht="51" customHeight="1">
      <c r="D147" s="88" t="s">
        <v>368</v>
      </c>
      <c r="E147" s="89"/>
      <c r="F147" s="89"/>
      <c r="G147" s="89"/>
      <c r="H147" s="89"/>
      <c r="I147" s="89"/>
      <c r="J147" s="89"/>
      <c r="K147" s="89"/>
      <c r="L147" s="89"/>
      <c r="M147" s="89"/>
    </row>
    <row r="148" spans="1:43" ht="12.75">
      <c r="A148" s="4" t="s">
        <v>77</v>
      </c>
      <c r="B148" s="4"/>
      <c r="C148" s="4" t="s">
        <v>197</v>
      </c>
      <c r="D148" s="4" t="s">
        <v>371</v>
      </c>
      <c r="E148" s="4" t="s">
        <v>444</v>
      </c>
      <c r="F148" s="19">
        <v>10</v>
      </c>
      <c r="G148" s="19">
        <v>0</v>
      </c>
      <c r="H148" s="19">
        <f>F148*AE148</f>
        <v>0</v>
      </c>
      <c r="I148" s="19">
        <f>J148-H148</f>
        <v>0</v>
      </c>
      <c r="J148" s="19">
        <f>F148*G148</f>
        <v>0</v>
      </c>
      <c r="K148" s="19">
        <v>0</v>
      </c>
      <c r="L148" s="19">
        <f>F148*K148</f>
        <v>0</v>
      </c>
      <c r="M148" s="30" t="s">
        <v>463</v>
      </c>
      <c r="N148" s="30" t="s">
        <v>7</v>
      </c>
      <c r="O148" s="19">
        <f>IF(N148="5",I148,0)</f>
        <v>0</v>
      </c>
      <c r="Z148" s="19">
        <f>IF(AD148=0,J148,0)</f>
        <v>0</v>
      </c>
      <c r="AA148" s="19">
        <f>IF(AD148=15,J148,0)</f>
        <v>0</v>
      </c>
      <c r="AB148" s="19">
        <f>IF(AD148=21,J148,0)</f>
        <v>0</v>
      </c>
      <c r="AD148" s="34">
        <v>21</v>
      </c>
      <c r="AE148" s="34">
        <f>G148*0</f>
        <v>0</v>
      </c>
      <c r="AF148" s="34">
        <f>G148*(1-0)</f>
        <v>0</v>
      </c>
      <c r="AM148" s="34">
        <f>F148*AE148</f>
        <v>0</v>
      </c>
      <c r="AN148" s="34">
        <f>F148*AF148</f>
        <v>0</v>
      </c>
      <c r="AO148" s="35" t="s">
        <v>497</v>
      </c>
      <c r="AP148" s="35" t="s">
        <v>514</v>
      </c>
      <c r="AQ148" s="27" t="s">
        <v>516</v>
      </c>
    </row>
    <row r="149" spans="3:13" ht="63.75" customHeight="1">
      <c r="C149" s="14" t="s">
        <v>116</v>
      </c>
      <c r="D149" s="88" t="s">
        <v>367</v>
      </c>
      <c r="E149" s="89"/>
      <c r="F149" s="89"/>
      <c r="G149" s="89"/>
      <c r="H149" s="89"/>
      <c r="I149" s="89"/>
      <c r="J149" s="89"/>
      <c r="K149" s="89"/>
      <c r="L149" s="89"/>
      <c r="M149" s="89"/>
    </row>
    <row r="150" spans="4:13" ht="51" customHeight="1">
      <c r="D150" s="88" t="s">
        <v>368</v>
      </c>
      <c r="E150" s="89"/>
      <c r="F150" s="89"/>
      <c r="G150" s="89"/>
      <c r="H150" s="89"/>
      <c r="I150" s="89"/>
      <c r="J150" s="89"/>
      <c r="K150" s="89"/>
      <c r="L150" s="89"/>
      <c r="M150" s="89"/>
    </row>
    <row r="151" spans="1:37" ht="12.75">
      <c r="A151" s="5"/>
      <c r="B151" s="13"/>
      <c r="C151" s="13" t="s">
        <v>100</v>
      </c>
      <c r="D151" s="90" t="s">
        <v>372</v>
      </c>
      <c r="E151" s="91"/>
      <c r="F151" s="91"/>
      <c r="G151" s="91"/>
      <c r="H151" s="37">
        <f>SUM(H152:H159)</f>
        <v>0</v>
      </c>
      <c r="I151" s="37">
        <f>SUM(I152:I159)</f>
        <v>0</v>
      </c>
      <c r="J151" s="37">
        <f>H151+I151</f>
        <v>0</v>
      </c>
      <c r="K151" s="27"/>
      <c r="L151" s="37">
        <f>SUM(L152:L159)</f>
        <v>0</v>
      </c>
      <c r="M151" s="27"/>
      <c r="P151" s="37">
        <f>IF(Q151="PR",J151,SUM(O152:O159))</f>
        <v>0</v>
      </c>
      <c r="Q151" s="27" t="s">
        <v>467</v>
      </c>
      <c r="R151" s="37">
        <f>IF(Q151="HS",H151,0)</f>
        <v>0</v>
      </c>
      <c r="S151" s="37">
        <f>IF(Q151="HS",I151-P151,0)</f>
        <v>0</v>
      </c>
      <c r="T151" s="37">
        <f>IF(Q151="PS",H151,0)</f>
        <v>0</v>
      </c>
      <c r="U151" s="37">
        <f>IF(Q151="PS",I151-P151,0)</f>
        <v>0</v>
      </c>
      <c r="V151" s="37">
        <f>IF(Q151="MP",H151,0)</f>
        <v>0</v>
      </c>
      <c r="W151" s="37">
        <f>IF(Q151="MP",I151-P151,0)</f>
        <v>0</v>
      </c>
      <c r="X151" s="37">
        <f>IF(Q151="OM",H151,0)</f>
        <v>0</v>
      </c>
      <c r="Y151" s="27"/>
      <c r="AI151" s="37">
        <f>SUM(Z152:Z159)</f>
        <v>0</v>
      </c>
      <c r="AJ151" s="37">
        <f>SUM(AA152:AA159)</f>
        <v>0</v>
      </c>
      <c r="AK151" s="37">
        <f>SUM(AB152:AB159)</f>
        <v>0</v>
      </c>
    </row>
    <row r="152" spans="1:43" ht="12.75">
      <c r="A152" s="4" t="s">
        <v>78</v>
      </c>
      <c r="B152" s="4"/>
      <c r="C152" s="4" t="s">
        <v>198</v>
      </c>
      <c r="D152" s="4" t="s">
        <v>373</v>
      </c>
      <c r="E152" s="4" t="s">
        <v>439</v>
      </c>
      <c r="F152" s="19">
        <v>710</v>
      </c>
      <c r="G152" s="19">
        <v>0</v>
      </c>
      <c r="H152" s="19">
        <f>F152*AE152</f>
        <v>0</v>
      </c>
      <c r="I152" s="19">
        <f>J152-H152</f>
        <v>0</v>
      </c>
      <c r="J152" s="19">
        <f>F152*G152</f>
        <v>0</v>
      </c>
      <c r="K152" s="19">
        <v>0</v>
      </c>
      <c r="L152" s="19">
        <f>F152*K152</f>
        <v>0</v>
      </c>
      <c r="M152" s="30" t="s">
        <v>463</v>
      </c>
      <c r="N152" s="30" t="s">
        <v>7</v>
      </c>
      <c r="O152" s="19">
        <f>IF(N152="5",I152,0)</f>
        <v>0</v>
      </c>
      <c r="Z152" s="19">
        <f>IF(AD152=0,J152,0)</f>
        <v>0</v>
      </c>
      <c r="AA152" s="19">
        <f>IF(AD152=15,J152,0)</f>
        <v>0</v>
      </c>
      <c r="AB152" s="19">
        <f>IF(AD152=21,J152,0)</f>
        <v>0</v>
      </c>
      <c r="AD152" s="34">
        <v>21</v>
      </c>
      <c r="AE152" s="34">
        <f>G152*0</f>
        <v>0</v>
      </c>
      <c r="AF152" s="34">
        <f>G152*(1-0)</f>
        <v>0</v>
      </c>
      <c r="AM152" s="34">
        <f>F152*AE152</f>
        <v>0</v>
      </c>
      <c r="AN152" s="34">
        <f>F152*AF152</f>
        <v>0</v>
      </c>
      <c r="AO152" s="35" t="s">
        <v>498</v>
      </c>
      <c r="AP152" s="35" t="s">
        <v>514</v>
      </c>
      <c r="AQ152" s="27" t="s">
        <v>516</v>
      </c>
    </row>
    <row r="153" spans="3:13" ht="12.75">
      <c r="C153" s="14" t="s">
        <v>116</v>
      </c>
      <c r="D153" s="88" t="s">
        <v>374</v>
      </c>
      <c r="E153" s="89"/>
      <c r="F153" s="89"/>
      <c r="G153" s="89"/>
      <c r="H153" s="89"/>
      <c r="I153" s="89"/>
      <c r="J153" s="89"/>
      <c r="K153" s="89"/>
      <c r="L153" s="89"/>
      <c r="M153" s="89"/>
    </row>
    <row r="154" spans="1:43" ht="12.75">
      <c r="A154" s="4" t="s">
        <v>79</v>
      </c>
      <c r="B154" s="4"/>
      <c r="C154" s="4" t="s">
        <v>199</v>
      </c>
      <c r="D154" s="4" t="s">
        <v>375</v>
      </c>
      <c r="E154" s="4" t="s">
        <v>439</v>
      </c>
      <c r="F154" s="19">
        <v>710</v>
      </c>
      <c r="G154" s="19">
        <v>0</v>
      </c>
      <c r="H154" s="19">
        <f>F154*AE154</f>
        <v>0</v>
      </c>
      <c r="I154" s="19">
        <f>J154-H154</f>
        <v>0</v>
      </c>
      <c r="J154" s="19">
        <f>F154*G154</f>
        <v>0</v>
      </c>
      <c r="K154" s="19">
        <v>0</v>
      </c>
      <c r="L154" s="19">
        <f>F154*K154</f>
        <v>0</v>
      </c>
      <c r="M154" s="30" t="s">
        <v>463</v>
      </c>
      <c r="N154" s="30" t="s">
        <v>7</v>
      </c>
      <c r="O154" s="19">
        <f>IF(N154="5",I154,0)</f>
        <v>0</v>
      </c>
      <c r="Z154" s="19">
        <f>IF(AD154=0,J154,0)</f>
        <v>0</v>
      </c>
      <c r="AA154" s="19">
        <f>IF(AD154=15,J154,0)</f>
        <v>0</v>
      </c>
      <c r="AB154" s="19">
        <f>IF(AD154=21,J154,0)</f>
        <v>0</v>
      </c>
      <c r="AD154" s="34">
        <v>21</v>
      </c>
      <c r="AE154" s="34">
        <f>G154*0</f>
        <v>0</v>
      </c>
      <c r="AF154" s="34">
        <f>G154*(1-0)</f>
        <v>0</v>
      </c>
      <c r="AM154" s="34">
        <f>F154*AE154</f>
        <v>0</v>
      </c>
      <c r="AN154" s="34">
        <f>F154*AF154</f>
        <v>0</v>
      </c>
      <c r="AO154" s="35" t="s">
        <v>498</v>
      </c>
      <c r="AP154" s="35" t="s">
        <v>514</v>
      </c>
      <c r="AQ154" s="27" t="s">
        <v>516</v>
      </c>
    </row>
    <row r="155" spans="3:13" ht="12.75">
      <c r="C155" s="14" t="s">
        <v>116</v>
      </c>
      <c r="D155" s="88" t="s">
        <v>374</v>
      </c>
      <c r="E155" s="89"/>
      <c r="F155" s="89"/>
      <c r="G155" s="89"/>
      <c r="H155" s="89"/>
      <c r="I155" s="89"/>
      <c r="J155" s="89"/>
      <c r="K155" s="89"/>
      <c r="L155" s="89"/>
      <c r="M155" s="89"/>
    </row>
    <row r="156" spans="1:43" ht="12.75">
      <c r="A156" s="4" t="s">
        <v>80</v>
      </c>
      <c r="B156" s="4"/>
      <c r="C156" s="4" t="s">
        <v>200</v>
      </c>
      <c r="D156" s="4" t="s">
        <v>376</v>
      </c>
      <c r="E156" s="4" t="s">
        <v>439</v>
      </c>
      <c r="F156" s="19">
        <v>710</v>
      </c>
      <c r="G156" s="19">
        <v>0</v>
      </c>
      <c r="H156" s="19">
        <f>F156*AE156</f>
        <v>0</v>
      </c>
      <c r="I156" s="19">
        <f>J156-H156</f>
        <v>0</v>
      </c>
      <c r="J156" s="19">
        <f>F156*G156</f>
        <v>0</v>
      </c>
      <c r="K156" s="19">
        <v>0</v>
      </c>
      <c r="L156" s="19">
        <f>F156*K156</f>
        <v>0</v>
      </c>
      <c r="M156" s="30" t="s">
        <v>463</v>
      </c>
      <c r="N156" s="30" t="s">
        <v>7</v>
      </c>
      <c r="O156" s="19">
        <f>IF(N156="5",I156,0)</f>
        <v>0</v>
      </c>
      <c r="Z156" s="19">
        <f>IF(AD156=0,J156,0)</f>
        <v>0</v>
      </c>
      <c r="AA156" s="19">
        <f>IF(AD156=15,J156,0)</f>
        <v>0</v>
      </c>
      <c r="AB156" s="19">
        <f>IF(AD156=21,J156,0)</f>
        <v>0</v>
      </c>
      <c r="AD156" s="34">
        <v>21</v>
      </c>
      <c r="AE156" s="34">
        <f>G156*0</f>
        <v>0</v>
      </c>
      <c r="AF156" s="34">
        <f>G156*(1-0)</f>
        <v>0</v>
      </c>
      <c r="AM156" s="34">
        <f>F156*AE156</f>
        <v>0</v>
      </c>
      <c r="AN156" s="34">
        <f>F156*AF156</f>
        <v>0</v>
      </c>
      <c r="AO156" s="35" t="s">
        <v>498</v>
      </c>
      <c r="AP156" s="35" t="s">
        <v>514</v>
      </c>
      <c r="AQ156" s="27" t="s">
        <v>516</v>
      </c>
    </row>
    <row r="157" spans="1:43" ht="12.75">
      <c r="A157" s="4" t="s">
        <v>81</v>
      </c>
      <c r="B157" s="4"/>
      <c r="C157" s="4" t="s">
        <v>201</v>
      </c>
      <c r="D157" s="4" t="s">
        <v>377</v>
      </c>
      <c r="E157" s="4" t="s">
        <v>439</v>
      </c>
      <c r="F157" s="19">
        <v>710</v>
      </c>
      <c r="G157" s="19">
        <v>0</v>
      </c>
      <c r="H157" s="19">
        <f>F157*AE157</f>
        <v>0</v>
      </c>
      <c r="I157" s="19">
        <f>J157-H157</f>
        <v>0</v>
      </c>
      <c r="J157" s="19">
        <f>F157*G157</f>
        <v>0</v>
      </c>
      <c r="K157" s="19">
        <v>0</v>
      </c>
      <c r="L157" s="19">
        <f>F157*K157</f>
        <v>0</v>
      </c>
      <c r="M157" s="30" t="s">
        <v>463</v>
      </c>
      <c r="N157" s="30" t="s">
        <v>7</v>
      </c>
      <c r="O157" s="19">
        <f>IF(N157="5",I157,0)</f>
        <v>0</v>
      </c>
      <c r="Z157" s="19">
        <f>IF(AD157=0,J157,0)</f>
        <v>0</v>
      </c>
      <c r="AA157" s="19">
        <f>IF(AD157=15,J157,0)</f>
        <v>0</v>
      </c>
      <c r="AB157" s="19">
        <f>IF(AD157=21,J157,0)</f>
        <v>0</v>
      </c>
      <c r="AD157" s="34">
        <v>21</v>
      </c>
      <c r="AE157" s="34">
        <f>G157*0</f>
        <v>0</v>
      </c>
      <c r="AF157" s="34">
        <f>G157*(1-0)</f>
        <v>0</v>
      </c>
      <c r="AM157" s="34">
        <f>F157*AE157</f>
        <v>0</v>
      </c>
      <c r="AN157" s="34">
        <f>F157*AF157</f>
        <v>0</v>
      </c>
      <c r="AO157" s="35" t="s">
        <v>498</v>
      </c>
      <c r="AP157" s="35" t="s">
        <v>514</v>
      </c>
      <c r="AQ157" s="27" t="s">
        <v>516</v>
      </c>
    </row>
    <row r="158" spans="1:43" ht="12.75">
      <c r="A158" s="4" t="s">
        <v>82</v>
      </c>
      <c r="B158" s="4"/>
      <c r="C158" s="4" t="s">
        <v>202</v>
      </c>
      <c r="D158" s="4" t="s">
        <v>378</v>
      </c>
      <c r="E158" s="4" t="s">
        <v>439</v>
      </c>
      <c r="F158" s="19">
        <v>710</v>
      </c>
      <c r="G158" s="19">
        <v>0</v>
      </c>
      <c r="H158" s="19">
        <f>F158*AE158</f>
        <v>0</v>
      </c>
      <c r="I158" s="19">
        <f>J158-H158</f>
        <v>0</v>
      </c>
      <c r="J158" s="19">
        <f>F158*G158</f>
        <v>0</v>
      </c>
      <c r="K158" s="19">
        <v>0</v>
      </c>
      <c r="L158" s="19">
        <f>F158*K158</f>
        <v>0</v>
      </c>
      <c r="M158" s="30" t="s">
        <v>463</v>
      </c>
      <c r="N158" s="30" t="s">
        <v>7</v>
      </c>
      <c r="O158" s="19">
        <f>IF(N158="5",I158,0)</f>
        <v>0</v>
      </c>
      <c r="Z158" s="19">
        <f>IF(AD158=0,J158,0)</f>
        <v>0</v>
      </c>
      <c r="AA158" s="19">
        <f>IF(AD158=15,J158,0)</f>
        <v>0</v>
      </c>
      <c r="AB158" s="19">
        <f>IF(AD158=21,J158,0)</f>
        <v>0</v>
      </c>
      <c r="AD158" s="34">
        <v>21</v>
      </c>
      <c r="AE158" s="34">
        <f>G158*0</f>
        <v>0</v>
      </c>
      <c r="AF158" s="34">
        <f>G158*(1-0)</f>
        <v>0</v>
      </c>
      <c r="AM158" s="34">
        <f>F158*AE158</f>
        <v>0</v>
      </c>
      <c r="AN158" s="34">
        <f>F158*AF158</f>
        <v>0</v>
      </c>
      <c r="AO158" s="35" t="s">
        <v>498</v>
      </c>
      <c r="AP158" s="35" t="s">
        <v>514</v>
      </c>
      <c r="AQ158" s="27" t="s">
        <v>516</v>
      </c>
    </row>
    <row r="159" spans="1:43" ht="12.75">
      <c r="A159" s="4" t="s">
        <v>83</v>
      </c>
      <c r="B159" s="4"/>
      <c r="C159" s="4" t="s">
        <v>203</v>
      </c>
      <c r="D159" s="4" t="s">
        <v>379</v>
      </c>
      <c r="E159" s="4" t="s">
        <v>439</v>
      </c>
      <c r="F159" s="19">
        <v>31950</v>
      </c>
      <c r="G159" s="19">
        <v>0</v>
      </c>
      <c r="H159" s="19">
        <f>F159*AE159</f>
        <v>0</v>
      </c>
      <c r="I159" s="19">
        <f>J159-H159</f>
        <v>0</v>
      </c>
      <c r="J159" s="19">
        <f>F159*G159</f>
        <v>0</v>
      </c>
      <c r="K159" s="19">
        <v>0</v>
      </c>
      <c r="L159" s="19">
        <f>F159*K159</f>
        <v>0</v>
      </c>
      <c r="M159" s="30" t="s">
        <v>463</v>
      </c>
      <c r="N159" s="30" t="s">
        <v>7</v>
      </c>
      <c r="O159" s="19">
        <f>IF(N159="5",I159,0)</f>
        <v>0</v>
      </c>
      <c r="Z159" s="19">
        <f>IF(AD159=0,J159,0)</f>
        <v>0</v>
      </c>
      <c r="AA159" s="19">
        <f>IF(AD159=15,J159,0)</f>
        <v>0</v>
      </c>
      <c r="AB159" s="19">
        <f>IF(AD159=21,J159,0)</f>
        <v>0</v>
      </c>
      <c r="AD159" s="34">
        <v>21</v>
      </c>
      <c r="AE159" s="34">
        <f>G159*0</f>
        <v>0</v>
      </c>
      <c r="AF159" s="34">
        <f>G159*(1-0)</f>
        <v>0</v>
      </c>
      <c r="AM159" s="34">
        <f>F159*AE159</f>
        <v>0</v>
      </c>
      <c r="AN159" s="34">
        <f>F159*AF159</f>
        <v>0</v>
      </c>
      <c r="AO159" s="35" t="s">
        <v>498</v>
      </c>
      <c r="AP159" s="35" t="s">
        <v>514</v>
      </c>
      <c r="AQ159" s="27" t="s">
        <v>516</v>
      </c>
    </row>
    <row r="160" spans="3:13" ht="12.75">
      <c r="C160" s="14" t="s">
        <v>116</v>
      </c>
      <c r="D160" s="88" t="s">
        <v>380</v>
      </c>
      <c r="E160" s="89"/>
      <c r="F160" s="89"/>
      <c r="G160" s="89"/>
      <c r="H160" s="89"/>
      <c r="I160" s="89"/>
      <c r="J160" s="89"/>
      <c r="K160" s="89"/>
      <c r="L160" s="89"/>
      <c r="M160" s="89"/>
    </row>
    <row r="161" spans="1:37" ht="12.75">
      <c r="A161" s="5"/>
      <c r="B161" s="13"/>
      <c r="C161" s="13" t="s">
        <v>101</v>
      </c>
      <c r="D161" s="90" t="s">
        <v>381</v>
      </c>
      <c r="E161" s="91"/>
      <c r="F161" s="91"/>
      <c r="G161" s="91"/>
      <c r="H161" s="37">
        <f>SUM(H162:H162)</f>
        <v>0</v>
      </c>
      <c r="I161" s="37">
        <f>SUM(I162:I162)</f>
        <v>0</v>
      </c>
      <c r="J161" s="37">
        <f>H161+I161</f>
        <v>0</v>
      </c>
      <c r="K161" s="27"/>
      <c r="L161" s="37">
        <f>SUM(L162:L162)</f>
        <v>0.33552</v>
      </c>
      <c r="M161" s="27"/>
      <c r="P161" s="37">
        <f>IF(Q161="PR",J161,SUM(O162:O162))</f>
        <v>0</v>
      </c>
      <c r="Q161" s="27" t="s">
        <v>467</v>
      </c>
      <c r="R161" s="37">
        <f>IF(Q161="HS",H161,0)</f>
        <v>0</v>
      </c>
      <c r="S161" s="37">
        <f>IF(Q161="HS",I161-P161,0)</f>
        <v>0</v>
      </c>
      <c r="T161" s="37">
        <f>IF(Q161="PS",H161,0)</f>
        <v>0</v>
      </c>
      <c r="U161" s="37">
        <f>IF(Q161="PS",I161-P161,0)</f>
        <v>0</v>
      </c>
      <c r="V161" s="37">
        <f>IF(Q161="MP",H161,0)</f>
        <v>0</v>
      </c>
      <c r="W161" s="37">
        <f>IF(Q161="MP",I161-P161,0)</f>
        <v>0</v>
      </c>
      <c r="X161" s="37">
        <f>IF(Q161="OM",H161,0)</f>
        <v>0</v>
      </c>
      <c r="Y161" s="27"/>
      <c r="AI161" s="37">
        <f>SUM(Z162:Z162)</f>
        <v>0</v>
      </c>
      <c r="AJ161" s="37">
        <f>SUM(AA162:AA162)</f>
        <v>0</v>
      </c>
      <c r="AK161" s="37">
        <f>SUM(AB162:AB162)</f>
        <v>0</v>
      </c>
    </row>
    <row r="162" spans="1:43" ht="12.75">
      <c r="A162" s="4" t="s">
        <v>84</v>
      </c>
      <c r="B162" s="4"/>
      <c r="C162" s="4" t="s">
        <v>204</v>
      </c>
      <c r="D162" s="4" t="s">
        <v>382</v>
      </c>
      <c r="E162" s="4" t="s">
        <v>442</v>
      </c>
      <c r="F162" s="19">
        <v>144</v>
      </c>
      <c r="G162" s="19">
        <v>0</v>
      </c>
      <c r="H162" s="19">
        <f>F162*AE162</f>
        <v>0</v>
      </c>
      <c r="I162" s="19">
        <f>J162-H162</f>
        <v>0</v>
      </c>
      <c r="J162" s="19">
        <f>F162*G162</f>
        <v>0</v>
      </c>
      <c r="K162" s="19">
        <v>0.00233</v>
      </c>
      <c r="L162" s="19">
        <f>F162*K162</f>
        <v>0.33552</v>
      </c>
      <c r="M162" s="30" t="s">
        <v>463</v>
      </c>
      <c r="N162" s="30" t="s">
        <v>9</v>
      </c>
      <c r="O162" s="19">
        <f>IF(N162="5",I162,0)</f>
        <v>0</v>
      </c>
      <c r="Z162" s="19">
        <f>IF(AD162=0,J162,0)</f>
        <v>0</v>
      </c>
      <c r="AA162" s="19">
        <f>IF(AD162=15,J162,0)</f>
        <v>0</v>
      </c>
      <c r="AB162" s="19">
        <f>IF(AD162=21,J162,0)</f>
        <v>0</v>
      </c>
      <c r="AD162" s="34">
        <v>21</v>
      </c>
      <c r="AE162" s="34">
        <f>G162*0.272958801498127</f>
        <v>0</v>
      </c>
      <c r="AF162" s="34">
        <f>G162*(1-0.272958801498127)</f>
        <v>0</v>
      </c>
      <c r="AM162" s="34">
        <f>F162*AE162</f>
        <v>0</v>
      </c>
      <c r="AN162" s="34">
        <f>F162*AF162</f>
        <v>0</v>
      </c>
      <c r="AO162" s="35" t="s">
        <v>499</v>
      </c>
      <c r="AP162" s="35" t="s">
        <v>514</v>
      </c>
      <c r="AQ162" s="27" t="s">
        <v>516</v>
      </c>
    </row>
    <row r="163" spans="3:13" ht="12.75">
      <c r="C163" s="14" t="s">
        <v>116</v>
      </c>
      <c r="D163" s="88" t="s">
        <v>383</v>
      </c>
      <c r="E163" s="89"/>
      <c r="F163" s="89"/>
      <c r="G163" s="89"/>
      <c r="H163" s="89"/>
      <c r="I163" s="89"/>
      <c r="J163" s="89"/>
      <c r="K163" s="89"/>
      <c r="L163" s="89"/>
      <c r="M163" s="89"/>
    </row>
    <row r="164" spans="1:37" ht="12.75">
      <c r="A164" s="5"/>
      <c r="B164" s="13"/>
      <c r="C164" s="13" t="s">
        <v>102</v>
      </c>
      <c r="D164" s="90" t="s">
        <v>384</v>
      </c>
      <c r="E164" s="91"/>
      <c r="F164" s="91"/>
      <c r="G164" s="91"/>
      <c r="H164" s="37">
        <f>SUM(H165:H177)</f>
        <v>0</v>
      </c>
      <c r="I164" s="37">
        <f>SUM(I165:I177)</f>
        <v>0</v>
      </c>
      <c r="J164" s="37">
        <f>H164+I164</f>
        <v>0</v>
      </c>
      <c r="K164" s="27"/>
      <c r="L164" s="37">
        <f>SUM(L165:L177)</f>
        <v>8.0395828</v>
      </c>
      <c r="M164" s="27"/>
      <c r="P164" s="37">
        <f>IF(Q164="PR",J164,SUM(O165:O177))</f>
        <v>0</v>
      </c>
      <c r="Q164" s="27" t="s">
        <v>467</v>
      </c>
      <c r="R164" s="37">
        <f>IF(Q164="HS",H164,0)</f>
        <v>0</v>
      </c>
      <c r="S164" s="37">
        <f>IF(Q164="HS",I164-P164,0)</f>
        <v>0</v>
      </c>
      <c r="T164" s="37">
        <f>IF(Q164="PS",H164,0)</f>
        <v>0</v>
      </c>
      <c r="U164" s="37">
        <f>IF(Q164="PS",I164-P164,0)</f>
        <v>0</v>
      </c>
      <c r="V164" s="37">
        <f>IF(Q164="MP",H164,0)</f>
        <v>0</v>
      </c>
      <c r="W164" s="37">
        <f>IF(Q164="MP",I164-P164,0)</f>
        <v>0</v>
      </c>
      <c r="X164" s="37">
        <f>IF(Q164="OM",H164,0)</f>
        <v>0</v>
      </c>
      <c r="Y164" s="27"/>
      <c r="AI164" s="37">
        <f>SUM(Z165:Z177)</f>
        <v>0</v>
      </c>
      <c r="AJ164" s="37">
        <f>SUM(AA165:AA177)</f>
        <v>0</v>
      </c>
      <c r="AK164" s="37">
        <f>SUM(AB165:AB177)</f>
        <v>0</v>
      </c>
    </row>
    <row r="165" spans="1:43" ht="12.75">
      <c r="A165" s="4" t="s">
        <v>85</v>
      </c>
      <c r="B165" s="4"/>
      <c r="C165" s="4" t="s">
        <v>205</v>
      </c>
      <c r="D165" s="4" t="s">
        <v>385</v>
      </c>
      <c r="E165" s="4" t="s">
        <v>439</v>
      </c>
      <c r="F165" s="19">
        <v>4.76</v>
      </c>
      <c r="G165" s="19">
        <v>0</v>
      </c>
      <c r="H165" s="19">
        <f>F165*AE165</f>
        <v>0</v>
      </c>
      <c r="I165" s="19">
        <f>J165-H165</f>
        <v>0</v>
      </c>
      <c r="J165" s="19">
        <f>F165*G165</f>
        <v>0</v>
      </c>
      <c r="K165" s="19">
        <v>0.05893</v>
      </c>
      <c r="L165" s="19">
        <f>F165*K165</f>
        <v>0.2805068</v>
      </c>
      <c r="M165" s="30" t="s">
        <v>463</v>
      </c>
      <c r="N165" s="30" t="s">
        <v>7</v>
      </c>
      <c r="O165" s="19">
        <f>IF(N165="5",I165,0)</f>
        <v>0</v>
      </c>
      <c r="Z165" s="19">
        <f>IF(AD165=0,J165,0)</f>
        <v>0</v>
      </c>
      <c r="AA165" s="19">
        <f>IF(AD165=15,J165,0)</f>
        <v>0</v>
      </c>
      <c r="AB165" s="19">
        <f>IF(AD165=21,J165,0)</f>
        <v>0</v>
      </c>
      <c r="AD165" s="34">
        <v>21</v>
      </c>
      <c r="AE165" s="34">
        <f>G165*0.265295238095238</f>
        <v>0</v>
      </c>
      <c r="AF165" s="34">
        <f>G165*(1-0.265295238095238)</f>
        <v>0</v>
      </c>
      <c r="AM165" s="34">
        <f>F165*AE165</f>
        <v>0</v>
      </c>
      <c r="AN165" s="34">
        <f>F165*AF165</f>
        <v>0</v>
      </c>
      <c r="AO165" s="35" t="s">
        <v>500</v>
      </c>
      <c r="AP165" s="35" t="s">
        <v>514</v>
      </c>
      <c r="AQ165" s="27" t="s">
        <v>516</v>
      </c>
    </row>
    <row r="166" spans="3:13" ht="12.75">
      <c r="C166" s="14" t="s">
        <v>116</v>
      </c>
      <c r="D166" s="88" t="s">
        <v>386</v>
      </c>
      <c r="E166" s="89"/>
      <c r="F166" s="89"/>
      <c r="G166" s="89"/>
      <c r="H166" s="89"/>
      <c r="I166" s="89"/>
      <c r="J166" s="89"/>
      <c r="K166" s="89"/>
      <c r="L166" s="89"/>
      <c r="M166" s="89"/>
    </row>
    <row r="167" spans="1:43" ht="12.75">
      <c r="A167" s="4" t="s">
        <v>86</v>
      </c>
      <c r="B167" s="4"/>
      <c r="C167" s="4" t="s">
        <v>206</v>
      </c>
      <c r="D167" s="4" t="s">
        <v>387</v>
      </c>
      <c r="E167" s="4" t="s">
        <v>439</v>
      </c>
      <c r="F167" s="19">
        <v>13.36</v>
      </c>
      <c r="G167" s="19">
        <v>0</v>
      </c>
      <c r="H167" s="19">
        <f>F167*AE167</f>
        <v>0</v>
      </c>
      <c r="I167" s="19">
        <f>J167-H167</f>
        <v>0</v>
      </c>
      <c r="J167" s="19">
        <f>F167*G167</f>
        <v>0</v>
      </c>
      <c r="K167" s="19">
        <v>0.05237</v>
      </c>
      <c r="L167" s="19">
        <f>F167*K167</f>
        <v>0.6996631999999999</v>
      </c>
      <c r="M167" s="30" t="s">
        <v>463</v>
      </c>
      <c r="N167" s="30" t="s">
        <v>7</v>
      </c>
      <c r="O167" s="19">
        <f>IF(N167="5",I167,0)</f>
        <v>0</v>
      </c>
      <c r="Z167" s="19">
        <f>IF(AD167=0,J167,0)</f>
        <v>0</v>
      </c>
      <c r="AA167" s="19">
        <f>IF(AD167=15,J167,0)</f>
        <v>0</v>
      </c>
      <c r="AB167" s="19">
        <f>IF(AD167=21,J167,0)</f>
        <v>0</v>
      </c>
      <c r="AD167" s="34">
        <v>21</v>
      </c>
      <c r="AE167" s="34">
        <f>G167*0.205295930561671</f>
        <v>0</v>
      </c>
      <c r="AF167" s="34">
        <f>G167*(1-0.205295930561671)</f>
        <v>0</v>
      </c>
      <c r="AM167" s="34">
        <f>F167*AE167</f>
        <v>0</v>
      </c>
      <c r="AN167" s="34">
        <f>F167*AF167</f>
        <v>0</v>
      </c>
      <c r="AO167" s="35" t="s">
        <v>500</v>
      </c>
      <c r="AP167" s="35" t="s">
        <v>514</v>
      </c>
      <c r="AQ167" s="27" t="s">
        <v>516</v>
      </c>
    </row>
    <row r="168" spans="3:13" ht="12.75">
      <c r="C168" s="14" t="s">
        <v>116</v>
      </c>
      <c r="D168" s="88" t="s">
        <v>388</v>
      </c>
      <c r="E168" s="89"/>
      <c r="F168" s="89"/>
      <c r="G168" s="89"/>
      <c r="H168" s="89"/>
      <c r="I168" s="89"/>
      <c r="J168" s="89"/>
      <c r="K168" s="89"/>
      <c r="L168" s="89"/>
      <c r="M168" s="89"/>
    </row>
    <row r="169" spans="1:43" ht="12.75">
      <c r="A169" s="4" t="s">
        <v>87</v>
      </c>
      <c r="B169" s="4"/>
      <c r="C169" s="4" t="s">
        <v>207</v>
      </c>
      <c r="D169" s="4" t="s">
        <v>389</v>
      </c>
      <c r="E169" s="4" t="s">
        <v>439</v>
      </c>
      <c r="F169" s="19">
        <v>108.9</v>
      </c>
      <c r="G169" s="19">
        <v>0</v>
      </c>
      <c r="H169" s="19">
        <f>F169*AE169</f>
        <v>0</v>
      </c>
      <c r="I169" s="19">
        <f>J169-H169</f>
        <v>0</v>
      </c>
      <c r="J169" s="19">
        <f>F169*G169</f>
        <v>0</v>
      </c>
      <c r="K169" s="19">
        <v>0.04792</v>
      </c>
      <c r="L169" s="19">
        <f>F169*K169</f>
        <v>5.218488</v>
      </c>
      <c r="M169" s="30" t="s">
        <v>463</v>
      </c>
      <c r="N169" s="30" t="s">
        <v>7</v>
      </c>
      <c r="O169" s="19">
        <f>IF(N169="5",I169,0)</f>
        <v>0</v>
      </c>
      <c r="Z169" s="19">
        <f>IF(AD169=0,J169,0)</f>
        <v>0</v>
      </c>
      <c r="AA169" s="19">
        <f>IF(AD169=15,J169,0)</f>
        <v>0</v>
      </c>
      <c r="AB169" s="19">
        <f>IF(AD169=21,J169,0)</f>
        <v>0</v>
      </c>
      <c r="AD169" s="34">
        <v>21</v>
      </c>
      <c r="AE169" s="34">
        <f>G169*0.19542600896861</f>
        <v>0</v>
      </c>
      <c r="AF169" s="34">
        <f>G169*(1-0.19542600896861)</f>
        <v>0</v>
      </c>
      <c r="AM169" s="34">
        <f>F169*AE169</f>
        <v>0</v>
      </c>
      <c r="AN169" s="34">
        <f>F169*AF169</f>
        <v>0</v>
      </c>
      <c r="AO169" s="35" t="s">
        <v>500</v>
      </c>
      <c r="AP169" s="35" t="s">
        <v>514</v>
      </c>
      <c r="AQ169" s="27" t="s">
        <v>516</v>
      </c>
    </row>
    <row r="170" spans="3:13" ht="12.75">
      <c r="C170" s="14" t="s">
        <v>116</v>
      </c>
      <c r="D170" s="88" t="s">
        <v>388</v>
      </c>
      <c r="E170" s="89"/>
      <c r="F170" s="89"/>
      <c r="G170" s="89"/>
      <c r="H170" s="89"/>
      <c r="I170" s="89"/>
      <c r="J170" s="89"/>
      <c r="K170" s="89"/>
      <c r="L170" s="89"/>
      <c r="M170" s="89"/>
    </row>
    <row r="171" spans="1:43" ht="12.75">
      <c r="A171" s="4" t="s">
        <v>88</v>
      </c>
      <c r="B171" s="4"/>
      <c r="C171" s="4" t="s">
        <v>208</v>
      </c>
      <c r="D171" s="4" t="s">
        <v>390</v>
      </c>
      <c r="E171" s="4" t="s">
        <v>439</v>
      </c>
      <c r="F171" s="19">
        <v>47.52</v>
      </c>
      <c r="G171" s="19">
        <v>0</v>
      </c>
      <c r="H171" s="19">
        <f>F171*AE171</f>
        <v>0</v>
      </c>
      <c r="I171" s="19">
        <f>J171-H171</f>
        <v>0</v>
      </c>
      <c r="J171" s="19">
        <f>F171*G171</f>
        <v>0</v>
      </c>
      <c r="K171" s="19">
        <v>0.03874</v>
      </c>
      <c r="L171" s="19">
        <f>F171*K171</f>
        <v>1.8409248</v>
      </c>
      <c r="M171" s="30" t="s">
        <v>463</v>
      </c>
      <c r="N171" s="30" t="s">
        <v>7</v>
      </c>
      <c r="O171" s="19">
        <f>IF(N171="5",I171,0)</f>
        <v>0</v>
      </c>
      <c r="Z171" s="19">
        <f>IF(AD171=0,J171,0)</f>
        <v>0</v>
      </c>
      <c r="AA171" s="19">
        <f>IF(AD171=15,J171,0)</f>
        <v>0</v>
      </c>
      <c r="AB171" s="19">
        <f>IF(AD171=21,J171,0)</f>
        <v>0</v>
      </c>
      <c r="AD171" s="34">
        <v>21</v>
      </c>
      <c r="AE171" s="34">
        <f>G171*0.203716608594657</f>
        <v>0</v>
      </c>
      <c r="AF171" s="34">
        <f>G171*(1-0.203716608594657)</f>
        <v>0</v>
      </c>
      <c r="AM171" s="34">
        <f>F171*AE171</f>
        <v>0</v>
      </c>
      <c r="AN171" s="34">
        <f>F171*AF171</f>
        <v>0</v>
      </c>
      <c r="AO171" s="35" t="s">
        <v>500</v>
      </c>
      <c r="AP171" s="35" t="s">
        <v>514</v>
      </c>
      <c r="AQ171" s="27" t="s">
        <v>516</v>
      </c>
    </row>
    <row r="172" spans="3:13" ht="12.75">
      <c r="C172" s="14" t="s">
        <v>116</v>
      </c>
      <c r="D172" s="88" t="s">
        <v>388</v>
      </c>
      <c r="E172" s="89"/>
      <c r="F172" s="89"/>
      <c r="G172" s="89"/>
      <c r="H172" s="89"/>
      <c r="I172" s="89"/>
      <c r="J172" s="89"/>
      <c r="K172" s="89"/>
      <c r="L172" s="89"/>
      <c r="M172" s="89"/>
    </row>
    <row r="173" spans="1:43" ht="12.75">
      <c r="A173" s="4" t="s">
        <v>89</v>
      </c>
      <c r="B173" s="4"/>
      <c r="C173" s="4" t="s">
        <v>209</v>
      </c>
      <c r="D173" s="4" t="s">
        <v>391</v>
      </c>
      <c r="E173" s="4" t="s">
        <v>442</v>
      </c>
      <c r="F173" s="19">
        <v>14</v>
      </c>
      <c r="G173" s="19">
        <v>0</v>
      </c>
      <c r="H173" s="19">
        <f>F173*AE173</f>
        <v>0</v>
      </c>
      <c r="I173" s="19">
        <f>J173-H173</f>
        <v>0</v>
      </c>
      <c r="J173" s="19">
        <f>F173*G173</f>
        <v>0</v>
      </c>
      <c r="K173" s="19">
        <v>0</v>
      </c>
      <c r="L173" s="19">
        <f>F173*K173</f>
        <v>0</v>
      </c>
      <c r="M173" s="30" t="s">
        <v>463</v>
      </c>
      <c r="N173" s="30" t="s">
        <v>7</v>
      </c>
      <c r="O173" s="19">
        <f>IF(N173="5",I173,0)</f>
        <v>0</v>
      </c>
      <c r="Z173" s="19">
        <f>IF(AD173=0,J173,0)</f>
        <v>0</v>
      </c>
      <c r="AA173" s="19">
        <f>IF(AD173=15,J173,0)</f>
        <v>0</v>
      </c>
      <c r="AB173" s="19">
        <f>IF(AD173=21,J173,0)</f>
        <v>0</v>
      </c>
      <c r="AD173" s="34">
        <v>21</v>
      </c>
      <c r="AE173" s="34">
        <f>G173*0</f>
        <v>0</v>
      </c>
      <c r="AF173" s="34">
        <f>G173*(1-0)</f>
        <v>0</v>
      </c>
      <c r="AM173" s="34">
        <f>F173*AE173</f>
        <v>0</v>
      </c>
      <c r="AN173" s="34">
        <f>F173*AF173</f>
        <v>0</v>
      </c>
      <c r="AO173" s="35" t="s">
        <v>500</v>
      </c>
      <c r="AP173" s="35" t="s">
        <v>514</v>
      </c>
      <c r="AQ173" s="27" t="s">
        <v>516</v>
      </c>
    </row>
    <row r="174" spans="3:13" ht="12.75">
      <c r="C174" s="14" t="s">
        <v>116</v>
      </c>
      <c r="D174" s="88" t="s">
        <v>392</v>
      </c>
      <c r="E174" s="89"/>
      <c r="F174" s="89"/>
      <c r="G174" s="89"/>
      <c r="H174" s="89"/>
      <c r="I174" s="89"/>
      <c r="J174" s="89"/>
      <c r="K174" s="89"/>
      <c r="L174" s="89"/>
      <c r="M174" s="89"/>
    </row>
    <row r="175" spans="1:43" ht="12.75">
      <c r="A175" s="4" t="s">
        <v>90</v>
      </c>
      <c r="B175" s="4"/>
      <c r="C175" s="4" t="s">
        <v>210</v>
      </c>
      <c r="D175" s="4" t="s">
        <v>393</v>
      </c>
      <c r="E175" s="4" t="s">
        <v>442</v>
      </c>
      <c r="F175" s="19">
        <v>82</v>
      </c>
      <c r="G175" s="19">
        <v>0</v>
      </c>
      <c r="H175" s="19">
        <f>F175*AE175</f>
        <v>0</v>
      </c>
      <c r="I175" s="19">
        <f>J175-H175</f>
        <v>0</v>
      </c>
      <c r="J175" s="19">
        <f>F175*G175</f>
        <v>0</v>
      </c>
      <c r="K175" s="19">
        <v>0</v>
      </c>
      <c r="L175" s="19">
        <f>F175*K175</f>
        <v>0</v>
      </c>
      <c r="M175" s="30" t="s">
        <v>463</v>
      </c>
      <c r="N175" s="30" t="s">
        <v>7</v>
      </c>
      <c r="O175" s="19">
        <f>IF(N175="5",I175,0)</f>
        <v>0</v>
      </c>
      <c r="Z175" s="19">
        <f>IF(AD175=0,J175,0)</f>
        <v>0</v>
      </c>
      <c r="AA175" s="19">
        <f>IF(AD175=15,J175,0)</f>
        <v>0</v>
      </c>
      <c r="AB175" s="19">
        <f>IF(AD175=21,J175,0)</f>
        <v>0</v>
      </c>
      <c r="AD175" s="34">
        <v>21</v>
      </c>
      <c r="AE175" s="34">
        <f>G175*0</f>
        <v>0</v>
      </c>
      <c r="AF175" s="34">
        <f>G175*(1-0)</f>
        <v>0</v>
      </c>
      <c r="AM175" s="34">
        <f>F175*AE175</f>
        <v>0</v>
      </c>
      <c r="AN175" s="34">
        <f>F175*AF175</f>
        <v>0</v>
      </c>
      <c r="AO175" s="35" t="s">
        <v>500</v>
      </c>
      <c r="AP175" s="35" t="s">
        <v>514</v>
      </c>
      <c r="AQ175" s="27" t="s">
        <v>516</v>
      </c>
    </row>
    <row r="176" spans="3:13" ht="12.75">
      <c r="C176" s="14" t="s">
        <v>116</v>
      </c>
      <c r="D176" s="88" t="s">
        <v>392</v>
      </c>
      <c r="E176" s="89"/>
      <c r="F176" s="89"/>
      <c r="G176" s="89"/>
      <c r="H176" s="89"/>
      <c r="I176" s="89"/>
      <c r="J176" s="89"/>
      <c r="K176" s="89"/>
      <c r="L176" s="89"/>
      <c r="M176" s="89"/>
    </row>
    <row r="177" spans="1:43" ht="12.75">
      <c r="A177" s="4" t="s">
        <v>91</v>
      </c>
      <c r="B177" s="4"/>
      <c r="C177" s="4" t="s">
        <v>211</v>
      </c>
      <c r="D177" s="4" t="s">
        <v>394</v>
      </c>
      <c r="E177" s="4" t="s">
        <v>442</v>
      </c>
      <c r="F177" s="19">
        <v>8</v>
      </c>
      <c r="G177" s="19">
        <v>0</v>
      </c>
      <c r="H177" s="19">
        <f>F177*AE177</f>
        <v>0</v>
      </c>
      <c r="I177" s="19">
        <f>J177-H177</f>
        <v>0</v>
      </c>
      <c r="J177" s="19">
        <f>F177*G177</f>
        <v>0</v>
      </c>
      <c r="K177" s="19">
        <v>0</v>
      </c>
      <c r="L177" s="19">
        <f>F177*K177</f>
        <v>0</v>
      </c>
      <c r="M177" s="30" t="s">
        <v>463</v>
      </c>
      <c r="N177" s="30" t="s">
        <v>7</v>
      </c>
      <c r="O177" s="19">
        <f>IF(N177="5",I177,0)</f>
        <v>0</v>
      </c>
      <c r="Z177" s="19">
        <f>IF(AD177=0,J177,0)</f>
        <v>0</v>
      </c>
      <c r="AA177" s="19">
        <f>IF(AD177=15,J177,0)</f>
        <v>0</v>
      </c>
      <c r="AB177" s="19">
        <f>IF(AD177=21,J177,0)</f>
        <v>0</v>
      </c>
      <c r="AD177" s="34">
        <v>21</v>
      </c>
      <c r="AE177" s="34">
        <f>G177*0</f>
        <v>0</v>
      </c>
      <c r="AF177" s="34">
        <f>G177*(1-0)</f>
        <v>0</v>
      </c>
      <c r="AM177" s="34">
        <f>F177*AE177</f>
        <v>0</v>
      </c>
      <c r="AN177" s="34">
        <f>F177*AF177</f>
        <v>0</v>
      </c>
      <c r="AO177" s="35" t="s">
        <v>500</v>
      </c>
      <c r="AP177" s="35" t="s">
        <v>514</v>
      </c>
      <c r="AQ177" s="27" t="s">
        <v>516</v>
      </c>
    </row>
    <row r="178" spans="3:13" ht="12.75">
      <c r="C178" s="14" t="s">
        <v>116</v>
      </c>
      <c r="D178" s="88" t="s">
        <v>392</v>
      </c>
      <c r="E178" s="89"/>
      <c r="F178" s="89"/>
      <c r="G178" s="89"/>
      <c r="H178" s="89"/>
      <c r="I178" s="89"/>
      <c r="J178" s="89"/>
      <c r="K178" s="89"/>
      <c r="L178" s="89"/>
      <c r="M178" s="89"/>
    </row>
    <row r="179" spans="1:37" ht="12.75">
      <c r="A179" s="5"/>
      <c r="B179" s="13"/>
      <c r="C179" s="13" t="s">
        <v>212</v>
      </c>
      <c r="D179" s="90" t="s">
        <v>395</v>
      </c>
      <c r="E179" s="91"/>
      <c r="F179" s="91"/>
      <c r="G179" s="91"/>
      <c r="H179" s="37">
        <f>SUM(H180:H180)</f>
        <v>0</v>
      </c>
      <c r="I179" s="37">
        <f>SUM(I180:I180)</f>
        <v>0</v>
      </c>
      <c r="J179" s="37">
        <f>H179+I179</f>
        <v>0</v>
      </c>
      <c r="K179" s="27"/>
      <c r="L179" s="37">
        <f>SUM(L180:L180)</f>
        <v>0</v>
      </c>
      <c r="M179" s="27"/>
      <c r="P179" s="37">
        <f>IF(Q179="PR",J179,SUM(O180:O180))</f>
        <v>0</v>
      </c>
      <c r="Q179" s="27" t="s">
        <v>467</v>
      </c>
      <c r="R179" s="37">
        <f>IF(Q179="HS",H179,0)</f>
        <v>0</v>
      </c>
      <c r="S179" s="37">
        <f>IF(Q179="HS",I179-P179,0)</f>
        <v>0</v>
      </c>
      <c r="T179" s="37">
        <f>IF(Q179="PS",H179,0)</f>
        <v>0</v>
      </c>
      <c r="U179" s="37">
        <f>IF(Q179="PS",I179-P179,0)</f>
        <v>0</v>
      </c>
      <c r="V179" s="37">
        <f>IF(Q179="MP",H179,0)</f>
        <v>0</v>
      </c>
      <c r="W179" s="37">
        <f>IF(Q179="MP",I179-P179,0)</f>
        <v>0</v>
      </c>
      <c r="X179" s="37">
        <f>IF(Q179="OM",H179,0)</f>
        <v>0</v>
      </c>
      <c r="Y179" s="27"/>
      <c r="AI179" s="37">
        <f>SUM(Z180:Z180)</f>
        <v>0</v>
      </c>
      <c r="AJ179" s="37">
        <f>SUM(AA180:AA180)</f>
        <v>0</v>
      </c>
      <c r="AK179" s="37">
        <f>SUM(AB180:AB180)</f>
        <v>0</v>
      </c>
    </row>
    <row r="180" spans="1:43" ht="12.75">
      <c r="A180" s="4" t="s">
        <v>92</v>
      </c>
      <c r="B180" s="4"/>
      <c r="C180" s="4" t="s">
        <v>213</v>
      </c>
      <c r="D180" s="4" t="s">
        <v>396</v>
      </c>
      <c r="E180" s="4" t="s">
        <v>445</v>
      </c>
      <c r="F180" s="19">
        <v>53.75962</v>
      </c>
      <c r="G180" s="19">
        <v>0</v>
      </c>
      <c r="H180" s="19">
        <f>F180*AE180</f>
        <v>0</v>
      </c>
      <c r="I180" s="19">
        <f>J180-H180</f>
        <v>0</v>
      </c>
      <c r="J180" s="19">
        <f>F180*G180</f>
        <v>0</v>
      </c>
      <c r="K180" s="19">
        <v>0</v>
      </c>
      <c r="L180" s="19">
        <f>F180*K180</f>
        <v>0</v>
      </c>
      <c r="M180" s="30" t="s">
        <v>463</v>
      </c>
      <c r="N180" s="30" t="s">
        <v>11</v>
      </c>
      <c r="O180" s="19">
        <f>IF(N180="5",I180,0)</f>
        <v>0</v>
      </c>
      <c r="Z180" s="19">
        <f>IF(AD180=0,J180,0)</f>
        <v>0</v>
      </c>
      <c r="AA180" s="19">
        <f>IF(AD180=15,J180,0)</f>
        <v>0</v>
      </c>
      <c r="AB180" s="19">
        <f>IF(AD180=21,J180,0)</f>
        <v>0</v>
      </c>
      <c r="AD180" s="34">
        <v>21</v>
      </c>
      <c r="AE180" s="34">
        <f>G180*0</f>
        <v>0</v>
      </c>
      <c r="AF180" s="34">
        <f>G180*(1-0)</f>
        <v>0</v>
      </c>
      <c r="AM180" s="34">
        <f>F180*AE180</f>
        <v>0</v>
      </c>
      <c r="AN180" s="34">
        <f>F180*AF180</f>
        <v>0</v>
      </c>
      <c r="AO180" s="35" t="s">
        <v>501</v>
      </c>
      <c r="AP180" s="35" t="s">
        <v>514</v>
      </c>
      <c r="AQ180" s="27" t="s">
        <v>516</v>
      </c>
    </row>
    <row r="181" spans="3:13" ht="38.25" customHeight="1">
      <c r="C181" s="14" t="s">
        <v>116</v>
      </c>
      <c r="D181" s="88" t="s">
        <v>397</v>
      </c>
      <c r="E181" s="89"/>
      <c r="F181" s="89"/>
      <c r="G181" s="89"/>
      <c r="H181" s="89"/>
      <c r="I181" s="89"/>
      <c r="J181" s="89"/>
      <c r="K181" s="89"/>
      <c r="L181" s="89"/>
      <c r="M181" s="89"/>
    </row>
    <row r="182" spans="1:37" ht="12.75">
      <c r="A182" s="5"/>
      <c r="B182" s="13"/>
      <c r="C182" s="13" t="s">
        <v>214</v>
      </c>
      <c r="D182" s="90" t="s">
        <v>398</v>
      </c>
      <c r="E182" s="91"/>
      <c r="F182" s="91"/>
      <c r="G182" s="91"/>
      <c r="H182" s="37">
        <f>SUM(H183:H188)</f>
        <v>0</v>
      </c>
      <c r="I182" s="37">
        <f>SUM(I183:I188)</f>
        <v>0</v>
      </c>
      <c r="J182" s="37">
        <f>H182+I182</f>
        <v>0</v>
      </c>
      <c r="K182" s="27"/>
      <c r="L182" s="37">
        <f>SUM(L183:L188)</f>
        <v>0.005</v>
      </c>
      <c r="M182" s="27"/>
      <c r="P182" s="37">
        <f>IF(Q182="PR",J182,SUM(O183:O188))</f>
        <v>0</v>
      </c>
      <c r="Q182" s="27" t="s">
        <v>469</v>
      </c>
      <c r="R182" s="37">
        <f>IF(Q182="HS",H182,0)</f>
        <v>0</v>
      </c>
      <c r="S182" s="37">
        <f>IF(Q182="HS",I182-P182,0)</f>
        <v>0</v>
      </c>
      <c r="T182" s="37">
        <f>IF(Q182="PS",H182,0)</f>
        <v>0</v>
      </c>
      <c r="U182" s="37">
        <f>IF(Q182="PS",I182-P182,0)</f>
        <v>0</v>
      </c>
      <c r="V182" s="37">
        <f>IF(Q182="MP",H182,0)</f>
        <v>0</v>
      </c>
      <c r="W182" s="37">
        <f>IF(Q182="MP",I182-P182,0)</f>
        <v>0</v>
      </c>
      <c r="X182" s="37">
        <f>IF(Q182="OM",H182,0)</f>
        <v>0</v>
      </c>
      <c r="Y182" s="27"/>
      <c r="AI182" s="37">
        <f>SUM(Z183:Z188)</f>
        <v>0</v>
      </c>
      <c r="AJ182" s="37">
        <f>SUM(AA183:AA188)</f>
        <v>0</v>
      </c>
      <c r="AK182" s="37">
        <f>SUM(AB183:AB188)</f>
        <v>0</v>
      </c>
    </row>
    <row r="183" spans="1:43" ht="12.75">
      <c r="A183" s="4" t="s">
        <v>93</v>
      </c>
      <c r="B183" s="4"/>
      <c r="C183" s="4" t="s">
        <v>215</v>
      </c>
      <c r="D183" s="4" t="s">
        <v>399</v>
      </c>
      <c r="E183" s="4" t="s">
        <v>442</v>
      </c>
      <c r="F183" s="19">
        <v>1</v>
      </c>
      <c r="G183" s="19">
        <v>0</v>
      </c>
      <c r="H183" s="19">
        <f>F183*AE183</f>
        <v>0</v>
      </c>
      <c r="I183" s="19">
        <f>J183-H183</f>
        <v>0</v>
      </c>
      <c r="J183" s="19">
        <f>F183*G183</f>
        <v>0</v>
      </c>
      <c r="K183" s="19">
        <v>0</v>
      </c>
      <c r="L183" s="19">
        <f>F183*K183</f>
        <v>0</v>
      </c>
      <c r="M183" s="30" t="s">
        <v>463</v>
      </c>
      <c r="N183" s="30" t="s">
        <v>7</v>
      </c>
      <c r="O183" s="19">
        <f>IF(N183="5",I183,0)</f>
        <v>0</v>
      </c>
      <c r="Z183" s="19">
        <f>IF(AD183=0,J183,0)</f>
        <v>0</v>
      </c>
      <c r="AA183" s="19">
        <f>IF(AD183=15,J183,0)</f>
        <v>0</v>
      </c>
      <c r="AB183" s="19">
        <f>IF(AD183=21,J183,0)</f>
        <v>0</v>
      </c>
      <c r="AD183" s="34">
        <v>21</v>
      </c>
      <c r="AE183" s="34">
        <f>G183*0</f>
        <v>0</v>
      </c>
      <c r="AF183" s="34">
        <f>G183*(1-0)</f>
        <v>0</v>
      </c>
      <c r="AM183" s="34">
        <f>F183*AE183</f>
        <v>0</v>
      </c>
      <c r="AN183" s="34">
        <f>F183*AF183</f>
        <v>0</v>
      </c>
      <c r="AO183" s="35" t="s">
        <v>502</v>
      </c>
      <c r="AP183" s="35" t="s">
        <v>514</v>
      </c>
      <c r="AQ183" s="27" t="s">
        <v>516</v>
      </c>
    </row>
    <row r="184" spans="3:13" ht="25.5" customHeight="1">
      <c r="C184" s="14" t="s">
        <v>116</v>
      </c>
      <c r="D184" s="88" t="s">
        <v>400</v>
      </c>
      <c r="E184" s="89"/>
      <c r="F184" s="89"/>
      <c r="G184" s="89"/>
      <c r="H184" s="89"/>
      <c r="I184" s="89"/>
      <c r="J184" s="89"/>
      <c r="K184" s="89"/>
      <c r="L184" s="89"/>
      <c r="M184" s="89"/>
    </row>
    <row r="185" spans="1:43" ht="12.75">
      <c r="A185" s="6" t="s">
        <v>94</v>
      </c>
      <c r="B185" s="6"/>
      <c r="C185" s="6" t="s">
        <v>216</v>
      </c>
      <c r="D185" s="6" t="s">
        <v>401</v>
      </c>
      <c r="E185" s="6" t="s">
        <v>442</v>
      </c>
      <c r="F185" s="20">
        <v>25</v>
      </c>
      <c r="G185" s="20">
        <v>0</v>
      </c>
      <c r="H185" s="20">
        <f>F185*AE185</f>
        <v>0</v>
      </c>
      <c r="I185" s="20">
        <f>J185-H185</f>
        <v>0</v>
      </c>
      <c r="J185" s="20">
        <f>F185*G185</f>
        <v>0</v>
      </c>
      <c r="K185" s="20">
        <v>0.0002</v>
      </c>
      <c r="L185" s="20">
        <f>F185*K185</f>
        <v>0.005</v>
      </c>
      <c r="M185" s="31" t="s">
        <v>463</v>
      </c>
      <c r="N185" s="31" t="s">
        <v>464</v>
      </c>
      <c r="O185" s="20">
        <f>IF(N185="5",I185,0)</f>
        <v>0</v>
      </c>
      <c r="Z185" s="20">
        <f>IF(AD185=0,J185,0)</f>
        <v>0</v>
      </c>
      <c r="AA185" s="20">
        <f>IF(AD185=15,J185,0)</f>
        <v>0</v>
      </c>
      <c r="AB185" s="20">
        <f>IF(AD185=21,J185,0)</f>
        <v>0</v>
      </c>
      <c r="AD185" s="34">
        <v>21</v>
      </c>
      <c r="AE185" s="34">
        <f>G185*1</f>
        <v>0</v>
      </c>
      <c r="AF185" s="34">
        <f>G185*(1-1)</f>
        <v>0</v>
      </c>
      <c r="AM185" s="34">
        <f>F185*AE185</f>
        <v>0</v>
      </c>
      <c r="AN185" s="34">
        <f>F185*AF185</f>
        <v>0</v>
      </c>
      <c r="AO185" s="35" t="s">
        <v>502</v>
      </c>
      <c r="AP185" s="35" t="s">
        <v>514</v>
      </c>
      <c r="AQ185" s="27" t="s">
        <v>516</v>
      </c>
    </row>
    <row r="186" spans="3:13" ht="12.75">
      <c r="C186" s="14" t="s">
        <v>116</v>
      </c>
      <c r="D186" s="88" t="s">
        <v>402</v>
      </c>
      <c r="E186" s="89"/>
      <c r="F186" s="89"/>
      <c r="G186" s="89"/>
      <c r="H186" s="89"/>
      <c r="I186" s="89"/>
      <c r="J186" s="89"/>
      <c r="K186" s="89"/>
      <c r="L186" s="89"/>
      <c r="M186" s="89"/>
    </row>
    <row r="187" spans="1:43" ht="12.75">
      <c r="A187" s="4" t="s">
        <v>95</v>
      </c>
      <c r="B187" s="4"/>
      <c r="C187" s="4" t="s">
        <v>217</v>
      </c>
      <c r="D187" s="4" t="s">
        <v>403</v>
      </c>
      <c r="E187" s="4" t="s">
        <v>442</v>
      </c>
      <c r="F187" s="19">
        <v>2</v>
      </c>
      <c r="G187" s="19">
        <v>0</v>
      </c>
      <c r="H187" s="19">
        <f>F187*AE187</f>
        <v>0</v>
      </c>
      <c r="I187" s="19">
        <f>J187-H187</f>
        <v>0</v>
      </c>
      <c r="J187" s="19">
        <f>F187*G187</f>
        <v>0</v>
      </c>
      <c r="K187" s="19">
        <v>0</v>
      </c>
      <c r="L187" s="19">
        <f>F187*K187</f>
        <v>0</v>
      </c>
      <c r="M187" s="30" t="s">
        <v>463</v>
      </c>
      <c r="N187" s="30" t="s">
        <v>8</v>
      </c>
      <c r="O187" s="19">
        <f>IF(N187="5",I187,0)</f>
        <v>0</v>
      </c>
      <c r="Z187" s="19">
        <f>IF(AD187=0,J187,0)</f>
        <v>0</v>
      </c>
      <c r="AA187" s="19">
        <f>IF(AD187=15,J187,0)</f>
        <v>0</v>
      </c>
      <c r="AB187" s="19">
        <f>IF(AD187=21,J187,0)</f>
        <v>0</v>
      </c>
      <c r="AD187" s="34">
        <v>21</v>
      </c>
      <c r="AE187" s="34">
        <f>G187*0</f>
        <v>0</v>
      </c>
      <c r="AF187" s="34">
        <f>G187*(1-0)</f>
        <v>0</v>
      </c>
      <c r="AM187" s="34">
        <f>F187*AE187</f>
        <v>0</v>
      </c>
      <c r="AN187" s="34">
        <f>F187*AF187</f>
        <v>0</v>
      </c>
      <c r="AO187" s="35" t="s">
        <v>502</v>
      </c>
      <c r="AP187" s="35" t="s">
        <v>514</v>
      </c>
      <c r="AQ187" s="27" t="s">
        <v>516</v>
      </c>
    </row>
    <row r="188" spans="1:43" ht="12.75">
      <c r="A188" s="4" t="s">
        <v>96</v>
      </c>
      <c r="B188" s="4"/>
      <c r="C188" s="4" t="s">
        <v>218</v>
      </c>
      <c r="D188" s="4" t="s">
        <v>404</v>
      </c>
      <c r="E188" s="4" t="s">
        <v>442</v>
      </c>
      <c r="F188" s="19">
        <v>1</v>
      </c>
      <c r="G188" s="19">
        <v>0</v>
      </c>
      <c r="H188" s="19">
        <f>F188*AE188</f>
        <v>0</v>
      </c>
      <c r="I188" s="19">
        <f>J188-H188</f>
        <v>0</v>
      </c>
      <c r="J188" s="19">
        <f>F188*G188</f>
        <v>0</v>
      </c>
      <c r="K188" s="19">
        <v>0</v>
      </c>
      <c r="L188" s="19">
        <f>F188*K188</f>
        <v>0</v>
      </c>
      <c r="M188" s="30" t="s">
        <v>463</v>
      </c>
      <c r="N188" s="30" t="s">
        <v>8</v>
      </c>
      <c r="O188" s="19">
        <f>IF(N188="5",I188,0)</f>
        <v>0</v>
      </c>
      <c r="Z188" s="19">
        <f>IF(AD188=0,J188,0)</f>
        <v>0</v>
      </c>
      <c r="AA188" s="19">
        <f>IF(AD188=15,J188,0)</f>
        <v>0</v>
      </c>
      <c r="AB188" s="19">
        <f>IF(AD188=21,J188,0)</f>
        <v>0</v>
      </c>
      <c r="AD188" s="34">
        <v>21</v>
      </c>
      <c r="AE188" s="34">
        <f>G188*0</f>
        <v>0</v>
      </c>
      <c r="AF188" s="34">
        <f>G188*(1-0)</f>
        <v>0</v>
      </c>
      <c r="AM188" s="34">
        <f>F188*AE188</f>
        <v>0</v>
      </c>
      <c r="AN188" s="34">
        <f>F188*AF188</f>
        <v>0</v>
      </c>
      <c r="AO188" s="35" t="s">
        <v>502</v>
      </c>
      <c r="AP188" s="35" t="s">
        <v>514</v>
      </c>
      <c r="AQ188" s="27" t="s">
        <v>516</v>
      </c>
    </row>
    <row r="189" spans="1:37" ht="12.75">
      <c r="A189" s="5"/>
      <c r="B189" s="13"/>
      <c r="C189" s="13" t="s">
        <v>219</v>
      </c>
      <c r="D189" s="90" t="s">
        <v>405</v>
      </c>
      <c r="E189" s="91"/>
      <c r="F189" s="91"/>
      <c r="G189" s="91"/>
      <c r="H189" s="37">
        <f>SUM(H190:H195)</f>
        <v>0</v>
      </c>
      <c r="I189" s="37">
        <f>SUM(I190:I195)</f>
        <v>0</v>
      </c>
      <c r="J189" s="37">
        <f>H189+I189</f>
        <v>0</v>
      </c>
      <c r="K189" s="27"/>
      <c r="L189" s="37">
        <f>SUM(L190:L195)</f>
        <v>0</v>
      </c>
      <c r="M189" s="27"/>
      <c r="P189" s="37">
        <f>IF(Q189="PR",J189,SUM(O190:O195))</f>
        <v>0</v>
      </c>
      <c r="Q189" s="27" t="s">
        <v>467</v>
      </c>
      <c r="R189" s="37">
        <f>IF(Q189="HS",H189,0)</f>
        <v>0</v>
      </c>
      <c r="S189" s="37">
        <f>IF(Q189="HS",I189-P189,0)</f>
        <v>0</v>
      </c>
      <c r="T189" s="37">
        <f>IF(Q189="PS",H189,0)</f>
        <v>0</v>
      </c>
      <c r="U189" s="37">
        <f>IF(Q189="PS",I189-P189,0)</f>
        <v>0</v>
      </c>
      <c r="V189" s="37">
        <f>IF(Q189="MP",H189,0)</f>
        <v>0</v>
      </c>
      <c r="W189" s="37">
        <f>IF(Q189="MP",I189-P189,0)</f>
        <v>0</v>
      </c>
      <c r="X189" s="37">
        <f>IF(Q189="OM",H189,0)</f>
        <v>0</v>
      </c>
      <c r="Y189" s="27"/>
      <c r="AI189" s="37">
        <f>SUM(Z190:Z195)</f>
        <v>0</v>
      </c>
      <c r="AJ189" s="37">
        <f>SUM(AA190:AA195)</f>
        <v>0</v>
      </c>
      <c r="AK189" s="37">
        <f>SUM(AB190:AB195)</f>
        <v>0</v>
      </c>
    </row>
    <row r="190" spans="1:43" ht="12.75">
      <c r="A190" s="4" t="s">
        <v>97</v>
      </c>
      <c r="B190" s="4"/>
      <c r="C190" s="4" t="s">
        <v>220</v>
      </c>
      <c r="D190" s="4" t="s">
        <v>406</v>
      </c>
      <c r="E190" s="4" t="s">
        <v>445</v>
      </c>
      <c r="F190" s="19">
        <v>10.42489</v>
      </c>
      <c r="G190" s="19">
        <v>0</v>
      </c>
      <c r="H190" s="19">
        <f>F190*AE190</f>
        <v>0</v>
      </c>
      <c r="I190" s="19">
        <f>J190-H190</f>
        <v>0</v>
      </c>
      <c r="J190" s="19">
        <f>F190*G190</f>
        <v>0</v>
      </c>
      <c r="K190" s="19">
        <v>0</v>
      </c>
      <c r="L190" s="19">
        <f>F190*K190</f>
        <v>0</v>
      </c>
      <c r="M190" s="30" t="s">
        <v>463</v>
      </c>
      <c r="N190" s="30" t="s">
        <v>11</v>
      </c>
      <c r="O190" s="19">
        <f>IF(N190="5",I190,0)</f>
        <v>0</v>
      </c>
      <c r="Z190" s="19">
        <f>IF(AD190=0,J190,0)</f>
        <v>0</v>
      </c>
      <c r="AA190" s="19">
        <f>IF(AD190=15,J190,0)</f>
        <v>0</v>
      </c>
      <c r="AB190" s="19">
        <f>IF(AD190=21,J190,0)</f>
        <v>0</v>
      </c>
      <c r="AD190" s="34">
        <v>21</v>
      </c>
      <c r="AE190" s="34">
        <f>G190*0</f>
        <v>0</v>
      </c>
      <c r="AF190" s="34">
        <f>G190*(1-0)</f>
        <v>0</v>
      </c>
      <c r="AM190" s="34">
        <f>F190*AE190</f>
        <v>0</v>
      </c>
      <c r="AN190" s="34">
        <f>F190*AF190</f>
        <v>0</v>
      </c>
      <c r="AO190" s="35" t="s">
        <v>503</v>
      </c>
      <c r="AP190" s="35" t="s">
        <v>514</v>
      </c>
      <c r="AQ190" s="27" t="s">
        <v>516</v>
      </c>
    </row>
    <row r="191" spans="3:13" ht="12.75">
      <c r="C191" s="14" t="s">
        <v>116</v>
      </c>
      <c r="D191" s="88" t="s">
        <v>407</v>
      </c>
      <c r="E191" s="89"/>
      <c r="F191" s="89"/>
      <c r="G191" s="89"/>
      <c r="H191" s="89"/>
      <c r="I191" s="89"/>
      <c r="J191" s="89"/>
      <c r="K191" s="89"/>
      <c r="L191" s="89"/>
      <c r="M191" s="89"/>
    </row>
    <row r="192" spans="1:43" ht="12.75">
      <c r="A192" s="4" t="s">
        <v>98</v>
      </c>
      <c r="B192" s="4"/>
      <c r="C192" s="4" t="s">
        <v>221</v>
      </c>
      <c r="D192" s="4" t="s">
        <v>408</v>
      </c>
      <c r="E192" s="4" t="s">
        <v>445</v>
      </c>
      <c r="F192" s="19">
        <v>10.42489</v>
      </c>
      <c r="G192" s="19">
        <v>0</v>
      </c>
      <c r="H192" s="19">
        <f>F192*AE192</f>
        <v>0</v>
      </c>
      <c r="I192" s="19">
        <f>J192-H192</f>
        <v>0</v>
      </c>
      <c r="J192" s="19">
        <f>F192*G192</f>
        <v>0</v>
      </c>
      <c r="K192" s="19">
        <v>0</v>
      </c>
      <c r="L192" s="19">
        <f>F192*K192</f>
        <v>0</v>
      </c>
      <c r="M192" s="30" t="s">
        <v>463</v>
      </c>
      <c r="N192" s="30" t="s">
        <v>11</v>
      </c>
      <c r="O192" s="19">
        <f>IF(N192="5",I192,0)</f>
        <v>0</v>
      </c>
      <c r="Z192" s="19">
        <f>IF(AD192=0,J192,0)</f>
        <v>0</v>
      </c>
      <c r="AA192" s="19">
        <f>IF(AD192=15,J192,0)</f>
        <v>0</v>
      </c>
      <c r="AB192" s="19">
        <f>IF(AD192=21,J192,0)</f>
        <v>0</v>
      </c>
      <c r="AD192" s="34">
        <v>21</v>
      </c>
      <c r="AE192" s="34">
        <f>G192*0</f>
        <v>0</v>
      </c>
      <c r="AF192" s="34">
        <f>G192*(1-0)</f>
        <v>0</v>
      </c>
      <c r="AM192" s="34">
        <f>F192*AE192</f>
        <v>0</v>
      </c>
      <c r="AN192" s="34">
        <f>F192*AF192</f>
        <v>0</v>
      </c>
      <c r="AO192" s="35" t="s">
        <v>503</v>
      </c>
      <c r="AP192" s="35" t="s">
        <v>514</v>
      </c>
      <c r="AQ192" s="27" t="s">
        <v>516</v>
      </c>
    </row>
    <row r="193" spans="1:43" ht="12.75">
      <c r="A193" s="4" t="s">
        <v>99</v>
      </c>
      <c r="B193" s="4"/>
      <c r="C193" s="4" t="s">
        <v>222</v>
      </c>
      <c r="D193" s="4" t="s">
        <v>409</v>
      </c>
      <c r="E193" s="4" t="s">
        <v>445</v>
      </c>
      <c r="F193" s="19">
        <v>416.9956</v>
      </c>
      <c r="G193" s="19">
        <v>0</v>
      </c>
      <c r="H193" s="19">
        <f>F193*AE193</f>
        <v>0</v>
      </c>
      <c r="I193" s="19">
        <f>J193-H193</f>
        <v>0</v>
      </c>
      <c r="J193" s="19">
        <f>F193*G193</f>
        <v>0</v>
      </c>
      <c r="K193" s="19">
        <v>0</v>
      </c>
      <c r="L193" s="19">
        <f>F193*K193</f>
        <v>0</v>
      </c>
      <c r="M193" s="30" t="s">
        <v>463</v>
      </c>
      <c r="N193" s="30" t="s">
        <v>11</v>
      </c>
      <c r="O193" s="19">
        <f>IF(N193="5",I193,0)</f>
        <v>0</v>
      </c>
      <c r="Z193" s="19">
        <f>IF(AD193=0,J193,0)</f>
        <v>0</v>
      </c>
      <c r="AA193" s="19">
        <f>IF(AD193=15,J193,0)</f>
        <v>0</v>
      </c>
      <c r="AB193" s="19">
        <f>IF(AD193=21,J193,0)</f>
        <v>0</v>
      </c>
      <c r="AD193" s="34">
        <v>21</v>
      </c>
      <c r="AE193" s="34">
        <f>G193*0</f>
        <v>0</v>
      </c>
      <c r="AF193" s="34">
        <f>G193*(1-0)</f>
        <v>0</v>
      </c>
      <c r="AM193" s="34">
        <f>F193*AE193</f>
        <v>0</v>
      </c>
      <c r="AN193" s="34">
        <f>F193*AF193</f>
        <v>0</v>
      </c>
      <c r="AO193" s="35" t="s">
        <v>503</v>
      </c>
      <c r="AP193" s="35" t="s">
        <v>514</v>
      </c>
      <c r="AQ193" s="27" t="s">
        <v>516</v>
      </c>
    </row>
    <row r="194" spans="1:43" ht="12.75">
      <c r="A194" s="4" t="s">
        <v>100</v>
      </c>
      <c r="B194" s="4"/>
      <c r="C194" s="4" t="s">
        <v>223</v>
      </c>
      <c r="D194" s="4" t="s">
        <v>410</v>
      </c>
      <c r="E194" s="4" t="s">
        <v>445</v>
      </c>
      <c r="F194" s="19">
        <v>10.42489</v>
      </c>
      <c r="G194" s="19">
        <v>0</v>
      </c>
      <c r="H194" s="19">
        <f>F194*AE194</f>
        <v>0</v>
      </c>
      <c r="I194" s="19">
        <f>J194-H194</f>
        <v>0</v>
      </c>
      <c r="J194" s="19">
        <f>F194*G194</f>
        <v>0</v>
      </c>
      <c r="K194" s="19">
        <v>0</v>
      </c>
      <c r="L194" s="19">
        <f>F194*K194</f>
        <v>0</v>
      </c>
      <c r="M194" s="30" t="s">
        <v>463</v>
      </c>
      <c r="N194" s="30" t="s">
        <v>11</v>
      </c>
      <c r="O194" s="19">
        <f>IF(N194="5",I194,0)</f>
        <v>0</v>
      </c>
      <c r="Z194" s="19">
        <f>IF(AD194=0,J194,0)</f>
        <v>0</v>
      </c>
      <c r="AA194" s="19">
        <f>IF(AD194=15,J194,0)</f>
        <v>0</v>
      </c>
      <c r="AB194" s="19">
        <f>IF(AD194=21,J194,0)</f>
        <v>0</v>
      </c>
      <c r="AD194" s="34">
        <v>21</v>
      </c>
      <c r="AE194" s="34">
        <f>G194*0</f>
        <v>0</v>
      </c>
      <c r="AF194" s="34">
        <f>G194*(1-0)</f>
        <v>0</v>
      </c>
      <c r="AM194" s="34">
        <f>F194*AE194</f>
        <v>0</v>
      </c>
      <c r="AN194" s="34">
        <f>F194*AF194</f>
        <v>0</v>
      </c>
      <c r="AO194" s="35" t="s">
        <v>503</v>
      </c>
      <c r="AP194" s="35" t="s">
        <v>514</v>
      </c>
      <c r="AQ194" s="27" t="s">
        <v>516</v>
      </c>
    </row>
    <row r="195" spans="1:43" ht="12.75">
      <c r="A195" s="4" t="s">
        <v>101</v>
      </c>
      <c r="B195" s="4"/>
      <c r="C195" s="4" t="s">
        <v>224</v>
      </c>
      <c r="D195" s="4" t="s">
        <v>411</v>
      </c>
      <c r="E195" s="4" t="s">
        <v>445</v>
      </c>
      <c r="F195" s="19">
        <v>10.42489</v>
      </c>
      <c r="G195" s="19">
        <v>0</v>
      </c>
      <c r="H195" s="19">
        <f>F195*AE195</f>
        <v>0</v>
      </c>
      <c r="I195" s="19">
        <f>J195-H195</f>
        <v>0</v>
      </c>
      <c r="J195" s="19">
        <f>F195*G195</f>
        <v>0</v>
      </c>
      <c r="K195" s="19">
        <v>0</v>
      </c>
      <c r="L195" s="19">
        <f>F195*K195</f>
        <v>0</v>
      </c>
      <c r="M195" s="30" t="s">
        <v>463</v>
      </c>
      <c r="N195" s="30" t="s">
        <v>11</v>
      </c>
      <c r="O195" s="19">
        <f>IF(N195="5",I195,0)</f>
        <v>0</v>
      </c>
      <c r="Z195" s="19">
        <f>IF(AD195=0,J195,0)</f>
        <v>0</v>
      </c>
      <c r="AA195" s="19">
        <f>IF(AD195=15,J195,0)</f>
        <v>0</v>
      </c>
      <c r="AB195" s="19">
        <f>IF(AD195=21,J195,0)</f>
        <v>0</v>
      </c>
      <c r="AD195" s="34">
        <v>21</v>
      </c>
      <c r="AE195" s="34">
        <f>G195*0</f>
        <v>0</v>
      </c>
      <c r="AF195" s="34">
        <f>G195*(1-0)</f>
        <v>0</v>
      </c>
      <c r="AM195" s="34">
        <f>F195*AE195</f>
        <v>0</v>
      </c>
      <c r="AN195" s="34">
        <f>F195*AF195</f>
        <v>0</v>
      </c>
      <c r="AO195" s="35" t="s">
        <v>503</v>
      </c>
      <c r="AP195" s="35" t="s">
        <v>514</v>
      </c>
      <c r="AQ195" s="27" t="s">
        <v>516</v>
      </c>
    </row>
    <row r="196" spans="3:13" ht="12.75">
      <c r="C196" s="14" t="s">
        <v>116</v>
      </c>
      <c r="D196" s="88" t="s">
        <v>412</v>
      </c>
      <c r="E196" s="89"/>
      <c r="F196" s="89"/>
      <c r="G196" s="89"/>
      <c r="H196" s="89"/>
      <c r="I196" s="89"/>
      <c r="J196" s="89"/>
      <c r="K196" s="89"/>
      <c r="L196" s="89"/>
      <c r="M196" s="89"/>
    </row>
    <row r="197" spans="1:37" ht="12.75">
      <c r="A197" s="5"/>
      <c r="B197" s="13"/>
      <c r="C197" s="13"/>
      <c r="D197" s="90" t="s">
        <v>413</v>
      </c>
      <c r="E197" s="91"/>
      <c r="F197" s="91"/>
      <c r="G197" s="91"/>
      <c r="H197" s="37">
        <f>SUM(H198:H216)</f>
        <v>0</v>
      </c>
      <c r="I197" s="37">
        <f>SUM(I198:I216)</f>
        <v>0</v>
      </c>
      <c r="J197" s="37">
        <f>H197+I197</f>
        <v>0</v>
      </c>
      <c r="K197" s="27"/>
      <c r="L197" s="37">
        <f>SUM(L198:L216)</f>
        <v>3.223544</v>
      </c>
      <c r="M197" s="27"/>
      <c r="P197" s="37">
        <f>IF(Q197="PR",J197,SUM(O198:O216))</f>
        <v>0</v>
      </c>
      <c r="Q197" s="27" t="s">
        <v>470</v>
      </c>
      <c r="R197" s="37">
        <f>IF(Q197="HS",H197,0)</f>
        <v>0</v>
      </c>
      <c r="S197" s="37">
        <f>IF(Q197="HS",I197-P197,0)</f>
        <v>0</v>
      </c>
      <c r="T197" s="37">
        <f>IF(Q197="PS",H197,0)</f>
        <v>0</v>
      </c>
      <c r="U197" s="37">
        <f>IF(Q197="PS",I197-P197,0)</f>
        <v>0</v>
      </c>
      <c r="V197" s="37">
        <f>IF(Q197="MP",H197,0)</f>
        <v>0</v>
      </c>
      <c r="W197" s="37">
        <f>IF(Q197="MP",I197-P197,0)</f>
        <v>0</v>
      </c>
      <c r="X197" s="37">
        <f>IF(Q197="OM",H197,0)</f>
        <v>0</v>
      </c>
      <c r="Y197" s="27"/>
      <c r="AI197" s="37">
        <f>SUM(Z198:Z216)</f>
        <v>0</v>
      </c>
      <c r="AJ197" s="37">
        <f>SUM(AA198:AA216)</f>
        <v>0</v>
      </c>
      <c r="AK197" s="37">
        <f>SUM(AB198:AB216)</f>
        <v>0</v>
      </c>
    </row>
    <row r="198" spans="1:43" ht="12.75">
      <c r="A198" s="6" t="s">
        <v>102</v>
      </c>
      <c r="B198" s="6"/>
      <c r="C198" s="6" t="s">
        <v>225</v>
      </c>
      <c r="D198" s="6" t="s">
        <v>414</v>
      </c>
      <c r="E198" s="6" t="s">
        <v>441</v>
      </c>
      <c r="F198" s="20">
        <v>73.22</v>
      </c>
      <c r="G198" s="20">
        <v>0</v>
      </c>
      <c r="H198" s="20">
        <f>F198*AE198</f>
        <v>0</v>
      </c>
      <c r="I198" s="20">
        <f>J198-H198</f>
        <v>0</v>
      </c>
      <c r="J198" s="20">
        <f>F198*G198</f>
        <v>0</v>
      </c>
      <c r="K198" s="20">
        <v>0.0003</v>
      </c>
      <c r="L198" s="20">
        <f>F198*K198</f>
        <v>0.021966</v>
      </c>
      <c r="M198" s="31" t="s">
        <v>463</v>
      </c>
      <c r="N198" s="31" t="s">
        <v>464</v>
      </c>
      <c r="O198" s="20">
        <f>IF(N198="5",I198,0)</f>
        <v>0</v>
      </c>
      <c r="Z198" s="20">
        <f>IF(AD198=0,J198,0)</f>
        <v>0</v>
      </c>
      <c r="AA198" s="20">
        <f>IF(AD198=15,J198,0)</f>
        <v>0</v>
      </c>
      <c r="AB198" s="20">
        <f>IF(AD198=21,J198,0)</f>
        <v>0</v>
      </c>
      <c r="AD198" s="34">
        <v>21</v>
      </c>
      <c r="AE198" s="34">
        <f>G198*1</f>
        <v>0</v>
      </c>
      <c r="AF198" s="34">
        <f>G198*(1-1)</f>
        <v>0</v>
      </c>
      <c r="AM198" s="34">
        <f>F198*AE198</f>
        <v>0</v>
      </c>
      <c r="AN198" s="34">
        <f>F198*AF198</f>
        <v>0</v>
      </c>
      <c r="AO198" s="35" t="s">
        <v>504</v>
      </c>
      <c r="AP198" s="35" t="s">
        <v>515</v>
      </c>
      <c r="AQ198" s="27" t="s">
        <v>516</v>
      </c>
    </row>
    <row r="199" spans="3:13" ht="12.75">
      <c r="C199" s="14" t="s">
        <v>116</v>
      </c>
      <c r="D199" s="88" t="s">
        <v>415</v>
      </c>
      <c r="E199" s="89"/>
      <c r="F199" s="89"/>
      <c r="G199" s="89"/>
      <c r="H199" s="89"/>
      <c r="I199" s="89"/>
      <c r="J199" s="89"/>
      <c r="K199" s="89"/>
      <c r="L199" s="89"/>
      <c r="M199" s="89"/>
    </row>
    <row r="200" spans="1:43" ht="12.75">
      <c r="A200" s="6" t="s">
        <v>103</v>
      </c>
      <c r="B200" s="6"/>
      <c r="C200" s="6" t="s">
        <v>226</v>
      </c>
      <c r="D200" s="6" t="s">
        <v>416</v>
      </c>
      <c r="E200" s="6" t="s">
        <v>439</v>
      </c>
      <c r="F200" s="20">
        <v>38.53</v>
      </c>
      <c r="G200" s="20">
        <v>0</v>
      </c>
      <c r="H200" s="20">
        <f>F200*AE200</f>
        <v>0</v>
      </c>
      <c r="I200" s="20">
        <f>J200-H200</f>
        <v>0</v>
      </c>
      <c r="J200" s="20">
        <f>F200*G200</f>
        <v>0</v>
      </c>
      <c r="K200" s="20">
        <v>0.0139</v>
      </c>
      <c r="L200" s="20">
        <f>F200*K200</f>
        <v>0.535567</v>
      </c>
      <c r="M200" s="31" t="s">
        <v>463</v>
      </c>
      <c r="N200" s="31" t="s">
        <v>464</v>
      </c>
      <c r="O200" s="20">
        <f>IF(N200="5",I200,0)</f>
        <v>0</v>
      </c>
      <c r="Z200" s="20">
        <f>IF(AD200=0,J200,0)</f>
        <v>0</v>
      </c>
      <c r="AA200" s="20">
        <f>IF(AD200=15,J200,0)</f>
        <v>0</v>
      </c>
      <c r="AB200" s="20">
        <f>IF(AD200=21,J200,0)</f>
        <v>0</v>
      </c>
      <c r="AD200" s="34">
        <v>21</v>
      </c>
      <c r="AE200" s="34">
        <f>G200*1</f>
        <v>0</v>
      </c>
      <c r="AF200" s="34">
        <f>G200*(1-1)</f>
        <v>0</v>
      </c>
      <c r="AM200" s="34">
        <f>F200*AE200</f>
        <v>0</v>
      </c>
      <c r="AN200" s="34">
        <f>F200*AF200</f>
        <v>0</v>
      </c>
      <c r="AO200" s="35" t="s">
        <v>504</v>
      </c>
      <c r="AP200" s="35" t="s">
        <v>515</v>
      </c>
      <c r="AQ200" s="27" t="s">
        <v>516</v>
      </c>
    </row>
    <row r="201" spans="3:13" ht="12.75">
      <c r="C201" s="14" t="s">
        <v>116</v>
      </c>
      <c r="D201" s="88" t="s">
        <v>417</v>
      </c>
      <c r="E201" s="89"/>
      <c r="F201" s="89"/>
      <c r="G201" s="89"/>
      <c r="H201" s="89"/>
      <c r="I201" s="89"/>
      <c r="J201" s="89"/>
      <c r="K201" s="89"/>
      <c r="L201" s="89"/>
      <c r="M201" s="89"/>
    </row>
    <row r="202" spans="1:43" ht="12.75">
      <c r="A202" s="6" t="s">
        <v>104</v>
      </c>
      <c r="B202" s="6"/>
      <c r="C202" s="6" t="s">
        <v>227</v>
      </c>
      <c r="D202" s="6" t="s">
        <v>418</v>
      </c>
      <c r="E202" s="6" t="s">
        <v>441</v>
      </c>
      <c r="F202" s="20">
        <v>95.7</v>
      </c>
      <c r="G202" s="20">
        <v>0</v>
      </c>
      <c r="H202" s="20">
        <f>F202*AE202</f>
        <v>0</v>
      </c>
      <c r="I202" s="20">
        <f>J202-H202</f>
        <v>0</v>
      </c>
      <c r="J202" s="20">
        <f>F202*G202</f>
        <v>0</v>
      </c>
      <c r="K202" s="20">
        <v>0.00243</v>
      </c>
      <c r="L202" s="20">
        <f>F202*K202</f>
        <v>0.232551</v>
      </c>
      <c r="M202" s="31" t="s">
        <v>463</v>
      </c>
      <c r="N202" s="31" t="s">
        <v>464</v>
      </c>
      <c r="O202" s="20">
        <f>IF(N202="5",I202,0)</f>
        <v>0</v>
      </c>
      <c r="Z202" s="20">
        <f>IF(AD202=0,J202,0)</f>
        <v>0</v>
      </c>
      <c r="AA202" s="20">
        <f>IF(AD202=15,J202,0)</f>
        <v>0</v>
      </c>
      <c r="AB202" s="20">
        <f>IF(AD202=21,J202,0)</f>
        <v>0</v>
      </c>
      <c r="AD202" s="34">
        <v>21</v>
      </c>
      <c r="AE202" s="34">
        <f>G202*1</f>
        <v>0</v>
      </c>
      <c r="AF202" s="34">
        <f>G202*(1-1)</f>
        <v>0</v>
      </c>
      <c r="AM202" s="34">
        <f>F202*AE202</f>
        <v>0</v>
      </c>
      <c r="AN202" s="34">
        <f>F202*AF202</f>
        <v>0</v>
      </c>
      <c r="AO202" s="35" t="s">
        <v>504</v>
      </c>
      <c r="AP202" s="35" t="s">
        <v>515</v>
      </c>
      <c r="AQ202" s="27" t="s">
        <v>516</v>
      </c>
    </row>
    <row r="203" spans="3:13" ht="51" customHeight="1">
      <c r="C203" s="14" t="s">
        <v>116</v>
      </c>
      <c r="D203" s="88" t="s">
        <v>419</v>
      </c>
      <c r="E203" s="89"/>
      <c r="F203" s="89"/>
      <c r="G203" s="89"/>
      <c r="H203" s="89"/>
      <c r="I203" s="89"/>
      <c r="J203" s="89"/>
      <c r="K203" s="89"/>
      <c r="L203" s="89"/>
      <c r="M203" s="89"/>
    </row>
    <row r="204" spans="1:43" ht="12.75">
      <c r="A204" s="6" t="s">
        <v>105</v>
      </c>
      <c r="B204" s="6"/>
      <c r="C204" s="6" t="s">
        <v>228</v>
      </c>
      <c r="D204" s="6" t="s">
        <v>420</v>
      </c>
      <c r="E204" s="6" t="s">
        <v>446</v>
      </c>
      <c r="F204" s="20">
        <v>128</v>
      </c>
      <c r="G204" s="20">
        <v>0</v>
      </c>
      <c r="H204" s="20">
        <f>F204*AE204</f>
        <v>0</v>
      </c>
      <c r="I204" s="20">
        <f>J204-H204</f>
        <v>0</v>
      </c>
      <c r="J204" s="20">
        <f>F204*G204</f>
        <v>0</v>
      </c>
      <c r="K204" s="20">
        <v>2E-05</v>
      </c>
      <c r="L204" s="20">
        <f>F204*K204</f>
        <v>0.00256</v>
      </c>
      <c r="M204" s="31" t="s">
        <v>463</v>
      </c>
      <c r="N204" s="31" t="s">
        <v>464</v>
      </c>
      <c r="O204" s="20">
        <f>IF(N204="5",I204,0)</f>
        <v>0</v>
      </c>
      <c r="Z204" s="20">
        <f>IF(AD204=0,J204,0)</f>
        <v>0</v>
      </c>
      <c r="AA204" s="20">
        <f>IF(AD204=15,J204,0)</f>
        <v>0</v>
      </c>
      <c r="AB204" s="20">
        <f>IF(AD204=21,J204,0)</f>
        <v>0</v>
      </c>
      <c r="AD204" s="34">
        <v>21</v>
      </c>
      <c r="AE204" s="34">
        <f>G204*1</f>
        <v>0</v>
      </c>
      <c r="AF204" s="34">
        <f>G204*(1-1)</f>
        <v>0</v>
      </c>
      <c r="AM204" s="34">
        <f>F204*AE204</f>
        <v>0</v>
      </c>
      <c r="AN204" s="34">
        <f>F204*AF204</f>
        <v>0</v>
      </c>
      <c r="AO204" s="35" t="s">
        <v>504</v>
      </c>
      <c r="AP204" s="35" t="s">
        <v>515</v>
      </c>
      <c r="AQ204" s="27" t="s">
        <v>516</v>
      </c>
    </row>
    <row r="205" spans="3:13" ht="12.75">
      <c r="C205" s="14" t="s">
        <v>116</v>
      </c>
      <c r="D205" s="88" t="s">
        <v>421</v>
      </c>
      <c r="E205" s="89"/>
      <c r="F205" s="89"/>
      <c r="G205" s="89"/>
      <c r="H205" s="89"/>
      <c r="I205" s="89"/>
      <c r="J205" s="89"/>
      <c r="K205" s="89"/>
      <c r="L205" s="89"/>
      <c r="M205" s="89"/>
    </row>
    <row r="206" spans="1:43" ht="12.75">
      <c r="A206" s="6" t="s">
        <v>106</v>
      </c>
      <c r="B206" s="6"/>
      <c r="C206" s="6" t="s">
        <v>229</v>
      </c>
      <c r="D206" s="6" t="s">
        <v>422</v>
      </c>
      <c r="E206" s="6" t="s">
        <v>442</v>
      </c>
      <c r="F206" s="20">
        <v>8</v>
      </c>
      <c r="G206" s="20">
        <v>0</v>
      </c>
      <c r="H206" s="20">
        <f>F206*AE206</f>
        <v>0</v>
      </c>
      <c r="I206" s="20">
        <f>J206-H206</f>
        <v>0</v>
      </c>
      <c r="J206" s="20">
        <f>F206*G206</f>
        <v>0</v>
      </c>
      <c r="K206" s="20">
        <v>0.0018</v>
      </c>
      <c r="L206" s="20">
        <f>F206*K206</f>
        <v>0.0144</v>
      </c>
      <c r="M206" s="31" t="s">
        <v>463</v>
      </c>
      <c r="N206" s="31" t="s">
        <v>464</v>
      </c>
      <c r="O206" s="20">
        <f>IF(N206="5",I206,0)</f>
        <v>0</v>
      </c>
      <c r="Z206" s="20">
        <f>IF(AD206=0,J206,0)</f>
        <v>0</v>
      </c>
      <c r="AA206" s="20">
        <f>IF(AD206=15,J206,0)</f>
        <v>0</v>
      </c>
      <c r="AB206" s="20">
        <f>IF(AD206=21,J206,0)</f>
        <v>0</v>
      </c>
      <c r="AD206" s="34">
        <v>21</v>
      </c>
      <c r="AE206" s="34">
        <f>G206*1</f>
        <v>0</v>
      </c>
      <c r="AF206" s="34">
        <f>G206*(1-1)</f>
        <v>0</v>
      </c>
      <c r="AM206" s="34">
        <f>F206*AE206</f>
        <v>0</v>
      </c>
      <c r="AN206" s="34">
        <f>F206*AF206</f>
        <v>0</v>
      </c>
      <c r="AO206" s="35" t="s">
        <v>504</v>
      </c>
      <c r="AP206" s="35" t="s">
        <v>515</v>
      </c>
      <c r="AQ206" s="27" t="s">
        <v>516</v>
      </c>
    </row>
    <row r="207" spans="3:13" ht="25.5" customHeight="1">
      <c r="C207" s="14" t="s">
        <v>116</v>
      </c>
      <c r="D207" s="88" t="s">
        <v>423</v>
      </c>
      <c r="E207" s="89"/>
      <c r="F207" s="89"/>
      <c r="G207" s="89"/>
      <c r="H207" s="89"/>
      <c r="I207" s="89"/>
      <c r="J207" s="89"/>
      <c r="K207" s="89"/>
      <c r="L207" s="89"/>
      <c r="M207" s="89"/>
    </row>
    <row r="208" spans="1:43" ht="12.75">
      <c r="A208" s="6" t="s">
        <v>107</v>
      </c>
      <c r="B208" s="6"/>
      <c r="C208" s="6" t="s">
        <v>230</v>
      </c>
      <c r="D208" s="6" t="s">
        <v>424</v>
      </c>
      <c r="E208" s="6" t="s">
        <v>447</v>
      </c>
      <c r="F208" s="20">
        <v>15</v>
      </c>
      <c r="G208" s="20">
        <v>0</v>
      </c>
      <c r="H208" s="20">
        <f>F208*AE208</f>
        <v>0</v>
      </c>
      <c r="I208" s="20">
        <f>J208-H208</f>
        <v>0</v>
      </c>
      <c r="J208" s="20">
        <f>F208*G208</f>
        <v>0</v>
      </c>
      <c r="K208" s="20">
        <v>0.008</v>
      </c>
      <c r="L208" s="20">
        <f>F208*K208</f>
        <v>0.12</v>
      </c>
      <c r="M208" s="31" t="s">
        <v>463</v>
      </c>
      <c r="N208" s="31" t="s">
        <v>464</v>
      </c>
      <c r="O208" s="20">
        <f>IF(N208="5",I208,0)</f>
        <v>0</v>
      </c>
      <c r="Z208" s="20">
        <f>IF(AD208=0,J208,0)</f>
        <v>0</v>
      </c>
      <c r="AA208" s="20">
        <f>IF(AD208=15,J208,0)</f>
        <v>0</v>
      </c>
      <c r="AB208" s="20">
        <f>IF(AD208=21,J208,0)</f>
        <v>0</v>
      </c>
      <c r="AD208" s="34">
        <v>21</v>
      </c>
      <c r="AE208" s="34">
        <f>G208*1</f>
        <v>0</v>
      </c>
      <c r="AF208" s="34">
        <f>G208*(1-1)</f>
        <v>0</v>
      </c>
      <c r="AM208" s="34">
        <f>F208*AE208</f>
        <v>0</v>
      </c>
      <c r="AN208" s="34">
        <f>F208*AF208</f>
        <v>0</v>
      </c>
      <c r="AO208" s="35" t="s">
        <v>504</v>
      </c>
      <c r="AP208" s="35" t="s">
        <v>515</v>
      </c>
      <c r="AQ208" s="27" t="s">
        <v>516</v>
      </c>
    </row>
    <row r="209" spans="3:13" ht="12.75">
      <c r="C209" s="14" t="s">
        <v>116</v>
      </c>
      <c r="D209" s="88" t="s">
        <v>425</v>
      </c>
      <c r="E209" s="89"/>
      <c r="F209" s="89"/>
      <c r="G209" s="89"/>
      <c r="H209" s="89"/>
      <c r="I209" s="89"/>
      <c r="J209" s="89"/>
      <c r="K209" s="89"/>
      <c r="L209" s="89"/>
      <c r="M209" s="89"/>
    </row>
    <row r="210" spans="1:43" ht="12.75">
      <c r="A210" s="6" t="s">
        <v>108</v>
      </c>
      <c r="B210" s="6"/>
      <c r="C210" s="6" t="s">
        <v>231</v>
      </c>
      <c r="D210" s="6" t="s">
        <v>426</v>
      </c>
      <c r="E210" s="6" t="s">
        <v>442</v>
      </c>
      <c r="F210" s="20">
        <v>8</v>
      </c>
      <c r="G210" s="20">
        <v>0</v>
      </c>
      <c r="H210" s="20">
        <f>F210*AE210</f>
        <v>0</v>
      </c>
      <c r="I210" s="20">
        <f>J210-H210</f>
        <v>0</v>
      </c>
      <c r="J210" s="20">
        <f>F210*G210</f>
        <v>0</v>
      </c>
      <c r="K210" s="20">
        <v>0.046</v>
      </c>
      <c r="L210" s="20">
        <f>F210*K210</f>
        <v>0.368</v>
      </c>
      <c r="M210" s="31" t="s">
        <v>463</v>
      </c>
      <c r="N210" s="31" t="s">
        <v>464</v>
      </c>
      <c r="O210" s="20">
        <f>IF(N210="5",I210,0)</f>
        <v>0</v>
      </c>
      <c r="Z210" s="20">
        <f>IF(AD210=0,J210,0)</f>
        <v>0</v>
      </c>
      <c r="AA210" s="20">
        <f>IF(AD210=15,J210,0)</f>
        <v>0</v>
      </c>
      <c r="AB210" s="20">
        <f>IF(AD210=21,J210,0)</f>
        <v>0</v>
      </c>
      <c r="AD210" s="34">
        <v>21</v>
      </c>
      <c r="AE210" s="34">
        <f>G210*1</f>
        <v>0</v>
      </c>
      <c r="AF210" s="34">
        <f>G210*(1-1)</f>
        <v>0</v>
      </c>
      <c r="AM210" s="34">
        <f>F210*AE210</f>
        <v>0</v>
      </c>
      <c r="AN210" s="34">
        <f>F210*AF210</f>
        <v>0</v>
      </c>
      <c r="AO210" s="35" t="s">
        <v>504</v>
      </c>
      <c r="AP210" s="35" t="s">
        <v>515</v>
      </c>
      <c r="AQ210" s="27" t="s">
        <v>516</v>
      </c>
    </row>
    <row r="211" spans="3:13" ht="25.5" customHeight="1">
      <c r="C211" s="14" t="s">
        <v>116</v>
      </c>
      <c r="D211" s="88" t="s">
        <v>427</v>
      </c>
      <c r="E211" s="89"/>
      <c r="F211" s="89"/>
      <c r="G211" s="89"/>
      <c r="H211" s="89"/>
      <c r="I211" s="89"/>
      <c r="J211" s="89"/>
      <c r="K211" s="89"/>
      <c r="L211" s="89"/>
      <c r="M211" s="89"/>
    </row>
    <row r="212" spans="1:43" ht="12.75">
      <c r="A212" s="6" t="s">
        <v>109</v>
      </c>
      <c r="B212" s="6"/>
      <c r="C212" s="6" t="s">
        <v>232</v>
      </c>
      <c r="D212" s="6" t="s">
        <v>428</v>
      </c>
      <c r="E212" s="6" t="s">
        <v>442</v>
      </c>
      <c r="F212" s="20">
        <v>41</v>
      </c>
      <c r="G212" s="20">
        <v>0</v>
      </c>
      <c r="H212" s="20">
        <f>F212*AE212</f>
        <v>0</v>
      </c>
      <c r="I212" s="20">
        <f>J212-H212</f>
        <v>0</v>
      </c>
      <c r="J212" s="20">
        <f>F212*G212</f>
        <v>0</v>
      </c>
      <c r="K212" s="20">
        <v>0.0399</v>
      </c>
      <c r="L212" s="20">
        <f>F212*K212</f>
        <v>1.6359</v>
      </c>
      <c r="M212" s="31" t="s">
        <v>463</v>
      </c>
      <c r="N212" s="31" t="s">
        <v>464</v>
      </c>
      <c r="O212" s="20">
        <f>IF(N212="5",I212,0)</f>
        <v>0</v>
      </c>
      <c r="Z212" s="20">
        <f>IF(AD212=0,J212,0)</f>
        <v>0</v>
      </c>
      <c r="AA212" s="20">
        <f>IF(AD212=15,J212,0)</f>
        <v>0</v>
      </c>
      <c r="AB212" s="20">
        <f>IF(AD212=21,J212,0)</f>
        <v>0</v>
      </c>
      <c r="AD212" s="34">
        <v>21</v>
      </c>
      <c r="AE212" s="34">
        <f>G212*1</f>
        <v>0</v>
      </c>
      <c r="AF212" s="34">
        <f>G212*(1-1)</f>
        <v>0</v>
      </c>
      <c r="AM212" s="34">
        <f>F212*AE212</f>
        <v>0</v>
      </c>
      <c r="AN212" s="34">
        <f>F212*AF212</f>
        <v>0</v>
      </c>
      <c r="AO212" s="35" t="s">
        <v>504</v>
      </c>
      <c r="AP212" s="35" t="s">
        <v>515</v>
      </c>
      <c r="AQ212" s="27" t="s">
        <v>516</v>
      </c>
    </row>
    <row r="213" spans="3:13" ht="12.75">
      <c r="C213" s="14" t="s">
        <v>116</v>
      </c>
      <c r="D213" s="88" t="s">
        <v>429</v>
      </c>
      <c r="E213" s="89"/>
      <c r="F213" s="89"/>
      <c r="G213" s="89"/>
      <c r="H213" s="89"/>
      <c r="I213" s="89"/>
      <c r="J213" s="89"/>
      <c r="K213" s="89"/>
      <c r="L213" s="89"/>
      <c r="M213" s="89"/>
    </row>
    <row r="214" spans="1:43" ht="12.75">
      <c r="A214" s="6" t="s">
        <v>110</v>
      </c>
      <c r="B214" s="6"/>
      <c r="C214" s="6" t="s">
        <v>233</v>
      </c>
      <c r="D214" s="6" t="s">
        <v>430</v>
      </c>
      <c r="E214" s="6" t="s">
        <v>442</v>
      </c>
      <c r="F214" s="20">
        <v>8</v>
      </c>
      <c r="G214" s="20">
        <v>0</v>
      </c>
      <c r="H214" s="20">
        <f>F214*AE214</f>
        <v>0</v>
      </c>
      <c r="I214" s="20">
        <f>J214-H214</f>
        <v>0</v>
      </c>
      <c r="J214" s="20">
        <f>F214*G214</f>
        <v>0</v>
      </c>
      <c r="K214" s="20">
        <v>0.0282</v>
      </c>
      <c r="L214" s="20">
        <f>F214*K214</f>
        <v>0.2256</v>
      </c>
      <c r="M214" s="31" t="s">
        <v>463</v>
      </c>
      <c r="N214" s="31" t="s">
        <v>464</v>
      </c>
      <c r="O214" s="20">
        <f>IF(N214="5",I214,0)</f>
        <v>0</v>
      </c>
      <c r="Z214" s="20">
        <f>IF(AD214=0,J214,0)</f>
        <v>0</v>
      </c>
      <c r="AA214" s="20">
        <f>IF(AD214=15,J214,0)</f>
        <v>0</v>
      </c>
      <c r="AB214" s="20">
        <f>IF(AD214=21,J214,0)</f>
        <v>0</v>
      </c>
      <c r="AD214" s="34">
        <v>21</v>
      </c>
      <c r="AE214" s="34">
        <f>G214*1</f>
        <v>0</v>
      </c>
      <c r="AF214" s="34">
        <f>G214*(1-1)</f>
        <v>0</v>
      </c>
      <c r="AM214" s="34">
        <f>F214*AE214</f>
        <v>0</v>
      </c>
      <c r="AN214" s="34">
        <f>F214*AF214</f>
        <v>0</v>
      </c>
      <c r="AO214" s="35" t="s">
        <v>504</v>
      </c>
      <c r="AP214" s="35" t="s">
        <v>515</v>
      </c>
      <c r="AQ214" s="27" t="s">
        <v>516</v>
      </c>
    </row>
    <row r="215" spans="3:13" ht="12.75">
      <c r="C215" s="14" t="s">
        <v>116</v>
      </c>
      <c r="D215" s="88" t="s">
        <v>431</v>
      </c>
      <c r="E215" s="89"/>
      <c r="F215" s="89"/>
      <c r="G215" s="89"/>
      <c r="H215" s="89"/>
      <c r="I215" s="89"/>
      <c r="J215" s="89"/>
      <c r="K215" s="89"/>
      <c r="L215" s="89"/>
      <c r="M215" s="89"/>
    </row>
    <row r="216" spans="1:43" ht="12.75">
      <c r="A216" s="6" t="s">
        <v>111</v>
      </c>
      <c r="B216" s="6"/>
      <c r="C216" s="6" t="s">
        <v>234</v>
      </c>
      <c r="D216" s="6" t="s">
        <v>432</v>
      </c>
      <c r="E216" s="6" t="s">
        <v>447</v>
      </c>
      <c r="F216" s="20">
        <v>1</v>
      </c>
      <c r="G216" s="20">
        <v>0</v>
      </c>
      <c r="H216" s="20">
        <f>F216*AE216</f>
        <v>0</v>
      </c>
      <c r="I216" s="20">
        <f>J216-H216</f>
        <v>0</v>
      </c>
      <c r="J216" s="20">
        <f>F216*G216</f>
        <v>0</v>
      </c>
      <c r="K216" s="20">
        <v>0.067</v>
      </c>
      <c r="L216" s="20">
        <f>F216*K216</f>
        <v>0.067</v>
      </c>
      <c r="M216" s="31" t="s">
        <v>463</v>
      </c>
      <c r="N216" s="31" t="s">
        <v>464</v>
      </c>
      <c r="O216" s="20">
        <f>IF(N216="5",I216,0)</f>
        <v>0</v>
      </c>
      <c r="Z216" s="20">
        <f>IF(AD216=0,J216,0)</f>
        <v>0</v>
      </c>
      <c r="AA216" s="20">
        <f>IF(AD216=15,J216,0)</f>
        <v>0</v>
      </c>
      <c r="AB216" s="20">
        <f>IF(AD216=21,J216,0)</f>
        <v>0</v>
      </c>
      <c r="AD216" s="34">
        <v>21</v>
      </c>
      <c r="AE216" s="34">
        <f>G216*1</f>
        <v>0</v>
      </c>
      <c r="AF216" s="34">
        <f>G216*(1-1)</f>
        <v>0</v>
      </c>
      <c r="AM216" s="34">
        <f>F216*AE216</f>
        <v>0</v>
      </c>
      <c r="AN216" s="34">
        <f>F216*AF216</f>
        <v>0</v>
      </c>
      <c r="AO216" s="35" t="s">
        <v>504</v>
      </c>
      <c r="AP216" s="35" t="s">
        <v>515</v>
      </c>
      <c r="AQ216" s="27" t="s">
        <v>516</v>
      </c>
    </row>
    <row r="217" spans="1:13" ht="25.5" customHeight="1">
      <c r="A217" s="7"/>
      <c r="B217" s="7"/>
      <c r="C217" s="15" t="s">
        <v>116</v>
      </c>
      <c r="D217" s="82" t="s">
        <v>433</v>
      </c>
      <c r="E217" s="83"/>
      <c r="F217" s="83"/>
      <c r="G217" s="83"/>
      <c r="H217" s="83"/>
      <c r="I217" s="83"/>
      <c r="J217" s="83"/>
      <c r="K217" s="83"/>
      <c r="L217" s="83"/>
      <c r="M217" s="83"/>
    </row>
    <row r="218" spans="1:28" ht="12.75">
      <c r="A218" s="8"/>
      <c r="B218" s="8"/>
      <c r="C218" s="8"/>
      <c r="D218" s="8"/>
      <c r="E218" s="8"/>
      <c r="F218" s="8"/>
      <c r="G218" s="8"/>
      <c r="H218" s="84" t="s">
        <v>453</v>
      </c>
      <c r="I218" s="85"/>
      <c r="J218" s="38">
        <f>J12+J15+J18+J21+J25+J27+J31+J44+J47+J60+J68+J72+J74+J78+J81+J100+J112+J119+J134+J138+J151+J161+J164+J179+J182+J189+J197</f>
        <v>0</v>
      </c>
      <c r="K218" s="8"/>
      <c r="L218" s="8"/>
      <c r="M218" s="8"/>
      <c r="Z218" s="39">
        <f>SUM(Z13:Z217)</f>
        <v>0</v>
      </c>
      <c r="AA218" s="39">
        <f>SUM(AA13:AA217)</f>
        <v>0</v>
      </c>
      <c r="AB218" s="39">
        <f>SUM(AB13:AB217)</f>
        <v>0</v>
      </c>
    </row>
    <row r="219" ht="11.25" customHeight="1">
      <c r="A219" s="9" t="s">
        <v>112</v>
      </c>
    </row>
    <row r="220" spans="1:13" ht="409.5" customHeight="1" hidden="1">
      <c r="A220" s="86"/>
      <c r="B220" s="87"/>
      <c r="C220" s="87"/>
      <c r="D220" s="87"/>
      <c r="E220" s="87"/>
      <c r="F220" s="87"/>
      <c r="G220" s="87"/>
      <c r="H220" s="87"/>
      <c r="I220" s="87"/>
      <c r="J220" s="87"/>
      <c r="K220" s="87"/>
      <c r="L220" s="87"/>
      <c r="M220" s="87"/>
    </row>
  </sheetData>
  <sheetProtection/>
  <mergeCells count="130">
    <mergeCell ref="A1:M1"/>
    <mergeCell ref="A2:C3"/>
    <mergeCell ref="D2:D3"/>
    <mergeCell ref="E2:F3"/>
    <mergeCell ref="G2:H3"/>
    <mergeCell ref="I2:I3"/>
    <mergeCell ref="J2:M3"/>
    <mergeCell ref="A4:C5"/>
    <mergeCell ref="D4:D5"/>
    <mergeCell ref="E4:F5"/>
    <mergeCell ref="G4:H5"/>
    <mergeCell ref="I4:I5"/>
    <mergeCell ref="J4:M5"/>
    <mergeCell ref="A6:C7"/>
    <mergeCell ref="D6:D7"/>
    <mergeCell ref="E6:F7"/>
    <mergeCell ref="G6:H7"/>
    <mergeCell ref="I6:I7"/>
    <mergeCell ref="J6:M7"/>
    <mergeCell ref="A8:C9"/>
    <mergeCell ref="D8:D9"/>
    <mergeCell ref="E8:F9"/>
    <mergeCell ref="G8:H9"/>
    <mergeCell ref="I8:I9"/>
    <mergeCell ref="J8:M9"/>
    <mergeCell ref="H10:J10"/>
    <mergeCell ref="K10:L10"/>
    <mergeCell ref="D12:G12"/>
    <mergeCell ref="D14:M14"/>
    <mergeCell ref="D15:G15"/>
    <mergeCell ref="D17:M17"/>
    <mergeCell ref="D18:G18"/>
    <mergeCell ref="D20:M20"/>
    <mergeCell ref="D21:G21"/>
    <mergeCell ref="D24:M24"/>
    <mergeCell ref="D25:G25"/>
    <mergeCell ref="D27:G27"/>
    <mergeCell ref="D30:M30"/>
    <mergeCell ref="D31:G31"/>
    <mergeCell ref="D33:M33"/>
    <mergeCell ref="D35:M35"/>
    <mergeCell ref="D38:M38"/>
    <mergeCell ref="D40:M40"/>
    <mergeCell ref="D42:M42"/>
    <mergeCell ref="D44:G44"/>
    <mergeCell ref="D46:M46"/>
    <mergeCell ref="D47:G47"/>
    <mergeCell ref="D49:M49"/>
    <mergeCell ref="D51:M51"/>
    <mergeCell ref="D53:M53"/>
    <mergeCell ref="D55:M55"/>
    <mergeCell ref="D57:M57"/>
    <mergeCell ref="D59:M59"/>
    <mergeCell ref="D60:G60"/>
    <mergeCell ref="D62:M62"/>
    <mergeCell ref="D64:M64"/>
    <mergeCell ref="D67:M67"/>
    <mergeCell ref="D68:G68"/>
    <mergeCell ref="D71:M71"/>
    <mergeCell ref="D72:G72"/>
    <mergeCell ref="D74:G74"/>
    <mergeCell ref="D77:M77"/>
    <mergeCell ref="D78:G78"/>
    <mergeCell ref="D80:M80"/>
    <mergeCell ref="D81:G81"/>
    <mergeCell ref="D84:M84"/>
    <mergeCell ref="D86:M86"/>
    <mergeCell ref="D88:M88"/>
    <mergeCell ref="D90:M90"/>
    <mergeCell ref="D92:M92"/>
    <mergeCell ref="D94:M94"/>
    <mergeCell ref="D96:M96"/>
    <mergeCell ref="D98:M98"/>
    <mergeCell ref="D100:G100"/>
    <mergeCell ref="D103:M103"/>
    <mergeCell ref="D112:G112"/>
    <mergeCell ref="D119:G119"/>
    <mergeCell ref="D121:M121"/>
    <mergeCell ref="D123:M123"/>
    <mergeCell ref="D125:M125"/>
    <mergeCell ref="D127:M127"/>
    <mergeCell ref="D129:M129"/>
    <mergeCell ref="D131:M131"/>
    <mergeCell ref="D133:M133"/>
    <mergeCell ref="D134:G134"/>
    <mergeCell ref="D137:M137"/>
    <mergeCell ref="D138:G138"/>
    <mergeCell ref="D140:M140"/>
    <mergeCell ref="D141:M141"/>
    <mergeCell ref="D143:M143"/>
    <mergeCell ref="D144:M144"/>
    <mergeCell ref="D146:M146"/>
    <mergeCell ref="D147:M147"/>
    <mergeCell ref="D149:M149"/>
    <mergeCell ref="D150:M150"/>
    <mergeCell ref="D151:G151"/>
    <mergeCell ref="D153:M153"/>
    <mergeCell ref="D155:M155"/>
    <mergeCell ref="D160:M160"/>
    <mergeCell ref="D161:G161"/>
    <mergeCell ref="D163:M163"/>
    <mergeCell ref="D164:G164"/>
    <mergeCell ref="D166:M166"/>
    <mergeCell ref="D168:M168"/>
    <mergeCell ref="D170:M170"/>
    <mergeCell ref="D172:M172"/>
    <mergeCell ref="D174:M174"/>
    <mergeCell ref="D176:M176"/>
    <mergeCell ref="D178:M178"/>
    <mergeCell ref="D179:G179"/>
    <mergeCell ref="D181:M181"/>
    <mergeCell ref="D182:G182"/>
    <mergeCell ref="D184:M184"/>
    <mergeCell ref="D186:M186"/>
    <mergeCell ref="D189:G189"/>
    <mergeCell ref="D191:M191"/>
    <mergeCell ref="D196:M196"/>
    <mergeCell ref="D197:G197"/>
    <mergeCell ref="D199:M199"/>
    <mergeCell ref="D201:M201"/>
    <mergeCell ref="D203:M203"/>
    <mergeCell ref="D217:M217"/>
    <mergeCell ref="H218:I218"/>
    <mergeCell ref="A220:M220"/>
    <mergeCell ref="D205:M205"/>
    <mergeCell ref="D207:M207"/>
    <mergeCell ref="D209:M209"/>
    <mergeCell ref="D211:M211"/>
    <mergeCell ref="D213:M213"/>
    <mergeCell ref="D215:M215"/>
  </mergeCells>
  <printOptions/>
  <pageMargins left="0.394" right="0.394" top="0.591" bottom="0.591" header="0.5" footer="0.5"/>
  <pageSetup fitToHeight="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I39"/>
  <sheetViews>
    <sheetView zoomScalePageLayoutView="0" workbookViewId="0" topLeftCell="A7">
      <selection activeCell="A1" sqref="A1:G1"/>
    </sheetView>
  </sheetViews>
  <sheetFormatPr defaultColWidth="11.57421875" defaultRowHeight="12.75"/>
  <cols>
    <col min="1" max="2" width="16.57421875" style="0" customWidth="1"/>
    <col min="3" max="3" width="41.7109375" style="0" customWidth="1"/>
    <col min="4" max="4" width="22.140625" style="0" customWidth="1"/>
    <col min="5" max="5" width="21.00390625" style="0" customWidth="1"/>
    <col min="6" max="6" width="20.8515625" style="0" customWidth="1"/>
    <col min="7" max="7" width="19.7109375" style="0" customWidth="1"/>
    <col min="8" max="9" width="0" style="0" hidden="1" customWidth="1"/>
  </cols>
  <sheetData>
    <row r="1" spans="1:7" ht="72.75" customHeight="1">
      <c r="A1" s="105" t="s">
        <v>517</v>
      </c>
      <c r="B1" s="106"/>
      <c r="C1" s="106"/>
      <c r="D1" s="106"/>
      <c r="E1" s="106"/>
      <c r="F1" s="106"/>
      <c r="G1" s="106"/>
    </row>
    <row r="2" spans="1:8" ht="12.75">
      <c r="A2" s="107" t="s">
        <v>1</v>
      </c>
      <c r="B2" s="109" t="s">
        <v>235</v>
      </c>
      <c r="C2" s="85"/>
      <c r="D2" s="112" t="s">
        <v>454</v>
      </c>
      <c r="E2" s="112"/>
      <c r="F2" s="108"/>
      <c r="G2" s="113"/>
      <c r="H2" s="32"/>
    </row>
    <row r="3" spans="1:8" ht="12.75">
      <c r="A3" s="104"/>
      <c r="B3" s="110"/>
      <c r="C3" s="110"/>
      <c r="D3" s="87"/>
      <c r="E3" s="87"/>
      <c r="F3" s="87"/>
      <c r="G3" s="102"/>
      <c r="H3" s="32"/>
    </row>
    <row r="4" spans="1:8" ht="12.75">
      <c r="A4" s="97" t="s">
        <v>2</v>
      </c>
      <c r="B4" s="86" t="s">
        <v>236</v>
      </c>
      <c r="C4" s="87"/>
      <c r="D4" s="86" t="s">
        <v>455</v>
      </c>
      <c r="E4" s="86"/>
      <c r="F4" s="87"/>
      <c r="G4" s="102"/>
      <c r="H4" s="32"/>
    </row>
    <row r="5" spans="1:8" ht="12.75">
      <c r="A5" s="104"/>
      <c r="B5" s="87"/>
      <c r="C5" s="87"/>
      <c r="D5" s="87"/>
      <c r="E5" s="87"/>
      <c r="F5" s="87"/>
      <c r="G5" s="102"/>
      <c r="H5" s="32"/>
    </row>
    <row r="6" spans="1:8" ht="12.75">
      <c r="A6" s="97" t="s">
        <v>3</v>
      </c>
      <c r="B6" s="86" t="s">
        <v>237</v>
      </c>
      <c r="C6" s="87"/>
      <c r="D6" s="86" t="s">
        <v>456</v>
      </c>
      <c r="E6" s="86"/>
      <c r="F6" s="87"/>
      <c r="G6" s="102"/>
      <c r="H6" s="32"/>
    </row>
    <row r="7" spans="1:8" ht="12.75">
      <c r="A7" s="104"/>
      <c r="B7" s="87"/>
      <c r="C7" s="87"/>
      <c r="D7" s="87"/>
      <c r="E7" s="87"/>
      <c r="F7" s="87"/>
      <c r="G7" s="102"/>
      <c r="H7" s="32"/>
    </row>
    <row r="8" spans="1:8" ht="12.75">
      <c r="A8" s="97" t="s">
        <v>457</v>
      </c>
      <c r="B8" s="86"/>
      <c r="C8" s="87"/>
      <c r="D8" s="100" t="s">
        <v>437</v>
      </c>
      <c r="E8" s="101">
        <v>42565</v>
      </c>
      <c r="F8" s="87"/>
      <c r="G8" s="102"/>
      <c r="H8" s="32"/>
    </row>
    <row r="9" spans="1:8" ht="12.75">
      <c r="A9" s="98"/>
      <c r="B9" s="99"/>
      <c r="C9" s="99"/>
      <c r="D9" s="99"/>
      <c r="E9" s="99"/>
      <c r="F9" s="99"/>
      <c r="G9" s="103"/>
      <c r="H9" s="32"/>
    </row>
    <row r="10" spans="1:8" ht="12.75">
      <c r="A10" s="40" t="s">
        <v>113</v>
      </c>
      <c r="B10" s="42" t="s">
        <v>114</v>
      </c>
      <c r="C10" s="43" t="s">
        <v>238</v>
      </c>
      <c r="D10" s="44" t="s">
        <v>518</v>
      </c>
      <c r="E10" s="44" t="s">
        <v>519</v>
      </c>
      <c r="F10" s="44" t="s">
        <v>520</v>
      </c>
      <c r="G10" s="47" t="s">
        <v>521</v>
      </c>
      <c r="H10" s="33"/>
    </row>
    <row r="11" spans="1:9" ht="12.75">
      <c r="A11" s="41"/>
      <c r="B11" s="41" t="s">
        <v>17</v>
      </c>
      <c r="C11" s="41" t="s">
        <v>240</v>
      </c>
      <c r="D11" s="45"/>
      <c r="E11" s="45"/>
      <c r="F11" s="48">
        <f aca="true" t="shared" si="0" ref="F11:F37">D11+E11</f>
        <v>0</v>
      </c>
      <c r="G11" s="48">
        <v>5.82995</v>
      </c>
      <c r="H11" s="34" t="s">
        <v>522</v>
      </c>
      <c r="I11" s="34">
        <f aca="true" t="shared" si="1" ref="I11:I37">IF(H11="T",0,F11)</f>
        <v>0</v>
      </c>
    </row>
    <row r="12" spans="1:9" ht="12.75">
      <c r="A12" s="17"/>
      <c r="B12" s="17" t="s">
        <v>18</v>
      </c>
      <c r="C12" s="17" t="s">
        <v>243</v>
      </c>
      <c r="F12" s="34">
        <f t="shared" si="0"/>
        <v>0</v>
      </c>
      <c r="G12" s="34">
        <v>0</v>
      </c>
      <c r="H12" s="34" t="s">
        <v>522</v>
      </c>
      <c r="I12" s="34">
        <f t="shared" si="1"/>
        <v>0</v>
      </c>
    </row>
    <row r="13" spans="1:9" ht="12.75">
      <c r="A13" s="17"/>
      <c r="B13" s="17" t="s">
        <v>19</v>
      </c>
      <c r="C13" s="17" t="s">
        <v>246</v>
      </c>
      <c r="F13" s="34">
        <f t="shared" si="0"/>
        <v>0</v>
      </c>
      <c r="G13" s="34">
        <v>0</v>
      </c>
      <c r="H13" s="34" t="s">
        <v>522</v>
      </c>
      <c r="I13" s="34">
        <f t="shared" si="1"/>
        <v>0</v>
      </c>
    </row>
    <row r="14" spans="1:9" ht="12.75">
      <c r="A14" s="17"/>
      <c r="B14" s="17" t="s">
        <v>27</v>
      </c>
      <c r="C14" s="17" t="s">
        <v>249</v>
      </c>
      <c r="F14" s="34">
        <f t="shared" si="0"/>
        <v>0</v>
      </c>
      <c r="G14" s="34">
        <v>0.01419</v>
      </c>
      <c r="H14" s="34" t="s">
        <v>522</v>
      </c>
      <c r="I14" s="34">
        <f t="shared" si="1"/>
        <v>0</v>
      </c>
    </row>
    <row r="15" spans="1:9" ht="12.75">
      <c r="A15" s="17"/>
      <c r="B15" s="17" t="s">
        <v>40</v>
      </c>
      <c r="C15" s="17" t="s">
        <v>253</v>
      </c>
      <c r="F15" s="34">
        <f t="shared" si="0"/>
        <v>0</v>
      </c>
      <c r="G15" s="34">
        <v>0.91743</v>
      </c>
      <c r="H15" s="34" t="s">
        <v>522</v>
      </c>
      <c r="I15" s="34">
        <f t="shared" si="1"/>
        <v>0</v>
      </c>
    </row>
    <row r="16" spans="1:9" ht="12.75">
      <c r="A16" s="17"/>
      <c r="B16" s="17" t="s">
        <v>67</v>
      </c>
      <c r="C16" s="17" t="s">
        <v>255</v>
      </c>
      <c r="F16" s="34">
        <f t="shared" si="0"/>
        <v>0</v>
      </c>
      <c r="G16" s="34">
        <v>0</v>
      </c>
      <c r="H16" s="34" t="s">
        <v>522</v>
      </c>
      <c r="I16" s="34">
        <f t="shared" si="1"/>
        <v>0</v>
      </c>
    </row>
    <row r="17" spans="1:9" ht="12.75">
      <c r="A17" s="17"/>
      <c r="B17" s="17" t="s">
        <v>68</v>
      </c>
      <c r="C17" s="17" t="s">
        <v>259</v>
      </c>
      <c r="F17" s="34">
        <f t="shared" si="0"/>
        <v>0</v>
      </c>
      <c r="G17" s="34">
        <v>16.80557</v>
      </c>
      <c r="H17" s="34" t="s">
        <v>522</v>
      </c>
      <c r="I17" s="34">
        <f t="shared" si="1"/>
        <v>0</v>
      </c>
    </row>
    <row r="18" spans="1:9" ht="12.75">
      <c r="A18" s="17"/>
      <c r="B18" s="17" t="s">
        <v>69</v>
      </c>
      <c r="C18" s="17" t="s">
        <v>271</v>
      </c>
      <c r="F18" s="34">
        <f t="shared" si="0"/>
        <v>0</v>
      </c>
      <c r="G18" s="34">
        <v>8.1305</v>
      </c>
      <c r="H18" s="34" t="s">
        <v>522</v>
      </c>
      <c r="I18" s="34">
        <f t="shared" si="1"/>
        <v>0</v>
      </c>
    </row>
    <row r="19" spans="1:9" ht="12.75">
      <c r="A19" s="17"/>
      <c r="B19" s="17" t="s">
        <v>132</v>
      </c>
      <c r="C19" s="17" t="s">
        <v>274</v>
      </c>
      <c r="F19" s="34">
        <f t="shared" si="0"/>
        <v>0</v>
      </c>
      <c r="G19" s="34">
        <v>9.35063</v>
      </c>
      <c r="H19" s="34" t="s">
        <v>522</v>
      </c>
      <c r="I19" s="34">
        <f t="shared" si="1"/>
        <v>0</v>
      </c>
    </row>
    <row r="20" spans="1:9" ht="12.75">
      <c r="A20" s="17"/>
      <c r="B20" s="17" t="s">
        <v>139</v>
      </c>
      <c r="C20" s="17" t="s">
        <v>287</v>
      </c>
      <c r="F20" s="34">
        <f t="shared" si="0"/>
        <v>0</v>
      </c>
      <c r="G20" s="34">
        <v>0.36173</v>
      </c>
      <c r="H20" s="34" t="s">
        <v>522</v>
      </c>
      <c r="I20" s="34">
        <f t="shared" si="1"/>
        <v>0</v>
      </c>
    </row>
    <row r="21" spans="1:9" ht="12.75">
      <c r="A21" s="17"/>
      <c r="B21" s="17" t="s">
        <v>144</v>
      </c>
      <c r="C21" s="17" t="s">
        <v>295</v>
      </c>
      <c r="F21" s="34">
        <f t="shared" si="0"/>
        <v>0</v>
      </c>
      <c r="G21" s="34">
        <v>1.64276</v>
      </c>
      <c r="H21" s="34" t="s">
        <v>522</v>
      </c>
      <c r="I21" s="34">
        <f t="shared" si="1"/>
        <v>0</v>
      </c>
    </row>
    <row r="22" spans="1:9" ht="12.75">
      <c r="A22" s="17"/>
      <c r="B22" s="17" t="s">
        <v>147</v>
      </c>
      <c r="C22" s="17" t="s">
        <v>299</v>
      </c>
      <c r="F22" s="34">
        <f t="shared" si="0"/>
        <v>0</v>
      </c>
      <c r="G22" s="34">
        <v>0.015</v>
      </c>
      <c r="H22" s="34" t="s">
        <v>522</v>
      </c>
      <c r="I22" s="34">
        <f t="shared" si="1"/>
        <v>0</v>
      </c>
    </row>
    <row r="23" spans="1:9" ht="12.75">
      <c r="A23" s="17"/>
      <c r="B23" s="17" t="s">
        <v>149</v>
      </c>
      <c r="C23" s="17" t="s">
        <v>301</v>
      </c>
      <c r="F23" s="34">
        <f t="shared" si="0"/>
        <v>0</v>
      </c>
      <c r="G23" s="34">
        <v>1.15506</v>
      </c>
      <c r="H23" s="34" t="s">
        <v>522</v>
      </c>
      <c r="I23" s="34">
        <f t="shared" si="1"/>
        <v>0</v>
      </c>
    </row>
    <row r="24" spans="1:9" ht="12.75">
      <c r="A24" s="17"/>
      <c r="B24" s="17" t="s">
        <v>152</v>
      </c>
      <c r="C24" s="17" t="s">
        <v>305</v>
      </c>
      <c r="F24" s="34">
        <f t="shared" si="0"/>
        <v>0</v>
      </c>
      <c r="G24" s="34">
        <v>0.06267</v>
      </c>
      <c r="H24" s="34" t="s">
        <v>522</v>
      </c>
      <c r="I24" s="34">
        <f t="shared" si="1"/>
        <v>0</v>
      </c>
    </row>
    <row r="25" spans="1:9" ht="12.75">
      <c r="A25" s="17"/>
      <c r="B25" s="17" t="s">
        <v>154</v>
      </c>
      <c r="C25" s="17" t="s">
        <v>308</v>
      </c>
      <c r="F25" s="34">
        <f t="shared" si="0"/>
        <v>0</v>
      </c>
      <c r="G25" s="34">
        <v>1.42266</v>
      </c>
      <c r="H25" s="34" t="s">
        <v>522</v>
      </c>
      <c r="I25" s="34">
        <f t="shared" si="1"/>
        <v>0</v>
      </c>
    </row>
    <row r="26" spans="1:9" ht="12.75">
      <c r="A26" s="17"/>
      <c r="B26" s="17" t="s">
        <v>165</v>
      </c>
      <c r="C26" s="17" t="s">
        <v>327</v>
      </c>
      <c r="F26" s="34">
        <f t="shared" si="0"/>
        <v>0</v>
      </c>
      <c r="G26" s="34">
        <v>0.11196</v>
      </c>
      <c r="H26" s="34" t="s">
        <v>522</v>
      </c>
      <c r="I26" s="34">
        <f t="shared" si="1"/>
        <v>0</v>
      </c>
    </row>
    <row r="27" spans="1:9" ht="12.75">
      <c r="A27" s="17"/>
      <c r="B27" s="17" t="s">
        <v>176</v>
      </c>
      <c r="C27" s="17" t="s">
        <v>339</v>
      </c>
      <c r="F27" s="34">
        <f t="shared" si="0"/>
        <v>0</v>
      </c>
      <c r="G27" s="34">
        <v>3.64978</v>
      </c>
      <c r="H27" s="34" t="s">
        <v>522</v>
      </c>
      <c r="I27" s="34">
        <f t="shared" si="1"/>
        <v>0</v>
      </c>
    </row>
    <row r="28" spans="1:9" ht="12.75">
      <c r="A28" s="17"/>
      <c r="B28" s="17" t="s">
        <v>183</v>
      </c>
      <c r="C28" s="17" t="s">
        <v>346</v>
      </c>
      <c r="F28" s="34">
        <f t="shared" si="0"/>
        <v>0</v>
      </c>
      <c r="G28" s="34">
        <v>0.17873</v>
      </c>
      <c r="H28" s="34" t="s">
        <v>522</v>
      </c>
      <c r="I28" s="34">
        <f t="shared" si="1"/>
        <v>0</v>
      </c>
    </row>
    <row r="29" spans="1:9" ht="12.75">
      <c r="A29" s="17"/>
      <c r="B29" s="17" t="s">
        <v>191</v>
      </c>
      <c r="C29" s="17" t="s">
        <v>361</v>
      </c>
      <c r="F29" s="34">
        <f t="shared" si="0"/>
        <v>0</v>
      </c>
      <c r="G29" s="34">
        <v>0.2272</v>
      </c>
      <c r="H29" s="34" t="s">
        <v>522</v>
      </c>
      <c r="I29" s="34">
        <f t="shared" si="1"/>
        <v>0</v>
      </c>
    </row>
    <row r="30" spans="1:9" ht="12.75">
      <c r="A30" s="17"/>
      <c r="B30" s="17" t="s">
        <v>96</v>
      </c>
      <c r="C30" s="17" t="s">
        <v>365</v>
      </c>
      <c r="F30" s="34">
        <f t="shared" si="0"/>
        <v>0</v>
      </c>
      <c r="G30" s="34">
        <v>0</v>
      </c>
      <c r="H30" s="34" t="s">
        <v>522</v>
      </c>
      <c r="I30" s="34">
        <f t="shared" si="1"/>
        <v>0</v>
      </c>
    </row>
    <row r="31" spans="1:9" ht="12.75">
      <c r="A31" s="17"/>
      <c r="B31" s="17" t="s">
        <v>100</v>
      </c>
      <c r="C31" s="17" t="s">
        <v>372</v>
      </c>
      <c r="F31" s="34">
        <f t="shared" si="0"/>
        <v>0</v>
      </c>
      <c r="G31" s="34">
        <v>0</v>
      </c>
      <c r="H31" s="34" t="s">
        <v>522</v>
      </c>
      <c r="I31" s="34">
        <f t="shared" si="1"/>
        <v>0</v>
      </c>
    </row>
    <row r="32" spans="1:9" ht="12.75">
      <c r="A32" s="17"/>
      <c r="B32" s="17" t="s">
        <v>101</v>
      </c>
      <c r="C32" s="17" t="s">
        <v>381</v>
      </c>
      <c r="F32" s="34">
        <f t="shared" si="0"/>
        <v>0</v>
      </c>
      <c r="G32" s="34">
        <v>0.33552</v>
      </c>
      <c r="H32" s="34" t="s">
        <v>522</v>
      </c>
      <c r="I32" s="34">
        <f t="shared" si="1"/>
        <v>0</v>
      </c>
    </row>
    <row r="33" spans="1:9" ht="12.75">
      <c r="A33" s="17"/>
      <c r="B33" s="17" t="s">
        <v>102</v>
      </c>
      <c r="C33" s="17" t="s">
        <v>384</v>
      </c>
      <c r="F33" s="34">
        <f t="shared" si="0"/>
        <v>0</v>
      </c>
      <c r="G33" s="34">
        <v>8.03958</v>
      </c>
      <c r="H33" s="34" t="s">
        <v>522</v>
      </c>
      <c r="I33" s="34">
        <f t="shared" si="1"/>
        <v>0</v>
      </c>
    </row>
    <row r="34" spans="1:9" ht="12.75">
      <c r="A34" s="17"/>
      <c r="B34" s="17" t="s">
        <v>212</v>
      </c>
      <c r="C34" s="17" t="s">
        <v>395</v>
      </c>
      <c r="F34" s="34">
        <f t="shared" si="0"/>
        <v>0</v>
      </c>
      <c r="G34" s="34">
        <v>0</v>
      </c>
      <c r="H34" s="34" t="s">
        <v>522</v>
      </c>
      <c r="I34" s="34">
        <f t="shared" si="1"/>
        <v>0</v>
      </c>
    </row>
    <row r="35" spans="1:9" ht="12.75">
      <c r="A35" s="17"/>
      <c r="B35" s="17" t="s">
        <v>214</v>
      </c>
      <c r="C35" s="17" t="s">
        <v>398</v>
      </c>
      <c r="F35" s="34">
        <f t="shared" si="0"/>
        <v>0</v>
      </c>
      <c r="G35" s="34">
        <v>0.005</v>
      </c>
      <c r="H35" s="34" t="s">
        <v>522</v>
      </c>
      <c r="I35" s="34">
        <f t="shared" si="1"/>
        <v>0</v>
      </c>
    </row>
    <row r="36" spans="1:9" ht="12.75">
      <c r="A36" s="17"/>
      <c r="B36" s="17" t="s">
        <v>219</v>
      </c>
      <c r="C36" s="17" t="s">
        <v>405</v>
      </c>
      <c r="F36" s="34">
        <f t="shared" si="0"/>
        <v>0</v>
      </c>
      <c r="G36" s="34">
        <v>0</v>
      </c>
      <c r="H36" s="34" t="s">
        <v>522</v>
      </c>
      <c r="I36" s="34">
        <f t="shared" si="1"/>
        <v>0</v>
      </c>
    </row>
    <row r="37" spans="1:9" ht="12.75">
      <c r="A37" s="17"/>
      <c r="B37" s="17"/>
      <c r="C37" s="17" t="s">
        <v>413</v>
      </c>
      <c r="F37" s="34">
        <f t="shared" si="0"/>
        <v>0</v>
      </c>
      <c r="G37" s="34">
        <v>3.22355</v>
      </c>
      <c r="H37" s="34" t="s">
        <v>522</v>
      </c>
      <c r="I37" s="34">
        <f t="shared" si="1"/>
        <v>0</v>
      </c>
    </row>
    <row r="39" spans="5:6" ht="12.75">
      <c r="E39" s="46" t="s">
        <v>453</v>
      </c>
      <c r="F39" s="39">
        <f>SUM(I11:I37)</f>
        <v>0</v>
      </c>
    </row>
  </sheetData>
  <sheetProtection/>
  <mergeCells count="17">
    <mergeCell ref="A1:G1"/>
    <mergeCell ref="A2:A3"/>
    <mergeCell ref="B2:C3"/>
    <mergeCell ref="D2:D3"/>
    <mergeCell ref="E2:G3"/>
    <mergeCell ref="A4:A5"/>
    <mergeCell ref="B4:C5"/>
    <mergeCell ref="D4:D5"/>
    <mergeCell ref="E4:G5"/>
    <mergeCell ref="A6:A7"/>
    <mergeCell ref="B6:C7"/>
    <mergeCell ref="D6:D7"/>
    <mergeCell ref="E6:G7"/>
    <mergeCell ref="A8:A9"/>
    <mergeCell ref="B8:C9"/>
    <mergeCell ref="D8:D9"/>
    <mergeCell ref="E8:G9"/>
  </mergeCells>
  <printOptions/>
  <pageMargins left="0.394" right="0.394" top="0.591" bottom="0.591" header="0.5" footer="0.5"/>
  <pageSetup fitToHeight="0"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I276"/>
  <sheetViews>
    <sheetView zoomScalePageLayoutView="0" workbookViewId="0" topLeftCell="A130">
      <selection activeCell="A1" sqref="A1:H1"/>
    </sheetView>
  </sheetViews>
  <sheetFormatPr defaultColWidth="11.57421875" defaultRowHeight="12.75"/>
  <cols>
    <col min="1" max="2" width="9.140625" style="0" customWidth="1"/>
    <col min="3" max="3" width="13.28125" style="0" customWidth="1"/>
    <col min="4" max="4" width="70.00390625" style="0" customWidth="1"/>
    <col min="5" max="5" width="14.57421875" style="0" customWidth="1"/>
    <col min="6" max="6" width="24.140625" style="0" customWidth="1"/>
    <col min="7" max="7" width="20.421875" style="0" customWidth="1"/>
    <col min="8" max="8" width="16.421875" style="0" customWidth="1"/>
  </cols>
  <sheetData>
    <row r="1" spans="1:8" ht="72.75" customHeight="1">
      <c r="A1" s="105" t="s">
        <v>523</v>
      </c>
      <c r="B1" s="106"/>
      <c r="C1" s="106"/>
      <c r="D1" s="106"/>
      <c r="E1" s="106"/>
      <c r="F1" s="106"/>
      <c r="G1" s="106"/>
      <c r="H1" s="106"/>
    </row>
    <row r="2" spans="1:9" ht="12.75">
      <c r="A2" s="107" t="s">
        <v>1</v>
      </c>
      <c r="B2" s="108"/>
      <c r="C2" s="109" t="s">
        <v>235</v>
      </c>
      <c r="D2" s="85"/>
      <c r="E2" s="112" t="s">
        <v>454</v>
      </c>
      <c r="F2" s="112"/>
      <c r="G2" s="108"/>
      <c r="H2" s="113"/>
      <c r="I2" s="32"/>
    </row>
    <row r="3" spans="1:9" ht="12.75">
      <c r="A3" s="104"/>
      <c r="B3" s="87"/>
      <c r="C3" s="110"/>
      <c r="D3" s="110"/>
      <c r="E3" s="87"/>
      <c r="F3" s="87"/>
      <c r="G3" s="87"/>
      <c r="H3" s="102"/>
      <c r="I3" s="32"/>
    </row>
    <row r="4" spans="1:9" ht="12.75">
      <c r="A4" s="97" t="s">
        <v>2</v>
      </c>
      <c r="B4" s="87"/>
      <c r="C4" s="86" t="s">
        <v>236</v>
      </c>
      <c r="D4" s="87"/>
      <c r="E4" s="86" t="s">
        <v>455</v>
      </c>
      <c r="F4" s="86"/>
      <c r="G4" s="87"/>
      <c r="H4" s="102"/>
      <c r="I4" s="32"/>
    </row>
    <row r="5" spans="1:9" ht="12.75">
      <c r="A5" s="104"/>
      <c r="B5" s="87"/>
      <c r="C5" s="87"/>
      <c r="D5" s="87"/>
      <c r="E5" s="87"/>
      <c r="F5" s="87"/>
      <c r="G5" s="87"/>
      <c r="H5" s="102"/>
      <c r="I5" s="32"/>
    </row>
    <row r="6" spans="1:9" ht="12.75">
      <c r="A6" s="97" t="s">
        <v>3</v>
      </c>
      <c r="B6" s="87"/>
      <c r="C6" s="86" t="s">
        <v>237</v>
      </c>
      <c r="D6" s="87"/>
      <c r="E6" s="86" t="s">
        <v>456</v>
      </c>
      <c r="F6" s="86"/>
      <c r="G6" s="87"/>
      <c r="H6" s="102"/>
      <c r="I6" s="32"/>
    </row>
    <row r="7" spans="1:9" ht="12.75">
      <c r="A7" s="104"/>
      <c r="B7" s="87"/>
      <c r="C7" s="87"/>
      <c r="D7" s="87"/>
      <c r="E7" s="87"/>
      <c r="F7" s="87"/>
      <c r="G7" s="87"/>
      <c r="H7" s="102"/>
      <c r="I7" s="32"/>
    </row>
    <row r="8" spans="1:9" ht="12.75">
      <c r="A8" s="97" t="s">
        <v>457</v>
      </c>
      <c r="B8" s="87"/>
      <c r="C8" s="86"/>
      <c r="D8" s="87"/>
      <c r="E8" s="100" t="s">
        <v>437</v>
      </c>
      <c r="F8" s="101">
        <v>42565</v>
      </c>
      <c r="G8" s="87"/>
      <c r="H8" s="102"/>
      <c r="I8" s="32"/>
    </row>
    <row r="9" spans="1:9" ht="12.75">
      <c r="A9" s="98"/>
      <c r="B9" s="99"/>
      <c r="C9" s="99"/>
      <c r="D9" s="99"/>
      <c r="E9" s="99"/>
      <c r="F9" s="99"/>
      <c r="G9" s="99"/>
      <c r="H9" s="103"/>
      <c r="I9" s="32"/>
    </row>
    <row r="10" spans="1:9" ht="12.75">
      <c r="A10" s="42" t="s">
        <v>5</v>
      </c>
      <c r="B10" s="43" t="s">
        <v>113</v>
      </c>
      <c r="C10" s="43" t="s">
        <v>114</v>
      </c>
      <c r="D10" s="43" t="s">
        <v>238</v>
      </c>
      <c r="E10" s="43" t="s">
        <v>438</v>
      </c>
      <c r="F10" s="43" t="s">
        <v>239</v>
      </c>
      <c r="G10" s="51" t="s">
        <v>448</v>
      </c>
      <c r="H10" s="40" t="s">
        <v>638</v>
      </c>
      <c r="I10" s="33"/>
    </row>
    <row r="11" spans="1:8" ht="12.75">
      <c r="A11" s="49" t="s">
        <v>7</v>
      </c>
      <c r="B11" s="49"/>
      <c r="C11" s="49" t="s">
        <v>115</v>
      </c>
      <c r="D11" s="49" t="s">
        <v>241</v>
      </c>
      <c r="E11" s="49" t="s">
        <v>439</v>
      </c>
      <c r="F11" s="49" t="s">
        <v>526</v>
      </c>
      <c r="G11" s="52">
        <v>42.246</v>
      </c>
      <c r="H11" s="53" t="s">
        <v>463</v>
      </c>
    </row>
    <row r="12" spans="1:7" ht="12.75">
      <c r="A12" s="4"/>
      <c r="B12" s="4"/>
      <c r="C12" s="4"/>
      <c r="D12" s="4"/>
      <c r="E12" s="4"/>
      <c r="F12" s="4" t="s">
        <v>527</v>
      </c>
      <c r="G12" s="19">
        <v>42.246</v>
      </c>
    </row>
    <row r="13" spans="3:7" ht="25.5" customHeight="1">
      <c r="C13" s="50" t="s">
        <v>116</v>
      </c>
      <c r="D13" s="88" t="s">
        <v>242</v>
      </c>
      <c r="E13" s="89"/>
      <c r="F13" s="89"/>
      <c r="G13" s="89"/>
    </row>
    <row r="14" spans="1:8" ht="12.75">
      <c r="A14" s="4" t="s">
        <v>8</v>
      </c>
      <c r="B14" s="4"/>
      <c r="C14" s="4" t="s">
        <v>117</v>
      </c>
      <c r="D14" s="4" t="s">
        <v>244</v>
      </c>
      <c r="E14" s="4" t="s">
        <v>440</v>
      </c>
      <c r="F14" s="4" t="s">
        <v>528</v>
      </c>
      <c r="G14" s="19">
        <v>34.5009</v>
      </c>
      <c r="H14" s="30" t="s">
        <v>463</v>
      </c>
    </row>
    <row r="15" spans="1:7" ht="12.75">
      <c r="A15" s="4"/>
      <c r="B15" s="4"/>
      <c r="C15" s="4"/>
      <c r="D15" s="4"/>
      <c r="E15" s="4"/>
      <c r="F15" s="4" t="s">
        <v>529</v>
      </c>
      <c r="G15" s="19">
        <v>0</v>
      </c>
    </row>
    <row r="16" spans="1:7" ht="12.75">
      <c r="A16" s="4"/>
      <c r="B16" s="4"/>
      <c r="C16" s="4"/>
      <c r="D16" s="4"/>
      <c r="E16" s="4"/>
      <c r="F16" s="4" t="s">
        <v>530</v>
      </c>
      <c r="G16" s="19">
        <v>34.5009</v>
      </c>
    </row>
    <row r="17" spans="3:7" ht="12.75" customHeight="1">
      <c r="C17" s="50" t="s">
        <v>116</v>
      </c>
      <c r="D17" s="88" t="s">
        <v>245</v>
      </c>
      <c r="E17" s="89"/>
      <c r="F17" s="89"/>
      <c r="G17" s="89"/>
    </row>
    <row r="18" spans="1:8" ht="12.75">
      <c r="A18" s="4" t="s">
        <v>9</v>
      </c>
      <c r="B18" s="4"/>
      <c r="C18" s="4" t="s">
        <v>118</v>
      </c>
      <c r="D18" s="4" t="s">
        <v>247</v>
      </c>
      <c r="E18" s="4" t="s">
        <v>440</v>
      </c>
      <c r="F18" s="4" t="s">
        <v>526</v>
      </c>
      <c r="G18" s="19">
        <v>34.5009</v>
      </c>
      <c r="H18" s="30" t="s">
        <v>463</v>
      </c>
    </row>
    <row r="19" spans="1:7" ht="12.75">
      <c r="A19" s="4"/>
      <c r="B19" s="4"/>
      <c r="C19" s="4"/>
      <c r="D19" s="4"/>
      <c r="E19" s="4"/>
      <c r="F19" s="4" t="s">
        <v>531</v>
      </c>
      <c r="G19" s="19">
        <v>0</v>
      </c>
    </row>
    <row r="20" spans="1:7" ht="12.75">
      <c r="A20" s="4"/>
      <c r="B20" s="4"/>
      <c r="C20" s="4"/>
      <c r="D20" s="4"/>
      <c r="E20" s="4"/>
      <c r="F20" s="4" t="s">
        <v>532</v>
      </c>
      <c r="G20" s="19">
        <v>34.5009</v>
      </c>
    </row>
    <row r="21" spans="3:7" ht="38.25" customHeight="1">
      <c r="C21" s="50" t="s">
        <v>116</v>
      </c>
      <c r="D21" s="88" t="s">
        <v>248</v>
      </c>
      <c r="E21" s="89"/>
      <c r="F21" s="89"/>
      <c r="G21" s="89"/>
    </row>
    <row r="22" spans="1:8" ht="12.75">
      <c r="A22" s="4" t="s">
        <v>10</v>
      </c>
      <c r="B22" s="4"/>
      <c r="C22" s="4" t="s">
        <v>119</v>
      </c>
      <c r="D22" s="4" t="s">
        <v>250</v>
      </c>
      <c r="E22" s="4" t="s">
        <v>439</v>
      </c>
      <c r="F22" s="4" t="s">
        <v>533</v>
      </c>
      <c r="G22" s="19">
        <v>709.75</v>
      </c>
      <c r="H22" s="30" t="s">
        <v>463</v>
      </c>
    </row>
    <row r="23" spans="1:7" ht="12.75">
      <c r="A23" s="4"/>
      <c r="B23" s="4"/>
      <c r="C23" s="4"/>
      <c r="D23" s="4"/>
      <c r="E23" s="4"/>
      <c r="F23" s="4" t="s">
        <v>534</v>
      </c>
      <c r="G23" s="19">
        <v>67.16</v>
      </c>
    </row>
    <row r="24" spans="1:7" ht="12.75">
      <c r="A24" s="4"/>
      <c r="B24" s="4"/>
      <c r="C24" s="4"/>
      <c r="D24" s="4"/>
      <c r="E24" s="4"/>
      <c r="F24" s="4" t="s">
        <v>535</v>
      </c>
      <c r="G24" s="19">
        <v>68.11</v>
      </c>
    </row>
    <row r="25" spans="1:7" ht="12.75">
      <c r="A25" s="4"/>
      <c r="B25" s="4"/>
      <c r="C25" s="4"/>
      <c r="D25" s="4"/>
      <c r="E25" s="4"/>
      <c r="F25" s="4" t="s">
        <v>536</v>
      </c>
      <c r="G25" s="19">
        <v>237.71</v>
      </c>
    </row>
    <row r="26" spans="1:7" ht="12.75">
      <c r="A26" s="4"/>
      <c r="B26" s="4"/>
      <c r="C26" s="4"/>
      <c r="D26" s="4"/>
      <c r="E26" s="4"/>
      <c r="F26" s="4" t="s">
        <v>537</v>
      </c>
      <c r="G26" s="19">
        <v>63.87</v>
      </c>
    </row>
    <row r="27" spans="1:7" ht="12.75">
      <c r="A27" s="4"/>
      <c r="B27" s="4"/>
      <c r="C27" s="4"/>
      <c r="D27" s="4"/>
      <c r="E27" s="4"/>
      <c r="F27" s="4" t="s">
        <v>538</v>
      </c>
      <c r="G27" s="19">
        <v>68.09</v>
      </c>
    </row>
    <row r="28" spans="1:8" ht="12.75">
      <c r="A28" s="4" t="s">
        <v>11</v>
      </c>
      <c r="B28" s="4"/>
      <c r="C28" s="4" t="s">
        <v>120</v>
      </c>
      <c r="D28" s="4" t="s">
        <v>251</v>
      </c>
      <c r="E28" s="4" t="s">
        <v>439</v>
      </c>
      <c r="F28" s="4" t="s">
        <v>539</v>
      </c>
      <c r="G28" s="19">
        <v>61.24</v>
      </c>
      <c r="H28" s="30" t="s">
        <v>463</v>
      </c>
    </row>
    <row r="29" spans="1:7" ht="12.75">
      <c r="A29" s="4"/>
      <c r="B29" s="4"/>
      <c r="C29" s="4"/>
      <c r="D29" s="4"/>
      <c r="E29" s="4"/>
      <c r="F29" s="4" t="s">
        <v>540</v>
      </c>
      <c r="G29" s="19">
        <v>18.44</v>
      </c>
    </row>
    <row r="30" spans="1:7" ht="12.75">
      <c r="A30" s="4"/>
      <c r="B30" s="4"/>
      <c r="C30" s="4"/>
      <c r="D30" s="4"/>
      <c r="E30" s="4"/>
      <c r="F30" s="4" t="s">
        <v>541</v>
      </c>
      <c r="G30" s="19">
        <v>7.1</v>
      </c>
    </row>
    <row r="31" spans="1:7" ht="12.75">
      <c r="A31" s="4"/>
      <c r="B31" s="4"/>
      <c r="C31" s="4"/>
      <c r="D31" s="4"/>
      <c r="E31" s="4"/>
      <c r="F31" s="4" t="s">
        <v>542</v>
      </c>
      <c r="G31" s="19">
        <v>10.14</v>
      </c>
    </row>
    <row r="32" spans="1:7" ht="12.75">
      <c r="A32" s="4"/>
      <c r="B32" s="4"/>
      <c r="C32" s="4"/>
      <c r="D32" s="4"/>
      <c r="E32" s="4"/>
      <c r="F32" s="4" t="s">
        <v>543</v>
      </c>
      <c r="G32" s="19">
        <v>12.34</v>
      </c>
    </row>
    <row r="33" spans="3:7" ht="12.75" customHeight="1">
      <c r="C33" s="50" t="s">
        <v>116</v>
      </c>
      <c r="D33" s="88" t="s">
        <v>252</v>
      </c>
      <c r="E33" s="89"/>
      <c r="F33" s="89"/>
      <c r="G33" s="89"/>
    </row>
    <row r="34" spans="1:8" ht="12.75">
      <c r="A34" s="4" t="s">
        <v>12</v>
      </c>
      <c r="B34" s="4"/>
      <c r="C34" s="4" t="s">
        <v>121</v>
      </c>
      <c r="D34" s="4" t="s">
        <v>254</v>
      </c>
      <c r="E34" s="4" t="s">
        <v>439</v>
      </c>
      <c r="F34" s="4" t="s">
        <v>544</v>
      </c>
      <c r="G34" s="19">
        <v>5.32</v>
      </c>
      <c r="H34" s="30" t="s">
        <v>463</v>
      </c>
    </row>
    <row r="35" spans="1:7" ht="12.75">
      <c r="A35" s="4"/>
      <c r="B35" s="4"/>
      <c r="C35" s="4"/>
      <c r="D35" s="4"/>
      <c r="E35" s="4"/>
      <c r="F35" s="4" t="s">
        <v>545</v>
      </c>
      <c r="G35" s="19">
        <v>5.32</v>
      </c>
    </row>
    <row r="36" spans="1:8" ht="12.75">
      <c r="A36" s="4" t="s">
        <v>13</v>
      </c>
      <c r="B36" s="4"/>
      <c r="C36" s="4" t="s">
        <v>122</v>
      </c>
      <c r="D36" s="4" t="s">
        <v>256</v>
      </c>
      <c r="E36" s="4" t="s">
        <v>441</v>
      </c>
      <c r="F36" s="4"/>
      <c r="G36" s="19">
        <v>0</v>
      </c>
      <c r="H36" s="30" t="s">
        <v>463</v>
      </c>
    </row>
    <row r="37" spans="1:8" ht="12.75">
      <c r="A37" s="4" t="s">
        <v>14</v>
      </c>
      <c r="B37" s="4"/>
      <c r="C37" s="4" t="s">
        <v>123</v>
      </c>
      <c r="D37" s="4" t="s">
        <v>257</v>
      </c>
      <c r="E37" s="4" t="s">
        <v>439</v>
      </c>
      <c r="F37" s="4"/>
      <c r="G37" s="19">
        <v>0</v>
      </c>
      <c r="H37" s="30" t="s">
        <v>463</v>
      </c>
    </row>
    <row r="38" spans="3:7" ht="12.75" customHeight="1">
      <c r="C38" s="50" t="s">
        <v>116</v>
      </c>
      <c r="D38" s="88" t="s">
        <v>258</v>
      </c>
      <c r="E38" s="89"/>
      <c r="F38" s="89"/>
      <c r="G38" s="89"/>
    </row>
    <row r="39" spans="1:8" ht="12.75">
      <c r="A39" s="4" t="s">
        <v>15</v>
      </c>
      <c r="B39" s="4"/>
      <c r="C39" s="4" t="s">
        <v>124</v>
      </c>
      <c r="D39" s="4" t="s">
        <v>260</v>
      </c>
      <c r="E39" s="4" t="s">
        <v>439</v>
      </c>
      <c r="F39" s="4" t="s">
        <v>534</v>
      </c>
      <c r="G39" s="19">
        <v>709.75</v>
      </c>
      <c r="H39" s="30" t="s">
        <v>463</v>
      </c>
    </row>
    <row r="40" spans="1:7" ht="12.75">
      <c r="A40" s="4"/>
      <c r="B40" s="4"/>
      <c r="C40" s="4"/>
      <c r="D40" s="4"/>
      <c r="E40" s="4"/>
      <c r="F40" s="4" t="s">
        <v>535</v>
      </c>
      <c r="G40" s="19">
        <v>68.11</v>
      </c>
    </row>
    <row r="41" spans="1:7" ht="12.75">
      <c r="A41" s="4"/>
      <c r="B41" s="4"/>
      <c r="C41" s="4"/>
      <c r="D41" s="4"/>
      <c r="E41" s="4"/>
      <c r="F41" s="4" t="s">
        <v>533</v>
      </c>
      <c r="G41" s="19">
        <v>204.81</v>
      </c>
    </row>
    <row r="42" spans="1:7" ht="12.75">
      <c r="A42" s="4"/>
      <c r="B42" s="4"/>
      <c r="C42" s="4"/>
      <c r="D42" s="4"/>
      <c r="E42" s="4"/>
      <c r="F42" s="4" t="s">
        <v>536</v>
      </c>
      <c r="G42" s="19">
        <v>237.71</v>
      </c>
    </row>
    <row r="43" spans="1:7" ht="12.75">
      <c r="A43" s="4"/>
      <c r="B43" s="4"/>
      <c r="C43" s="4"/>
      <c r="D43" s="4"/>
      <c r="E43" s="4"/>
      <c r="F43" s="4" t="s">
        <v>537</v>
      </c>
      <c r="G43" s="19">
        <v>63.87</v>
      </c>
    </row>
    <row r="44" spans="1:7" ht="12.75">
      <c r="A44" s="4"/>
      <c r="B44" s="4"/>
      <c r="C44" s="4"/>
      <c r="D44" s="4"/>
      <c r="E44" s="4"/>
      <c r="F44" s="4" t="s">
        <v>538</v>
      </c>
      <c r="G44" s="19">
        <v>68.09</v>
      </c>
    </row>
    <row r="45" spans="3:7" ht="38.25" customHeight="1">
      <c r="C45" s="50" t="s">
        <v>116</v>
      </c>
      <c r="D45" s="88" t="s">
        <v>261</v>
      </c>
      <c r="E45" s="89"/>
      <c r="F45" s="89"/>
      <c r="G45" s="89"/>
    </row>
    <row r="46" spans="1:8" ht="12.75">
      <c r="A46" s="4" t="s">
        <v>16</v>
      </c>
      <c r="B46" s="4"/>
      <c r="C46" s="4" t="s">
        <v>125</v>
      </c>
      <c r="D46" s="4" t="s">
        <v>262</v>
      </c>
      <c r="E46" s="4" t="s">
        <v>439</v>
      </c>
      <c r="F46" s="4" t="s">
        <v>546</v>
      </c>
      <c r="G46" s="19">
        <v>187.775</v>
      </c>
      <c r="H46" s="30" t="s">
        <v>463</v>
      </c>
    </row>
    <row r="47" spans="1:7" ht="12.75">
      <c r="A47" s="4"/>
      <c r="B47" s="4"/>
      <c r="C47" s="4"/>
      <c r="D47" s="4"/>
      <c r="E47" s="4"/>
      <c r="F47" s="4" t="s">
        <v>547</v>
      </c>
      <c r="G47" s="19">
        <v>13.296</v>
      </c>
    </row>
    <row r="48" spans="1:7" ht="12.75">
      <c r="A48" s="4"/>
      <c r="B48" s="4"/>
      <c r="C48" s="4"/>
      <c r="D48" s="4"/>
      <c r="E48" s="4"/>
      <c r="F48" s="4" t="s">
        <v>548</v>
      </c>
      <c r="G48" s="19">
        <v>6.684</v>
      </c>
    </row>
    <row r="49" spans="1:7" ht="12.75">
      <c r="A49" s="4"/>
      <c r="B49" s="4"/>
      <c r="C49" s="4"/>
      <c r="D49" s="4"/>
      <c r="E49" s="4"/>
      <c r="F49" s="4" t="s">
        <v>549</v>
      </c>
      <c r="G49" s="19">
        <v>5.7825</v>
      </c>
    </row>
    <row r="50" spans="1:7" ht="12.75">
      <c r="A50" s="4"/>
      <c r="B50" s="4"/>
      <c r="C50" s="4"/>
      <c r="D50" s="4"/>
      <c r="E50" s="4"/>
      <c r="F50" s="4" t="s">
        <v>550</v>
      </c>
      <c r="G50" s="19">
        <v>51.75</v>
      </c>
    </row>
    <row r="51" spans="1:7" ht="12.75">
      <c r="A51" s="4"/>
      <c r="B51" s="4"/>
      <c r="C51" s="4"/>
      <c r="D51" s="4"/>
      <c r="E51" s="4"/>
      <c r="F51" s="4" t="s">
        <v>551</v>
      </c>
      <c r="G51" s="19">
        <v>59.58</v>
      </c>
    </row>
    <row r="52" spans="1:7" ht="12.75">
      <c r="A52" s="4"/>
      <c r="B52" s="4"/>
      <c r="C52" s="4"/>
      <c r="D52" s="4"/>
      <c r="E52" s="4"/>
      <c r="F52" s="4" t="s">
        <v>552</v>
      </c>
      <c r="G52" s="19">
        <v>12.815</v>
      </c>
    </row>
    <row r="53" spans="3:7" ht="25.5" customHeight="1">
      <c r="C53" s="50" t="s">
        <v>116</v>
      </c>
      <c r="D53" s="88" t="s">
        <v>263</v>
      </c>
      <c r="E53" s="89"/>
      <c r="F53" s="89"/>
      <c r="G53" s="89"/>
    </row>
    <row r="54" spans="1:8" ht="12.75">
      <c r="A54" s="4" t="s">
        <v>17</v>
      </c>
      <c r="B54" s="4"/>
      <c r="C54" s="4" t="s">
        <v>126</v>
      </c>
      <c r="D54" s="4" t="s">
        <v>264</v>
      </c>
      <c r="E54" s="4" t="s">
        <v>441</v>
      </c>
      <c r="F54" s="4" t="s">
        <v>553</v>
      </c>
      <c r="G54" s="19">
        <v>77.451</v>
      </c>
      <c r="H54" s="30" t="s">
        <v>463</v>
      </c>
    </row>
    <row r="55" spans="1:8" ht="12.75">
      <c r="A55" s="4" t="s">
        <v>18</v>
      </c>
      <c r="B55" s="4"/>
      <c r="C55" s="4" t="s">
        <v>127</v>
      </c>
      <c r="D55" s="4" t="s">
        <v>265</v>
      </c>
      <c r="E55" s="4" t="s">
        <v>439</v>
      </c>
      <c r="F55" s="4" t="s">
        <v>541</v>
      </c>
      <c r="G55" s="19">
        <v>61.24</v>
      </c>
      <c r="H55" s="30" t="s">
        <v>463</v>
      </c>
    </row>
    <row r="56" spans="1:7" ht="12.75">
      <c r="A56" s="4"/>
      <c r="B56" s="4"/>
      <c r="C56" s="4"/>
      <c r="D56" s="4"/>
      <c r="E56" s="4"/>
      <c r="F56" s="4" t="s">
        <v>542</v>
      </c>
      <c r="G56" s="19">
        <v>10.14</v>
      </c>
    </row>
    <row r="57" spans="1:7" ht="12.75">
      <c r="A57" s="4"/>
      <c r="B57" s="4"/>
      <c r="C57" s="4"/>
      <c r="D57" s="4"/>
      <c r="E57" s="4"/>
      <c r="F57" s="4" t="s">
        <v>543</v>
      </c>
      <c r="G57" s="19">
        <v>12.34</v>
      </c>
    </row>
    <row r="58" spans="1:7" ht="12.75">
      <c r="A58" s="4"/>
      <c r="B58" s="4"/>
      <c r="C58" s="4"/>
      <c r="D58" s="4"/>
      <c r="E58" s="4"/>
      <c r="F58" s="4" t="s">
        <v>540</v>
      </c>
      <c r="G58" s="19">
        <v>18.44</v>
      </c>
    </row>
    <row r="59" spans="1:7" ht="12.75">
      <c r="A59" s="4"/>
      <c r="B59" s="4"/>
      <c r="C59" s="4"/>
      <c r="D59" s="4"/>
      <c r="E59" s="4"/>
      <c r="F59" s="4" t="s">
        <v>539</v>
      </c>
      <c r="G59" s="19">
        <v>13.22</v>
      </c>
    </row>
    <row r="60" spans="3:7" ht="38.25" customHeight="1">
      <c r="C60" s="50" t="s">
        <v>116</v>
      </c>
      <c r="D60" s="88" t="s">
        <v>261</v>
      </c>
      <c r="E60" s="89"/>
      <c r="F60" s="89"/>
      <c r="G60" s="89"/>
    </row>
    <row r="61" spans="1:8" ht="12.75">
      <c r="A61" s="4" t="s">
        <v>19</v>
      </c>
      <c r="B61" s="4"/>
      <c r="C61" s="4" t="s">
        <v>128</v>
      </c>
      <c r="D61" s="4" t="s">
        <v>266</v>
      </c>
      <c r="E61" s="4" t="s">
        <v>439</v>
      </c>
      <c r="F61" s="4" t="s">
        <v>554</v>
      </c>
      <c r="G61" s="19">
        <v>44.35</v>
      </c>
      <c r="H61" s="30" t="s">
        <v>463</v>
      </c>
    </row>
    <row r="62" spans="1:7" ht="12.75">
      <c r="A62" s="4"/>
      <c r="B62" s="4"/>
      <c r="C62" s="4"/>
      <c r="D62" s="4"/>
      <c r="E62" s="4"/>
      <c r="F62" s="4" t="s">
        <v>555</v>
      </c>
      <c r="G62" s="19">
        <v>13.13</v>
      </c>
    </row>
    <row r="63" spans="1:7" ht="12.75">
      <c r="A63" s="4"/>
      <c r="B63" s="4"/>
      <c r="C63" s="4"/>
      <c r="D63" s="4"/>
      <c r="E63" s="4"/>
      <c r="F63" s="4" t="s">
        <v>556</v>
      </c>
      <c r="G63" s="19">
        <v>13.35</v>
      </c>
    </row>
    <row r="64" spans="1:7" ht="12.75">
      <c r="A64" s="4"/>
      <c r="B64" s="4"/>
      <c r="C64" s="4"/>
      <c r="D64" s="4"/>
      <c r="E64" s="4"/>
      <c r="F64" s="4" t="s">
        <v>557</v>
      </c>
      <c r="G64" s="19">
        <v>9.44</v>
      </c>
    </row>
    <row r="65" spans="3:7" ht="25.5" customHeight="1">
      <c r="C65" s="50" t="s">
        <v>116</v>
      </c>
      <c r="D65" s="88" t="s">
        <v>267</v>
      </c>
      <c r="E65" s="89"/>
      <c r="F65" s="89"/>
      <c r="G65" s="89"/>
    </row>
    <row r="66" spans="1:8" ht="12.75">
      <c r="A66" s="4" t="s">
        <v>20</v>
      </c>
      <c r="B66" s="4"/>
      <c r="C66" s="4" t="s">
        <v>129</v>
      </c>
      <c r="D66" s="4" t="s">
        <v>268</v>
      </c>
      <c r="E66" s="4" t="s">
        <v>439</v>
      </c>
      <c r="F66" s="4" t="s">
        <v>557</v>
      </c>
      <c r="G66" s="19">
        <v>44.35</v>
      </c>
      <c r="H66" s="30" t="s">
        <v>463</v>
      </c>
    </row>
    <row r="67" spans="1:7" ht="12.75">
      <c r="A67" s="4"/>
      <c r="B67" s="4"/>
      <c r="C67" s="4"/>
      <c r="D67" s="4"/>
      <c r="E67" s="4"/>
      <c r="F67" s="4" t="s">
        <v>556</v>
      </c>
      <c r="G67" s="19">
        <v>13.35</v>
      </c>
    </row>
    <row r="68" spans="1:7" ht="12.75">
      <c r="A68" s="4"/>
      <c r="B68" s="4"/>
      <c r="C68" s="4"/>
      <c r="D68" s="4"/>
      <c r="E68" s="4"/>
      <c r="F68" s="4" t="s">
        <v>554</v>
      </c>
      <c r="G68" s="19">
        <v>8.43</v>
      </c>
    </row>
    <row r="69" spans="1:7" ht="12.75">
      <c r="A69" s="4"/>
      <c r="B69" s="4"/>
      <c r="C69" s="4"/>
      <c r="D69" s="4"/>
      <c r="E69" s="4"/>
      <c r="F69" s="4" t="s">
        <v>555</v>
      </c>
      <c r="G69" s="19">
        <v>13.13</v>
      </c>
    </row>
    <row r="70" spans="3:7" ht="25.5" customHeight="1">
      <c r="C70" s="50" t="s">
        <v>116</v>
      </c>
      <c r="D70" s="88" t="s">
        <v>269</v>
      </c>
      <c r="E70" s="89"/>
      <c r="F70" s="89"/>
      <c r="G70" s="89"/>
    </row>
    <row r="71" spans="1:8" ht="12.75">
      <c r="A71" s="4" t="s">
        <v>21</v>
      </c>
      <c r="B71" s="4"/>
      <c r="C71" s="4" t="s">
        <v>130</v>
      </c>
      <c r="D71" s="4" t="s">
        <v>270</v>
      </c>
      <c r="E71" s="4" t="s">
        <v>441</v>
      </c>
      <c r="F71" s="4" t="s">
        <v>558</v>
      </c>
      <c r="G71" s="19">
        <v>501.34</v>
      </c>
      <c r="H71" s="30" t="s">
        <v>463</v>
      </c>
    </row>
    <row r="72" spans="1:7" ht="12.75">
      <c r="A72" s="4"/>
      <c r="B72" s="4"/>
      <c r="C72" s="4"/>
      <c r="D72" s="4"/>
      <c r="E72" s="4"/>
      <c r="F72" s="4" t="s">
        <v>559</v>
      </c>
      <c r="G72" s="19">
        <v>81.55</v>
      </c>
    </row>
    <row r="73" spans="1:7" ht="12.75">
      <c r="A73" s="4"/>
      <c r="B73" s="4"/>
      <c r="C73" s="4"/>
      <c r="D73" s="4"/>
      <c r="E73" s="4"/>
      <c r="F73" s="4" t="s">
        <v>560</v>
      </c>
      <c r="G73" s="19">
        <v>43.62</v>
      </c>
    </row>
    <row r="74" spans="1:7" ht="12.75">
      <c r="A74" s="4"/>
      <c r="B74" s="4"/>
      <c r="C74" s="4"/>
      <c r="D74" s="4"/>
      <c r="E74" s="4"/>
      <c r="F74" s="4" t="s">
        <v>561</v>
      </c>
      <c r="G74" s="19">
        <v>24.96</v>
      </c>
    </row>
    <row r="75" spans="1:7" ht="12.75">
      <c r="A75" s="4"/>
      <c r="B75" s="4"/>
      <c r="C75" s="4"/>
      <c r="D75" s="4"/>
      <c r="E75" s="4"/>
      <c r="F75" s="4" t="s">
        <v>562</v>
      </c>
      <c r="G75" s="19">
        <v>25.2</v>
      </c>
    </row>
    <row r="76" spans="1:7" ht="12.75">
      <c r="A76" s="4"/>
      <c r="B76" s="4"/>
      <c r="C76" s="4"/>
      <c r="D76" s="4"/>
      <c r="E76" s="4"/>
      <c r="F76" s="4" t="s">
        <v>563</v>
      </c>
      <c r="G76" s="19">
        <v>70.68</v>
      </c>
    </row>
    <row r="77" spans="1:7" ht="12.75">
      <c r="A77" s="4"/>
      <c r="B77" s="4"/>
      <c r="C77" s="4"/>
      <c r="D77" s="4"/>
      <c r="E77" s="4"/>
      <c r="F77" s="4" t="s">
        <v>564</v>
      </c>
      <c r="G77" s="19">
        <v>21.86</v>
      </c>
    </row>
    <row r="78" spans="1:7" ht="12.75">
      <c r="A78" s="4"/>
      <c r="B78" s="4"/>
      <c r="C78" s="4"/>
      <c r="D78" s="4"/>
      <c r="E78" s="4"/>
      <c r="F78" s="4" t="s">
        <v>565</v>
      </c>
      <c r="G78" s="19">
        <v>32.82</v>
      </c>
    </row>
    <row r="79" spans="1:7" ht="12.75">
      <c r="A79" s="4"/>
      <c r="B79" s="4"/>
      <c r="C79" s="4"/>
      <c r="D79" s="4"/>
      <c r="E79" s="4"/>
      <c r="F79" s="4" t="s">
        <v>566</v>
      </c>
      <c r="G79" s="19">
        <v>44.6</v>
      </c>
    </row>
    <row r="80" spans="1:7" ht="12.75">
      <c r="A80" s="4"/>
      <c r="B80" s="4"/>
      <c r="C80" s="4"/>
      <c r="D80" s="4"/>
      <c r="E80" s="4"/>
      <c r="F80" s="4" t="s">
        <v>567</v>
      </c>
      <c r="G80" s="19">
        <v>20.38</v>
      </c>
    </row>
    <row r="81" spans="1:7" ht="12.75">
      <c r="A81" s="4"/>
      <c r="B81" s="4"/>
      <c r="C81" s="4"/>
      <c r="D81" s="4"/>
      <c r="E81" s="4"/>
      <c r="F81" s="4" t="s">
        <v>568</v>
      </c>
      <c r="G81" s="19">
        <v>21.99</v>
      </c>
    </row>
    <row r="82" spans="1:7" ht="12.75">
      <c r="A82" s="4"/>
      <c r="B82" s="4"/>
      <c r="C82" s="4"/>
      <c r="D82" s="4"/>
      <c r="E82" s="4"/>
      <c r="F82" s="4" t="s">
        <v>569</v>
      </c>
      <c r="G82" s="19">
        <v>24.52</v>
      </c>
    </row>
    <row r="83" spans="1:7" ht="12.75">
      <c r="A83" s="4"/>
      <c r="B83" s="4"/>
      <c r="C83" s="4"/>
      <c r="D83" s="4"/>
      <c r="E83" s="4"/>
      <c r="F83" s="4" t="s">
        <v>570</v>
      </c>
      <c r="G83" s="19">
        <v>24.72</v>
      </c>
    </row>
    <row r="84" spans="1:7" ht="12.75">
      <c r="A84" s="4"/>
      <c r="B84" s="4"/>
      <c r="C84" s="4"/>
      <c r="D84" s="4"/>
      <c r="E84" s="4"/>
      <c r="F84" s="4" t="s">
        <v>571</v>
      </c>
      <c r="G84" s="19">
        <v>35.8</v>
      </c>
    </row>
    <row r="85" spans="1:8" ht="12.75">
      <c r="A85" s="4" t="s">
        <v>22</v>
      </c>
      <c r="B85" s="4"/>
      <c r="C85" s="4" t="s">
        <v>131</v>
      </c>
      <c r="D85" s="4" t="s">
        <v>272</v>
      </c>
      <c r="E85" s="4" t="s">
        <v>440</v>
      </c>
      <c r="F85" s="4" t="s">
        <v>572</v>
      </c>
      <c r="G85" s="19">
        <v>3.22</v>
      </c>
      <c r="H85" s="30" t="s">
        <v>463</v>
      </c>
    </row>
    <row r="86" spans="3:7" ht="51" customHeight="1">
      <c r="C86" s="50" t="s">
        <v>116</v>
      </c>
      <c r="D86" s="88" t="s">
        <v>273</v>
      </c>
      <c r="E86" s="89"/>
      <c r="F86" s="89"/>
      <c r="G86" s="89"/>
    </row>
    <row r="87" spans="1:8" ht="12.75">
      <c r="A87" s="4" t="s">
        <v>23</v>
      </c>
      <c r="B87" s="4"/>
      <c r="C87" s="4" t="s">
        <v>133</v>
      </c>
      <c r="D87" s="4" t="s">
        <v>275</v>
      </c>
      <c r="E87" s="4" t="s">
        <v>439</v>
      </c>
      <c r="F87" s="4" t="s">
        <v>541</v>
      </c>
      <c r="G87" s="19">
        <v>61.24</v>
      </c>
      <c r="H87" s="30" t="s">
        <v>463</v>
      </c>
    </row>
    <row r="88" spans="1:7" ht="12.75">
      <c r="A88" s="4"/>
      <c r="B88" s="4"/>
      <c r="C88" s="4"/>
      <c r="D88" s="4"/>
      <c r="E88" s="4"/>
      <c r="F88" s="4" t="s">
        <v>542</v>
      </c>
      <c r="G88" s="19">
        <v>10.14</v>
      </c>
    </row>
    <row r="89" spans="1:7" ht="12.75">
      <c r="A89" s="4"/>
      <c r="B89" s="4"/>
      <c r="C89" s="4"/>
      <c r="D89" s="4"/>
      <c r="E89" s="4"/>
      <c r="F89" s="4" t="s">
        <v>543</v>
      </c>
      <c r="G89" s="19">
        <v>12.34</v>
      </c>
    </row>
    <row r="90" spans="1:7" ht="12.75">
      <c r="A90" s="4"/>
      <c r="B90" s="4"/>
      <c r="C90" s="4"/>
      <c r="D90" s="4"/>
      <c r="E90" s="4"/>
      <c r="F90" s="4" t="s">
        <v>540</v>
      </c>
      <c r="G90" s="19">
        <v>18.44</v>
      </c>
    </row>
    <row r="91" spans="1:7" ht="12.75">
      <c r="A91" s="4"/>
      <c r="B91" s="4"/>
      <c r="C91" s="4"/>
      <c r="D91" s="4"/>
      <c r="E91" s="4"/>
      <c r="F91" s="4" t="s">
        <v>539</v>
      </c>
      <c r="G91" s="19">
        <v>13.22</v>
      </c>
    </row>
    <row r="92" spans="3:7" ht="25.5" customHeight="1">
      <c r="C92" s="50" t="s">
        <v>116</v>
      </c>
      <c r="D92" s="88" t="s">
        <v>276</v>
      </c>
      <c r="E92" s="89"/>
      <c r="F92" s="89"/>
      <c r="G92" s="89"/>
    </row>
    <row r="93" spans="1:8" ht="12.75">
      <c r="A93" s="4" t="s">
        <v>24</v>
      </c>
      <c r="B93" s="4"/>
      <c r="C93" s="4" t="s">
        <v>134</v>
      </c>
      <c r="D93" s="4" t="s">
        <v>277</v>
      </c>
      <c r="E93" s="4" t="s">
        <v>439</v>
      </c>
      <c r="F93" s="4" t="s">
        <v>539</v>
      </c>
      <c r="G93" s="19">
        <v>61.24</v>
      </c>
      <c r="H93" s="30" t="s">
        <v>463</v>
      </c>
    </row>
    <row r="94" spans="1:7" ht="12.75">
      <c r="A94" s="4"/>
      <c r="B94" s="4"/>
      <c r="C94" s="4"/>
      <c r="D94" s="4"/>
      <c r="E94" s="4"/>
      <c r="F94" s="4" t="s">
        <v>540</v>
      </c>
      <c r="G94" s="19">
        <v>18.44</v>
      </c>
    </row>
    <row r="95" spans="1:7" ht="12.75">
      <c r="A95" s="4"/>
      <c r="B95" s="4"/>
      <c r="C95" s="4"/>
      <c r="D95" s="4"/>
      <c r="E95" s="4"/>
      <c r="F95" s="4" t="s">
        <v>541</v>
      </c>
      <c r="G95" s="19">
        <v>7.1</v>
      </c>
    </row>
    <row r="96" spans="1:7" ht="12.75">
      <c r="A96" s="4"/>
      <c r="B96" s="4"/>
      <c r="C96" s="4"/>
      <c r="D96" s="4"/>
      <c r="E96" s="4"/>
      <c r="F96" s="4" t="s">
        <v>542</v>
      </c>
      <c r="G96" s="19">
        <v>10.14</v>
      </c>
    </row>
    <row r="97" spans="1:7" ht="12.75">
      <c r="A97" s="4"/>
      <c r="B97" s="4"/>
      <c r="C97" s="4"/>
      <c r="D97" s="4"/>
      <c r="E97" s="4"/>
      <c r="F97" s="4" t="s">
        <v>543</v>
      </c>
      <c r="G97" s="19">
        <v>12.34</v>
      </c>
    </row>
    <row r="98" spans="3:7" ht="12.75" customHeight="1">
      <c r="C98" s="50" t="s">
        <v>116</v>
      </c>
      <c r="D98" s="88" t="s">
        <v>278</v>
      </c>
      <c r="E98" s="89"/>
      <c r="F98" s="89"/>
      <c r="G98" s="89"/>
    </row>
    <row r="99" spans="1:8" ht="12.75">
      <c r="A99" s="4" t="s">
        <v>25</v>
      </c>
      <c r="B99" s="4"/>
      <c r="C99" s="4" t="s">
        <v>135</v>
      </c>
      <c r="D99" s="4" t="s">
        <v>279</v>
      </c>
      <c r="E99" s="4" t="s">
        <v>439</v>
      </c>
      <c r="F99" s="4" t="s">
        <v>543</v>
      </c>
      <c r="G99" s="19">
        <v>61.24</v>
      </c>
      <c r="H99" s="30" t="s">
        <v>463</v>
      </c>
    </row>
    <row r="100" spans="1:7" ht="12.75">
      <c r="A100" s="4"/>
      <c r="B100" s="4"/>
      <c r="C100" s="4"/>
      <c r="D100" s="4"/>
      <c r="E100" s="4"/>
      <c r="F100" s="4" t="s">
        <v>542</v>
      </c>
      <c r="G100" s="19">
        <v>10.14</v>
      </c>
    </row>
    <row r="101" spans="1:7" ht="12.75">
      <c r="A101" s="4"/>
      <c r="B101" s="4"/>
      <c r="C101" s="4"/>
      <c r="D101" s="4"/>
      <c r="E101" s="4"/>
      <c r="F101" s="4" t="s">
        <v>541</v>
      </c>
      <c r="G101" s="19">
        <v>7.1</v>
      </c>
    </row>
    <row r="102" spans="1:7" ht="12.75">
      <c r="A102" s="4"/>
      <c r="B102" s="4"/>
      <c r="C102" s="4"/>
      <c r="D102" s="4"/>
      <c r="E102" s="4"/>
      <c r="F102" s="4" t="s">
        <v>540</v>
      </c>
      <c r="G102" s="19">
        <v>18.44</v>
      </c>
    </row>
    <row r="103" spans="1:7" ht="12.75">
      <c r="A103" s="4"/>
      <c r="B103" s="4"/>
      <c r="C103" s="4"/>
      <c r="D103" s="4"/>
      <c r="E103" s="4"/>
      <c r="F103" s="4" t="s">
        <v>539</v>
      </c>
      <c r="G103" s="19">
        <v>13.22</v>
      </c>
    </row>
    <row r="104" spans="3:7" ht="12.75" customHeight="1">
      <c r="C104" s="50" t="s">
        <v>116</v>
      </c>
      <c r="D104" s="88" t="s">
        <v>280</v>
      </c>
      <c r="E104" s="89"/>
      <c r="F104" s="89"/>
      <c r="G104" s="89"/>
    </row>
    <row r="105" spans="1:8" ht="12.75">
      <c r="A105" s="4" t="s">
        <v>26</v>
      </c>
      <c r="B105" s="4"/>
      <c r="C105" s="4" t="s">
        <v>136</v>
      </c>
      <c r="D105" s="4" t="s">
        <v>281</v>
      </c>
      <c r="E105" s="4" t="s">
        <v>439</v>
      </c>
      <c r="F105" s="4"/>
      <c r="G105" s="19">
        <v>61.24</v>
      </c>
      <c r="H105" s="30" t="s">
        <v>463</v>
      </c>
    </row>
    <row r="106" spans="3:7" ht="12.75" customHeight="1">
      <c r="C106" s="50" t="s">
        <v>116</v>
      </c>
      <c r="D106" s="88" t="s">
        <v>282</v>
      </c>
      <c r="E106" s="89"/>
      <c r="F106" s="89"/>
      <c r="G106" s="89"/>
    </row>
    <row r="107" spans="1:8" ht="12.75">
      <c r="A107" s="4" t="s">
        <v>27</v>
      </c>
      <c r="B107" s="4"/>
      <c r="C107" s="4" t="s">
        <v>137</v>
      </c>
      <c r="D107" s="4" t="s">
        <v>283</v>
      </c>
      <c r="E107" s="4" t="s">
        <v>439</v>
      </c>
      <c r="F107" s="4"/>
      <c r="G107" s="19">
        <v>61.24</v>
      </c>
      <c r="H107" s="30" t="s">
        <v>463</v>
      </c>
    </row>
    <row r="108" spans="3:7" ht="38.25" customHeight="1">
      <c r="C108" s="50" t="s">
        <v>116</v>
      </c>
      <c r="D108" s="88" t="s">
        <v>284</v>
      </c>
      <c r="E108" s="89"/>
      <c r="F108" s="89"/>
      <c r="G108" s="89"/>
    </row>
    <row r="109" spans="1:8" ht="12.75">
      <c r="A109" s="4" t="s">
        <v>28</v>
      </c>
      <c r="B109" s="4"/>
      <c r="C109" s="4" t="s">
        <v>138</v>
      </c>
      <c r="D109" s="4" t="s">
        <v>285</v>
      </c>
      <c r="E109" s="4" t="s">
        <v>439</v>
      </c>
      <c r="F109" s="4" t="s">
        <v>573</v>
      </c>
      <c r="G109" s="19">
        <v>51.21</v>
      </c>
      <c r="H109" s="30" t="s">
        <v>463</v>
      </c>
    </row>
    <row r="110" spans="1:7" ht="12.75">
      <c r="A110" s="4"/>
      <c r="B110" s="4"/>
      <c r="C110" s="4"/>
      <c r="D110" s="4"/>
      <c r="E110" s="4"/>
      <c r="F110" s="4" t="s">
        <v>574</v>
      </c>
      <c r="G110" s="19">
        <v>5.21</v>
      </c>
    </row>
    <row r="111" spans="3:7" ht="25.5" customHeight="1">
      <c r="C111" s="50" t="s">
        <v>116</v>
      </c>
      <c r="D111" s="88" t="s">
        <v>286</v>
      </c>
      <c r="E111" s="89"/>
      <c r="F111" s="89"/>
      <c r="G111" s="89"/>
    </row>
    <row r="112" spans="1:8" ht="12.75">
      <c r="A112" s="4" t="s">
        <v>29</v>
      </c>
      <c r="B112" s="4"/>
      <c r="C112" s="4" t="s">
        <v>140</v>
      </c>
      <c r="D112" s="4" t="s">
        <v>288</v>
      </c>
      <c r="E112" s="4" t="s">
        <v>442</v>
      </c>
      <c r="F112" s="4" t="s">
        <v>575</v>
      </c>
      <c r="G112" s="19">
        <v>3</v>
      </c>
      <c r="H112" s="30" t="s">
        <v>463</v>
      </c>
    </row>
    <row r="113" spans="3:7" ht="25.5" customHeight="1">
      <c r="C113" s="50" t="s">
        <v>116</v>
      </c>
      <c r="D113" s="88" t="s">
        <v>289</v>
      </c>
      <c r="E113" s="89"/>
      <c r="F113" s="89"/>
      <c r="G113" s="89"/>
    </row>
    <row r="114" spans="1:8" ht="12.75">
      <c r="A114" s="4" t="s">
        <v>30</v>
      </c>
      <c r="B114" s="4"/>
      <c r="C114" s="4" t="s">
        <v>141</v>
      </c>
      <c r="D114" s="4" t="s">
        <v>290</v>
      </c>
      <c r="E114" s="4" t="s">
        <v>442</v>
      </c>
      <c r="F114" s="4" t="s">
        <v>14</v>
      </c>
      <c r="G114" s="19">
        <v>8</v>
      </c>
      <c r="H114" s="30" t="s">
        <v>463</v>
      </c>
    </row>
    <row r="115" spans="3:7" ht="12.75" customHeight="1">
      <c r="C115" s="50" t="s">
        <v>116</v>
      </c>
      <c r="D115" s="88" t="s">
        <v>291</v>
      </c>
      <c r="E115" s="89"/>
      <c r="F115" s="89"/>
      <c r="G115" s="89"/>
    </row>
    <row r="116" spans="1:8" ht="12.75">
      <c r="A116" s="4" t="s">
        <v>31</v>
      </c>
      <c r="B116" s="4"/>
      <c r="C116" s="4" t="s">
        <v>142</v>
      </c>
      <c r="D116" s="4" t="s">
        <v>292</v>
      </c>
      <c r="E116" s="4" t="s">
        <v>439</v>
      </c>
      <c r="F116" s="4" t="s">
        <v>576</v>
      </c>
      <c r="G116" s="19">
        <v>46.322</v>
      </c>
      <c r="H116" s="30" t="s">
        <v>463</v>
      </c>
    </row>
    <row r="117" spans="1:8" ht="12.75">
      <c r="A117" s="4" t="s">
        <v>32</v>
      </c>
      <c r="B117" s="4"/>
      <c r="C117" s="4" t="s">
        <v>143</v>
      </c>
      <c r="D117" s="4" t="s">
        <v>293</v>
      </c>
      <c r="E117" s="4" t="s">
        <v>441</v>
      </c>
      <c r="F117" s="4" t="s">
        <v>577</v>
      </c>
      <c r="G117" s="19">
        <v>73.22</v>
      </c>
      <c r="H117" s="30" t="s">
        <v>463</v>
      </c>
    </row>
    <row r="118" spans="1:7" ht="12.75">
      <c r="A118" s="4"/>
      <c r="B118" s="4"/>
      <c r="C118" s="4"/>
      <c r="D118" s="4"/>
      <c r="E118" s="4"/>
      <c r="F118" s="4" t="s">
        <v>578</v>
      </c>
      <c r="G118" s="19">
        <v>28.82</v>
      </c>
    </row>
    <row r="119" spans="3:7" ht="12.75" customHeight="1">
      <c r="C119" s="50" t="s">
        <v>116</v>
      </c>
      <c r="D119" s="88" t="s">
        <v>294</v>
      </c>
      <c r="E119" s="89"/>
      <c r="F119" s="89"/>
      <c r="G119" s="89"/>
    </row>
    <row r="120" spans="1:8" ht="12.75">
      <c r="A120" s="4" t="s">
        <v>33</v>
      </c>
      <c r="B120" s="4"/>
      <c r="C120" s="4" t="s">
        <v>145</v>
      </c>
      <c r="D120" s="4" t="s">
        <v>296</v>
      </c>
      <c r="E120" s="4" t="s">
        <v>439</v>
      </c>
      <c r="F120" s="4" t="s">
        <v>579</v>
      </c>
      <c r="G120" s="19">
        <v>46.16</v>
      </c>
      <c r="H120" s="30" t="s">
        <v>463</v>
      </c>
    </row>
    <row r="121" spans="1:7" ht="12.75">
      <c r="A121" s="4"/>
      <c r="B121" s="4"/>
      <c r="C121" s="4"/>
      <c r="D121" s="4"/>
      <c r="E121" s="4"/>
      <c r="F121" s="4" t="s">
        <v>580</v>
      </c>
      <c r="G121" s="19">
        <v>46.16</v>
      </c>
    </row>
    <row r="122" spans="1:8" ht="12.75">
      <c r="A122" s="4" t="s">
        <v>34</v>
      </c>
      <c r="B122" s="4"/>
      <c r="C122" s="4" t="s">
        <v>146</v>
      </c>
      <c r="D122" s="4" t="s">
        <v>297</v>
      </c>
      <c r="E122" s="4" t="s">
        <v>440</v>
      </c>
      <c r="F122" s="4" t="s">
        <v>581</v>
      </c>
      <c r="G122" s="19">
        <v>58.406</v>
      </c>
      <c r="H122" s="30" t="s">
        <v>463</v>
      </c>
    </row>
    <row r="123" spans="3:7" ht="25.5" customHeight="1">
      <c r="C123" s="50" t="s">
        <v>116</v>
      </c>
      <c r="D123" s="88" t="s">
        <v>298</v>
      </c>
      <c r="E123" s="89"/>
      <c r="F123" s="89"/>
      <c r="G123" s="89"/>
    </row>
    <row r="124" spans="1:8" ht="12.75">
      <c r="A124" s="4" t="s">
        <v>35</v>
      </c>
      <c r="B124" s="4"/>
      <c r="C124" s="4" t="s">
        <v>148</v>
      </c>
      <c r="D124" s="4" t="s">
        <v>300</v>
      </c>
      <c r="E124" s="4" t="s">
        <v>442</v>
      </c>
      <c r="F124" s="4"/>
      <c r="G124" s="19">
        <v>3</v>
      </c>
      <c r="H124" s="30" t="s">
        <v>463</v>
      </c>
    </row>
    <row r="125" spans="1:8" ht="12.75">
      <c r="A125" s="4" t="s">
        <v>36</v>
      </c>
      <c r="B125" s="4"/>
      <c r="C125" s="4" t="s">
        <v>150</v>
      </c>
      <c r="D125" s="4" t="s">
        <v>302</v>
      </c>
      <c r="E125" s="4" t="s">
        <v>439</v>
      </c>
      <c r="F125" s="4" t="s">
        <v>582</v>
      </c>
      <c r="G125" s="19">
        <v>84.69</v>
      </c>
      <c r="H125" s="30" t="s">
        <v>463</v>
      </c>
    </row>
    <row r="126" spans="1:7" ht="12.75">
      <c r="A126" s="4"/>
      <c r="B126" s="4"/>
      <c r="C126" s="4"/>
      <c r="D126" s="4"/>
      <c r="E126" s="4"/>
      <c r="F126" s="4" t="s">
        <v>580</v>
      </c>
      <c r="G126" s="19">
        <v>46.16</v>
      </c>
    </row>
    <row r="127" spans="1:7" ht="12.75">
      <c r="A127" s="4"/>
      <c r="B127" s="4"/>
      <c r="C127" s="4"/>
      <c r="D127" s="4"/>
      <c r="E127" s="4"/>
      <c r="F127" s="4" t="s">
        <v>583</v>
      </c>
      <c r="G127" s="19">
        <v>19.34</v>
      </c>
    </row>
    <row r="128" spans="1:7" ht="12.75">
      <c r="A128" s="4"/>
      <c r="B128" s="4"/>
      <c r="C128" s="4"/>
      <c r="D128" s="4"/>
      <c r="E128" s="4"/>
      <c r="F128" s="4" t="s">
        <v>584</v>
      </c>
      <c r="G128" s="19">
        <v>19.19</v>
      </c>
    </row>
    <row r="129" spans="1:8" ht="12.75">
      <c r="A129" s="4" t="s">
        <v>37</v>
      </c>
      <c r="B129" s="4"/>
      <c r="C129" s="4" t="s">
        <v>151</v>
      </c>
      <c r="D129" s="4" t="s">
        <v>303</v>
      </c>
      <c r="E129" s="4" t="s">
        <v>439</v>
      </c>
      <c r="F129" s="4" t="s">
        <v>585</v>
      </c>
      <c r="G129" s="19">
        <v>30.3552</v>
      </c>
      <c r="H129" s="30" t="s">
        <v>463</v>
      </c>
    </row>
    <row r="130" spans="1:7" ht="12.75">
      <c r="A130" s="4"/>
      <c r="B130" s="4"/>
      <c r="C130" s="4"/>
      <c r="D130" s="4"/>
      <c r="E130" s="4"/>
      <c r="F130" s="4" t="s">
        <v>586</v>
      </c>
      <c r="G130" s="19">
        <v>10.3752</v>
      </c>
    </row>
    <row r="131" spans="3:7" ht="25.5" customHeight="1">
      <c r="C131" s="50" t="s">
        <v>116</v>
      </c>
      <c r="D131" s="88" t="s">
        <v>304</v>
      </c>
      <c r="E131" s="89"/>
      <c r="F131" s="89"/>
      <c r="G131" s="89"/>
    </row>
    <row r="132" spans="1:8" ht="12.75">
      <c r="A132" s="4" t="s">
        <v>38</v>
      </c>
      <c r="B132" s="4"/>
      <c r="C132" s="4" t="s">
        <v>153</v>
      </c>
      <c r="D132" s="4" t="s">
        <v>306</v>
      </c>
      <c r="E132" s="4" t="s">
        <v>439</v>
      </c>
      <c r="F132" s="4" t="s">
        <v>584</v>
      </c>
      <c r="G132" s="19">
        <v>84.69</v>
      </c>
      <c r="H132" s="30" t="s">
        <v>463</v>
      </c>
    </row>
    <row r="133" spans="1:7" ht="12.75">
      <c r="A133" s="4"/>
      <c r="B133" s="4"/>
      <c r="C133" s="4"/>
      <c r="D133" s="4"/>
      <c r="E133" s="4"/>
      <c r="F133" s="4" t="s">
        <v>583</v>
      </c>
      <c r="G133" s="19">
        <v>19.34</v>
      </c>
    </row>
    <row r="134" spans="1:7" ht="12.75">
      <c r="A134" s="4"/>
      <c r="B134" s="4"/>
      <c r="C134" s="4"/>
      <c r="D134" s="4"/>
      <c r="E134" s="4"/>
      <c r="F134" s="4" t="s">
        <v>587</v>
      </c>
      <c r="G134" s="19">
        <v>46.16</v>
      </c>
    </row>
    <row r="135" spans="3:7" ht="12.75" customHeight="1">
      <c r="C135" s="50" t="s">
        <v>116</v>
      </c>
      <c r="D135" s="88" t="s">
        <v>307</v>
      </c>
      <c r="E135" s="89"/>
      <c r="F135" s="89"/>
      <c r="G135" s="89"/>
    </row>
    <row r="136" spans="1:8" ht="12.75">
      <c r="A136" s="4" t="s">
        <v>39</v>
      </c>
      <c r="B136" s="4"/>
      <c r="C136" s="4" t="s">
        <v>155</v>
      </c>
      <c r="D136" s="4" t="s">
        <v>309</v>
      </c>
      <c r="E136" s="4" t="s">
        <v>441</v>
      </c>
      <c r="F136" s="4" t="s">
        <v>588</v>
      </c>
      <c r="G136" s="19">
        <v>73.3</v>
      </c>
      <c r="H136" s="30" t="s">
        <v>463</v>
      </c>
    </row>
    <row r="137" spans="1:8" ht="12.75">
      <c r="A137" s="4" t="s">
        <v>40</v>
      </c>
      <c r="B137" s="4"/>
      <c r="C137" s="4" t="s">
        <v>156</v>
      </c>
      <c r="D137" s="4" t="s">
        <v>310</v>
      </c>
      <c r="E137" s="4" t="s">
        <v>441</v>
      </c>
      <c r="F137" s="4" t="s">
        <v>589</v>
      </c>
      <c r="G137" s="19">
        <v>16.8</v>
      </c>
      <c r="H137" s="30" t="s">
        <v>463</v>
      </c>
    </row>
    <row r="138" spans="3:7" ht="12.75" customHeight="1">
      <c r="C138" s="50" t="s">
        <v>116</v>
      </c>
      <c r="D138" s="88" t="s">
        <v>311</v>
      </c>
      <c r="E138" s="89"/>
      <c r="F138" s="89"/>
      <c r="G138" s="89"/>
    </row>
    <row r="139" spans="1:8" ht="12.75">
      <c r="A139" s="4" t="s">
        <v>41</v>
      </c>
      <c r="B139" s="4"/>
      <c r="C139" s="4" t="s">
        <v>157</v>
      </c>
      <c r="D139" s="4" t="s">
        <v>312</v>
      </c>
      <c r="E139" s="4" t="s">
        <v>441</v>
      </c>
      <c r="F139" s="4" t="s">
        <v>590</v>
      </c>
      <c r="G139" s="19">
        <v>78.9</v>
      </c>
      <c r="H139" s="30" t="s">
        <v>463</v>
      </c>
    </row>
    <row r="140" spans="1:7" ht="12.75">
      <c r="A140" s="4"/>
      <c r="B140" s="4"/>
      <c r="C140" s="4"/>
      <c r="D140" s="4"/>
      <c r="E140" s="4"/>
      <c r="F140" s="4" t="s">
        <v>591</v>
      </c>
      <c r="G140" s="19">
        <v>9.6</v>
      </c>
    </row>
    <row r="141" spans="3:7" ht="12.75" customHeight="1">
      <c r="C141" s="50" t="s">
        <v>116</v>
      </c>
      <c r="D141" s="88" t="s">
        <v>313</v>
      </c>
      <c r="E141" s="89"/>
      <c r="F141" s="89"/>
      <c r="G141" s="89"/>
    </row>
    <row r="142" spans="1:8" ht="12.75">
      <c r="A142" s="4" t="s">
        <v>42</v>
      </c>
      <c r="B142" s="4"/>
      <c r="C142" s="4" t="s">
        <v>158</v>
      </c>
      <c r="D142" s="4" t="s">
        <v>314</v>
      </c>
      <c r="E142" s="4" t="s">
        <v>441</v>
      </c>
      <c r="F142" s="4" t="s">
        <v>592</v>
      </c>
      <c r="G142" s="19">
        <v>8.25</v>
      </c>
      <c r="H142" s="30" t="s">
        <v>463</v>
      </c>
    </row>
    <row r="143" spans="3:7" ht="12.75" customHeight="1">
      <c r="C143" s="50" t="s">
        <v>116</v>
      </c>
      <c r="D143" s="88" t="s">
        <v>315</v>
      </c>
      <c r="E143" s="89"/>
      <c r="F143" s="89"/>
      <c r="G143" s="89"/>
    </row>
    <row r="144" spans="1:8" ht="12.75">
      <c r="A144" s="4" t="s">
        <v>43</v>
      </c>
      <c r="B144" s="4"/>
      <c r="C144" s="4" t="s">
        <v>159</v>
      </c>
      <c r="D144" s="4" t="s">
        <v>316</v>
      </c>
      <c r="E144" s="4" t="s">
        <v>442</v>
      </c>
      <c r="F144" s="4" t="s">
        <v>7</v>
      </c>
      <c r="G144" s="19">
        <v>1</v>
      </c>
      <c r="H144" s="30" t="s">
        <v>463</v>
      </c>
    </row>
    <row r="145" spans="3:7" ht="25.5" customHeight="1">
      <c r="C145" s="50" t="s">
        <v>116</v>
      </c>
      <c r="D145" s="88" t="s">
        <v>317</v>
      </c>
      <c r="E145" s="89"/>
      <c r="F145" s="89"/>
      <c r="G145" s="89"/>
    </row>
    <row r="146" spans="1:8" ht="12.75">
      <c r="A146" s="4" t="s">
        <v>44</v>
      </c>
      <c r="B146" s="4"/>
      <c r="C146" s="4" t="s">
        <v>160</v>
      </c>
      <c r="D146" s="4" t="s">
        <v>318</v>
      </c>
      <c r="E146" s="4" t="s">
        <v>439</v>
      </c>
      <c r="F146" s="4" t="s">
        <v>593</v>
      </c>
      <c r="G146" s="19">
        <v>2.49</v>
      </c>
      <c r="H146" s="30" t="s">
        <v>463</v>
      </c>
    </row>
    <row r="147" spans="1:7" ht="12.75">
      <c r="A147" s="4"/>
      <c r="B147" s="4"/>
      <c r="C147" s="4"/>
      <c r="D147" s="4"/>
      <c r="E147" s="4"/>
      <c r="F147" s="4" t="s">
        <v>594</v>
      </c>
      <c r="G147" s="19">
        <v>2.49</v>
      </c>
    </row>
    <row r="148" spans="3:7" ht="12.75" customHeight="1">
      <c r="C148" s="50" t="s">
        <v>116</v>
      </c>
      <c r="D148" s="88" t="s">
        <v>319</v>
      </c>
      <c r="E148" s="89"/>
      <c r="F148" s="89"/>
      <c r="G148" s="89"/>
    </row>
    <row r="149" spans="1:8" ht="12.75">
      <c r="A149" s="4" t="s">
        <v>45</v>
      </c>
      <c r="B149" s="4"/>
      <c r="C149" s="4" t="s">
        <v>161</v>
      </c>
      <c r="D149" s="4" t="s">
        <v>320</v>
      </c>
      <c r="E149" s="4" t="s">
        <v>441</v>
      </c>
      <c r="F149" s="4" t="s">
        <v>577</v>
      </c>
      <c r="G149" s="19">
        <v>73.22</v>
      </c>
      <c r="H149" s="30" t="s">
        <v>463</v>
      </c>
    </row>
    <row r="150" spans="1:7" ht="12.75">
      <c r="A150" s="4"/>
      <c r="B150" s="4"/>
      <c r="C150" s="4"/>
      <c r="D150" s="4"/>
      <c r="E150" s="4"/>
      <c r="F150" s="4" t="s">
        <v>578</v>
      </c>
      <c r="G150" s="19">
        <v>28.82</v>
      </c>
    </row>
    <row r="151" spans="3:7" ht="12.75" customHeight="1">
      <c r="C151" s="50" t="s">
        <v>116</v>
      </c>
      <c r="D151" s="88" t="s">
        <v>321</v>
      </c>
      <c r="E151" s="89"/>
      <c r="F151" s="89"/>
      <c r="G151" s="89"/>
    </row>
    <row r="152" spans="1:8" ht="12.75">
      <c r="A152" s="4" t="s">
        <v>46</v>
      </c>
      <c r="B152" s="4"/>
      <c r="C152" s="4" t="s">
        <v>162</v>
      </c>
      <c r="D152" s="4" t="s">
        <v>322</v>
      </c>
      <c r="E152" s="4" t="s">
        <v>441</v>
      </c>
      <c r="F152" s="4" t="s">
        <v>577</v>
      </c>
      <c r="G152" s="19">
        <v>73.22</v>
      </c>
      <c r="H152" s="30" t="s">
        <v>463</v>
      </c>
    </row>
    <row r="153" spans="1:7" ht="12.75">
      <c r="A153" s="4"/>
      <c r="B153" s="4"/>
      <c r="C153" s="4"/>
      <c r="D153" s="4"/>
      <c r="E153" s="4"/>
      <c r="F153" s="4" t="s">
        <v>578</v>
      </c>
      <c r="G153" s="19">
        <v>28.82</v>
      </c>
    </row>
    <row r="154" spans="3:7" ht="25.5" customHeight="1">
      <c r="C154" s="50" t="s">
        <v>116</v>
      </c>
      <c r="D154" s="88" t="s">
        <v>323</v>
      </c>
      <c r="E154" s="89"/>
      <c r="F154" s="89"/>
      <c r="G154" s="89"/>
    </row>
    <row r="155" spans="1:8" ht="12.75">
      <c r="A155" s="4" t="s">
        <v>47</v>
      </c>
      <c r="B155" s="4"/>
      <c r="C155" s="4" t="s">
        <v>163</v>
      </c>
      <c r="D155" s="4" t="s">
        <v>324</v>
      </c>
      <c r="E155" s="4" t="s">
        <v>441</v>
      </c>
      <c r="F155" s="4"/>
      <c r="G155" s="19">
        <v>11.01</v>
      </c>
      <c r="H155" s="30" t="s">
        <v>463</v>
      </c>
    </row>
    <row r="156" spans="1:7" ht="12.75">
      <c r="A156" s="4"/>
      <c r="B156" s="4"/>
      <c r="C156" s="4"/>
      <c r="D156" s="4"/>
      <c r="E156" s="4"/>
      <c r="F156" s="4" t="s">
        <v>595</v>
      </c>
      <c r="G156" s="19">
        <v>11.01</v>
      </c>
    </row>
    <row r="157" spans="3:7" ht="12.75" customHeight="1">
      <c r="C157" s="50" t="s">
        <v>116</v>
      </c>
      <c r="D157" s="88" t="s">
        <v>325</v>
      </c>
      <c r="E157" s="89"/>
      <c r="F157" s="89"/>
      <c r="G157" s="89"/>
    </row>
    <row r="158" spans="1:8" ht="12.75">
      <c r="A158" s="4" t="s">
        <v>48</v>
      </c>
      <c r="B158" s="4"/>
      <c r="C158" s="4" t="s">
        <v>164</v>
      </c>
      <c r="D158" s="4" t="s">
        <v>326</v>
      </c>
      <c r="E158" s="4" t="s">
        <v>441</v>
      </c>
      <c r="F158" s="4" t="s">
        <v>577</v>
      </c>
      <c r="G158" s="19">
        <v>73.22</v>
      </c>
      <c r="H158" s="30" t="s">
        <v>463</v>
      </c>
    </row>
    <row r="159" spans="1:7" ht="12.75">
      <c r="A159" s="4"/>
      <c r="B159" s="4"/>
      <c r="C159" s="4"/>
      <c r="D159" s="4"/>
      <c r="E159" s="4"/>
      <c r="F159" s="4" t="s">
        <v>578</v>
      </c>
      <c r="G159" s="19">
        <v>28.82</v>
      </c>
    </row>
    <row r="160" spans="1:8" ht="12.75">
      <c r="A160" s="4" t="s">
        <v>49</v>
      </c>
      <c r="B160" s="4"/>
      <c r="C160" s="4" t="s">
        <v>166</v>
      </c>
      <c r="D160" s="4" t="s">
        <v>328</v>
      </c>
      <c r="E160" s="4" t="s">
        <v>439</v>
      </c>
      <c r="F160" s="4" t="s">
        <v>596</v>
      </c>
      <c r="G160" s="19">
        <v>34.62</v>
      </c>
      <c r="H160" s="30" t="s">
        <v>463</v>
      </c>
    </row>
    <row r="161" spans="1:8" ht="12.75">
      <c r="A161" s="4" t="s">
        <v>50</v>
      </c>
      <c r="B161" s="4"/>
      <c r="C161" s="4" t="s">
        <v>167</v>
      </c>
      <c r="D161" s="4" t="s">
        <v>329</v>
      </c>
      <c r="E161" s="4" t="s">
        <v>441</v>
      </c>
      <c r="F161" s="4" t="s">
        <v>597</v>
      </c>
      <c r="G161" s="19">
        <v>424.2</v>
      </c>
      <c r="H161" s="30" t="s">
        <v>463</v>
      </c>
    </row>
    <row r="162" spans="1:7" ht="12.75">
      <c r="A162" s="4"/>
      <c r="B162" s="4"/>
      <c r="C162" s="4"/>
      <c r="D162" s="4"/>
      <c r="E162" s="4"/>
      <c r="F162" s="4" t="s">
        <v>598</v>
      </c>
      <c r="G162" s="19">
        <v>88.64</v>
      </c>
    </row>
    <row r="163" spans="1:7" ht="12.75">
      <c r="A163" s="4"/>
      <c r="B163" s="4"/>
      <c r="C163" s="4"/>
      <c r="D163" s="4"/>
      <c r="E163" s="4"/>
      <c r="F163" s="4" t="s">
        <v>599</v>
      </c>
      <c r="G163" s="19">
        <v>44.56</v>
      </c>
    </row>
    <row r="164" spans="1:7" ht="12.75">
      <c r="A164" s="4"/>
      <c r="B164" s="4"/>
      <c r="C164" s="4"/>
      <c r="D164" s="4"/>
      <c r="E164" s="4"/>
      <c r="F164" s="4" t="s">
        <v>600</v>
      </c>
      <c r="G164" s="19">
        <v>38.55</v>
      </c>
    </row>
    <row r="165" spans="3:7" ht="25.5" customHeight="1">
      <c r="C165" s="50" t="s">
        <v>116</v>
      </c>
      <c r="D165" s="88" t="s">
        <v>330</v>
      </c>
      <c r="E165" s="89"/>
      <c r="F165" s="89"/>
      <c r="G165" s="89"/>
    </row>
    <row r="166" spans="1:8" ht="12.75">
      <c r="A166" s="4" t="s">
        <v>51</v>
      </c>
      <c r="B166" s="4"/>
      <c r="C166" s="4" t="s">
        <v>168</v>
      </c>
      <c r="D166" s="4" t="s">
        <v>331</v>
      </c>
      <c r="E166" s="4" t="s">
        <v>442</v>
      </c>
      <c r="F166" s="4" t="s">
        <v>601</v>
      </c>
      <c r="G166" s="19">
        <v>23</v>
      </c>
      <c r="H166" s="30" t="s">
        <v>463</v>
      </c>
    </row>
    <row r="167" spans="1:7" ht="12.75">
      <c r="A167" s="4"/>
      <c r="B167" s="4"/>
      <c r="C167" s="4"/>
      <c r="D167" s="4"/>
      <c r="E167" s="4"/>
      <c r="F167" s="4" t="s">
        <v>602</v>
      </c>
      <c r="G167" s="19">
        <v>15</v>
      </c>
    </row>
    <row r="168" spans="1:8" ht="12.75">
      <c r="A168" s="4" t="s">
        <v>52</v>
      </c>
      <c r="B168" s="4"/>
      <c r="C168" s="4" t="s">
        <v>169</v>
      </c>
      <c r="D168" s="4" t="s">
        <v>332</v>
      </c>
      <c r="E168" s="4" t="s">
        <v>442</v>
      </c>
      <c r="F168" s="4" t="s">
        <v>603</v>
      </c>
      <c r="G168" s="19">
        <v>33</v>
      </c>
      <c r="H168" s="30" t="s">
        <v>463</v>
      </c>
    </row>
    <row r="169" spans="1:8" ht="12.75">
      <c r="A169" s="4" t="s">
        <v>53</v>
      </c>
      <c r="B169" s="4"/>
      <c r="C169" s="4" t="s">
        <v>170</v>
      </c>
      <c r="D169" s="4" t="s">
        <v>333</v>
      </c>
      <c r="E169" s="4" t="s">
        <v>442</v>
      </c>
      <c r="F169" s="4" t="s">
        <v>604</v>
      </c>
      <c r="G169" s="19">
        <v>8</v>
      </c>
      <c r="H169" s="30" t="s">
        <v>463</v>
      </c>
    </row>
    <row r="170" spans="1:8" ht="12.75">
      <c r="A170" s="4" t="s">
        <v>54</v>
      </c>
      <c r="B170" s="4"/>
      <c r="C170" s="4" t="s">
        <v>171</v>
      </c>
      <c r="D170" s="4" t="s">
        <v>334</v>
      </c>
      <c r="E170" s="4" t="s">
        <v>442</v>
      </c>
      <c r="F170" s="4" t="s">
        <v>605</v>
      </c>
      <c r="G170" s="19">
        <v>8</v>
      </c>
      <c r="H170" s="30" t="s">
        <v>463</v>
      </c>
    </row>
    <row r="171" spans="1:8" ht="12.75">
      <c r="A171" s="4" t="s">
        <v>55</v>
      </c>
      <c r="B171" s="4"/>
      <c r="C171" s="4" t="s">
        <v>172</v>
      </c>
      <c r="D171" s="4" t="s">
        <v>335</v>
      </c>
      <c r="E171" s="4" t="s">
        <v>442</v>
      </c>
      <c r="F171" s="4" t="s">
        <v>7</v>
      </c>
      <c r="G171" s="19">
        <v>1</v>
      </c>
      <c r="H171" s="30" t="s">
        <v>463</v>
      </c>
    </row>
    <row r="172" spans="1:8" ht="12.75">
      <c r="A172" s="4" t="s">
        <v>56</v>
      </c>
      <c r="B172" s="4"/>
      <c r="C172" s="4" t="s">
        <v>173</v>
      </c>
      <c r="D172" s="4" t="s">
        <v>336</v>
      </c>
      <c r="E172" s="4" t="s">
        <v>442</v>
      </c>
      <c r="F172" s="4" t="s">
        <v>7</v>
      </c>
      <c r="G172" s="19">
        <v>1</v>
      </c>
      <c r="H172" s="30" t="s">
        <v>463</v>
      </c>
    </row>
    <row r="173" spans="1:8" ht="12.75">
      <c r="A173" s="4" t="s">
        <v>57</v>
      </c>
      <c r="B173" s="4"/>
      <c r="C173" s="4" t="s">
        <v>174</v>
      </c>
      <c r="D173" s="4" t="s">
        <v>337</v>
      </c>
      <c r="E173" s="4" t="s">
        <v>442</v>
      </c>
      <c r="F173" s="4" t="s">
        <v>591</v>
      </c>
      <c r="G173" s="19">
        <v>9.6</v>
      </c>
      <c r="H173" s="30" t="s">
        <v>463</v>
      </c>
    </row>
    <row r="174" spans="1:8" ht="12.75">
      <c r="A174" s="4" t="s">
        <v>58</v>
      </c>
      <c r="B174" s="4"/>
      <c r="C174" s="4" t="s">
        <v>175</v>
      </c>
      <c r="D174" s="4" t="s">
        <v>338</v>
      </c>
      <c r="E174" s="4" t="s">
        <v>442</v>
      </c>
      <c r="F174" s="4" t="s">
        <v>606</v>
      </c>
      <c r="G174" s="19">
        <v>86.1</v>
      </c>
      <c r="H174" s="30" t="s">
        <v>463</v>
      </c>
    </row>
    <row r="175" spans="1:7" ht="12.75">
      <c r="A175" s="4"/>
      <c r="B175" s="4"/>
      <c r="C175" s="4"/>
      <c r="D175" s="4"/>
      <c r="E175" s="4"/>
      <c r="F175" s="4" t="s">
        <v>607</v>
      </c>
      <c r="G175" s="19">
        <v>16.8</v>
      </c>
    </row>
    <row r="176" spans="1:8" ht="12.75">
      <c r="A176" s="4" t="s">
        <v>59</v>
      </c>
      <c r="B176" s="4"/>
      <c r="C176" s="4" t="s">
        <v>177</v>
      </c>
      <c r="D176" s="4" t="s">
        <v>340</v>
      </c>
      <c r="E176" s="4" t="s">
        <v>439</v>
      </c>
      <c r="F176" s="4" t="s">
        <v>608</v>
      </c>
      <c r="G176" s="19">
        <v>8.47</v>
      </c>
      <c r="H176" s="30" t="s">
        <v>463</v>
      </c>
    </row>
    <row r="177" spans="1:8" ht="12.75">
      <c r="A177" s="4" t="s">
        <v>60</v>
      </c>
      <c r="B177" s="4"/>
      <c r="C177" s="4" t="s">
        <v>178</v>
      </c>
      <c r="D177" s="4" t="s">
        <v>341</v>
      </c>
      <c r="E177" s="4" t="s">
        <v>441</v>
      </c>
      <c r="F177" s="4" t="s">
        <v>609</v>
      </c>
      <c r="G177" s="19">
        <v>33.6</v>
      </c>
      <c r="H177" s="30" t="s">
        <v>463</v>
      </c>
    </row>
    <row r="178" spans="1:8" ht="12.75">
      <c r="A178" s="4" t="s">
        <v>61</v>
      </c>
      <c r="B178" s="4"/>
      <c r="C178" s="4" t="s">
        <v>179</v>
      </c>
      <c r="D178" s="4" t="s">
        <v>342</v>
      </c>
      <c r="E178" s="4" t="s">
        <v>442</v>
      </c>
      <c r="F178" s="4" t="s">
        <v>610</v>
      </c>
      <c r="G178" s="19">
        <v>144</v>
      </c>
      <c r="H178" s="30" t="s">
        <v>463</v>
      </c>
    </row>
    <row r="179" spans="1:8" ht="12.75">
      <c r="A179" s="4" t="s">
        <v>62</v>
      </c>
      <c r="B179" s="4"/>
      <c r="C179" s="4" t="s">
        <v>180</v>
      </c>
      <c r="D179" s="4" t="s">
        <v>343</v>
      </c>
      <c r="E179" s="4" t="s">
        <v>443</v>
      </c>
      <c r="F179" s="4" t="s">
        <v>611</v>
      </c>
      <c r="G179" s="19">
        <v>150</v>
      </c>
      <c r="H179" s="30" t="s">
        <v>463</v>
      </c>
    </row>
    <row r="180" spans="1:8" ht="12.75">
      <c r="A180" s="4" t="s">
        <v>63</v>
      </c>
      <c r="B180" s="4"/>
      <c r="C180" s="4" t="s">
        <v>181</v>
      </c>
      <c r="D180" s="4" t="s">
        <v>344</v>
      </c>
      <c r="E180" s="4" t="s">
        <v>443</v>
      </c>
      <c r="F180" s="4" t="s">
        <v>612</v>
      </c>
      <c r="G180" s="19">
        <v>680</v>
      </c>
      <c r="H180" s="30" t="s">
        <v>463</v>
      </c>
    </row>
    <row r="181" spans="1:8" ht="12.75">
      <c r="A181" s="4" t="s">
        <v>64</v>
      </c>
      <c r="B181" s="4"/>
      <c r="C181" s="4" t="s">
        <v>182</v>
      </c>
      <c r="D181" s="4" t="s">
        <v>345</v>
      </c>
      <c r="E181" s="4" t="s">
        <v>443</v>
      </c>
      <c r="F181" s="4" t="s">
        <v>613</v>
      </c>
      <c r="G181" s="19">
        <v>250</v>
      </c>
      <c r="H181" s="30" t="s">
        <v>463</v>
      </c>
    </row>
    <row r="182" spans="1:8" ht="12.75">
      <c r="A182" s="4" t="s">
        <v>65</v>
      </c>
      <c r="B182" s="4"/>
      <c r="C182" s="4" t="s">
        <v>184</v>
      </c>
      <c r="D182" s="4" t="s">
        <v>347</v>
      </c>
      <c r="E182" s="4" t="s">
        <v>441</v>
      </c>
      <c r="F182" s="4" t="s">
        <v>614</v>
      </c>
      <c r="G182" s="19">
        <v>7.2</v>
      </c>
      <c r="H182" s="30" t="s">
        <v>463</v>
      </c>
    </row>
    <row r="183" spans="3:7" ht="12.75" customHeight="1">
      <c r="C183" s="50" t="s">
        <v>116</v>
      </c>
      <c r="D183" s="88" t="s">
        <v>348</v>
      </c>
      <c r="E183" s="89"/>
      <c r="F183" s="89"/>
      <c r="G183" s="89"/>
    </row>
    <row r="184" spans="1:8" ht="12.75">
      <c r="A184" s="4" t="s">
        <v>66</v>
      </c>
      <c r="B184" s="4"/>
      <c r="C184" s="4" t="s">
        <v>185</v>
      </c>
      <c r="D184" s="4" t="s">
        <v>349</v>
      </c>
      <c r="E184" s="4" t="s">
        <v>441</v>
      </c>
      <c r="F184" s="4" t="s">
        <v>614</v>
      </c>
      <c r="G184" s="19">
        <v>7.2</v>
      </c>
      <c r="H184" s="30" t="s">
        <v>463</v>
      </c>
    </row>
    <row r="185" spans="3:7" ht="38.25" customHeight="1">
      <c r="C185" s="50" t="s">
        <v>116</v>
      </c>
      <c r="D185" s="88" t="s">
        <v>350</v>
      </c>
      <c r="E185" s="89"/>
      <c r="F185" s="89"/>
      <c r="G185" s="89"/>
    </row>
    <row r="186" spans="1:8" ht="12.75">
      <c r="A186" s="4" t="s">
        <v>67</v>
      </c>
      <c r="B186" s="4"/>
      <c r="C186" s="4" t="s">
        <v>186</v>
      </c>
      <c r="D186" s="4" t="s">
        <v>351</v>
      </c>
      <c r="E186" s="4" t="s">
        <v>441</v>
      </c>
      <c r="F186" s="4" t="s">
        <v>614</v>
      </c>
      <c r="G186" s="19">
        <v>7.2</v>
      </c>
      <c r="H186" s="30" t="s">
        <v>463</v>
      </c>
    </row>
    <row r="187" spans="3:7" ht="38.25" customHeight="1">
      <c r="C187" s="50" t="s">
        <v>116</v>
      </c>
      <c r="D187" s="88" t="s">
        <v>352</v>
      </c>
      <c r="E187" s="89"/>
      <c r="F187" s="89"/>
      <c r="G187" s="89"/>
    </row>
    <row r="188" spans="1:8" ht="12.75">
      <c r="A188" s="4" t="s">
        <v>68</v>
      </c>
      <c r="B188" s="4"/>
      <c r="C188" s="4" t="s">
        <v>187</v>
      </c>
      <c r="D188" s="4" t="s">
        <v>353</v>
      </c>
      <c r="E188" s="4" t="s">
        <v>441</v>
      </c>
      <c r="F188" s="4" t="s">
        <v>615</v>
      </c>
      <c r="G188" s="19">
        <v>3</v>
      </c>
      <c r="H188" s="30" t="s">
        <v>463</v>
      </c>
    </row>
    <row r="189" spans="3:7" ht="38.25" customHeight="1">
      <c r="C189" s="50" t="s">
        <v>116</v>
      </c>
      <c r="D189" s="88" t="s">
        <v>354</v>
      </c>
      <c r="E189" s="89"/>
      <c r="F189" s="89"/>
      <c r="G189" s="89"/>
    </row>
    <row r="190" spans="1:8" ht="12.75">
      <c r="A190" s="4" t="s">
        <v>69</v>
      </c>
      <c r="B190" s="4"/>
      <c r="C190" s="4" t="s">
        <v>188</v>
      </c>
      <c r="D190" s="4" t="s">
        <v>355</v>
      </c>
      <c r="E190" s="4" t="s">
        <v>439</v>
      </c>
      <c r="F190" s="4" t="s">
        <v>616</v>
      </c>
      <c r="G190" s="19">
        <v>5.4</v>
      </c>
      <c r="H190" s="30" t="s">
        <v>463</v>
      </c>
    </row>
    <row r="191" spans="3:7" ht="38.25" customHeight="1">
      <c r="C191" s="50" t="s">
        <v>116</v>
      </c>
      <c r="D191" s="88" t="s">
        <v>356</v>
      </c>
      <c r="E191" s="89"/>
      <c r="F191" s="89"/>
      <c r="G191" s="89"/>
    </row>
    <row r="192" spans="1:8" ht="12.75">
      <c r="A192" s="6" t="s">
        <v>70</v>
      </c>
      <c r="B192" s="6"/>
      <c r="C192" s="6" t="s">
        <v>189</v>
      </c>
      <c r="D192" s="6" t="s">
        <v>357</v>
      </c>
      <c r="E192" s="6" t="s">
        <v>439</v>
      </c>
      <c r="F192" s="6" t="s">
        <v>617</v>
      </c>
      <c r="G192" s="20">
        <v>0.91</v>
      </c>
      <c r="H192" s="31" t="s">
        <v>463</v>
      </c>
    </row>
    <row r="193" spans="3:7" ht="51" customHeight="1">
      <c r="C193" s="50" t="s">
        <v>116</v>
      </c>
      <c r="D193" s="88" t="s">
        <v>358</v>
      </c>
      <c r="E193" s="89"/>
      <c r="F193" s="89"/>
      <c r="G193" s="89"/>
    </row>
    <row r="194" spans="1:8" ht="12.75">
      <c r="A194" s="6" t="s">
        <v>71</v>
      </c>
      <c r="B194" s="6"/>
      <c r="C194" s="6" t="s">
        <v>190</v>
      </c>
      <c r="D194" s="6" t="s">
        <v>359</v>
      </c>
      <c r="E194" s="6" t="s">
        <v>439</v>
      </c>
      <c r="F194" s="6" t="s">
        <v>618</v>
      </c>
      <c r="G194" s="20">
        <v>9.1195</v>
      </c>
      <c r="H194" s="31" t="s">
        <v>463</v>
      </c>
    </row>
    <row r="195" spans="1:7" ht="12.75">
      <c r="A195" s="6"/>
      <c r="B195" s="6"/>
      <c r="C195" s="6"/>
      <c r="D195" s="6"/>
      <c r="E195" s="6"/>
      <c r="F195" s="6" t="s">
        <v>619</v>
      </c>
      <c r="G195" s="20">
        <v>1.1895</v>
      </c>
    </row>
    <row r="196" spans="3:7" ht="25.5" customHeight="1">
      <c r="C196" s="50" t="s">
        <v>116</v>
      </c>
      <c r="D196" s="88" t="s">
        <v>360</v>
      </c>
      <c r="E196" s="89"/>
      <c r="F196" s="89"/>
      <c r="G196" s="89"/>
    </row>
    <row r="197" spans="1:8" ht="12.75">
      <c r="A197" s="4" t="s">
        <v>72</v>
      </c>
      <c r="B197" s="4"/>
      <c r="C197" s="4" t="s">
        <v>192</v>
      </c>
      <c r="D197" s="4" t="s">
        <v>362</v>
      </c>
      <c r="E197" s="4" t="s">
        <v>439</v>
      </c>
      <c r="F197" s="4" t="s">
        <v>620</v>
      </c>
      <c r="G197" s="19">
        <v>710</v>
      </c>
      <c r="H197" s="30" t="s">
        <v>463</v>
      </c>
    </row>
    <row r="198" spans="1:8" ht="12.75">
      <c r="A198" s="4" t="s">
        <v>73</v>
      </c>
      <c r="B198" s="4"/>
      <c r="C198" s="4" t="s">
        <v>193</v>
      </c>
      <c r="D198" s="4" t="s">
        <v>363</v>
      </c>
      <c r="E198" s="4" t="s">
        <v>439</v>
      </c>
      <c r="F198" s="4" t="s">
        <v>620</v>
      </c>
      <c r="G198" s="19">
        <v>710</v>
      </c>
      <c r="H198" s="30" t="s">
        <v>463</v>
      </c>
    </row>
    <row r="199" spans="3:7" ht="12.75" customHeight="1">
      <c r="C199" s="50" t="s">
        <v>116</v>
      </c>
      <c r="D199" s="88" t="s">
        <v>364</v>
      </c>
      <c r="E199" s="89"/>
      <c r="F199" s="89"/>
      <c r="G199" s="89"/>
    </row>
    <row r="200" spans="1:8" ht="12.75">
      <c r="A200" s="4" t="s">
        <v>74</v>
      </c>
      <c r="B200" s="4"/>
      <c r="C200" s="4" t="s">
        <v>194</v>
      </c>
      <c r="D200" s="4" t="s">
        <v>366</v>
      </c>
      <c r="E200" s="4" t="s">
        <v>444</v>
      </c>
      <c r="F200" s="4" t="s">
        <v>106</v>
      </c>
      <c r="G200" s="19">
        <v>100</v>
      </c>
      <c r="H200" s="30" t="s">
        <v>463</v>
      </c>
    </row>
    <row r="201" spans="3:7" ht="76.5" customHeight="1">
      <c r="C201" s="50" t="s">
        <v>116</v>
      </c>
      <c r="D201" s="88" t="s">
        <v>524</v>
      </c>
      <c r="E201" s="89"/>
      <c r="F201" s="89"/>
      <c r="G201" s="89"/>
    </row>
    <row r="202" spans="4:7" ht="76.5" customHeight="1">
      <c r="D202" s="88" t="s">
        <v>525</v>
      </c>
      <c r="E202" s="89"/>
      <c r="F202" s="89"/>
      <c r="G202" s="89"/>
    </row>
    <row r="203" spans="1:8" ht="12.75">
      <c r="A203" s="4" t="s">
        <v>75</v>
      </c>
      <c r="B203" s="4"/>
      <c r="C203" s="4" t="s">
        <v>195</v>
      </c>
      <c r="D203" s="4" t="s">
        <v>369</v>
      </c>
      <c r="E203" s="4" t="s">
        <v>444</v>
      </c>
      <c r="F203" s="4" t="s">
        <v>16</v>
      </c>
      <c r="G203" s="19">
        <v>10</v>
      </c>
      <c r="H203" s="30" t="s">
        <v>463</v>
      </c>
    </row>
    <row r="204" spans="3:7" ht="76.5" customHeight="1">
      <c r="C204" s="50" t="s">
        <v>116</v>
      </c>
      <c r="D204" s="88" t="s">
        <v>524</v>
      </c>
      <c r="E204" s="89"/>
      <c r="F204" s="89"/>
      <c r="G204" s="89"/>
    </row>
    <row r="205" spans="4:7" ht="76.5" customHeight="1">
      <c r="D205" s="88" t="s">
        <v>525</v>
      </c>
      <c r="E205" s="89"/>
      <c r="F205" s="89"/>
      <c r="G205" s="89"/>
    </row>
    <row r="206" spans="1:8" ht="12.75">
      <c r="A206" s="4" t="s">
        <v>76</v>
      </c>
      <c r="B206" s="4"/>
      <c r="C206" s="4" t="s">
        <v>196</v>
      </c>
      <c r="D206" s="4" t="s">
        <v>370</v>
      </c>
      <c r="E206" s="4" t="s">
        <v>444</v>
      </c>
      <c r="F206" s="4" t="s">
        <v>16</v>
      </c>
      <c r="G206" s="19">
        <v>10</v>
      </c>
      <c r="H206" s="30" t="s">
        <v>463</v>
      </c>
    </row>
    <row r="207" spans="3:7" ht="76.5" customHeight="1">
      <c r="C207" s="50" t="s">
        <v>116</v>
      </c>
      <c r="D207" s="88" t="s">
        <v>524</v>
      </c>
      <c r="E207" s="89"/>
      <c r="F207" s="89"/>
      <c r="G207" s="89"/>
    </row>
    <row r="208" spans="4:7" ht="76.5" customHeight="1">
      <c r="D208" s="88" t="s">
        <v>525</v>
      </c>
      <c r="E208" s="89"/>
      <c r="F208" s="89"/>
      <c r="G208" s="89"/>
    </row>
    <row r="209" spans="1:8" ht="12.75">
      <c r="A209" s="4" t="s">
        <v>77</v>
      </c>
      <c r="B209" s="4"/>
      <c r="C209" s="4" t="s">
        <v>197</v>
      </c>
      <c r="D209" s="4" t="s">
        <v>371</v>
      </c>
      <c r="E209" s="4" t="s">
        <v>444</v>
      </c>
      <c r="F209" s="4" t="s">
        <v>16</v>
      </c>
      <c r="G209" s="19">
        <v>10</v>
      </c>
      <c r="H209" s="30" t="s">
        <v>463</v>
      </c>
    </row>
    <row r="210" spans="3:7" ht="76.5" customHeight="1">
      <c r="C210" s="50" t="s">
        <v>116</v>
      </c>
      <c r="D210" s="88" t="s">
        <v>524</v>
      </c>
      <c r="E210" s="89"/>
      <c r="F210" s="89"/>
      <c r="G210" s="89"/>
    </row>
    <row r="211" spans="4:7" ht="76.5" customHeight="1">
      <c r="D211" s="88" t="s">
        <v>525</v>
      </c>
      <c r="E211" s="89"/>
      <c r="F211" s="89"/>
      <c r="G211" s="89"/>
    </row>
    <row r="212" spans="1:8" ht="12.75">
      <c r="A212" s="4" t="s">
        <v>78</v>
      </c>
      <c r="B212" s="4"/>
      <c r="C212" s="4" t="s">
        <v>198</v>
      </c>
      <c r="D212" s="4" t="s">
        <v>373</v>
      </c>
      <c r="E212" s="4" t="s">
        <v>439</v>
      </c>
      <c r="F212" s="4"/>
      <c r="G212" s="19">
        <v>710</v>
      </c>
      <c r="H212" s="30" t="s">
        <v>463</v>
      </c>
    </row>
    <row r="213" spans="3:7" ht="12.75" customHeight="1">
      <c r="C213" s="50" t="s">
        <v>116</v>
      </c>
      <c r="D213" s="88" t="s">
        <v>374</v>
      </c>
      <c r="E213" s="89"/>
      <c r="F213" s="89"/>
      <c r="G213" s="89"/>
    </row>
    <row r="214" spans="1:8" ht="12.75">
      <c r="A214" s="4" t="s">
        <v>79</v>
      </c>
      <c r="B214" s="4"/>
      <c r="C214" s="4" t="s">
        <v>199</v>
      </c>
      <c r="D214" s="4" t="s">
        <v>375</v>
      </c>
      <c r="E214" s="4" t="s">
        <v>439</v>
      </c>
      <c r="F214" s="4"/>
      <c r="G214" s="19">
        <v>710</v>
      </c>
      <c r="H214" s="30" t="s">
        <v>463</v>
      </c>
    </row>
    <row r="215" spans="3:7" ht="12.75" customHeight="1">
      <c r="C215" s="50" t="s">
        <v>116</v>
      </c>
      <c r="D215" s="88" t="s">
        <v>374</v>
      </c>
      <c r="E215" s="89"/>
      <c r="F215" s="89"/>
      <c r="G215" s="89"/>
    </row>
    <row r="216" spans="1:8" ht="12.75">
      <c r="A216" s="4" t="s">
        <v>80</v>
      </c>
      <c r="B216" s="4"/>
      <c r="C216" s="4" t="s">
        <v>200</v>
      </c>
      <c r="D216" s="4" t="s">
        <v>376</v>
      </c>
      <c r="E216" s="4" t="s">
        <v>439</v>
      </c>
      <c r="F216" s="4"/>
      <c r="G216" s="19">
        <v>710</v>
      </c>
      <c r="H216" s="30" t="s">
        <v>463</v>
      </c>
    </row>
    <row r="217" spans="1:8" ht="12.75">
      <c r="A217" s="4" t="s">
        <v>81</v>
      </c>
      <c r="B217" s="4"/>
      <c r="C217" s="4" t="s">
        <v>201</v>
      </c>
      <c r="D217" s="4" t="s">
        <v>377</v>
      </c>
      <c r="E217" s="4" t="s">
        <v>439</v>
      </c>
      <c r="F217" s="4"/>
      <c r="G217" s="19">
        <v>710</v>
      </c>
      <c r="H217" s="30" t="s">
        <v>463</v>
      </c>
    </row>
    <row r="218" spans="1:8" ht="12.75">
      <c r="A218" s="4" t="s">
        <v>82</v>
      </c>
      <c r="B218" s="4"/>
      <c r="C218" s="4" t="s">
        <v>202</v>
      </c>
      <c r="D218" s="4" t="s">
        <v>378</v>
      </c>
      <c r="E218" s="4" t="s">
        <v>439</v>
      </c>
      <c r="F218" s="4"/>
      <c r="G218" s="19">
        <v>710</v>
      </c>
      <c r="H218" s="30" t="s">
        <v>463</v>
      </c>
    </row>
    <row r="219" spans="1:8" ht="12.75">
      <c r="A219" s="4" t="s">
        <v>83</v>
      </c>
      <c r="B219" s="4"/>
      <c r="C219" s="4" t="s">
        <v>203</v>
      </c>
      <c r="D219" s="4" t="s">
        <v>379</v>
      </c>
      <c r="E219" s="4" t="s">
        <v>439</v>
      </c>
      <c r="F219" s="4" t="s">
        <v>621</v>
      </c>
      <c r="G219" s="19">
        <v>31950</v>
      </c>
      <c r="H219" s="30" t="s">
        <v>463</v>
      </c>
    </row>
    <row r="220" spans="3:7" ht="12.75" customHeight="1">
      <c r="C220" s="50" t="s">
        <v>116</v>
      </c>
      <c r="D220" s="88" t="s">
        <v>380</v>
      </c>
      <c r="E220" s="89"/>
      <c r="F220" s="89"/>
      <c r="G220" s="89"/>
    </row>
    <row r="221" spans="1:8" ht="12.75">
      <c r="A221" s="4" t="s">
        <v>84</v>
      </c>
      <c r="B221" s="4"/>
      <c r="C221" s="4" t="s">
        <v>204</v>
      </c>
      <c r="D221" s="4" t="s">
        <v>382</v>
      </c>
      <c r="E221" s="4" t="s">
        <v>442</v>
      </c>
      <c r="F221" s="4" t="s">
        <v>622</v>
      </c>
      <c r="G221" s="19">
        <v>144</v>
      </c>
      <c r="H221" s="30" t="s">
        <v>463</v>
      </c>
    </row>
    <row r="222" spans="3:7" ht="25.5" customHeight="1">
      <c r="C222" s="50" t="s">
        <v>116</v>
      </c>
      <c r="D222" s="88" t="s">
        <v>383</v>
      </c>
      <c r="E222" s="89"/>
      <c r="F222" s="89"/>
      <c r="G222" s="89"/>
    </row>
    <row r="223" spans="1:8" ht="12.75">
      <c r="A223" s="4" t="s">
        <v>85</v>
      </c>
      <c r="B223" s="4"/>
      <c r="C223" s="4" t="s">
        <v>205</v>
      </c>
      <c r="D223" s="4" t="s">
        <v>385</v>
      </c>
      <c r="E223" s="4" t="s">
        <v>439</v>
      </c>
      <c r="F223" s="4" t="s">
        <v>623</v>
      </c>
      <c r="G223" s="19">
        <v>4.76</v>
      </c>
      <c r="H223" s="30" t="s">
        <v>463</v>
      </c>
    </row>
    <row r="224" spans="3:7" ht="25.5" customHeight="1">
      <c r="C224" s="50" t="s">
        <v>116</v>
      </c>
      <c r="D224" s="88" t="s">
        <v>386</v>
      </c>
      <c r="E224" s="89"/>
      <c r="F224" s="89"/>
      <c r="G224" s="89"/>
    </row>
    <row r="225" spans="1:8" ht="12.75">
      <c r="A225" s="4" t="s">
        <v>86</v>
      </c>
      <c r="B225" s="4"/>
      <c r="C225" s="4" t="s">
        <v>206</v>
      </c>
      <c r="D225" s="4" t="s">
        <v>387</v>
      </c>
      <c r="E225" s="4" t="s">
        <v>439</v>
      </c>
      <c r="F225" s="4" t="s">
        <v>624</v>
      </c>
      <c r="G225" s="19">
        <v>13.36</v>
      </c>
      <c r="H225" s="30" t="s">
        <v>463</v>
      </c>
    </row>
    <row r="226" spans="3:7" ht="25.5" customHeight="1">
      <c r="C226" s="50" t="s">
        <v>116</v>
      </c>
      <c r="D226" s="88" t="s">
        <v>388</v>
      </c>
      <c r="E226" s="89"/>
      <c r="F226" s="89"/>
      <c r="G226" s="89"/>
    </row>
    <row r="227" spans="1:8" ht="12.75">
      <c r="A227" s="4" t="s">
        <v>87</v>
      </c>
      <c r="B227" s="4"/>
      <c r="C227" s="4" t="s">
        <v>207</v>
      </c>
      <c r="D227" s="4" t="s">
        <v>389</v>
      </c>
      <c r="E227" s="4" t="s">
        <v>439</v>
      </c>
      <c r="F227" s="4" t="s">
        <v>625</v>
      </c>
      <c r="G227" s="19">
        <v>108.9</v>
      </c>
      <c r="H227" s="30" t="s">
        <v>463</v>
      </c>
    </row>
    <row r="228" spans="3:7" ht="25.5" customHeight="1">
      <c r="C228" s="50" t="s">
        <v>116</v>
      </c>
      <c r="D228" s="88" t="s">
        <v>388</v>
      </c>
      <c r="E228" s="89"/>
      <c r="F228" s="89"/>
      <c r="G228" s="89"/>
    </row>
    <row r="229" spans="1:8" ht="12.75">
      <c r="A229" s="4" t="s">
        <v>88</v>
      </c>
      <c r="B229" s="4"/>
      <c r="C229" s="4" t="s">
        <v>208</v>
      </c>
      <c r="D229" s="4" t="s">
        <v>390</v>
      </c>
      <c r="E229" s="4" t="s">
        <v>439</v>
      </c>
      <c r="F229" s="4" t="s">
        <v>626</v>
      </c>
      <c r="G229" s="19">
        <v>47.52</v>
      </c>
      <c r="H229" s="30" t="s">
        <v>463</v>
      </c>
    </row>
    <row r="230" spans="3:7" ht="25.5" customHeight="1">
      <c r="C230" s="50" t="s">
        <v>116</v>
      </c>
      <c r="D230" s="88" t="s">
        <v>388</v>
      </c>
      <c r="E230" s="89"/>
      <c r="F230" s="89"/>
      <c r="G230" s="89"/>
    </row>
    <row r="231" spans="1:8" ht="12.75">
      <c r="A231" s="4" t="s">
        <v>89</v>
      </c>
      <c r="B231" s="4"/>
      <c r="C231" s="4" t="s">
        <v>209</v>
      </c>
      <c r="D231" s="4" t="s">
        <v>391</v>
      </c>
      <c r="E231" s="4" t="s">
        <v>442</v>
      </c>
      <c r="F231" s="4" t="s">
        <v>20</v>
      </c>
      <c r="G231" s="19">
        <v>14</v>
      </c>
      <c r="H231" s="30" t="s">
        <v>463</v>
      </c>
    </row>
    <row r="232" spans="3:7" ht="25.5" customHeight="1">
      <c r="C232" s="50" t="s">
        <v>116</v>
      </c>
      <c r="D232" s="88" t="s">
        <v>392</v>
      </c>
      <c r="E232" s="89"/>
      <c r="F232" s="89"/>
      <c r="G232" s="89"/>
    </row>
    <row r="233" spans="1:8" ht="12.75">
      <c r="A233" s="4" t="s">
        <v>90</v>
      </c>
      <c r="B233" s="4"/>
      <c r="C233" s="4" t="s">
        <v>210</v>
      </c>
      <c r="D233" s="4" t="s">
        <v>393</v>
      </c>
      <c r="E233" s="4" t="s">
        <v>442</v>
      </c>
      <c r="F233" s="4" t="s">
        <v>627</v>
      </c>
      <c r="G233" s="19">
        <v>82</v>
      </c>
      <c r="H233" s="30" t="s">
        <v>463</v>
      </c>
    </row>
    <row r="234" spans="3:7" ht="25.5" customHeight="1">
      <c r="C234" s="50" t="s">
        <v>116</v>
      </c>
      <c r="D234" s="88" t="s">
        <v>392</v>
      </c>
      <c r="E234" s="89"/>
      <c r="F234" s="89"/>
      <c r="G234" s="89"/>
    </row>
    <row r="235" spans="1:8" ht="12.75">
      <c r="A235" s="4" t="s">
        <v>91</v>
      </c>
      <c r="B235" s="4"/>
      <c r="C235" s="4" t="s">
        <v>211</v>
      </c>
      <c r="D235" s="4" t="s">
        <v>394</v>
      </c>
      <c r="E235" s="4" t="s">
        <v>442</v>
      </c>
      <c r="F235" s="4" t="s">
        <v>628</v>
      </c>
      <c r="G235" s="19">
        <v>8</v>
      </c>
      <c r="H235" s="30" t="s">
        <v>463</v>
      </c>
    </row>
    <row r="236" spans="3:7" ht="25.5" customHeight="1">
      <c r="C236" s="50" t="s">
        <v>116</v>
      </c>
      <c r="D236" s="88" t="s">
        <v>392</v>
      </c>
      <c r="E236" s="89"/>
      <c r="F236" s="89"/>
      <c r="G236" s="89"/>
    </row>
    <row r="237" spans="1:8" ht="12.75">
      <c r="A237" s="4" t="s">
        <v>92</v>
      </c>
      <c r="B237" s="4"/>
      <c r="C237" s="4" t="s">
        <v>213</v>
      </c>
      <c r="D237" s="4" t="s">
        <v>396</v>
      </c>
      <c r="E237" s="4" t="s">
        <v>445</v>
      </c>
      <c r="F237" s="4"/>
      <c r="G237" s="19">
        <v>53.75962</v>
      </c>
      <c r="H237" s="30" t="s">
        <v>463</v>
      </c>
    </row>
    <row r="238" spans="3:7" ht="38.25" customHeight="1">
      <c r="C238" s="50" t="s">
        <v>116</v>
      </c>
      <c r="D238" s="88" t="s">
        <v>397</v>
      </c>
      <c r="E238" s="89"/>
      <c r="F238" s="89"/>
      <c r="G238" s="89"/>
    </row>
    <row r="239" spans="1:8" ht="12.75">
      <c r="A239" s="4" t="s">
        <v>93</v>
      </c>
      <c r="B239" s="4"/>
      <c r="C239" s="4" t="s">
        <v>215</v>
      </c>
      <c r="D239" s="4" t="s">
        <v>399</v>
      </c>
      <c r="E239" s="4" t="s">
        <v>442</v>
      </c>
      <c r="F239" s="4"/>
      <c r="G239" s="19">
        <v>1</v>
      </c>
      <c r="H239" s="30" t="s">
        <v>463</v>
      </c>
    </row>
    <row r="240" spans="3:7" ht="25.5" customHeight="1">
      <c r="C240" s="50" t="s">
        <v>116</v>
      </c>
      <c r="D240" s="88" t="s">
        <v>400</v>
      </c>
      <c r="E240" s="89"/>
      <c r="F240" s="89"/>
      <c r="G240" s="89"/>
    </row>
    <row r="241" spans="1:8" ht="12.75">
      <c r="A241" s="6" t="s">
        <v>94</v>
      </c>
      <c r="B241" s="6"/>
      <c r="C241" s="6" t="s">
        <v>216</v>
      </c>
      <c r="D241" s="6" t="s">
        <v>401</v>
      </c>
      <c r="E241" s="6" t="s">
        <v>442</v>
      </c>
      <c r="F241" s="6" t="s">
        <v>629</v>
      </c>
      <c r="G241" s="20">
        <v>25</v>
      </c>
      <c r="H241" s="31" t="s">
        <v>463</v>
      </c>
    </row>
    <row r="242" spans="3:7" ht="12.75" customHeight="1">
      <c r="C242" s="50" t="s">
        <v>116</v>
      </c>
      <c r="D242" s="88" t="s">
        <v>402</v>
      </c>
      <c r="E242" s="89"/>
      <c r="F242" s="89"/>
      <c r="G242" s="89"/>
    </row>
    <row r="243" spans="1:8" ht="12.75">
      <c r="A243" s="4" t="s">
        <v>95</v>
      </c>
      <c r="B243" s="4"/>
      <c r="C243" s="4" t="s">
        <v>217</v>
      </c>
      <c r="D243" s="4" t="s">
        <v>403</v>
      </c>
      <c r="E243" s="4" t="s">
        <v>442</v>
      </c>
      <c r="F243" s="4"/>
      <c r="G243" s="19">
        <v>2</v>
      </c>
      <c r="H243" s="30" t="s">
        <v>463</v>
      </c>
    </row>
    <row r="244" spans="1:8" ht="12.75">
      <c r="A244" s="4" t="s">
        <v>96</v>
      </c>
      <c r="B244" s="4"/>
      <c r="C244" s="4" t="s">
        <v>218</v>
      </c>
      <c r="D244" s="4" t="s">
        <v>404</v>
      </c>
      <c r="E244" s="4" t="s">
        <v>442</v>
      </c>
      <c r="F244" s="4"/>
      <c r="G244" s="19">
        <v>1</v>
      </c>
      <c r="H244" s="30" t="s">
        <v>463</v>
      </c>
    </row>
    <row r="245" spans="1:8" ht="12.75">
      <c r="A245" s="4" t="s">
        <v>97</v>
      </c>
      <c r="B245" s="4"/>
      <c r="C245" s="4" t="s">
        <v>220</v>
      </c>
      <c r="D245" s="4" t="s">
        <v>406</v>
      </c>
      <c r="E245" s="4" t="s">
        <v>445</v>
      </c>
      <c r="F245" s="4"/>
      <c r="G245" s="19">
        <v>10.42489</v>
      </c>
      <c r="H245" s="30" t="s">
        <v>463</v>
      </c>
    </row>
    <row r="246" spans="3:7" ht="25.5" customHeight="1">
      <c r="C246" s="50" t="s">
        <v>116</v>
      </c>
      <c r="D246" s="88" t="s">
        <v>407</v>
      </c>
      <c r="E246" s="89"/>
      <c r="F246" s="89"/>
      <c r="G246" s="89"/>
    </row>
    <row r="247" spans="1:8" ht="12.75">
      <c r="A247" s="4" t="s">
        <v>98</v>
      </c>
      <c r="B247" s="4"/>
      <c r="C247" s="4" t="s">
        <v>221</v>
      </c>
      <c r="D247" s="4" t="s">
        <v>408</v>
      </c>
      <c r="E247" s="4" t="s">
        <v>445</v>
      </c>
      <c r="F247" s="4" t="s">
        <v>630</v>
      </c>
      <c r="G247" s="19">
        <v>10.42489</v>
      </c>
      <c r="H247" s="30" t="s">
        <v>463</v>
      </c>
    </row>
    <row r="248" spans="1:8" ht="12.75">
      <c r="A248" s="4" t="s">
        <v>99</v>
      </c>
      <c r="B248" s="4"/>
      <c r="C248" s="4" t="s">
        <v>222</v>
      </c>
      <c r="D248" s="4" t="s">
        <v>409</v>
      </c>
      <c r="E248" s="4" t="s">
        <v>445</v>
      </c>
      <c r="F248" s="4" t="s">
        <v>631</v>
      </c>
      <c r="G248" s="19">
        <v>416.9956</v>
      </c>
      <c r="H248" s="30" t="s">
        <v>463</v>
      </c>
    </row>
    <row r="249" spans="1:8" ht="12.75">
      <c r="A249" s="4" t="s">
        <v>100</v>
      </c>
      <c r="B249" s="4"/>
      <c r="C249" s="4" t="s">
        <v>223</v>
      </c>
      <c r="D249" s="4" t="s">
        <v>410</v>
      </c>
      <c r="E249" s="4" t="s">
        <v>445</v>
      </c>
      <c r="F249" s="4" t="s">
        <v>630</v>
      </c>
      <c r="G249" s="19">
        <v>10.42489</v>
      </c>
      <c r="H249" s="30" t="s">
        <v>463</v>
      </c>
    </row>
    <row r="250" spans="1:8" ht="12.75">
      <c r="A250" s="4" t="s">
        <v>101</v>
      </c>
      <c r="B250" s="4"/>
      <c r="C250" s="4" t="s">
        <v>224</v>
      </c>
      <c r="D250" s="4" t="s">
        <v>411</v>
      </c>
      <c r="E250" s="4" t="s">
        <v>445</v>
      </c>
      <c r="F250" s="4" t="s">
        <v>630</v>
      </c>
      <c r="G250" s="19">
        <v>10.42489</v>
      </c>
      <c r="H250" s="30" t="s">
        <v>463</v>
      </c>
    </row>
    <row r="251" spans="3:7" ht="12.75" customHeight="1">
      <c r="C251" s="50" t="s">
        <v>116</v>
      </c>
      <c r="D251" s="88" t="s">
        <v>412</v>
      </c>
      <c r="E251" s="89"/>
      <c r="F251" s="89"/>
      <c r="G251" s="89"/>
    </row>
    <row r="252" spans="1:8" ht="12.75">
      <c r="A252" s="6" t="s">
        <v>102</v>
      </c>
      <c r="B252" s="6"/>
      <c r="C252" s="6" t="s">
        <v>225</v>
      </c>
      <c r="D252" s="6" t="s">
        <v>414</v>
      </c>
      <c r="E252" s="6" t="s">
        <v>441</v>
      </c>
      <c r="F252" s="6" t="s">
        <v>577</v>
      </c>
      <c r="G252" s="20">
        <v>73.22</v>
      </c>
      <c r="H252" s="31" t="s">
        <v>463</v>
      </c>
    </row>
    <row r="253" spans="1:7" ht="12.75">
      <c r="A253" s="6"/>
      <c r="B253" s="6"/>
      <c r="C253" s="6"/>
      <c r="D253" s="6"/>
      <c r="E253" s="6"/>
      <c r="F253" s="6" t="s">
        <v>578</v>
      </c>
      <c r="G253" s="20">
        <v>28.82</v>
      </c>
    </row>
    <row r="254" spans="3:7" ht="12.75" customHeight="1">
      <c r="C254" s="50" t="s">
        <v>116</v>
      </c>
      <c r="D254" s="88" t="s">
        <v>415</v>
      </c>
      <c r="E254" s="89"/>
      <c r="F254" s="89"/>
      <c r="G254" s="89"/>
    </row>
    <row r="255" spans="1:8" ht="12.75">
      <c r="A255" s="6" t="s">
        <v>103</v>
      </c>
      <c r="B255" s="6"/>
      <c r="C255" s="6" t="s">
        <v>226</v>
      </c>
      <c r="D255" s="6" t="s">
        <v>416</v>
      </c>
      <c r="E255" s="6" t="s">
        <v>439</v>
      </c>
      <c r="F255" s="6" t="s">
        <v>584</v>
      </c>
      <c r="G255" s="20">
        <v>38.53</v>
      </c>
      <c r="H255" s="31" t="s">
        <v>463</v>
      </c>
    </row>
    <row r="256" spans="1:7" ht="12.75">
      <c r="A256" s="6"/>
      <c r="B256" s="6"/>
      <c r="C256" s="6"/>
      <c r="D256" s="6"/>
      <c r="E256" s="6"/>
      <c r="F256" s="6" t="s">
        <v>583</v>
      </c>
      <c r="G256" s="20">
        <v>19.34</v>
      </c>
    </row>
    <row r="257" spans="3:7" ht="25.5" customHeight="1">
      <c r="C257" s="50" t="s">
        <v>116</v>
      </c>
      <c r="D257" s="88" t="s">
        <v>417</v>
      </c>
      <c r="E257" s="89"/>
      <c r="F257" s="89"/>
      <c r="G257" s="89"/>
    </row>
    <row r="258" spans="1:8" ht="12.75">
      <c r="A258" s="6" t="s">
        <v>104</v>
      </c>
      <c r="B258" s="6"/>
      <c r="C258" s="6" t="s">
        <v>227</v>
      </c>
      <c r="D258" s="6" t="s">
        <v>418</v>
      </c>
      <c r="E258" s="6" t="s">
        <v>441</v>
      </c>
      <c r="F258" s="6" t="s">
        <v>632</v>
      </c>
      <c r="G258" s="20">
        <v>95.7</v>
      </c>
      <c r="H258" s="31" t="s">
        <v>463</v>
      </c>
    </row>
    <row r="259" spans="1:7" ht="12.75">
      <c r="A259" s="6"/>
      <c r="B259" s="6"/>
      <c r="C259" s="6"/>
      <c r="D259" s="6"/>
      <c r="E259" s="6"/>
      <c r="F259" s="6" t="s">
        <v>633</v>
      </c>
      <c r="G259" s="20">
        <v>9.6</v>
      </c>
    </row>
    <row r="260" spans="3:7" ht="63.75" customHeight="1">
      <c r="C260" s="50" t="s">
        <v>116</v>
      </c>
      <c r="D260" s="88" t="s">
        <v>419</v>
      </c>
      <c r="E260" s="89"/>
      <c r="F260" s="89"/>
      <c r="G260" s="89"/>
    </row>
    <row r="261" spans="1:8" ht="12.75">
      <c r="A261" s="6" t="s">
        <v>105</v>
      </c>
      <c r="B261" s="6"/>
      <c r="C261" s="6" t="s">
        <v>228</v>
      </c>
      <c r="D261" s="6" t="s">
        <v>420</v>
      </c>
      <c r="E261" s="6" t="s">
        <v>446</v>
      </c>
      <c r="F261" s="6" t="s">
        <v>634</v>
      </c>
      <c r="G261" s="20">
        <v>128</v>
      </c>
      <c r="H261" s="31" t="s">
        <v>463</v>
      </c>
    </row>
    <row r="262" spans="3:7" ht="12.75" customHeight="1">
      <c r="C262" s="50" t="s">
        <v>116</v>
      </c>
      <c r="D262" s="88" t="s">
        <v>421</v>
      </c>
      <c r="E262" s="89"/>
      <c r="F262" s="89"/>
      <c r="G262" s="89"/>
    </row>
    <row r="263" spans="1:8" ht="12.75">
      <c r="A263" s="6" t="s">
        <v>106</v>
      </c>
      <c r="B263" s="6"/>
      <c r="C263" s="6" t="s">
        <v>230</v>
      </c>
      <c r="D263" s="6" t="s">
        <v>424</v>
      </c>
      <c r="E263" s="6" t="s">
        <v>447</v>
      </c>
      <c r="F263" s="6" t="s">
        <v>21</v>
      </c>
      <c r="G263" s="20">
        <v>15</v>
      </c>
      <c r="H263" s="31" t="s">
        <v>463</v>
      </c>
    </row>
    <row r="264" spans="3:7" ht="12.75" customHeight="1">
      <c r="C264" s="50" t="s">
        <v>116</v>
      </c>
      <c r="D264" s="88" t="s">
        <v>425</v>
      </c>
      <c r="E264" s="89"/>
      <c r="F264" s="89"/>
      <c r="G264" s="89"/>
    </row>
    <row r="265" spans="1:8" ht="12.75">
      <c r="A265" s="6" t="s">
        <v>107</v>
      </c>
      <c r="B265" s="6"/>
      <c r="C265" s="6" t="s">
        <v>231</v>
      </c>
      <c r="D265" s="6" t="s">
        <v>426</v>
      </c>
      <c r="E265" s="6" t="s">
        <v>442</v>
      </c>
      <c r="F265" s="6" t="s">
        <v>628</v>
      </c>
      <c r="G265" s="20">
        <v>8</v>
      </c>
      <c r="H265" s="31" t="s">
        <v>463</v>
      </c>
    </row>
    <row r="266" spans="3:7" ht="25.5" customHeight="1">
      <c r="C266" s="50" t="s">
        <v>116</v>
      </c>
      <c r="D266" s="88" t="s">
        <v>427</v>
      </c>
      <c r="E266" s="89"/>
      <c r="F266" s="89"/>
      <c r="G266" s="89"/>
    </row>
    <row r="267" spans="1:8" ht="12.75">
      <c r="A267" s="6" t="s">
        <v>108</v>
      </c>
      <c r="B267" s="6"/>
      <c r="C267" s="6" t="s">
        <v>232</v>
      </c>
      <c r="D267" s="6" t="s">
        <v>428</v>
      </c>
      <c r="E267" s="6" t="s">
        <v>442</v>
      </c>
      <c r="F267" s="6" t="s">
        <v>635</v>
      </c>
      <c r="G267" s="20">
        <v>41</v>
      </c>
      <c r="H267" s="31" t="s">
        <v>463</v>
      </c>
    </row>
    <row r="268" spans="1:7" ht="12.75">
      <c r="A268" s="6"/>
      <c r="B268" s="6"/>
      <c r="C268" s="6"/>
      <c r="D268" s="6"/>
      <c r="E268" s="6"/>
      <c r="F268" s="6" t="s">
        <v>636</v>
      </c>
      <c r="G268" s="20">
        <v>8</v>
      </c>
    </row>
    <row r="269" spans="3:7" ht="12.75" customHeight="1">
      <c r="C269" s="50" t="s">
        <v>116</v>
      </c>
      <c r="D269" s="88" t="s">
        <v>429</v>
      </c>
      <c r="E269" s="89"/>
      <c r="F269" s="89"/>
      <c r="G269" s="89"/>
    </row>
    <row r="270" spans="1:8" ht="12.75">
      <c r="A270" s="6" t="s">
        <v>109</v>
      </c>
      <c r="B270" s="6"/>
      <c r="C270" s="6" t="s">
        <v>233</v>
      </c>
      <c r="D270" s="6" t="s">
        <v>430</v>
      </c>
      <c r="E270" s="6" t="s">
        <v>442</v>
      </c>
      <c r="F270" s="6" t="s">
        <v>637</v>
      </c>
      <c r="G270" s="20">
        <v>8</v>
      </c>
      <c r="H270" s="31" t="s">
        <v>463</v>
      </c>
    </row>
    <row r="271" spans="3:7" ht="12.75" customHeight="1">
      <c r="C271" s="50" t="s">
        <v>116</v>
      </c>
      <c r="D271" s="88" t="s">
        <v>431</v>
      </c>
      <c r="E271" s="89"/>
      <c r="F271" s="89"/>
      <c r="G271" s="89"/>
    </row>
    <row r="272" spans="1:8" ht="12.75">
      <c r="A272" s="6" t="s">
        <v>110</v>
      </c>
      <c r="B272" s="6"/>
      <c r="C272" s="6" t="s">
        <v>234</v>
      </c>
      <c r="D272" s="6" t="s">
        <v>432</v>
      </c>
      <c r="E272" s="6" t="s">
        <v>447</v>
      </c>
      <c r="F272" s="6" t="s">
        <v>7</v>
      </c>
      <c r="G272" s="20">
        <v>1</v>
      </c>
      <c r="H272" s="31" t="s">
        <v>463</v>
      </c>
    </row>
    <row r="273" spans="3:7" ht="25.5" customHeight="1">
      <c r="C273" s="50" t="s">
        <v>116</v>
      </c>
      <c r="D273" s="88" t="s">
        <v>433</v>
      </c>
      <c r="E273" s="89"/>
      <c r="F273" s="89"/>
      <c r="G273" s="89"/>
    </row>
    <row r="275" ht="11.25" customHeight="1">
      <c r="A275" s="9" t="s">
        <v>112</v>
      </c>
    </row>
    <row r="276" spans="1:7" ht="409.5" customHeight="1" hidden="1">
      <c r="A276" s="86"/>
      <c r="B276" s="87"/>
      <c r="C276" s="87"/>
      <c r="D276" s="87"/>
      <c r="E276" s="87"/>
      <c r="F276" s="87"/>
      <c r="G276" s="87"/>
    </row>
  </sheetData>
  <sheetProtection/>
  <mergeCells count="91">
    <mergeCell ref="A1:H1"/>
    <mergeCell ref="A2:B3"/>
    <mergeCell ref="C2:D3"/>
    <mergeCell ref="E2:E3"/>
    <mergeCell ref="F2:H3"/>
    <mergeCell ref="A4:B5"/>
    <mergeCell ref="C4:D5"/>
    <mergeCell ref="E4:E5"/>
    <mergeCell ref="F4:H5"/>
    <mergeCell ref="A6:B7"/>
    <mergeCell ref="C6:D7"/>
    <mergeCell ref="E6:E7"/>
    <mergeCell ref="F6:H7"/>
    <mergeCell ref="A8:B9"/>
    <mergeCell ref="C8:D9"/>
    <mergeCell ref="E8:E9"/>
    <mergeCell ref="F8:H9"/>
    <mergeCell ref="D13:G13"/>
    <mergeCell ref="D17:G17"/>
    <mergeCell ref="D21:G21"/>
    <mergeCell ref="D33:G33"/>
    <mergeCell ref="D38:G38"/>
    <mergeCell ref="D45:G45"/>
    <mergeCell ref="D53:G53"/>
    <mergeCell ref="D60:G60"/>
    <mergeCell ref="D65:G65"/>
    <mergeCell ref="D70:G70"/>
    <mergeCell ref="D86:G86"/>
    <mergeCell ref="D92:G92"/>
    <mergeCell ref="D98:G98"/>
    <mergeCell ref="D104:G104"/>
    <mergeCell ref="D106:G106"/>
    <mergeCell ref="D108:G108"/>
    <mergeCell ref="D111:G111"/>
    <mergeCell ref="D113:G113"/>
    <mergeCell ref="D115:G115"/>
    <mergeCell ref="D119:G119"/>
    <mergeCell ref="D123:G123"/>
    <mergeCell ref="D131:G131"/>
    <mergeCell ref="D135:G135"/>
    <mergeCell ref="D138:G138"/>
    <mergeCell ref="D141:G141"/>
    <mergeCell ref="D143:G143"/>
    <mergeCell ref="D145:G145"/>
    <mergeCell ref="D148:G148"/>
    <mergeCell ref="D151:G151"/>
    <mergeCell ref="D154:G154"/>
    <mergeCell ref="D157:G157"/>
    <mergeCell ref="D165:G165"/>
    <mergeCell ref="D183:G183"/>
    <mergeCell ref="D185:G185"/>
    <mergeCell ref="D187:G187"/>
    <mergeCell ref="D189:G189"/>
    <mergeCell ref="D191:G191"/>
    <mergeCell ref="D193:G193"/>
    <mergeCell ref="D196:G196"/>
    <mergeCell ref="D199:G199"/>
    <mergeCell ref="D201:G201"/>
    <mergeCell ref="D202:G202"/>
    <mergeCell ref="D204:G204"/>
    <mergeCell ref="D205:G205"/>
    <mergeCell ref="D207:G207"/>
    <mergeCell ref="D208:G208"/>
    <mergeCell ref="D210:G210"/>
    <mergeCell ref="D211:G211"/>
    <mergeCell ref="D213:G213"/>
    <mergeCell ref="D215:G215"/>
    <mergeCell ref="D220:G220"/>
    <mergeCell ref="D222:G222"/>
    <mergeCell ref="D224:G224"/>
    <mergeCell ref="D226:G226"/>
    <mergeCell ref="D228:G228"/>
    <mergeCell ref="D230:G230"/>
    <mergeCell ref="D232:G232"/>
    <mergeCell ref="D234:G234"/>
    <mergeCell ref="D236:G236"/>
    <mergeCell ref="D238:G238"/>
    <mergeCell ref="D240:G240"/>
    <mergeCell ref="D242:G242"/>
    <mergeCell ref="D246:G246"/>
    <mergeCell ref="D251:G251"/>
    <mergeCell ref="D254:G254"/>
    <mergeCell ref="D257:G257"/>
    <mergeCell ref="D273:G273"/>
    <mergeCell ref="A276:G276"/>
    <mergeCell ref="D260:G260"/>
    <mergeCell ref="D262:G262"/>
    <mergeCell ref="D264:G264"/>
    <mergeCell ref="D266:G266"/>
    <mergeCell ref="D269:G269"/>
    <mergeCell ref="D271:G271"/>
  </mergeCells>
  <printOptions/>
  <pageMargins left="0.394" right="0.394" top="0.591" bottom="0.591" header="0.5" footer="0.5"/>
  <pageSetup fitToHeight="0"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tabSelected="1" zoomScalePageLayoutView="0" workbookViewId="0" topLeftCell="A7">
      <selection activeCell="F26" sqref="F26"/>
    </sheetView>
  </sheetViews>
  <sheetFormatPr defaultColWidth="11.57421875" defaultRowHeight="12.75"/>
  <cols>
    <col min="1" max="1" width="9.140625" style="0" customWidth="1"/>
    <col min="2" max="2" width="12.8515625" style="0" customWidth="1"/>
    <col min="3" max="3" width="22.8515625" style="0" customWidth="1"/>
    <col min="4" max="4" width="10.00390625" style="0" customWidth="1"/>
    <col min="5" max="5" width="14.00390625" style="0" customWidth="1"/>
    <col min="6" max="6" width="22.8515625" style="0" customWidth="1"/>
    <col min="7" max="7" width="9.140625" style="0" customWidth="1"/>
    <col min="8" max="8" width="12.8515625" style="0" customWidth="1"/>
    <col min="9" max="9" width="22.8515625" style="0" customWidth="1"/>
  </cols>
  <sheetData>
    <row r="1" spans="1:9" ht="72.75" customHeight="1">
      <c r="A1" s="78"/>
      <c r="B1" s="7"/>
      <c r="C1" s="138" t="s">
        <v>653</v>
      </c>
      <c r="D1" s="139"/>
      <c r="E1" s="139"/>
      <c r="F1" s="139"/>
      <c r="G1" s="139"/>
      <c r="H1" s="139"/>
      <c r="I1" s="139"/>
    </row>
    <row r="2" spans="1:10" ht="12.75">
      <c r="A2" s="107" t="s">
        <v>1</v>
      </c>
      <c r="B2" s="108"/>
      <c r="C2" s="109" t="s">
        <v>235</v>
      </c>
      <c r="D2" s="85"/>
      <c r="E2" s="112" t="s">
        <v>454</v>
      </c>
      <c r="F2" s="112"/>
      <c r="G2" s="108"/>
      <c r="H2" s="112" t="s">
        <v>676</v>
      </c>
      <c r="I2" s="140"/>
      <c r="J2" s="32"/>
    </row>
    <row r="3" spans="1:10" ht="12.75">
      <c r="A3" s="104"/>
      <c r="B3" s="87"/>
      <c r="C3" s="110"/>
      <c r="D3" s="110"/>
      <c r="E3" s="87"/>
      <c r="F3" s="87"/>
      <c r="G3" s="87"/>
      <c r="H3" s="87"/>
      <c r="I3" s="102"/>
      <c r="J3" s="32"/>
    </row>
    <row r="4" spans="1:10" ht="12.75">
      <c r="A4" s="97" t="s">
        <v>2</v>
      </c>
      <c r="B4" s="87"/>
      <c r="C4" s="86" t="s">
        <v>236</v>
      </c>
      <c r="D4" s="87"/>
      <c r="E4" s="86" t="s">
        <v>455</v>
      </c>
      <c r="F4" s="86"/>
      <c r="G4" s="87"/>
      <c r="H4" s="86" t="s">
        <v>676</v>
      </c>
      <c r="I4" s="137"/>
      <c r="J4" s="32"/>
    </row>
    <row r="5" spans="1:10" ht="12.75">
      <c r="A5" s="104"/>
      <c r="B5" s="87"/>
      <c r="C5" s="87"/>
      <c r="D5" s="87"/>
      <c r="E5" s="87"/>
      <c r="F5" s="87"/>
      <c r="G5" s="87"/>
      <c r="H5" s="87"/>
      <c r="I5" s="102"/>
      <c r="J5" s="32"/>
    </row>
    <row r="6" spans="1:10" ht="12.75">
      <c r="A6" s="97" t="s">
        <v>3</v>
      </c>
      <c r="B6" s="87"/>
      <c r="C6" s="86" t="s">
        <v>237</v>
      </c>
      <c r="D6" s="87"/>
      <c r="E6" s="86" t="s">
        <v>456</v>
      </c>
      <c r="F6" s="86"/>
      <c r="G6" s="87"/>
      <c r="H6" s="86" t="s">
        <v>676</v>
      </c>
      <c r="I6" s="137"/>
      <c r="J6" s="32"/>
    </row>
    <row r="7" spans="1:10" ht="12.75">
      <c r="A7" s="104"/>
      <c r="B7" s="87"/>
      <c r="C7" s="87"/>
      <c r="D7" s="87"/>
      <c r="E7" s="87"/>
      <c r="F7" s="87"/>
      <c r="G7" s="87"/>
      <c r="H7" s="87"/>
      <c r="I7" s="102"/>
      <c r="J7" s="32"/>
    </row>
    <row r="8" spans="1:10" ht="12.75">
      <c r="A8" s="97" t="s">
        <v>435</v>
      </c>
      <c r="B8" s="87"/>
      <c r="C8" s="101">
        <v>42565</v>
      </c>
      <c r="D8" s="87"/>
      <c r="E8" s="86" t="s">
        <v>436</v>
      </c>
      <c r="F8" s="87"/>
      <c r="G8" s="87"/>
      <c r="H8" s="100" t="s">
        <v>677</v>
      </c>
      <c r="I8" s="137" t="s">
        <v>111</v>
      </c>
      <c r="J8" s="32"/>
    </row>
    <row r="9" spans="1:10" ht="12.75">
      <c r="A9" s="104"/>
      <c r="B9" s="87"/>
      <c r="C9" s="87"/>
      <c r="D9" s="87"/>
      <c r="E9" s="87"/>
      <c r="F9" s="87"/>
      <c r="G9" s="87"/>
      <c r="H9" s="87"/>
      <c r="I9" s="102"/>
      <c r="J9" s="32"/>
    </row>
    <row r="10" spans="1:10" ht="12.75">
      <c r="A10" s="97" t="s">
        <v>4</v>
      </c>
      <c r="B10" s="87"/>
      <c r="C10" s="86"/>
      <c r="D10" s="87"/>
      <c r="E10" s="86" t="s">
        <v>457</v>
      </c>
      <c r="F10" s="86"/>
      <c r="G10" s="87"/>
      <c r="H10" s="100" t="s">
        <v>678</v>
      </c>
      <c r="I10" s="135">
        <v>42565</v>
      </c>
      <c r="J10" s="32"/>
    </row>
    <row r="11" spans="1:10" ht="12.75">
      <c r="A11" s="133"/>
      <c r="B11" s="134"/>
      <c r="C11" s="134"/>
      <c r="D11" s="134"/>
      <c r="E11" s="134"/>
      <c r="F11" s="134"/>
      <c r="G11" s="134"/>
      <c r="H11" s="134"/>
      <c r="I11" s="136"/>
      <c r="J11" s="32"/>
    </row>
    <row r="12" spans="1:9" ht="23.25" customHeight="1">
      <c r="A12" s="129" t="s">
        <v>639</v>
      </c>
      <c r="B12" s="130"/>
      <c r="C12" s="130"/>
      <c r="D12" s="130"/>
      <c r="E12" s="130"/>
      <c r="F12" s="130"/>
      <c r="G12" s="130"/>
      <c r="H12" s="130"/>
      <c r="I12" s="130"/>
    </row>
    <row r="13" spans="1:10" ht="26.25" customHeight="1">
      <c r="A13" s="54" t="s">
        <v>640</v>
      </c>
      <c r="B13" s="131" t="s">
        <v>651</v>
      </c>
      <c r="C13" s="132"/>
      <c r="D13" s="54" t="s">
        <v>654</v>
      </c>
      <c r="E13" s="131" t="s">
        <v>661</v>
      </c>
      <c r="F13" s="132"/>
      <c r="G13" s="54" t="s">
        <v>662</v>
      </c>
      <c r="H13" s="131" t="s">
        <v>679</v>
      </c>
      <c r="I13" s="132"/>
      <c r="J13" s="32"/>
    </row>
    <row r="14" spans="1:10" ht="15" customHeight="1">
      <c r="A14" s="55" t="s">
        <v>641</v>
      </c>
      <c r="B14" s="59" t="s">
        <v>652</v>
      </c>
      <c r="C14" s="62">
        <f>SUM('Stavební rozpočet'!R12:R217)</f>
        <v>0</v>
      </c>
      <c r="D14" s="127" t="s">
        <v>655</v>
      </c>
      <c r="E14" s="128"/>
      <c r="F14" s="62">
        <f>VORN!I15</f>
        <v>0</v>
      </c>
      <c r="G14" s="127" t="s">
        <v>663</v>
      </c>
      <c r="H14" s="128"/>
      <c r="I14" s="62">
        <f>VORN!I19</f>
        <v>0</v>
      </c>
      <c r="J14" s="32"/>
    </row>
    <row r="15" spans="1:10" ht="15" customHeight="1">
      <c r="A15" s="56"/>
      <c r="B15" s="59" t="s">
        <v>458</v>
      </c>
      <c r="C15" s="62">
        <f>SUM('Stavební rozpočet'!S12:S217)</f>
        <v>0</v>
      </c>
      <c r="D15" s="127"/>
      <c r="E15" s="128"/>
      <c r="F15" s="62"/>
      <c r="G15" s="127" t="s">
        <v>664</v>
      </c>
      <c r="H15" s="128"/>
      <c r="I15" s="62">
        <f>VORN!I20</f>
        <v>0</v>
      </c>
      <c r="J15" s="32"/>
    </row>
    <row r="16" spans="1:10" ht="15" customHeight="1">
      <c r="A16" s="55" t="s">
        <v>642</v>
      </c>
      <c r="B16" s="59" t="s">
        <v>652</v>
      </c>
      <c r="C16" s="62">
        <f>SUM('Stavební rozpočet'!T12:T217)</f>
        <v>0</v>
      </c>
      <c r="D16" s="127"/>
      <c r="E16" s="128"/>
      <c r="F16" s="62"/>
      <c r="G16" s="127" t="s">
        <v>665</v>
      </c>
      <c r="H16" s="128"/>
      <c r="I16" s="62">
        <f>VORN!I21</f>
        <v>0</v>
      </c>
      <c r="J16" s="32"/>
    </row>
    <row r="17" spans="1:10" ht="15" customHeight="1">
      <c r="A17" s="56"/>
      <c r="B17" s="59" t="s">
        <v>458</v>
      </c>
      <c r="C17" s="62">
        <f>SUM('Stavební rozpočet'!U12:U217)</f>
        <v>0</v>
      </c>
      <c r="D17" s="127"/>
      <c r="E17" s="128"/>
      <c r="F17" s="63"/>
      <c r="G17" s="127" t="s">
        <v>666</v>
      </c>
      <c r="H17" s="128"/>
      <c r="I17" s="62">
        <f>VORN!I22</f>
        <v>0</v>
      </c>
      <c r="J17" s="32"/>
    </row>
    <row r="18" spans="1:10" ht="15" customHeight="1">
      <c r="A18" s="55" t="s">
        <v>643</v>
      </c>
      <c r="B18" s="59" t="s">
        <v>652</v>
      </c>
      <c r="C18" s="62">
        <f>SUM('Stavební rozpočet'!V12:V217)</f>
        <v>0</v>
      </c>
      <c r="D18" s="127"/>
      <c r="E18" s="128"/>
      <c r="F18" s="63"/>
      <c r="G18" s="127" t="s">
        <v>667</v>
      </c>
      <c r="H18" s="128"/>
      <c r="I18" s="62">
        <f>VORN!I23</f>
        <v>0</v>
      </c>
      <c r="J18" s="32"/>
    </row>
    <row r="19" spans="1:10" ht="15" customHeight="1">
      <c r="A19" s="56"/>
      <c r="B19" s="59" t="s">
        <v>458</v>
      </c>
      <c r="C19" s="62">
        <f>SUM('Stavební rozpočet'!W12:W217)</f>
        <v>0</v>
      </c>
      <c r="D19" s="127"/>
      <c r="E19" s="128"/>
      <c r="F19" s="63"/>
      <c r="G19" s="127" t="s">
        <v>668</v>
      </c>
      <c r="H19" s="128"/>
      <c r="I19" s="62">
        <f>VORN!I24</f>
        <v>0</v>
      </c>
      <c r="J19" s="32"/>
    </row>
    <row r="20" spans="1:10" ht="15" customHeight="1">
      <c r="A20" s="125" t="s">
        <v>413</v>
      </c>
      <c r="B20" s="126"/>
      <c r="C20" s="62">
        <f>SUM('Stavební rozpočet'!X12:X217)</f>
        <v>0</v>
      </c>
      <c r="D20" s="127"/>
      <c r="E20" s="128"/>
      <c r="F20" s="63"/>
      <c r="G20" s="127"/>
      <c r="H20" s="128"/>
      <c r="I20" s="63"/>
      <c r="J20" s="32"/>
    </row>
    <row r="21" spans="1:10" ht="15" customHeight="1">
      <c r="A21" s="125" t="s">
        <v>644</v>
      </c>
      <c r="B21" s="126"/>
      <c r="C21" s="62">
        <f>SUM('Stavební rozpočet'!P12:P217)</f>
        <v>0</v>
      </c>
      <c r="D21" s="127"/>
      <c r="E21" s="128"/>
      <c r="F21" s="63"/>
      <c r="G21" s="127"/>
      <c r="H21" s="128"/>
      <c r="I21" s="63"/>
      <c r="J21" s="32"/>
    </row>
    <row r="22" spans="1:10" ht="16.5" customHeight="1">
      <c r="A22" s="125" t="s">
        <v>645</v>
      </c>
      <c r="B22" s="126"/>
      <c r="C22" s="62">
        <f>SUM(C14:C21)</f>
        <v>0</v>
      </c>
      <c r="D22" s="125" t="s">
        <v>656</v>
      </c>
      <c r="E22" s="126"/>
      <c r="F22" s="62">
        <f>SUM(F14:F21)</f>
        <v>0</v>
      </c>
      <c r="G22" s="125" t="s">
        <v>669</v>
      </c>
      <c r="H22" s="126"/>
      <c r="I22" s="62">
        <f>SUM(I14:I21)</f>
        <v>0</v>
      </c>
      <c r="J22" s="32"/>
    </row>
    <row r="23" spans="1:10" ht="15" customHeight="1">
      <c r="A23" s="8"/>
      <c r="B23" s="8"/>
      <c r="C23" s="60"/>
      <c r="D23" s="125" t="s">
        <v>657</v>
      </c>
      <c r="E23" s="126"/>
      <c r="F23" s="64">
        <v>0</v>
      </c>
      <c r="G23" s="125" t="s">
        <v>670</v>
      </c>
      <c r="H23" s="126"/>
      <c r="I23" s="62">
        <v>0</v>
      </c>
      <c r="J23" s="32"/>
    </row>
    <row r="24" spans="4:10" ht="15" customHeight="1">
      <c r="D24" s="8"/>
      <c r="E24" s="8"/>
      <c r="F24" s="65"/>
      <c r="G24" s="125" t="s">
        <v>671</v>
      </c>
      <c r="H24" s="126"/>
      <c r="I24" s="62">
        <f>vorn_sum</f>
        <v>0</v>
      </c>
      <c r="J24" s="32"/>
    </row>
    <row r="25" spans="6:10" ht="15" customHeight="1">
      <c r="F25" s="66"/>
      <c r="G25" s="125" t="s">
        <v>672</v>
      </c>
      <c r="H25" s="126"/>
      <c r="I25" s="62">
        <v>0</v>
      </c>
      <c r="J25" s="32"/>
    </row>
    <row r="26" spans="1:9" ht="12.75">
      <c r="A26" s="7"/>
      <c r="B26" s="7"/>
      <c r="C26" s="7"/>
      <c r="G26" s="8"/>
      <c r="H26" s="8"/>
      <c r="I26" s="8"/>
    </row>
    <row r="27" spans="1:9" ht="15" customHeight="1">
      <c r="A27" s="120" t="s">
        <v>646</v>
      </c>
      <c r="B27" s="121"/>
      <c r="C27" s="67">
        <f>SUM('Stavební rozpočet'!Z12:Z217)</f>
        <v>0</v>
      </c>
      <c r="D27" s="61"/>
      <c r="E27" s="7"/>
      <c r="F27" s="7"/>
      <c r="G27" s="7"/>
      <c r="H27" s="7"/>
      <c r="I27" s="7"/>
    </row>
    <row r="28" spans="1:10" ht="15" customHeight="1">
      <c r="A28" s="120" t="s">
        <v>647</v>
      </c>
      <c r="B28" s="121"/>
      <c r="C28" s="67">
        <f>SUM('Stavební rozpočet'!AA12:AA217)</f>
        <v>0</v>
      </c>
      <c r="D28" s="120" t="s">
        <v>658</v>
      </c>
      <c r="E28" s="121"/>
      <c r="F28" s="67">
        <f>ROUND(C28*(15/100),2)</f>
        <v>0</v>
      </c>
      <c r="G28" s="120" t="s">
        <v>673</v>
      </c>
      <c r="H28" s="121"/>
      <c r="I28" s="67">
        <f>SUM(C27:C29)</f>
        <v>0</v>
      </c>
      <c r="J28" s="32"/>
    </row>
    <row r="29" spans="1:10" ht="15" customHeight="1">
      <c r="A29" s="120" t="s">
        <v>648</v>
      </c>
      <c r="B29" s="121"/>
      <c r="C29" s="67">
        <f>SUM('Stavební rozpočet'!AB12:AB217)+(F22+I22+F23+I23+I24+I25)</f>
        <v>0</v>
      </c>
      <c r="D29" s="120" t="s">
        <v>659</v>
      </c>
      <c r="E29" s="121"/>
      <c r="F29" s="67">
        <f>ROUND(C29*(21/100),2)</f>
        <v>0</v>
      </c>
      <c r="G29" s="120" t="s">
        <v>674</v>
      </c>
      <c r="H29" s="121"/>
      <c r="I29" s="67">
        <f>SUM(F28:F29)+I28</f>
        <v>0</v>
      </c>
      <c r="J29" s="32"/>
    </row>
    <row r="30" spans="1:9" ht="12.75">
      <c r="A30" s="57"/>
      <c r="B30" s="57"/>
      <c r="C30" s="57"/>
      <c r="D30" s="57"/>
      <c r="E30" s="57"/>
      <c r="F30" s="57"/>
      <c r="G30" s="57"/>
      <c r="H30" s="57"/>
      <c r="I30" s="57"/>
    </row>
    <row r="31" spans="1:10" ht="14.25" customHeight="1">
      <c r="A31" s="122" t="s">
        <v>649</v>
      </c>
      <c r="B31" s="123"/>
      <c r="C31" s="124"/>
      <c r="D31" s="122" t="s">
        <v>660</v>
      </c>
      <c r="E31" s="123"/>
      <c r="F31" s="124"/>
      <c r="G31" s="122" t="s">
        <v>675</v>
      </c>
      <c r="H31" s="123"/>
      <c r="I31" s="124"/>
      <c r="J31" s="33"/>
    </row>
    <row r="32" spans="1:10" ht="14.25" customHeight="1">
      <c r="A32" s="114"/>
      <c r="B32" s="115"/>
      <c r="C32" s="116"/>
      <c r="D32" s="114"/>
      <c r="E32" s="115"/>
      <c r="F32" s="116"/>
      <c r="G32" s="114"/>
      <c r="H32" s="115"/>
      <c r="I32" s="116"/>
      <c r="J32" s="33"/>
    </row>
    <row r="33" spans="1:10" ht="14.25" customHeight="1">
      <c r="A33" s="114"/>
      <c r="B33" s="115"/>
      <c r="C33" s="116"/>
      <c r="D33" s="114"/>
      <c r="E33" s="115"/>
      <c r="F33" s="116"/>
      <c r="G33" s="114"/>
      <c r="H33" s="115"/>
      <c r="I33" s="116"/>
      <c r="J33" s="33"/>
    </row>
    <row r="34" spans="1:10" ht="14.25" customHeight="1">
      <c r="A34" s="114"/>
      <c r="B34" s="115"/>
      <c r="C34" s="116"/>
      <c r="D34" s="114"/>
      <c r="E34" s="115"/>
      <c r="F34" s="116"/>
      <c r="G34" s="114"/>
      <c r="H34" s="115"/>
      <c r="I34" s="116"/>
      <c r="J34" s="33"/>
    </row>
    <row r="35" spans="1:10" ht="14.25" customHeight="1">
      <c r="A35" s="117" t="s">
        <v>650</v>
      </c>
      <c r="B35" s="118"/>
      <c r="C35" s="119"/>
      <c r="D35" s="117" t="s">
        <v>650</v>
      </c>
      <c r="E35" s="118"/>
      <c r="F35" s="119"/>
      <c r="G35" s="117" t="s">
        <v>650</v>
      </c>
      <c r="H35" s="118"/>
      <c r="I35" s="119"/>
      <c r="J35" s="33"/>
    </row>
    <row r="36" spans="1:9" ht="11.25" customHeight="1">
      <c r="A36" s="58" t="s">
        <v>112</v>
      </c>
      <c r="B36" s="45"/>
      <c r="C36" s="45"/>
      <c r="D36" s="45"/>
      <c r="E36" s="45"/>
      <c r="F36" s="45"/>
      <c r="G36" s="45"/>
      <c r="H36" s="45"/>
      <c r="I36" s="45"/>
    </row>
    <row r="37" spans="1:9" ht="409.5" customHeight="1" hidden="1">
      <c r="A37" s="86"/>
      <c r="B37" s="87"/>
      <c r="C37" s="87"/>
      <c r="D37" s="87"/>
      <c r="E37" s="87"/>
      <c r="F37" s="87"/>
      <c r="G37" s="87"/>
      <c r="H37" s="87"/>
      <c r="I37" s="87"/>
    </row>
  </sheetData>
  <sheetProtection/>
  <mergeCells count="83">
    <mergeCell ref="C1:I1"/>
    <mergeCell ref="A2:B3"/>
    <mergeCell ref="C2:D3"/>
    <mergeCell ref="E2:E3"/>
    <mergeCell ref="F2:G3"/>
    <mergeCell ref="H2:H3"/>
    <mergeCell ref="I2:I3"/>
    <mergeCell ref="A4:B5"/>
    <mergeCell ref="C4:D5"/>
    <mergeCell ref="E4:E5"/>
    <mergeCell ref="F4:G5"/>
    <mergeCell ref="H4:H5"/>
    <mergeCell ref="I4:I5"/>
    <mergeCell ref="A6:B7"/>
    <mergeCell ref="C6:D7"/>
    <mergeCell ref="E6:E7"/>
    <mergeCell ref="F6:G7"/>
    <mergeCell ref="H6:H7"/>
    <mergeCell ref="I6:I7"/>
    <mergeCell ref="A8:B9"/>
    <mergeCell ref="C8:D9"/>
    <mergeCell ref="E8:E9"/>
    <mergeCell ref="F8:G9"/>
    <mergeCell ref="H8:H9"/>
    <mergeCell ref="I8:I9"/>
    <mergeCell ref="A10:B11"/>
    <mergeCell ref="C10:D11"/>
    <mergeCell ref="E10:E11"/>
    <mergeCell ref="F10:G11"/>
    <mergeCell ref="H10:H11"/>
    <mergeCell ref="I10:I11"/>
    <mergeCell ref="A12:I12"/>
    <mergeCell ref="B13:C13"/>
    <mergeCell ref="E13:F13"/>
    <mergeCell ref="H13:I13"/>
    <mergeCell ref="D14:E14"/>
    <mergeCell ref="G14:H14"/>
    <mergeCell ref="D15:E15"/>
    <mergeCell ref="G15:H15"/>
    <mergeCell ref="D16:E16"/>
    <mergeCell ref="G16:H16"/>
    <mergeCell ref="D17:E17"/>
    <mergeCell ref="G17:H17"/>
    <mergeCell ref="D18:E18"/>
    <mergeCell ref="G18:H18"/>
    <mergeCell ref="D19:E19"/>
    <mergeCell ref="G19:H19"/>
    <mergeCell ref="A20:B20"/>
    <mergeCell ref="D20:E20"/>
    <mergeCell ref="G20:H20"/>
    <mergeCell ref="A21:B21"/>
    <mergeCell ref="D21:E21"/>
    <mergeCell ref="G21:H21"/>
    <mergeCell ref="A22:B22"/>
    <mergeCell ref="D22:E22"/>
    <mergeCell ref="G22:H22"/>
    <mergeCell ref="D23:E23"/>
    <mergeCell ref="G23:H23"/>
    <mergeCell ref="G24:H24"/>
    <mergeCell ref="G25:H25"/>
    <mergeCell ref="A27:B27"/>
    <mergeCell ref="A28:B28"/>
    <mergeCell ref="D28:E28"/>
    <mergeCell ref="G28:H28"/>
    <mergeCell ref="A29:B29"/>
    <mergeCell ref="D29:E29"/>
    <mergeCell ref="G29:H29"/>
    <mergeCell ref="A31:C31"/>
    <mergeCell ref="D31:F31"/>
    <mergeCell ref="G31:I31"/>
    <mergeCell ref="A32:C32"/>
    <mergeCell ref="D32:F32"/>
    <mergeCell ref="G32:I32"/>
    <mergeCell ref="A33:C33"/>
    <mergeCell ref="D33:F33"/>
    <mergeCell ref="G33:I33"/>
    <mergeCell ref="A37:I37"/>
    <mergeCell ref="A34:C34"/>
    <mergeCell ref="D34:F34"/>
    <mergeCell ref="G34:I34"/>
    <mergeCell ref="A35:C35"/>
    <mergeCell ref="D35:F35"/>
    <mergeCell ref="G35:I35"/>
  </mergeCells>
  <printOptions/>
  <pageMargins left="0.394" right="0.394" top="0.591" bottom="0.591" header="0.5" footer="0.5"/>
  <pageSetup fitToHeight="1"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J35"/>
  <sheetViews>
    <sheetView zoomScalePageLayoutView="0" workbookViewId="0" topLeftCell="A10">
      <selection activeCell="F33" sqref="F33"/>
    </sheetView>
  </sheetViews>
  <sheetFormatPr defaultColWidth="11.57421875" defaultRowHeight="12.75"/>
  <cols>
    <col min="1" max="1" width="9.140625" style="0" customWidth="1"/>
    <col min="2" max="2" width="12.8515625" style="0" customWidth="1"/>
    <col min="3" max="3" width="22.8515625" style="0" customWidth="1"/>
    <col min="4" max="4" width="10.00390625" style="0" customWidth="1"/>
    <col min="5" max="5" width="14.00390625" style="0" customWidth="1"/>
    <col min="6" max="6" width="22.8515625" style="0" customWidth="1"/>
    <col min="7" max="7" width="9.140625" style="0" customWidth="1"/>
    <col min="8" max="8" width="17.140625" style="0" customWidth="1"/>
    <col min="9" max="9" width="22.8515625" style="0" customWidth="1"/>
  </cols>
  <sheetData>
    <row r="1" spans="1:9" ht="72.75" customHeight="1">
      <c r="A1" s="78"/>
      <c r="B1" s="7"/>
      <c r="C1" s="138" t="s">
        <v>688</v>
      </c>
      <c r="D1" s="139"/>
      <c r="E1" s="139"/>
      <c r="F1" s="139"/>
      <c r="G1" s="139"/>
      <c r="H1" s="139"/>
      <c r="I1" s="139"/>
    </row>
    <row r="2" spans="1:10" ht="12.75">
      <c r="A2" s="107" t="s">
        <v>1</v>
      </c>
      <c r="B2" s="108"/>
      <c r="C2" s="109" t="s">
        <v>235</v>
      </c>
      <c r="D2" s="85"/>
      <c r="E2" s="112" t="s">
        <v>454</v>
      </c>
      <c r="F2" s="112"/>
      <c r="G2" s="108"/>
      <c r="H2" s="112" t="s">
        <v>676</v>
      </c>
      <c r="I2" s="140"/>
      <c r="J2" s="32"/>
    </row>
    <row r="3" spans="1:10" ht="12.75">
      <c r="A3" s="104"/>
      <c r="B3" s="87"/>
      <c r="C3" s="110"/>
      <c r="D3" s="110"/>
      <c r="E3" s="87"/>
      <c r="F3" s="87"/>
      <c r="G3" s="87"/>
      <c r="H3" s="87"/>
      <c r="I3" s="102"/>
      <c r="J3" s="32"/>
    </row>
    <row r="4" spans="1:10" ht="12.75">
      <c r="A4" s="97" t="s">
        <v>2</v>
      </c>
      <c r="B4" s="87"/>
      <c r="C4" s="86" t="s">
        <v>236</v>
      </c>
      <c r="D4" s="87"/>
      <c r="E4" s="86" t="s">
        <v>455</v>
      </c>
      <c r="F4" s="86"/>
      <c r="G4" s="87"/>
      <c r="H4" s="86" t="s">
        <v>676</v>
      </c>
      <c r="I4" s="137"/>
      <c r="J4" s="32"/>
    </row>
    <row r="5" spans="1:10" ht="12.75">
      <c r="A5" s="104"/>
      <c r="B5" s="87"/>
      <c r="C5" s="87"/>
      <c r="D5" s="87"/>
      <c r="E5" s="87"/>
      <c r="F5" s="87"/>
      <c r="G5" s="87"/>
      <c r="H5" s="87"/>
      <c r="I5" s="102"/>
      <c r="J5" s="32"/>
    </row>
    <row r="6" spans="1:10" ht="12.75">
      <c r="A6" s="97" t="s">
        <v>3</v>
      </c>
      <c r="B6" s="87"/>
      <c r="C6" s="86" t="s">
        <v>237</v>
      </c>
      <c r="D6" s="87"/>
      <c r="E6" s="86" t="s">
        <v>456</v>
      </c>
      <c r="F6" s="86"/>
      <c r="G6" s="87"/>
      <c r="H6" s="86" t="s">
        <v>676</v>
      </c>
      <c r="I6" s="137"/>
      <c r="J6" s="32"/>
    </row>
    <row r="7" spans="1:10" ht="12.75">
      <c r="A7" s="104"/>
      <c r="B7" s="87"/>
      <c r="C7" s="87"/>
      <c r="D7" s="87"/>
      <c r="E7" s="87"/>
      <c r="F7" s="87"/>
      <c r="G7" s="87"/>
      <c r="H7" s="87"/>
      <c r="I7" s="102"/>
      <c r="J7" s="32"/>
    </row>
    <row r="8" spans="1:10" ht="12.75">
      <c r="A8" s="97" t="s">
        <v>435</v>
      </c>
      <c r="B8" s="87"/>
      <c r="C8" s="101">
        <v>42565</v>
      </c>
      <c r="D8" s="87"/>
      <c r="E8" s="86" t="s">
        <v>436</v>
      </c>
      <c r="F8" s="87"/>
      <c r="G8" s="87"/>
      <c r="H8" s="100" t="s">
        <v>677</v>
      </c>
      <c r="I8" s="137" t="s">
        <v>111</v>
      </c>
      <c r="J8" s="32"/>
    </row>
    <row r="9" spans="1:10" ht="12.75">
      <c r="A9" s="104"/>
      <c r="B9" s="87"/>
      <c r="C9" s="87"/>
      <c r="D9" s="87"/>
      <c r="E9" s="87"/>
      <c r="F9" s="87"/>
      <c r="G9" s="87"/>
      <c r="H9" s="87"/>
      <c r="I9" s="102"/>
      <c r="J9" s="32"/>
    </row>
    <row r="10" spans="1:10" ht="12.75">
      <c r="A10" s="97" t="s">
        <v>4</v>
      </c>
      <c r="B10" s="87"/>
      <c r="C10" s="86"/>
      <c r="D10" s="87"/>
      <c r="E10" s="86" t="s">
        <v>457</v>
      </c>
      <c r="F10" s="86"/>
      <c r="G10" s="87"/>
      <c r="H10" s="100" t="s">
        <v>678</v>
      </c>
      <c r="I10" s="135">
        <v>42565</v>
      </c>
      <c r="J10" s="32"/>
    </row>
    <row r="11" spans="1:10" ht="12.75">
      <c r="A11" s="133"/>
      <c r="B11" s="134"/>
      <c r="C11" s="134"/>
      <c r="D11" s="134"/>
      <c r="E11" s="134"/>
      <c r="F11" s="134"/>
      <c r="G11" s="134"/>
      <c r="H11" s="134"/>
      <c r="I11" s="136"/>
      <c r="J11" s="32"/>
    </row>
    <row r="12" spans="1:9" ht="12.75">
      <c r="A12" s="8"/>
      <c r="B12" s="8"/>
      <c r="C12" s="8"/>
      <c r="D12" s="8"/>
      <c r="E12" s="8"/>
      <c r="F12" s="8"/>
      <c r="G12" s="8"/>
      <c r="H12" s="8"/>
      <c r="I12" s="8"/>
    </row>
    <row r="13" spans="1:9" ht="15" customHeight="1">
      <c r="A13" s="153" t="s">
        <v>680</v>
      </c>
      <c r="B13" s="154"/>
      <c r="C13" s="154"/>
      <c r="D13" s="154"/>
      <c r="E13" s="154"/>
      <c r="F13" s="69"/>
      <c r="G13" s="69"/>
      <c r="H13" s="69"/>
      <c r="I13" s="69"/>
    </row>
    <row r="14" spans="1:10" ht="12.75">
      <c r="A14" s="155" t="s">
        <v>681</v>
      </c>
      <c r="B14" s="156"/>
      <c r="C14" s="156"/>
      <c r="D14" s="156"/>
      <c r="E14" s="157"/>
      <c r="F14" s="70" t="s">
        <v>689</v>
      </c>
      <c r="G14" s="70" t="s">
        <v>691</v>
      </c>
      <c r="H14" s="70" t="s">
        <v>690</v>
      </c>
      <c r="I14" s="70" t="s">
        <v>689</v>
      </c>
      <c r="J14" s="33"/>
    </row>
    <row r="15" spans="1:10" ht="13.5" thickBot="1">
      <c r="A15" s="158" t="s">
        <v>655</v>
      </c>
      <c r="B15" s="159"/>
      <c r="C15" s="159"/>
      <c r="D15" s="159"/>
      <c r="E15" s="160"/>
      <c r="F15" s="71">
        <v>0</v>
      </c>
      <c r="G15" s="79" t="s">
        <v>7</v>
      </c>
      <c r="H15" s="74"/>
      <c r="I15" s="71">
        <f>F15</f>
        <v>0</v>
      </c>
      <c r="J15" s="32"/>
    </row>
    <row r="16" spans="1:10" ht="13.5" thickBot="1">
      <c r="A16" s="144" t="s">
        <v>682</v>
      </c>
      <c r="B16" s="145"/>
      <c r="C16" s="145"/>
      <c r="D16" s="145"/>
      <c r="E16" s="146"/>
      <c r="F16" s="73"/>
      <c r="G16" s="76"/>
      <c r="H16" s="76"/>
      <c r="I16" s="77">
        <f>SUM(I15:I15)</f>
        <v>0</v>
      </c>
      <c r="J16" s="33"/>
    </row>
    <row r="17" spans="1:9" ht="12.75">
      <c r="A17" s="68"/>
      <c r="B17" s="68"/>
      <c r="C17" s="68"/>
      <c r="D17" s="68"/>
      <c r="E17" s="68"/>
      <c r="F17" s="68"/>
      <c r="G17" s="68"/>
      <c r="H17" s="68"/>
      <c r="I17" s="68"/>
    </row>
    <row r="18" spans="1:10" ht="12.75">
      <c r="A18" s="155" t="s">
        <v>679</v>
      </c>
      <c r="B18" s="156"/>
      <c r="C18" s="156"/>
      <c r="D18" s="156"/>
      <c r="E18" s="157"/>
      <c r="F18" s="70" t="s">
        <v>689</v>
      </c>
      <c r="G18" s="70" t="s">
        <v>691</v>
      </c>
      <c r="H18" s="70" t="s">
        <v>690</v>
      </c>
      <c r="I18" s="70" t="s">
        <v>689</v>
      </c>
      <c r="J18" s="33"/>
    </row>
    <row r="19" spans="1:10" ht="12.75">
      <c r="A19" s="158" t="s">
        <v>663</v>
      </c>
      <c r="B19" s="159"/>
      <c r="C19" s="159"/>
      <c r="D19" s="159"/>
      <c r="E19" s="160"/>
      <c r="F19" s="80">
        <v>0</v>
      </c>
      <c r="G19" s="79">
        <v>1</v>
      </c>
      <c r="H19" s="71"/>
      <c r="I19" s="71">
        <f aca="true" t="shared" si="0" ref="I19:I24">F19</f>
        <v>0</v>
      </c>
      <c r="J19" s="32"/>
    </row>
    <row r="20" spans="1:10" ht="12.75">
      <c r="A20" s="158" t="s">
        <v>664</v>
      </c>
      <c r="B20" s="159"/>
      <c r="C20" s="159"/>
      <c r="D20" s="159"/>
      <c r="E20" s="160"/>
      <c r="F20" s="71">
        <v>0</v>
      </c>
      <c r="G20" s="79" t="s">
        <v>7</v>
      </c>
      <c r="H20" s="74"/>
      <c r="I20" s="71">
        <f t="shared" si="0"/>
        <v>0</v>
      </c>
      <c r="J20" s="32"/>
    </row>
    <row r="21" spans="1:10" ht="12.75">
      <c r="A21" s="158" t="s">
        <v>665</v>
      </c>
      <c r="B21" s="159"/>
      <c r="C21" s="159"/>
      <c r="D21" s="159"/>
      <c r="E21" s="160"/>
      <c r="F21" s="71">
        <v>0</v>
      </c>
      <c r="G21" s="79" t="s">
        <v>7</v>
      </c>
      <c r="H21" s="74"/>
      <c r="I21" s="71">
        <f t="shared" si="0"/>
        <v>0</v>
      </c>
      <c r="J21" s="32"/>
    </row>
    <row r="22" spans="1:10" ht="12.75">
      <c r="A22" s="158" t="s">
        <v>666</v>
      </c>
      <c r="B22" s="159"/>
      <c r="C22" s="159"/>
      <c r="D22" s="159"/>
      <c r="E22" s="160"/>
      <c r="F22" s="71">
        <v>0</v>
      </c>
      <c r="G22" s="79" t="s">
        <v>7</v>
      </c>
      <c r="H22" s="74"/>
      <c r="I22" s="71">
        <f t="shared" si="0"/>
        <v>0</v>
      </c>
      <c r="J22" s="32"/>
    </row>
    <row r="23" spans="1:10" ht="12.75">
      <c r="A23" s="158" t="s">
        <v>667</v>
      </c>
      <c r="B23" s="159"/>
      <c r="C23" s="159"/>
      <c r="D23" s="159"/>
      <c r="E23" s="160"/>
      <c r="F23" s="71">
        <v>0</v>
      </c>
      <c r="G23" s="79" t="s">
        <v>7</v>
      </c>
      <c r="H23" s="74"/>
      <c r="I23" s="71">
        <f t="shared" si="0"/>
        <v>0</v>
      </c>
      <c r="J23" s="32"/>
    </row>
    <row r="24" spans="1:10" ht="13.5" thickBot="1">
      <c r="A24" s="141" t="s">
        <v>668</v>
      </c>
      <c r="B24" s="142"/>
      <c r="C24" s="142"/>
      <c r="D24" s="142"/>
      <c r="E24" s="143"/>
      <c r="F24" s="72">
        <v>0</v>
      </c>
      <c r="G24" s="81" t="s">
        <v>7</v>
      </c>
      <c r="H24" s="75"/>
      <c r="I24" s="72">
        <f t="shared" si="0"/>
        <v>0</v>
      </c>
      <c r="J24" s="32"/>
    </row>
    <row r="25" spans="1:10" ht="13.5" thickBot="1">
      <c r="A25" s="144" t="s">
        <v>683</v>
      </c>
      <c r="B25" s="145"/>
      <c r="C25" s="145"/>
      <c r="D25" s="145"/>
      <c r="E25" s="146"/>
      <c r="F25" s="73"/>
      <c r="G25" s="76"/>
      <c r="H25" s="76"/>
      <c r="I25" s="77">
        <f>SUM(I19:I24)</f>
        <v>0</v>
      </c>
      <c r="J25" s="33"/>
    </row>
    <row r="26" spans="1:9" ht="12.75">
      <c r="A26" s="68"/>
      <c r="B26" s="68"/>
      <c r="C26" s="68"/>
      <c r="D26" s="68"/>
      <c r="E26" s="68"/>
      <c r="F26" s="68"/>
      <c r="G26" s="68"/>
      <c r="H26" s="68"/>
      <c r="I26" s="68"/>
    </row>
    <row r="27" spans="1:10" ht="15" customHeight="1">
      <c r="A27" s="147" t="s">
        <v>684</v>
      </c>
      <c r="B27" s="148"/>
      <c r="C27" s="148"/>
      <c r="D27" s="148"/>
      <c r="E27" s="149"/>
      <c r="F27" s="150">
        <f>I16+I25</f>
        <v>0</v>
      </c>
      <c r="G27" s="151"/>
      <c r="H27" s="151"/>
      <c r="I27" s="152"/>
      <c r="J27" s="33"/>
    </row>
    <row r="28" spans="1:9" ht="12.75">
      <c r="A28" s="45"/>
      <c r="B28" s="45"/>
      <c r="C28" s="45"/>
      <c r="D28" s="45"/>
      <c r="E28" s="45"/>
      <c r="F28" s="45"/>
      <c r="G28" s="45"/>
      <c r="H28" s="45"/>
      <c r="I28" s="45"/>
    </row>
    <row r="31" spans="1:9" ht="15" customHeight="1">
      <c r="A31" s="153" t="s">
        <v>685</v>
      </c>
      <c r="B31" s="154"/>
      <c r="C31" s="154"/>
      <c r="D31" s="154"/>
      <c r="E31" s="154"/>
      <c r="F31" s="69"/>
      <c r="G31" s="69"/>
      <c r="H31" s="69"/>
      <c r="I31" s="69"/>
    </row>
    <row r="32" spans="1:10" ht="12.75">
      <c r="A32" s="155" t="s">
        <v>686</v>
      </c>
      <c r="B32" s="156"/>
      <c r="C32" s="156"/>
      <c r="D32" s="156"/>
      <c r="E32" s="157"/>
      <c r="F32" s="70" t="s">
        <v>689</v>
      </c>
      <c r="G32" s="70" t="s">
        <v>691</v>
      </c>
      <c r="H32" s="70" t="s">
        <v>690</v>
      </c>
      <c r="I32" s="70" t="s">
        <v>689</v>
      </c>
      <c r="J32" s="33"/>
    </row>
    <row r="33" spans="1:10" ht="13.5" thickBot="1">
      <c r="A33" s="141"/>
      <c r="B33" s="142"/>
      <c r="C33" s="142"/>
      <c r="D33" s="142"/>
      <c r="E33" s="143"/>
      <c r="F33" s="72">
        <v>0</v>
      </c>
      <c r="G33" s="81" t="s">
        <v>7</v>
      </c>
      <c r="H33" s="75"/>
      <c r="I33" s="72">
        <f>F33</f>
        <v>0</v>
      </c>
      <c r="J33" s="32"/>
    </row>
    <row r="34" spans="1:10" ht="13.5" thickBot="1">
      <c r="A34" s="144" t="s">
        <v>687</v>
      </c>
      <c r="B34" s="145"/>
      <c r="C34" s="145"/>
      <c r="D34" s="145"/>
      <c r="E34" s="146"/>
      <c r="F34" s="73"/>
      <c r="G34" s="76"/>
      <c r="H34" s="76"/>
      <c r="I34" s="77">
        <f>SUM(I33:I33)</f>
        <v>0</v>
      </c>
      <c r="J34" s="33"/>
    </row>
    <row r="35" spans="1:9" ht="12.75">
      <c r="A35" s="45"/>
      <c r="B35" s="45"/>
      <c r="C35" s="45"/>
      <c r="D35" s="45"/>
      <c r="E35" s="45"/>
      <c r="F35" s="45"/>
      <c r="G35" s="45"/>
      <c r="H35" s="45"/>
      <c r="I35" s="45"/>
    </row>
  </sheetData>
  <sheetProtection/>
  <mergeCells count="49">
    <mergeCell ref="C1:I1"/>
    <mergeCell ref="A2:B3"/>
    <mergeCell ref="C2:D3"/>
    <mergeCell ref="E2:E3"/>
    <mergeCell ref="F2:G3"/>
    <mergeCell ref="H2:H3"/>
    <mergeCell ref="I2:I3"/>
    <mergeCell ref="A4:B5"/>
    <mergeCell ref="C4:D5"/>
    <mergeCell ref="E4:E5"/>
    <mergeCell ref="F4:G5"/>
    <mergeCell ref="H4:H5"/>
    <mergeCell ref="I4:I5"/>
    <mergeCell ref="A6:B7"/>
    <mergeCell ref="C6:D7"/>
    <mergeCell ref="E6:E7"/>
    <mergeCell ref="F6:G7"/>
    <mergeCell ref="H6:H7"/>
    <mergeCell ref="I6:I7"/>
    <mergeCell ref="F10:G11"/>
    <mergeCell ref="H10:H11"/>
    <mergeCell ref="I10:I11"/>
    <mergeCell ref="A8:B9"/>
    <mergeCell ref="C8:D9"/>
    <mergeCell ref="E8:E9"/>
    <mergeCell ref="F8:G9"/>
    <mergeCell ref="H8:H9"/>
    <mergeCell ref="I8:I9"/>
    <mergeCell ref="A13:E13"/>
    <mergeCell ref="A14:E14"/>
    <mergeCell ref="A15:E15"/>
    <mergeCell ref="A16:E16"/>
    <mergeCell ref="A10:B11"/>
    <mergeCell ref="C10:D11"/>
    <mergeCell ref="E10:E11"/>
    <mergeCell ref="A18:E18"/>
    <mergeCell ref="A19:E19"/>
    <mergeCell ref="A20:E20"/>
    <mergeCell ref="A21:E21"/>
    <mergeCell ref="A22:E22"/>
    <mergeCell ref="A23:E23"/>
    <mergeCell ref="A33:E33"/>
    <mergeCell ref="A34:E34"/>
    <mergeCell ref="A24:E24"/>
    <mergeCell ref="A25:E25"/>
    <mergeCell ref="A27:E27"/>
    <mergeCell ref="F27:I27"/>
    <mergeCell ref="A31:E31"/>
    <mergeCell ref="A32:E32"/>
  </mergeCells>
  <printOptions/>
  <pageMargins left="0.394" right="0.394" top="0.591" bottom="0.591" header="0.5" footer="0.5"/>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Čapek Luboš</cp:lastModifiedBy>
  <dcterms:modified xsi:type="dcterms:W3CDTF">2016-07-20T10:36:37Z</dcterms:modified>
  <cp:category/>
  <cp:version/>
  <cp:contentType/>
  <cp:contentStatus/>
</cp:coreProperties>
</file>